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tables/table12.xml" ContentType="application/vnd.openxmlformats-officedocument.spreadsheetml.table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worksheets/sheet25.xml" ContentType="application/vnd.openxmlformats-officedocument.spreadsheetml.worksheet+xml"/>
  <Override PartName="/xl/tables/table14.xml" ContentType="application/vnd.openxmlformats-officedocument.spreadsheetml.table+xml"/>
  <Override PartName="/xl/worksheets/sheet26.xml" ContentType="application/vnd.openxmlformats-officedocument.spreadsheetml.worksheet+xml"/>
  <Override PartName="/xl/tables/table15.xml" ContentType="application/vnd.openxmlformats-officedocument.spreadsheetml.table+xml"/>
  <Override PartName="/xl/worksheets/sheet27.xml" ContentType="application/vnd.openxmlformats-officedocument.spreadsheetml.worksheet+xml"/>
  <Override PartName="/xl/tables/table16.xml" ContentType="application/vnd.openxmlformats-officedocument.spreadsheetml.table+xml"/>
  <Override PartName="/xl/worksheets/sheet28.xml" ContentType="application/vnd.openxmlformats-officedocument.spreadsheetml.worksheet+xml"/>
  <Override PartName="/xl/tables/table17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LAN_SEMANAL" sheetId="2" state="visible" r:id="rId2"/>
    <sheet name="ADHERENCIA" sheetId="3" state="visible" r:id="rId3"/>
    <sheet name="PERFIL_HH" sheetId="4" state="visible" r:id="rId4"/>
    <sheet name="BACKLOG" sheetId="5" state="visible" r:id="rId5"/>
    <sheet name="COSTOS" sheetId="6" state="visible" r:id="rId6"/>
    <sheet name="PRESUPUESTO" sheetId="7" state="visible" r:id="rId7"/>
    <sheet name="EQUIPOS_CRITICOS" sheetId="8" state="visible" r:id="rId8"/>
    <sheet name="SEGUIMIENTO_HH" sheetId="9" state="visible" r:id="rId9"/>
    <sheet name="SEGUIMIENTO_MENSUAL" sheetId="10" state="visible" r:id="rId10"/>
    <sheet name="EXPORTAR" sheetId="11" state="visible" r:id="rId11"/>
    <sheet name="ORDENES" sheetId="12" state="visible" r:id="rId12"/>
    <sheet name="ASIGNACIONES" sheetId="13" state="visible" r:id="rId13"/>
    <sheet name="AJUSTES" sheetId="14" state="visible" r:id="rId14"/>
    <sheet name="PLAN_VACACIONES" sheetId="15" state="visible" r:id="rId15"/>
    <sheet name="2_IMPORTAR_EJECUCION" sheetId="16" state="visible" r:id="rId16"/>
    <sheet name="TECNICOS" sheetId="17" state="visible" r:id="rId17"/>
    <sheet name="CALENDARIO" sheetId="18" state="visible" r:id="rId18"/>
    <sheet name="VALIDACION" sheetId="19" state="visible" r:id="rId19"/>
    <sheet name="PARAMETROS" sheetId="20" state="visible" r:id="rId20"/>
    <sheet name="CAT_CENTROS_COSTO" sheetId="21" state="hidden" r:id="rId21"/>
    <sheet name="CAT_PUESTOS" sheetId="22" state="hidden" r:id="rId22"/>
    <sheet name="CAT_ACTIVIDADES" sheetId="23" state="hidden" r:id="rId23"/>
    <sheet name="CAT_TIPOS_OT" sheetId="24" state="hidden" r:id="rId24"/>
    <sheet name="CAT_ESTADOS_ERP" sheetId="25" state="hidden" r:id="rId25"/>
    <sheet name="CAT_TURNOS" sheetId="26" state="hidden" r:id="rId26"/>
    <sheet name="CAT_SUPERVISORES" sheetId="27" state="hidden" r:id="rId27"/>
    <sheet name="CAT_MOTIVOS_AUSENCIA" sheetId="28" state="hidden" r:id="rId28"/>
    <sheet name="INICIO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p_meta_pct_legal">PARAMETROS!$B$29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lista_meses_dash">DASHBOARD!$X$3:$X$13</definedName>
    <definedName name="_xlnm._FilterDatabase" localSheetId="1" hidden="1">'PLAN_SEMANAL'!$A$25:$N$1225</definedName>
    <definedName name="_xlnm.Print_Area" localSheetId="1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0.0&quot; pp&quot;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3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5" fontId="8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8" fontId="8" fillId="4" borderId="1" applyAlignment="1" pivotButton="0" quotePrefix="0" xfId="0">
      <alignment horizontal="center"/>
    </xf>
    <xf numFmtId="1" fontId="2" fillId="0" borderId="0" pivotButton="0" quotePrefix="0" xfId="0"/>
    <xf numFmtId="0" fontId="5" fillId="2" borderId="0" pivotButton="0" quotePrefix="0" xfId="0"/>
    <xf numFmtId="165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6" fillId="3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'DASHBOARD'!B68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'DASHBOARD'!$A$69:$A$74</f>
            </numRef>
          </cat>
          <val>
            <numRef>
              <f>'DASHBOARD'!$B$69:$B$74</f>
            </numRef>
          </val>
        </ser>
        <ser>
          <idx val="1"/>
          <order val="1"/>
          <tx>
            <strRef>
              <f>'DASHBOARD'!C68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'DASHBOARD'!$A$69:$A$74</f>
            </numRef>
          </cat>
          <val>
            <numRef>
              <f>'DASHBOARD'!$C$69:$C$74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órdenes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T1203" headerRowCount="1">
  <autoFilter ref="A3:AT1203"/>
  <tableColumns count="46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linea"/>
    <tableColumn id="24" name="area"/>
    <tableColumn id="25" name="sub_area"/>
    <tableColumn id="26" name="coordinador"/>
    <tableColumn id="27" name="especialidad"/>
    <tableColumn id="28" name="actividad"/>
    <tableColumn id="29" name="backlog_dias"/>
    <tableColumn id="30" name="backlog_habiles"/>
    <tableColumn id="31" name="estado_backlog"/>
    <tableColumn id="32" name="en_plan"/>
    <tableColumn id="33" name="tecnico_asignado"/>
    <tableColumn id="34" name="turno_asignado"/>
    <tableColumn id="35" name="HHA"/>
    <tableColumn id="36" name="HHD"/>
    <tableColumn id="37" name="costo_servicio"/>
    <tableColumn id="38" name="costo_materiales"/>
    <tableColumn id="39" name="costo_total"/>
    <tableColumn id="40" name="categoria_presupuesto"/>
    <tableColumn id="41" name="permiso_requerido"/>
    <tableColumn id="42" name="bloqueo_energia"/>
    <tableColumn id="43" name="link_checklist"/>
    <tableColumn id="44" name="abrir_checklist"/>
    <tableColumn id="45" name="observaciones"/>
    <tableColumn id="46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2026-02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2026-03</t>
        </is>
      </c>
    </row>
    <row r="5">
      <c r="X5" s="5" t="inlineStr">
        <is>
          <t>2026-04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2026-05</t>
        </is>
      </c>
    </row>
    <row r="7" ht="26" customHeight="1">
      <c r="A7" s="9">
        <f>IFERROR(INDEX(ADHERENCIA!$E$130:$E$140,MATCH($B$3,ADHERENCIA!$A$130:$A$140,0)),"")</f>
        <v/>
      </c>
      <c r="B7" s="8" t="n"/>
      <c r="C7" s="8" t="n"/>
      <c r="D7" s="8" t="n"/>
      <c r="E7" s="8" t="n"/>
      <c r="G7" s="9">
        <f>IFERROR(INDEX(PERFIL_HH!$L$373:$L$383,MATCH($B$3,PERFIL_HH!$A$373:$A$383,0)),"")</f>
        <v/>
      </c>
      <c r="H7" s="8" t="n"/>
      <c r="I7" s="8" t="n"/>
      <c r="J7" s="8" t="n"/>
      <c r="K7" s="8" t="n"/>
      <c r="M7" s="10">
        <f>IFERROR(INDEX(BACKLOG!$F$34:$F$44,MATCH($B$3,BACKLOG!$A$34:$A$44,0)),"")</f>
        <v/>
      </c>
      <c r="N7" s="8" t="n"/>
      <c r="O7" s="8" t="n"/>
      <c r="P7" s="8" t="n"/>
      <c r="Q7" s="8" t="n"/>
      <c r="X7" s="5" t="inlineStr">
        <is>
          <t>2026-06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2026-07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2026-08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2026-09</t>
        </is>
      </c>
    </row>
    <row r="11">
      <c r="X11" s="5" t="inlineStr">
        <is>
          <t>2026-11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MIX DE MANTENIMIENTO</t>
        </is>
      </c>
      <c r="H12" s="8" t="n"/>
      <c r="I12" s="8" t="n"/>
      <c r="J12" s="8" t="n"/>
      <c r="K12" s="8" t="n"/>
      <c r="M12" s="7" t="inlineStr">
        <is>
          <t>6 · CUMPLIMIENTO LEGAL / CALIBRACIONES</t>
        </is>
      </c>
      <c r="N12" s="8" t="n"/>
      <c r="O12" s="8" t="n"/>
      <c r="P12" s="8" t="n"/>
      <c r="Q12" s="8" t="n"/>
      <c r="X12" s="5" t="inlineStr">
        <is>
          <t>2026-12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13">
        <f>IF(COUNT($E$69:$E$74)=0,"",MAX($E$69:$E$74))</f>
        <v/>
      </c>
      <c r="H13" s="8" t="n"/>
      <c r="I13" s="8" t="n"/>
      <c r="J13" s="8" t="n"/>
      <c r="K13" s="8" t="n"/>
      <c r="M13" s="9">
        <f>IFERROR(INDEX(ADHERENCIA!$I$130:$I$140,MATCH($B$3,ADHERENCIA!$A$130:$A$140,0)),"")</f>
        <v/>
      </c>
      <c r="N13" s="8" t="n"/>
      <c r="O13" s="8" t="n"/>
      <c r="P13" s="8" t="n"/>
      <c r="Q13" s="8" t="n"/>
      <c r="X13" s="5" t="inlineStr">
        <is>
          <t>2027-01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IF(COUNT($E$69:$E$74)=0,"","desvío máximo vs meta · clase: "&amp;INDEX($A$69:$A$74,MATCH(MAX($E$69:$E$74),$E$69:$E$74,0)))</f>
        <v/>
      </c>
      <c r="H15" s="8" t="n"/>
      <c r="I15" s="8" t="n"/>
      <c r="J15" s="8" t="n"/>
      <c r="K15" s="8" t="n"/>
      <c r="M15" s="11">
        <f>"legales cerradas ÷ programadas del mes  ·  vencidas: "&amp;$G$17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(conteo por clase) vs metas de PARAMETROS</t>
        </is>
      </c>
      <c r="H16" s="8" t="n"/>
      <c r="I16" s="8" t="n"/>
      <c r="J16" s="8" t="n"/>
      <c r="K16" s="8" t="n"/>
      <c r="M16" s="12" t="inlineStr">
        <is>
          <t>origen: ADHERENCIA › MES A MES (clase legal)</t>
        </is>
      </c>
      <c r="N16" s="8" t="n"/>
      <c r="O16" s="8" t="n"/>
      <c r="P16" s="8" t="n"/>
      <c r="Q16" s="8" t="n"/>
    </row>
    <row r="17">
      <c r="G17" s="14">
        <f>IFERROR(INDEX(ADHERENCIA!$J$130:$J$140,MATCH($B$3,ADHERENCIA!$A$130:$A$140,0)),"")</f>
        <v/>
      </c>
      <c r="H17" s="2" t="inlineStr">
        <is>
          <t>← órdenes legales vencidas al corte (celda de apoyo del semáforo)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5" t="inlineStr">
        <is>
          <t>semana</t>
        </is>
      </c>
      <c r="B53" s="15" t="inlineStr">
        <is>
          <t>adherencia</t>
        </is>
      </c>
      <c r="C53" s="15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6">
        <f>IF($A54="","",IFERROR(INDEX(ADHERENCIA!$D$5:$D$64,MATCH($A54,ADHERENCIA!$A$5:$A$64,0)),""))</f>
        <v/>
      </c>
      <c r="C54" s="16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6">
        <f>IF($A55="","",IFERROR(INDEX(ADHERENCIA!$D$5:$D$64,MATCH($A55,ADHERENCIA!$A$5:$A$64,0)),""))</f>
        <v/>
      </c>
      <c r="C55" s="16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6">
        <f>IF($A56="","",IFERROR(INDEX(ADHERENCIA!$D$5:$D$64,MATCH($A56,ADHERENCIA!$A$5:$A$64,0)),""))</f>
        <v/>
      </c>
      <c r="C56" s="16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6">
        <f>IF($A57="","",IFERROR(INDEX(ADHERENCIA!$D$5:$D$64,MATCH($A57,ADHERENCIA!$A$5:$A$64,0)),""))</f>
        <v/>
      </c>
      <c r="C57" s="16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6">
        <f>IF($A58="","",IFERROR(INDEX(ADHERENCIA!$D$5:$D$64,MATCH($A58,ADHERENCIA!$A$5:$A$64,0)),""))</f>
        <v/>
      </c>
      <c r="C58" s="16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6">
        <f>IF($A59="","",IFERROR(INDEX(ADHERENCIA!$D$5:$D$64,MATCH($A59,ADHERENCIA!$A$5:$A$64,0)),""))</f>
        <v/>
      </c>
      <c r="C59" s="16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5" t="inlineStr">
        <is>
          <t>especialidad</t>
        </is>
      </c>
      <c r="B61" s="15" t="inlineStr">
        <is>
          <t>planificada</t>
        </is>
      </c>
      <c r="C61" s="15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IFERROR(INDEX(PERFIL_HH!$D$373:$D$383,MATCH($B$3,PERFIL_HH!$A$373:$A$383,0)),"")</f>
        <v/>
      </c>
      <c r="C62" s="17">
        <f>IFERROR(INDEX(PERFIL_HH!$E$373:$E$383,MATCH($B$3,PERFIL_HH!$A$373:$A$383,0)),"")</f>
        <v/>
      </c>
    </row>
    <row r="63">
      <c r="A63" s="5" t="inlineStr">
        <is>
          <t>ELE</t>
        </is>
      </c>
      <c r="B63" s="17">
        <f>IFERROR(INDEX(PERFIL_HH!$F$373:$F$383,MATCH($B$3,PERFIL_HH!$A$373:$A$383,0)),"")</f>
        <v/>
      </c>
      <c r="C63" s="17">
        <f>IFERROR(INDEX(PERFIL_HH!$G$373:$G$383,MATCH($B$3,PERFIL_HH!$A$373:$A$383,0)),"")</f>
        <v/>
      </c>
    </row>
    <row r="64">
      <c r="A64" s="5" t="inlineStr">
        <is>
          <t>AUT</t>
        </is>
      </c>
      <c r="B64" s="17">
        <f>IFERROR(INDEX(PERFIL_HH!$H$373:$H$383,MATCH($B$3,PERFIL_HH!$A$373:$A$383,0)),"")</f>
        <v/>
      </c>
      <c r="C64" s="17">
        <f>IFERROR(INDEX(PERFIL_HH!$I$373:$I$383,MATCH($B$3,PERFIL_HH!$A$373:$A$383,0)),"")</f>
        <v/>
      </c>
    </row>
    <row r="67">
      <c r="A67" s="2" t="inlineStr">
        <is>
          <t>C · mix de mantenimiento: real vs meta (en % de las órdenes del mes)</t>
        </is>
      </c>
    </row>
    <row r="68">
      <c r="A68" s="15" t="inlineStr">
        <is>
          <t>clase</t>
        </is>
      </c>
      <c r="B68" s="15" t="inlineStr">
        <is>
          <t>real %</t>
        </is>
      </c>
      <c r="C68" s="15" t="inlineStr">
        <is>
          <t>meta %</t>
        </is>
      </c>
      <c r="D68" s="15" t="inlineStr">
        <is>
          <t>órdenes</t>
        </is>
      </c>
      <c r="E68" s="15" t="inlineStr">
        <is>
          <t>desvío |pp|</t>
        </is>
      </c>
    </row>
    <row r="69">
      <c r="A69" s="5" t="inlineStr">
        <is>
          <t>predictivo</t>
        </is>
      </c>
      <c r="B69" s="16">
        <f>IF(N(IFERROR(INDEX(ADHERENCIA!$Q$130:$Q$140,MATCH($B$3,ADHERENCIA!$A$130:$A$140,0)),""))=0,"",$D69/IFERROR(INDEX(ADHERENCIA!$Q$130:$Q$140,MATCH($B$3,ADHERENCIA!$A$130:$A$140,0)),""))</f>
        <v/>
      </c>
      <c r="C69" s="16">
        <f>p_meta_pct_predictivo/100</f>
        <v/>
      </c>
      <c r="D69" s="5">
        <f>IFERROR(INDEX(ADHERENCIA!$K$130:$K$140,MATCH($B$3,ADHERENCIA!$A$130:$A$140,0)),"")</f>
        <v/>
      </c>
      <c r="E69" s="17">
        <f>IF($B69="","",ABS($B69-$C69)*100)</f>
        <v/>
      </c>
    </row>
    <row r="70">
      <c r="A70" s="5" t="inlineStr">
        <is>
          <t>preventivo</t>
        </is>
      </c>
      <c r="B70" s="16">
        <f>IF(N(IFERROR(INDEX(ADHERENCIA!$Q$130:$Q$140,MATCH($B$3,ADHERENCIA!$A$130:$A$140,0)),""))=0,"",$D70/IFERROR(INDEX(ADHERENCIA!$Q$130:$Q$140,MATCH($B$3,ADHERENCIA!$A$130:$A$140,0)),""))</f>
        <v/>
      </c>
      <c r="C70" s="16">
        <f>p_meta_pct_preventivo/100</f>
        <v/>
      </c>
      <c r="D70" s="5">
        <f>IFERROR(INDEX(ADHERENCIA!$L$130:$L$140,MATCH($B$3,ADHERENCIA!$A$130:$A$140,0)),"")</f>
        <v/>
      </c>
      <c r="E70" s="17">
        <f>IF($B70="","",ABS($B70-$C70)*100)</f>
        <v/>
      </c>
    </row>
    <row r="71">
      <c r="A71" s="5" t="inlineStr">
        <is>
          <t>correctivo_programado</t>
        </is>
      </c>
      <c r="B71" s="16">
        <f>IF(N(IFERROR(INDEX(ADHERENCIA!$Q$130:$Q$140,MATCH($B$3,ADHERENCIA!$A$130:$A$140,0)),""))=0,"",$D71/IFERROR(INDEX(ADHERENCIA!$Q$130:$Q$140,MATCH($B$3,ADHERENCIA!$A$130:$A$140,0)),""))</f>
        <v/>
      </c>
      <c r="C71" s="16">
        <f>p_meta_pct_correctivo_programado/100</f>
        <v/>
      </c>
      <c r="D71" s="5">
        <f>IFERROR(INDEX(ADHERENCIA!$M$130:$M$140,MATCH($B$3,ADHERENCIA!$A$130:$A$140,0)),"")</f>
        <v/>
      </c>
      <c r="E71" s="17">
        <f>IF($B71="","",ABS($B71-$C71)*100)</f>
        <v/>
      </c>
    </row>
    <row r="72">
      <c r="A72" s="5" t="inlineStr">
        <is>
          <t>emergencia</t>
        </is>
      </c>
      <c r="B72" s="16">
        <f>IF(N(IFERROR(INDEX(ADHERENCIA!$Q$130:$Q$140,MATCH($B$3,ADHERENCIA!$A$130:$A$140,0)),""))=0,"",$D72/IFERROR(INDEX(ADHERENCIA!$Q$130:$Q$140,MATCH($B$3,ADHERENCIA!$A$130:$A$140,0)),""))</f>
        <v/>
      </c>
      <c r="C72" s="16">
        <f>p_meta_pct_emergencia/100</f>
        <v/>
      </c>
      <c r="D72" s="5">
        <f>IFERROR(INDEX(ADHERENCIA!$N$130:$N$140,MATCH($B$3,ADHERENCIA!$A$130:$A$140,0)),"")</f>
        <v/>
      </c>
      <c r="E72" s="17">
        <f>IF($B72="","",ABS($B72-$C72)*100)</f>
        <v/>
      </c>
    </row>
    <row r="73">
      <c r="A73" s="5" t="inlineStr">
        <is>
          <t>legal</t>
        </is>
      </c>
      <c r="B73" s="16">
        <f>IF(N(IFERROR(INDEX(ADHERENCIA!$Q$130:$Q$140,MATCH($B$3,ADHERENCIA!$A$130:$A$140,0)),""))=0,"",$D73/IFERROR(INDEX(ADHERENCIA!$Q$130:$Q$140,MATCH($B$3,ADHERENCIA!$A$130:$A$140,0)),""))</f>
        <v/>
      </c>
      <c r="C73" s="16">
        <f>p_meta_pct_legal/100</f>
        <v/>
      </c>
      <c r="D73" s="5">
        <f>IFERROR(INDEX(ADHERENCIA!$O$130:$O$140,MATCH($B$3,ADHERENCIA!$A$130:$A$140,0)),"")</f>
        <v/>
      </c>
      <c r="E73" s="17">
        <f>IF($B73="","",ABS($B73-$C73)*100)</f>
        <v/>
      </c>
    </row>
    <row r="74">
      <c r="A74" s="5" t="inlineStr">
        <is>
          <t>SIN CLASIFICAR</t>
        </is>
      </c>
      <c r="B74" s="16">
        <f>IF(N(IFERROR(INDEX(ADHERENCIA!$Q$130:$Q$140,MATCH($B$3,ADHERENCIA!$A$130:$A$140,0)),""))=0,"",$D74/IFERROR(INDEX(ADHERENCIA!$Q$130:$Q$140,MATCH($B$3,ADHERENCIA!$A$130:$A$140,0)),""))</f>
        <v/>
      </c>
      <c r="C74" s="16">
        <f>0</f>
        <v/>
      </c>
      <c r="D74" s="5">
        <f>IFERROR(INDEX(ADHERENCIA!$P$130:$P$140,MATCH($B$3,ADHERENCIA!$A$130:$A$140,0)),"")</f>
        <v/>
      </c>
      <c r="E74" s="17">
        <f>IF($B74="","",ABS($B74-$C74)*100)</f>
        <v/>
      </c>
    </row>
    <row r="75">
      <c r="A75" s="3" t="inlineStr">
        <is>
          <t>TOTAL (control)</t>
        </is>
      </c>
      <c r="B75" s="16">
        <f>IF(N(IFERROR(INDEX(ADHERENCIA!$Q$130:$Q$140,MATCH($B$3,ADHERENCIA!$A$130:$A$140,0)),""))=0,"",SUM($B$69:$B$74))</f>
        <v/>
      </c>
      <c r="D75" s="5">
        <f>SUM($D$69:$D$74)</f>
        <v/>
      </c>
    </row>
    <row r="76">
      <c r="A76" s="2" t="inlineStr">
        <is>
          <t>DIFERENCIA vs órdenes del mes (debe ser 0)</t>
        </is>
      </c>
      <c r="D76" s="5">
        <f>$D75-N(IFERROR(INDEX(ADHERENCIA!$Q$130:$Q$140,MATCH($B$3,ADHERENCIA!$A$130:$A$140,0)),""))</f>
        <v/>
      </c>
    </row>
    <row r="77">
      <c r="A77" s="2">
        <f>PARAMETROS!$B$30</f>
        <v/>
      </c>
    </row>
    <row r="79">
      <c r="A79" s="2" t="inlineStr">
        <is>
          <t>D · OPEX plan vs real por mes (fijo y variable) — hasta el mes elegido</t>
        </is>
      </c>
    </row>
    <row r="80">
      <c r="A80" s="15" t="inlineStr">
        <is>
          <t>mes</t>
        </is>
      </c>
      <c r="B80" s="15" t="inlineStr">
        <is>
          <t>plan fijo</t>
        </is>
      </c>
      <c r="C80" s="15" t="inlineStr">
        <is>
          <t>plan variable</t>
        </is>
      </c>
      <c r="D80" s="15" t="inlineStr">
        <is>
          <t>real fijo</t>
        </is>
      </c>
      <c r="E80" s="15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2">
      <formula>AND(ISNUMBER(G13),G13&lt;=5)</formula>
    </cfRule>
    <cfRule type="expression" priority="14" dxfId="1">
      <formula>AND(ISNUMBER(G13),AND(G13&gt;5,G13&lt;=10))</formula>
    </cfRule>
    <cfRule type="expression" priority="15" dxfId="0">
      <formula>AND(ISNUMBER(G13),G13&gt;10)</formula>
    </cfRule>
  </conditionalFormatting>
  <conditionalFormatting sqref="M13:Q13">
    <cfRule type="expression" priority="16" dxfId="0">
      <formula>AND(ISNUMBER($G$17),$G$17&gt;0)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D76">
    <cfRule type="cellIs" priority="19" operator="notEqual" dxfId="0">
      <formula>0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19" t="inlineStr">
        <is>
          <t>2026-S31</t>
        </is>
      </c>
      <c r="C3" s="3" t="inlineStr">
        <is>
          <t>día:</t>
        </is>
      </c>
      <c r="D3" s="19" t="inlineStr">
        <is>
          <t>(todos)</t>
        </is>
      </c>
      <c r="E3" s="3" t="inlineStr">
        <is>
          <t>turno:</t>
        </is>
      </c>
      <c r="F3" s="19" t="inlineStr">
        <is>
          <t>(todos)</t>
        </is>
      </c>
      <c r="G3" s="3" t="inlineStr">
        <is>
          <t>coordinador:</t>
        </is>
      </c>
      <c r="H3" s="19" t="inlineStr">
        <is>
          <t>(todos)</t>
        </is>
      </c>
      <c r="I3" s="3" t="inlineStr">
        <is>
          <t>área:</t>
        </is>
      </c>
      <c r="J3" s="19" t="inlineStr">
        <is>
          <t>(todos)</t>
        </is>
      </c>
      <c r="K3" s="3" t="inlineStr">
        <is>
          <t>especialidad:</t>
        </is>
      </c>
      <c r="L3" s="19" t="inlineStr">
        <is>
          <t>(todos)</t>
        </is>
      </c>
      <c r="M3" s="3" t="inlineStr">
        <is>
          <t>sub-área:</t>
        </is>
      </c>
      <c r="N3" s="19" t="inlineStr">
        <is>
          <t>(todos)</t>
        </is>
      </c>
      <c r="P3" s="15" t="inlineStr">
        <is>
          <t>tecnico</t>
        </is>
      </c>
      <c r="Q3" s="15" t="inlineStr">
        <is>
          <t>especialidad</t>
        </is>
      </c>
      <c r="R3" s="15" t="inlineStr">
        <is>
          <t>etiqueta</t>
        </is>
      </c>
      <c r="S3" s="15" t="inlineStr">
        <is>
          <t>hha_seleccion</t>
        </is>
      </c>
      <c r="T3" s="15" t="inlineStr">
        <is>
          <t>dentro_capacidad</t>
        </is>
      </c>
      <c r="U3" s="15" t="inlineStr">
        <is>
          <t>sobreasignacion</t>
        </is>
      </c>
      <c r="V3" s="15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G$4:$AG$1203,$P4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2026-S09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G$4:$AG$1203,$P5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G$4:$AG$1203,$P6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G$4:$AG$1203,$P7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G$4:$AG$1203,$P8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G$4:$AG$1203,$P9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G$4:$AG$1203,$P10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G$4:$AG$1203,$P11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G$4:$AG$1203,$P12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G$4:$AG$1203,$P13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G$4:$AG$1203,$P14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G$4:$AG$1203,$P15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G$4:$AG$1203,$P16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G$4:$AG$1203,$P17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G$4:$AG$1203,$P18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G$4:$AG$1203,$P19,'ORDENES'!$O$4:$O$1203,IF($B$3="(todos)","*",$B$3),'ORDENES'!$S$4:$S$1203,IF($D$3="(todos)","*",$D$3),'ORDENES'!$AH$4:$AH$1203,IF($F$3="(todos)","*",$F$3),'ORDENES'!$Z$4:$Z$1203,IF($H$3="(todos)","*",$H$3),'ORDENES'!$X$4:$X$1203,IF($J$3="(todos)","*",$J$3),'ORDENES'!$Y$4:$Y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15" t="inlineStr">
        <is>
          <t>semana</t>
        </is>
      </c>
      <c r="B25" s="15" t="inlineStr">
        <is>
          <t>dia</t>
        </is>
      </c>
      <c r="C25" s="15" t="inlineStr">
        <is>
          <t>turno</t>
        </is>
      </c>
      <c r="D25" s="15" t="inlineStr">
        <is>
          <t>coordinador</t>
        </is>
      </c>
      <c r="E25" s="15" t="inlineStr">
        <is>
          <t>area</t>
        </is>
      </c>
      <c r="F25" s="15" t="inlineStr">
        <is>
          <t>especialidad</t>
        </is>
      </c>
      <c r="G25" s="15" t="inlineStr">
        <is>
          <t>sub_area</t>
        </is>
      </c>
      <c r="H25" s="15" t="inlineStr">
        <is>
          <t>tecnico</t>
        </is>
      </c>
      <c r="I25" s="15" t="inlineStr">
        <is>
          <t>id_operacion</t>
        </is>
      </c>
      <c r="J25" s="15" t="inlineStr">
        <is>
          <t>descripcion_operacion</t>
        </is>
      </c>
      <c r="K25" s="15" t="inlineStr">
        <is>
          <t>equipo</t>
        </is>
      </c>
      <c r="L25" s="15" t="inlineStr">
        <is>
          <t>horas</t>
        </is>
      </c>
      <c r="M25" s="15" t="inlineStr">
        <is>
          <t>estado</t>
        </is>
      </c>
      <c r="N25" s="15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IF('ORDENES'!$A4="","",IF('ORDENES'!$AH4="","-",'ORDENES'!$AH4))</f>
        <v/>
      </c>
      <c r="D26" s="5">
        <f>IF('ORDENES'!$A4="","",IF('ORDENES'!$Z4="","-",'ORDENES'!$Z4))</f>
        <v/>
      </c>
      <c r="E26" s="5">
        <f>IF('ORDENES'!$A4="","",IF('ORDENES'!$X4="","-",'ORDENES'!$X4))</f>
        <v/>
      </c>
      <c r="F26" s="5">
        <f>IF('ORDENES'!$A4="","",IF('ORDENES'!$AA4="","-",'ORDENES'!$AA4))</f>
        <v/>
      </c>
      <c r="G26" s="5">
        <f>IF('ORDENES'!$A4="","",IF('ORDENES'!$Y4="","-",'ORDENES'!$Y4))</f>
        <v/>
      </c>
      <c r="H26" s="5">
        <f>IF('ORDENES'!$A4="","",IF('ORDENES'!$AG4="","-",'ORDENES'!$AG4))</f>
        <v/>
      </c>
      <c r="I26" s="5">
        <f>IF('ORDENES'!$A4="","",IF('ORDENES'!$AT4="","-",'ORDENES'!$AT4))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0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IF('ORDENES'!$A4="","",'ORDENES'!$AF4)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IF('ORDENES'!$A5="","",IF('ORDENES'!$AH5="","-",'ORDENES'!$AH5))</f>
        <v/>
      </c>
      <c r="D27" s="5">
        <f>IF('ORDENES'!$A5="","",IF('ORDENES'!$Z5="","-",'ORDENES'!$Z5))</f>
        <v/>
      </c>
      <c r="E27" s="5">
        <f>IF('ORDENES'!$A5="","",IF('ORDENES'!$X5="","-",'ORDENES'!$X5))</f>
        <v/>
      </c>
      <c r="F27" s="5">
        <f>IF('ORDENES'!$A5="","",IF('ORDENES'!$AA5="","-",'ORDENES'!$AA5))</f>
        <v/>
      </c>
      <c r="G27" s="5">
        <f>IF('ORDENES'!$A5="","",IF('ORDENES'!$Y5="","-",'ORDENES'!$Y5))</f>
        <v/>
      </c>
      <c r="H27" s="5">
        <f>IF('ORDENES'!$A5="","",IF('ORDENES'!$AG5="","-",'ORDENES'!$AG5))</f>
        <v/>
      </c>
      <c r="I27" s="5">
        <f>IF('ORDENES'!$A5="","",IF('ORDENES'!$AT5="","-",'ORDENES'!$AT5))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0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IF('ORDENES'!$A5="","",'ORDENES'!$AF5)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IF('ORDENES'!$A6="","",IF('ORDENES'!$AH6="","-",'ORDENES'!$AH6))</f>
        <v/>
      </c>
      <c r="D28" s="5">
        <f>IF('ORDENES'!$A6="","",IF('ORDENES'!$Z6="","-",'ORDENES'!$Z6))</f>
        <v/>
      </c>
      <c r="E28" s="5">
        <f>IF('ORDENES'!$A6="","",IF('ORDENES'!$X6="","-",'ORDENES'!$X6))</f>
        <v/>
      </c>
      <c r="F28" s="5">
        <f>IF('ORDENES'!$A6="","",IF('ORDENES'!$AA6="","-",'ORDENES'!$AA6))</f>
        <v/>
      </c>
      <c r="G28" s="5">
        <f>IF('ORDENES'!$A6="","",IF('ORDENES'!$Y6="","-",'ORDENES'!$Y6))</f>
        <v/>
      </c>
      <c r="H28" s="5">
        <f>IF('ORDENES'!$A6="","",IF('ORDENES'!$AG6="","-",'ORDENES'!$AG6))</f>
        <v/>
      </c>
      <c r="I28" s="5">
        <f>IF('ORDENES'!$A6="","",IF('ORDENES'!$AT6="","-",'ORDENES'!$AT6))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0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IF('ORDENES'!$A6="","",'ORDENES'!$AF6)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IF('ORDENES'!$A7="","",IF('ORDENES'!$AH7="","-",'ORDENES'!$AH7))</f>
        <v/>
      </c>
      <c r="D29" s="5">
        <f>IF('ORDENES'!$A7="","",IF('ORDENES'!$Z7="","-",'ORDENES'!$Z7))</f>
        <v/>
      </c>
      <c r="E29" s="5">
        <f>IF('ORDENES'!$A7="","",IF('ORDENES'!$X7="","-",'ORDENES'!$X7))</f>
        <v/>
      </c>
      <c r="F29" s="5">
        <f>IF('ORDENES'!$A7="","",IF('ORDENES'!$AA7="","-",'ORDENES'!$AA7))</f>
        <v/>
      </c>
      <c r="G29" s="5">
        <f>IF('ORDENES'!$A7="","",IF('ORDENES'!$Y7="","-",'ORDENES'!$Y7))</f>
        <v/>
      </c>
      <c r="H29" s="5">
        <f>IF('ORDENES'!$A7="","",IF('ORDENES'!$AG7="","-",'ORDENES'!$AG7))</f>
        <v/>
      </c>
      <c r="I29" s="5">
        <f>IF('ORDENES'!$A7="","",IF('ORDENES'!$AT7="","-",'ORDENES'!$AT7))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0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IF('ORDENES'!$A7="","",'ORDENES'!$AF7)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IF('ORDENES'!$A8="","",IF('ORDENES'!$AH8="","-",'ORDENES'!$AH8))</f>
        <v/>
      </c>
      <c r="D30" s="5">
        <f>IF('ORDENES'!$A8="","",IF('ORDENES'!$Z8="","-",'ORDENES'!$Z8))</f>
        <v/>
      </c>
      <c r="E30" s="5">
        <f>IF('ORDENES'!$A8="","",IF('ORDENES'!$X8="","-",'ORDENES'!$X8))</f>
        <v/>
      </c>
      <c r="F30" s="5">
        <f>IF('ORDENES'!$A8="","",IF('ORDENES'!$AA8="","-",'ORDENES'!$AA8))</f>
        <v/>
      </c>
      <c r="G30" s="5">
        <f>IF('ORDENES'!$A8="","",IF('ORDENES'!$Y8="","-",'ORDENES'!$Y8))</f>
        <v/>
      </c>
      <c r="H30" s="5">
        <f>IF('ORDENES'!$A8="","",IF('ORDENES'!$AG8="","-",'ORDENES'!$AG8))</f>
        <v/>
      </c>
      <c r="I30" s="5">
        <f>IF('ORDENES'!$A8="","",IF('ORDENES'!$AT8="","-",'ORDENES'!$AT8))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0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IF('ORDENES'!$A8="","",'ORDENES'!$AF8)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IF('ORDENES'!$A9="","",IF('ORDENES'!$AH9="","-",'ORDENES'!$AH9))</f>
        <v/>
      </c>
      <c r="D31" s="5">
        <f>IF('ORDENES'!$A9="","",IF('ORDENES'!$Z9="","-",'ORDENES'!$Z9))</f>
        <v/>
      </c>
      <c r="E31" s="5">
        <f>IF('ORDENES'!$A9="","",IF('ORDENES'!$X9="","-",'ORDENES'!$X9))</f>
        <v/>
      </c>
      <c r="F31" s="5">
        <f>IF('ORDENES'!$A9="","",IF('ORDENES'!$AA9="","-",'ORDENES'!$AA9))</f>
        <v/>
      </c>
      <c r="G31" s="5">
        <f>IF('ORDENES'!$A9="","",IF('ORDENES'!$Y9="","-",'ORDENES'!$Y9))</f>
        <v/>
      </c>
      <c r="H31" s="5">
        <f>IF('ORDENES'!$A9="","",IF('ORDENES'!$AG9="","-",'ORDENES'!$AG9))</f>
        <v/>
      </c>
      <c r="I31" s="5">
        <f>IF('ORDENES'!$A9="","",IF('ORDENES'!$AT9="","-",'ORDENES'!$AT9))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0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IF('ORDENES'!$A9="","",'ORDENES'!$AF9)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IF('ORDENES'!$A10="","",IF('ORDENES'!$AH10="","-",'ORDENES'!$AH10))</f>
        <v/>
      </c>
      <c r="D32" s="5">
        <f>IF('ORDENES'!$A10="","",IF('ORDENES'!$Z10="","-",'ORDENES'!$Z10))</f>
        <v/>
      </c>
      <c r="E32" s="5">
        <f>IF('ORDENES'!$A10="","",IF('ORDENES'!$X10="","-",'ORDENES'!$X10))</f>
        <v/>
      </c>
      <c r="F32" s="5">
        <f>IF('ORDENES'!$A10="","",IF('ORDENES'!$AA10="","-",'ORDENES'!$AA10))</f>
        <v/>
      </c>
      <c r="G32" s="5">
        <f>IF('ORDENES'!$A10="","",IF('ORDENES'!$Y10="","-",'ORDENES'!$Y10))</f>
        <v/>
      </c>
      <c r="H32" s="5">
        <f>IF('ORDENES'!$A10="","",IF('ORDENES'!$AG10="","-",'ORDENES'!$AG10))</f>
        <v/>
      </c>
      <c r="I32" s="5">
        <f>IF('ORDENES'!$A10="","",IF('ORDENES'!$AT10="","-",'ORDENES'!$AT10))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0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IF('ORDENES'!$A10="","",'ORDENES'!$AF10)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IF('ORDENES'!$A11="","",IF('ORDENES'!$AH11="","-",'ORDENES'!$AH11))</f>
        <v/>
      </c>
      <c r="D33" s="5">
        <f>IF('ORDENES'!$A11="","",IF('ORDENES'!$Z11="","-",'ORDENES'!$Z11))</f>
        <v/>
      </c>
      <c r="E33" s="5">
        <f>IF('ORDENES'!$A11="","",IF('ORDENES'!$X11="","-",'ORDENES'!$X11))</f>
        <v/>
      </c>
      <c r="F33" s="5">
        <f>IF('ORDENES'!$A11="","",IF('ORDENES'!$AA11="","-",'ORDENES'!$AA11))</f>
        <v/>
      </c>
      <c r="G33" s="5">
        <f>IF('ORDENES'!$A11="","",IF('ORDENES'!$Y11="","-",'ORDENES'!$Y11))</f>
        <v/>
      </c>
      <c r="H33" s="5">
        <f>IF('ORDENES'!$A11="","",IF('ORDENES'!$AG11="","-",'ORDENES'!$AG11))</f>
        <v/>
      </c>
      <c r="I33" s="5">
        <f>IF('ORDENES'!$A11="","",IF('ORDENES'!$AT11="","-",'ORDENES'!$AT11))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0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IF('ORDENES'!$A11="","",'ORDENES'!$AF11)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IF('ORDENES'!$A12="","",IF('ORDENES'!$AH12="","-",'ORDENES'!$AH12))</f>
        <v/>
      </c>
      <c r="D34" s="5">
        <f>IF('ORDENES'!$A12="","",IF('ORDENES'!$Z12="","-",'ORDENES'!$Z12))</f>
        <v/>
      </c>
      <c r="E34" s="5">
        <f>IF('ORDENES'!$A12="","",IF('ORDENES'!$X12="","-",'ORDENES'!$X12))</f>
        <v/>
      </c>
      <c r="F34" s="5">
        <f>IF('ORDENES'!$A12="","",IF('ORDENES'!$AA12="","-",'ORDENES'!$AA12))</f>
        <v/>
      </c>
      <c r="G34" s="5">
        <f>IF('ORDENES'!$A12="","",IF('ORDENES'!$Y12="","-",'ORDENES'!$Y12))</f>
        <v/>
      </c>
      <c r="H34" s="5">
        <f>IF('ORDENES'!$A12="","",IF('ORDENES'!$AG12="","-",'ORDENES'!$AG12))</f>
        <v/>
      </c>
      <c r="I34" s="5">
        <f>IF('ORDENES'!$A12="","",IF('ORDENES'!$AT12="","-",'ORDENES'!$AT12))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0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IF('ORDENES'!$A12="","",'ORDENES'!$AF12)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IF('ORDENES'!$A13="","",IF('ORDENES'!$AH13="","-",'ORDENES'!$AH13))</f>
        <v/>
      </c>
      <c r="D35" s="5">
        <f>IF('ORDENES'!$A13="","",IF('ORDENES'!$Z13="","-",'ORDENES'!$Z13))</f>
        <v/>
      </c>
      <c r="E35" s="5">
        <f>IF('ORDENES'!$A13="","",IF('ORDENES'!$X13="","-",'ORDENES'!$X13))</f>
        <v/>
      </c>
      <c r="F35" s="5">
        <f>IF('ORDENES'!$A13="","",IF('ORDENES'!$AA13="","-",'ORDENES'!$AA13))</f>
        <v/>
      </c>
      <c r="G35" s="5">
        <f>IF('ORDENES'!$A13="","",IF('ORDENES'!$Y13="","-",'ORDENES'!$Y13))</f>
        <v/>
      </c>
      <c r="H35" s="5">
        <f>IF('ORDENES'!$A13="","",IF('ORDENES'!$AG13="","-",'ORDENES'!$AG13))</f>
        <v/>
      </c>
      <c r="I35" s="5">
        <f>IF('ORDENES'!$A13="","",IF('ORDENES'!$AT13="","-",'ORDENES'!$AT13))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0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IF('ORDENES'!$A13="","",'ORDENES'!$AF13)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IF('ORDENES'!$A14="","",IF('ORDENES'!$AH14="","-",'ORDENES'!$AH14))</f>
        <v/>
      </c>
      <c r="D36" s="5">
        <f>IF('ORDENES'!$A14="","",IF('ORDENES'!$Z14="","-",'ORDENES'!$Z14))</f>
        <v/>
      </c>
      <c r="E36" s="5">
        <f>IF('ORDENES'!$A14="","",IF('ORDENES'!$X14="","-",'ORDENES'!$X14))</f>
        <v/>
      </c>
      <c r="F36" s="5">
        <f>IF('ORDENES'!$A14="","",IF('ORDENES'!$AA14="","-",'ORDENES'!$AA14))</f>
        <v/>
      </c>
      <c r="G36" s="5">
        <f>IF('ORDENES'!$A14="","",IF('ORDENES'!$Y14="","-",'ORDENES'!$Y14))</f>
        <v/>
      </c>
      <c r="H36" s="5">
        <f>IF('ORDENES'!$A14="","",IF('ORDENES'!$AG14="","-",'ORDENES'!$AG14))</f>
        <v/>
      </c>
      <c r="I36" s="5">
        <f>IF('ORDENES'!$A14="","",IF('ORDENES'!$AT14="","-",'ORDENES'!$AT14))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0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IF('ORDENES'!$A14="","",'ORDENES'!$AF14)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IF('ORDENES'!$A15="","",IF('ORDENES'!$AH15="","-",'ORDENES'!$AH15))</f>
        <v/>
      </c>
      <c r="D37" s="5">
        <f>IF('ORDENES'!$A15="","",IF('ORDENES'!$Z15="","-",'ORDENES'!$Z15))</f>
        <v/>
      </c>
      <c r="E37" s="5">
        <f>IF('ORDENES'!$A15="","",IF('ORDENES'!$X15="","-",'ORDENES'!$X15))</f>
        <v/>
      </c>
      <c r="F37" s="5">
        <f>IF('ORDENES'!$A15="","",IF('ORDENES'!$AA15="","-",'ORDENES'!$AA15))</f>
        <v/>
      </c>
      <c r="G37" s="5">
        <f>IF('ORDENES'!$A15="","",IF('ORDENES'!$Y15="","-",'ORDENES'!$Y15))</f>
        <v/>
      </c>
      <c r="H37" s="5">
        <f>IF('ORDENES'!$A15="","",IF('ORDENES'!$AG15="","-",'ORDENES'!$AG15))</f>
        <v/>
      </c>
      <c r="I37" s="5">
        <f>IF('ORDENES'!$A15="","",IF('ORDENES'!$AT15="","-",'ORDENES'!$AT15))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0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IF('ORDENES'!$A15="","",'ORDENES'!$AF15)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IF('ORDENES'!$A16="","",IF('ORDENES'!$AH16="","-",'ORDENES'!$AH16))</f>
        <v/>
      </c>
      <c r="D38" s="5">
        <f>IF('ORDENES'!$A16="","",IF('ORDENES'!$Z16="","-",'ORDENES'!$Z16))</f>
        <v/>
      </c>
      <c r="E38" s="5">
        <f>IF('ORDENES'!$A16="","",IF('ORDENES'!$X16="","-",'ORDENES'!$X16))</f>
        <v/>
      </c>
      <c r="F38" s="5">
        <f>IF('ORDENES'!$A16="","",IF('ORDENES'!$AA16="","-",'ORDENES'!$AA16))</f>
        <v/>
      </c>
      <c r="G38" s="5">
        <f>IF('ORDENES'!$A16="","",IF('ORDENES'!$Y16="","-",'ORDENES'!$Y16))</f>
        <v/>
      </c>
      <c r="H38" s="5">
        <f>IF('ORDENES'!$A16="","",IF('ORDENES'!$AG16="","-",'ORDENES'!$AG16))</f>
        <v/>
      </c>
      <c r="I38" s="5">
        <f>IF('ORDENES'!$A16="","",IF('ORDENES'!$AT16="","-",'ORDENES'!$AT16))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0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IF('ORDENES'!$A16="","",'ORDENES'!$AF16)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IF('ORDENES'!$A17="","",IF('ORDENES'!$AH17="","-",'ORDENES'!$AH17))</f>
        <v/>
      </c>
      <c r="D39" s="5">
        <f>IF('ORDENES'!$A17="","",IF('ORDENES'!$Z17="","-",'ORDENES'!$Z17))</f>
        <v/>
      </c>
      <c r="E39" s="5">
        <f>IF('ORDENES'!$A17="","",IF('ORDENES'!$X17="","-",'ORDENES'!$X17))</f>
        <v/>
      </c>
      <c r="F39" s="5">
        <f>IF('ORDENES'!$A17="","",IF('ORDENES'!$AA17="","-",'ORDENES'!$AA17))</f>
        <v/>
      </c>
      <c r="G39" s="5">
        <f>IF('ORDENES'!$A17="","",IF('ORDENES'!$Y17="","-",'ORDENES'!$Y17))</f>
        <v/>
      </c>
      <c r="H39" s="5">
        <f>IF('ORDENES'!$A17="","",IF('ORDENES'!$AG17="","-",'ORDENES'!$AG17))</f>
        <v/>
      </c>
      <c r="I39" s="5">
        <f>IF('ORDENES'!$A17="","",IF('ORDENES'!$AT17="","-",'ORDENES'!$AT17))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0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IF('ORDENES'!$A17="","",'ORDENES'!$AF17)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IF('ORDENES'!$A18="","",IF('ORDENES'!$AH18="","-",'ORDENES'!$AH18))</f>
        <v/>
      </c>
      <c r="D40" s="5">
        <f>IF('ORDENES'!$A18="","",IF('ORDENES'!$Z18="","-",'ORDENES'!$Z18))</f>
        <v/>
      </c>
      <c r="E40" s="5">
        <f>IF('ORDENES'!$A18="","",IF('ORDENES'!$X18="","-",'ORDENES'!$X18))</f>
        <v/>
      </c>
      <c r="F40" s="5">
        <f>IF('ORDENES'!$A18="","",IF('ORDENES'!$AA18="","-",'ORDENES'!$AA18))</f>
        <v/>
      </c>
      <c r="G40" s="5">
        <f>IF('ORDENES'!$A18="","",IF('ORDENES'!$Y18="","-",'ORDENES'!$Y18))</f>
        <v/>
      </c>
      <c r="H40" s="5">
        <f>IF('ORDENES'!$A18="","",IF('ORDENES'!$AG18="","-",'ORDENES'!$AG18))</f>
        <v/>
      </c>
      <c r="I40" s="5">
        <f>IF('ORDENES'!$A18="","",IF('ORDENES'!$AT18="","-",'ORDENES'!$AT18))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0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IF('ORDENES'!$A18="","",'ORDENES'!$AF18)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IF('ORDENES'!$A19="","",IF('ORDENES'!$AH19="","-",'ORDENES'!$AH19))</f>
        <v/>
      </c>
      <c r="D41" s="5">
        <f>IF('ORDENES'!$A19="","",IF('ORDENES'!$Z19="","-",'ORDENES'!$Z19))</f>
        <v/>
      </c>
      <c r="E41" s="5">
        <f>IF('ORDENES'!$A19="","",IF('ORDENES'!$X19="","-",'ORDENES'!$X19))</f>
        <v/>
      </c>
      <c r="F41" s="5">
        <f>IF('ORDENES'!$A19="","",IF('ORDENES'!$AA19="","-",'ORDENES'!$AA19))</f>
        <v/>
      </c>
      <c r="G41" s="5">
        <f>IF('ORDENES'!$A19="","",IF('ORDENES'!$Y19="","-",'ORDENES'!$Y19))</f>
        <v/>
      </c>
      <c r="H41" s="5">
        <f>IF('ORDENES'!$A19="","",IF('ORDENES'!$AG19="","-",'ORDENES'!$AG19))</f>
        <v/>
      </c>
      <c r="I41" s="5">
        <f>IF('ORDENES'!$A19="","",IF('ORDENES'!$AT19="","-",'ORDENES'!$AT19))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0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IF('ORDENES'!$A19="","",'ORDENES'!$AF19)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IF('ORDENES'!$A20="","",IF('ORDENES'!$AH20="","-",'ORDENES'!$AH20))</f>
        <v/>
      </c>
      <c r="D42" s="5">
        <f>IF('ORDENES'!$A20="","",IF('ORDENES'!$Z20="","-",'ORDENES'!$Z20))</f>
        <v/>
      </c>
      <c r="E42" s="5">
        <f>IF('ORDENES'!$A20="","",IF('ORDENES'!$X20="","-",'ORDENES'!$X20))</f>
        <v/>
      </c>
      <c r="F42" s="5">
        <f>IF('ORDENES'!$A20="","",IF('ORDENES'!$AA20="","-",'ORDENES'!$AA20))</f>
        <v/>
      </c>
      <c r="G42" s="5">
        <f>IF('ORDENES'!$A20="","",IF('ORDENES'!$Y20="","-",'ORDENES'!$Y20))</f>
        <v/>
      </c>
      <c r="H42" s="5">
        <f>IF('ORDENES'!$A20="","",IF('ORDENES'!$AG20="","-",'ORDENES'!$AG20))</f>
        <v/>
      </c>
      <c r="I42" s="5">
        <f>IF('ORDENES'!$A20="","",IF('ORDENES'!$AT20="","-",'ORDENES'!$AT20))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0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IF('ORDENES'!$A20="","",'ORDENES'!$AF20)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IF('ORDENES'!$A21="","",IF('ORDENES'!$AH21="","-",'ORDENES'!$AH21))</f>
        <v/>
      </c>
      <c r="D43" s="5">
        <f>IF('ORDENES'!$A21="","",IF('ORDENES'!$Z21="","-",'ORDENES'!$Z21))</f>
        <v/>
      </c>
      <c r="E43" s="5">
        <f>IF('ORDENES'!$A21="","",IF('ORDENES'!$X21="","-",'ORDENES'!$X21))</f>
        <v/>
      </c>
      <c r="F43" s="5">
        <f>IF('ORDENES'!$A21="","",IF('ORDENES'!$AA21="","-",'ORDENES'!$AA21))</f>
        <v/>
      </c>
      <c r="G43" s="5">
        <f>IF('ORDENES'!$A21="","",IF('ORDENES'!$Y21="","-",'ORDENES'!$Y21))</f>
        <v/>
      </c>
      <c r="H43" s="5">
        <f>IF('ORDENES'!$A21="","",IF('ORDENES'!$AG21="","-",'ORDENES'!$AG21))</f>
        <v/>
      </c>
      <c r="I43" s="5">
        <f>IF('ORDENES'!$A21="","",IF('ORDENES'!$AT21="","-",'ORDENES'!$AT21))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0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IF('ORDENES'!$A21="","",'ORDENES'!$AF21)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IF('ORDENES'!$A22="","",IF('ORDENES'!$AH22="","-",'ORDENES'!$AH22))</f>
        <v/>
      </c>
      <c r="D44" s="5">
        <f>IF('ORDENES'!$A22="","",IF('ORDENES'!$Z22="","-",'ORDENES'!$Z22))</f>
        <v/>
      </c>
      <c r="E44" s="5">
        <f>IF('ORDENES'!$A22="","",IF('ORDENES'!$X22="","-",'ORDENES'!$X22))</f>
        <v/>
      </c>
      <c r="F44" s="5">
        <f>IF('ORDENES'!$A22="","",IF('ORDENES'!$AA22="","-",'ORDENES'!$AA22))</f>
        <v/>
      </c>
      <c r="G44" s="5">
        <f>IF('ORDENES'!$A22="","",IF('ORDENES'!$Y22="","-",'ORDENES'!$Y22))</f>
        <v/>
      </c>
      <c r="H44" s="5">
        <f>IF('ORDENES'!$A22="","",IF('ORDENES'!$AG22="","-",'ORDENES'!$AG22))</f>
        <v/>
      </c>
      <c r="I44" s="5">
        <f>IF('ORDENES'!$A22="","",IF('ORDENES'!$AT22="","-",'ORDENES'!$AT22))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0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IF('ORDENES'!$A22="","",'ORDENES'!$AF22)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IF('ORDENES'!$A23="","",IF('ORDENES'!$AH23="","-",'ORDENES'!$AH23))</f>
        <v/>
      </c>
      <c r="D45" s="5">
        <f>IF('ORDENES'!$A23="","",IF('ORDENES'!$Z23="","-",'ORDENES'!$Z23))</f>
        <v/>
      </c>
      <c r="E45" s="5">
        <f>IF('ORDENES'!$A23="","",IF('ORDENES'!$X23="","-",'ORDENES'!$X23))</f>
        <v/>
      </c>
      <c r="F45" s="5">
        <f>IF('ORDENES'!$A23="","",IF('ORDENES'!$AA23="","-",'ORDENES'!$AA23))</f>
        <v/>
      </c>
      <c r="G45" s="5">
        <f>IF('ORDENES'!$A23="","",IF('ORDENES'!$Y23="","-",'ORDENES'!$Y23))</f>
        <v/>
      </c>
      <c r="H45" s="5">
        <f>IF('ORDENES'!$A23="","",IF('ORDENES'!$AG23="","-",'ORDENES'!$AG23))</f>
        <v/>
      </c>
      <c r="I45" s="5">
        <f>IF('ORDENES'!$A23="","",IF('ORDENES'!$AT23="","-",'ORDENES'!$AT23))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0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IF('ORDENES'!$A23="","",'ORDENES'!$AF23)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IF('ORDENES'!$A24="","",IF('ORDENES'!$AH24="","-",'ORDENES'!$AH24))</f>
        <v/>
      </c>
      <c r="D46" s="5">
        <f>IF('ORDENES'!$A24="","",IF('ORDENES'!$Z24="","-",'ORDENES'!$Z24))</f>
        <v/>
      </c>
      <c r="E46" s="5">
        <f>IF('ORDENES'!$A24="","",IF('ORDENES'!$X24="","-",'ORDENES'!$X24))</f>
        <v/>
      </c>
      <c r="F46" s="5">
        <f>IF('ORDENES'!$A24="","",IF('ORDENES'!$AA24="","-",'ORDENES'!$AA24))</f>
        <v/>
      </c>
      <c r="G46" s="5">
        <f>IF('ORDENES'!$A24="","",IF('ORDENES'!$Y24="","-",'ORDENES'!$Y24))</f>
        <v/>
      </c>
      <c r="H46" s="5">
        <f>IF('ORDENES'!$A24="","",IF('ORDENES'!$AG24="","-",'ORDENES'!$AG24))</f>
        <v/>
      </c>
      <c r="I46" s="5">
        <f>IF('ORDENES'!$A24="","",IF('ORDENES'!$AT24="","-",'ORDENES'!$AT24))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0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IF('ORDENES'!$A24="","",'ORDENES'!$AF24)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IF('ORDENES'!$A25="","",IF('ORDENES'!$AH25="","-",'ORDENES'!$AH25))</f>
        <v/>
      </c>
      <c r="D47" s="5">
        <f>IF('ORDENES'!$A25="","",IF('ORDENES'!$Z25="","-",'ORDENES'!$Z25))</f>
        <v/>
      </c>
      <c r="E47" s="5">
        <f>IF('ORDENES'!$A25="","",IF('ORDENES'!$X25="","-",'ORDENES'!$X25))</f>
        <v/>
      </c>
      <c r="F47" s="5">
        <f>IF('ORDENES'!$A25="","",IF('ORDENES'!$AA25="","-",'ORDENES'!$AA25))</f>
        <v/>
      </c>
      <c r="G47" s="5">
        <f>IF('ORDENES'!$A25="","",IF('ORDENES'!$Y25="","-",'ORDENES'!$Y25))</f>
        <v/>
      </c>
      <c r="H47" s="5">
        <f>IF('ORDENES'!$A25="","",IF('ORDENES'!$AG25="","-",'ORDENES'!$AG25))</f>
        <v/>
      </c>
      <c r="I47" s="5">
        <f>IF('ORDENES'!$A25="","",IF('ORDENES'!$AT25="","-",'ORDENES'!$AT25))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0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IF('ORDENES'!$A25="","",'ORDENES'!$AF25)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IF('ORDENES'!$A26="","",IF('ORDENES'!$AH26="","-",'ORDENES'!$AH26))</f>
        <v/>
      </c>
      <c r="D48" s="5">
        <f>IF('ORDENES'!$A26="","",IF('ORDENES'!$Z26="","-",'ORDENES'!$Z26))</f>
        <v/>
      </c>
      <c r="E48" s="5">
        <f>IF('ORDENES'!$A26="","",IF('ORDENES'!$X26="","-",'ORDENES'!$X26))</f>
        <v/>
      </c>
      <c r="F48" s="5">
        <f>IF('ORDENES'!$A26="","",IF('ORDENES'!$AA26="","-",'ORDENES'!$AA26))</f>
        <v/>
      </c>
      <c r="G48" s="5">
        <f>IF('ORDENES'!$A26="","",IF('ORDENES'!$Y26="","-",'ORDENES'!$Y26))</f>
        <v/>
      </c>
      <c r="H48" s="5">
        <f>IF('ORDENES'!$A26="","",IF('ORDENES'!$AG26="","-",'ORDENES'!$AG26))</f>
        <v/>
      </c>
      <c r="I48" s="5">
        <f>IF('ORDENES'!$A26="","",IF('ORDENES'!$AT26="","-",'ORDENES'!$AT26))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0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IF('ORDENES'!$A26="","",'ORDENES'!$AF26)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IF('ORDENES'!$A27="","",IF('ORDENES'!$AH27="","-",'ORDENES'!$AH27))</f>
        <v/>
      </c>
      <c r="D49" s="5">
        <f>IF('ORDENES'!$A27="","",IF('ORDENES'!$Z27="","-",'ORDENES'!$Z27))</f>
        <v/>
      </c>
      <c r="E49" s="5">
        <f>IF('ORDENES'!$A27="","",IF('ORDENES'!$X27="","-",'ORDENES'!$X27))</f>
        <v/>
      </c>
      <c r="F49" s="5">
        <f>IF('ORDENES'!$A27="","",IF('ORDENES'!$AA27="","-",'ORDENES'!$AA27))</f>
        <v/>
      </c>
      <c r="G49" s="5">
        <f>IF('ORDENES'!$A27="","",IF('ORDENES'!$Y27="","-",'ORDENES'!$Y27))</f>
        <v/>
      </c>
      <c r="H49" s="5">
        <f>IF('ORDENES'!$A27="","",IF('ORDENES'!$AG27="","-",'ORDENES'!$AG27))</f>
        <v/>
      </c>
      <c r="I49" s="5">
        <f>IF('ORDENES'!$A27="","",IF('ORDENES'!$AT27="","-",'ORDENES'!$AT27))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0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IF('ORDENES'!$A27="","",'ORDENES'!$AF27)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IF('ORDENES'!$A28="","",IF('ORDENES'!$AH28="","-",'ORDENES'!$AH28))</f>
        <v/>
      </c>
      <c r="D50" s="5">
        <f>IF('ORDENES'!$A28="","",IF('ORDENES'!$Z28="","-",'ORDENES'!$Z28))</f>
        <v/>
      </c>
      <c r="E50" s="5">
        <f>IF('ORDENES'!$A28="","",IF('ORDENES'!$X28="","-",'ORDENES'!$X28))</f>
        <v/>
      </c>
      <c r="F50" s="5">
        <f>IF('ORDENES'!$A28="","",IF('ORDENES'!$AA28="","-",'ORDENES'!$AA28))</f>
        <v/>
      </c>
      <c r="G50" s="5">
        <f>IF('ORDENES'!$A28="","",IF('ORDENES'!$Y28="","-",'ORDENES'!$Y28))</f>
        <v/>
      </c>
      <c r="H50" s="5">
        <f>IF('ORDENES'!$A28="","",IF('ORDENES'!$AG28="","-",'ORDENES'!$AG28))</f>
        <v/>
      </c>
      <c r="I50" s="5">
        <f>IF('ORDENES'!$A28="","",IF('ORDENES'!$AT28="","-",'ORDENES'!$AT28))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0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IF('ORDENES'!$A28="","",'ORDENES'!$AF28)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IF('ORDENES'!$A29="","",IF('ORDENES'!$AH29="","-",'ORDENES'!$AH29))</f>
        <v/>
      </c>
      <c r="D51" s="5">
        <f>IF('ORDENES'!$A29="","",IF('ORDENES'!$Z29="","-",'ORDENES'!$Z29))</f>
        <v/>
      </c>
      <c r="E51" s="5">
        <f>IF('ORDENES'!$A29="","",IF('ORDENES'!$X29="","-",'ORDENES'!$X29))</f>
        <v/>
      </c>
      <c r="F51" s="5">
        <f>IF('ORDENES'!$A29="","",IF('ORDENES'!$AA29="","-",'ORDENES'!$AA29))</f>
        <v/>
      </c>
      <c r="G51" s="5">
        <f>IF('ORDENES'!$A29="","",IF('ORDENES'!$Y29="","-",'ORDENES'!$Y29))</f>
        <v/>
      </c>
      <c r="H51" s="5">
        <f>IF('ORDENES'!$A29="","",IF('ORDENES'!$AG29="","-",'ORDENES'!$AG29))</f>
        <v/>
      </c>
      <c r="I51" s="5">
        <f>IF('ORDENES'!$A29="","",IF('ORDENES'!$AT29="","-",'ORDENES'!$AT29))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0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IF('ORDENES'!$A29="","",'ORDENES'!$AF29)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IF('ORDENES'!$A30="","",IF('ORDENES'!$AH30="","-",'ORDENES'!$AH30))</f>
        <v/>
      </c>
      <c r="D52" s="5">
        <f>IF('ORDENES'!$A30="","",IF('ORDENES'!$Z30="","-",'ORDENES'!$Z30))</f>
        <v/>
      </c>
      <c r="E52" s="5">
        <f>IF('ORDENES'!$A30="","",IF('ORDENES'!$X30="","-",'ORDENES'!$X30))</f>
        <v/>
      </c>
      <c r="F52" s="5">
        <f>IF('ORDENES'!$A30="","",IF('ORDENES'!$AA30="","-",'ORDENES'!$AA30))</f>
        <v/>
      </c>
      <c r="G52" s="5">
        <f>IF('ORDENES'!$A30="","",IF('ORDENES'!$Y30="","-",'ORDENES'!$Y30))</f>
        <v/>
      </c>
      <c r="H52" s="5">
        <f>IF('ORDENES'!$A30="","",IF('ORDENES'!$AG30="","-",'ORDENES'!$AG30))</f>
        <v/>
      </c>
      <c r="I52" s="5">
        <f>IF('ORDENES'!$A30="","",IF('ORDENES'!$AT30="","-",'ORDENES'!$AT30))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0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IF('ORDENES'!$A30="","",'ORDENES'!$AF30)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IF('ORDENES'!$A31="","",IF('ORDENES'!$AH31="","-",'ORDENES'!$AH31))</f>
        <v/>
      </c>
      <c r="D53" s="5">
        <f>IF('ORDENES'!$A31="","",IF('ORDENES'!$Z31="","-",'ORDENES'!$Z31))</f>
        <v/>
      </c>
      <c r="E53" s="5">
        <f>IF('ORDENES'!$A31="","",IF('ORDENES'!$X31="","-",'ORDENES'!$X31))</f>
        <v/>
      </c>
      <c r="F53" s="5">
        <f>IF('ORDENES'!$A31="","",IF('ORDENES'!$AA31="","-",'ORDENES'!$AA31))</f>
        <v/>
      </c>
      <c r="G53" s="5">
        <f>IF('ORDENES'!$A31="","",IF('ORDENES'!$Y31="","-",'ORDENES'!$Y31))</f>
        <v/>
      </c>
      <c r="H53" s="5">
        <f>IF('ORDENES'!$A31="","",IF('ORDENES'!$AG31="","-",'ORDENES'!$AG31))</f>
        <v/>
      </c>
      <c r="I53" s="5">
        <f>IF('ORDENES'!$A31="","",IF('ORDENES'!$AT31="","-",'ORDENES'!$AT31))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0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IF('ORDENES'!$A31="","",'ORDENES'!$AF31)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IF('ORDENES'!$A32="","",IF('ORDENES'!$AH32="","-",'ORDENES'!$AH32))</f>
        <v/>
      </c>
      <c r="D54" s="5">
        <f>IF('ORDENES'!$A32="","",IF('ORDENES'!$Z32="","-",'ORDENES'!$Z32))</f>
        <v/>
      </c>
      <c r="E54" s="5">
        <f>IF('ORDENES'!$A32="","",IF('ORDENES'!$X32="","-",'ORDENES'!$X32))</f>
        <v/>
      </c>
      <c r="F54" s="5">
        <f>IF('ORDENES'!$A32="","",IF('ORDENES'!$AA32="","-",'ORDENES'!$AA32))</f>
        <v/>
      </c>
      <c r="G54" s="5">
        <f>IF('ORDENES'!$A32="","",IF('ORDENES'!$Y32="","-",'ORDENES'!$Y32))</f>
        <v/>
      </c>
      <c r="H54" s="5">
        <f>IF('ORDENES'!$A32="","",IF('ORDENES'!$AG32="","-",'ORDENES'!$AG32))</f>
        <v/>
      </c>
      <c r="I54" s="5">
        <f>IF('ORDENES'!$A32="","",IF('ORDENES'!$AT32="","-",'ORDENES'!$AT32))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0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IF('ORDENES'!$A32="","",'ORDENES'!$AF32)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IF('ORDENES'!$A33="","",IF('ORDENES'!$AH33="","-",'ORDENES'!$AH33))</f>
        <v/>
      </c>
      <c r="D55" s="5">
        <f>IF('ORDENES'!$A33="","",IF('ORDENES'!$Z33="","-",'ORDENES'!$Z33))</f>
        <v/>
      </c>
      <c r="E55" s="5">
        <f>IF('ORDENES'!$A33="","",IF('ORDENES'!$X33="","-",'ORDENES'!$X33))</f>
        <v/>
      </c>
      <c r="F55" s="5">
        <f>IF('ORDENES'!$A33="","",IF('ORDENES'!$AA33="","-",'ORDENES'!$AA33))</f>
        <v/>
      </c>
      <c r="G55" s="5">
        <f>IF('ORDENES'!$A33="","",IF('ORDENES'!$Y33="","-",'ORDENES'!$Y33))</f>
        <v/>
      </c>
      <c r="H55" s="5">
        <f>IF('ORDENES'!$A33="","",IF('ORDENES'!$AG33="","-",'ORDENES'!$AG33))</f>
        <v/>
      </c>
      <c r="I55" s="5">
        <f>IF('ORDENES'!$A33="","",IF('ORDENES'!$AT33="","-",'ORDENES'!$AT33))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0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IF('ORDENES'!$A33="","",'ORDENES'!$AF33)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IF('ORDENES'!$A34="","",IF('ORDENES'!$AH34="","-",'ORDENES'!$AH34))</f>
        <v/>
      </c>
      <c r="D56" s="5">
        <f>IF('ORDENES'!$A34="","",IF('ORDENES'!$Z34="","-",'ORDENES'!$Z34))</f>
        <v/>
      </c>
      <c r="E56" s="5">
        <f>IF('ORDENES'!$A34="","",IF('ORDENES'!$X34="","-",'ORDENES'!$X34))</f>
        <v/>
      </c>
      <c r="F56" s="5">
        <f>IF('ORDENES'!$A34="","",IF('ORDENES'!$AA34="","-",'ORDENES'!$AA34))</f>
        <v/>
      </c>
      <c r="G56" s="5">
        <f>IF('ORDENES'!$A34="","",IF('ORDENES'!$Y34="","-",'ORDENES'!$Y34))</f>
        <v/>
      </c>
      <c r="H56" s="5">
        <f>IF('ORDENES'!$A34="","",IF('ORDENES'!$AG34="","-",'ORDENES'!$AG34))</f>
        <v/>
      </c>
      <c r="I56" s="5">
        <f>IF('ORDENES'!$A34="","",IF('ORDENES'!$AT34="","-",'ORDENES'!$AT34))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0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IF('ORDENES'!$A34="","",'ORDENES'!$AF34)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IF('ORDENES'!$A35="","",IF('ORDENES'!$AH35="","-",'ORDENES'!$AH35))</f>
        <v/>
      </c>
      <c r="D57" s="5">
        <f>IF('ORDENES'!$A35="","",IF('ORDENES'!$Z35="","-",'ORDENES'!$Z35))</f>
        <v/>
      </c>
      <c r="E57" s="5">
        <f>IF('ORDENES'!$A35="","",IF('ORDENES'!$X35="","-",'ORDENES'!$X35))</f>
        <v/>
      </c>
      <c r="F57" s="5">
        <f>IF('ORDENES'!$A35="","",IF('ORDENES'!$AA35="","-",'ORDENES'!$AA35))</f>
        <v/>
      </c>
      <c r="G57" s="5">
        <f>IF('ORDENES'!$A35="","",IF('ORDENES'!$Y35="","-",'ORDENES'!$Y35))</f>
        <v/>
      </c>
      <c r="H57" s="5">
        <f>IF('ORDENES'!$A35="","",IF('ORDENES'!$AG35="","-",'ORDENES'!$AG35))</f>
        <v/>
      </c>
      <c r="I57" s="5">
        <f>IF('ORDENES'!$A35="","",IF('ORDENES'!$AT35="","-",'ORDENES'!$AT35))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0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IF('ORDENES'!$A35="","",'ORDENES'!$AF35)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IF('ORDENES'!$A36="","",IF('ORDENES'!$AH36="","-",'ORDENES'!$AH36))</f>
        <v/>
      </c>
      <c r="D58" s="5">
        <f>IF('ORDENES'!$A36="","",IF('ORDENES'!$Z36="","-",'ORDENES'!$Z36))</f>
        <v/>
      </c>
      <c r="E58" s="5">
        <f>IF('ORDENES'!$A36="","",IF('ORDENES'!$X36="","-",'ORDENES'!$X36))</f>
        <v/>
      </c>
      <c r="F58" s="5">
        <f>IF('ORDENES'!$A36="","",IF('ORDENES'!$AA36="","-",'ORDENES'!$AA36))</f>
        <v/>
      </c>
      <c r="G58" s="5">
        <f>IF('ORDENES'!$A36="","",IF('ORDENES'!$Y36="","-",'ORDENES'!$Y36))</f>
        <v/>
      </c>
      <c r="H58" s="5">
        <f>IF('ORDENES'!$A36="","",IF('ORDENES'!$AG36="","-",'ORDENES'!$AG36))</f>
        <v/>
      </c>
      <c r="I58" s="5">
        <f>IF('ORDENES'!$A36="","",IF('ORDENES'!$AT36="","-",'ORDENES'!$AT36))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0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IF('ORDENES'!$A36="","",'ORDENES'!$AF36)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IF('ORDENES'!$A37="","",IF('ORDENES'!$AH37="","-",'ORDENES'!$AH37))</f>
        <v/>
      </c>
      <c r="D59" s="5">
        <f>IF('ORDENES'!$A37="","",IF('ORDENES'!$Z37="","-",'ORDENES'!$Z37))</f>
        <v/>
      </c>
      <c r="E59" s="5">
        <f>IF('ORDENES'!$A37="","",IF('ORDENES'!$X37="","-",'ORDENES'!$X37))</f>
        <v/>
      </c>
      <c r="F59" s="5">
        <f>IF('ORDENES'!$A37="","",IF('ORDENES'!$AA37="","-",'ORDENES'!$AA37))</f>
        <v/>
      </c>
      <c r="G59" s="5">
        <f>IF('ORDENES'!$A37="","",IF('ORDENES'!$Y37="","-",'ORDENES'!$Y37))</f>
        <v/>
      </c>
      <c r="H59" s="5">
        <f>IF('ORDENES'!$A37="","",IF('ORDENES'!$AG37="","-",'ORDENES'!$AG37))</f>
        <v/>
      </c>
      <c r="I59" s="5">
        <f>IF('ORDENES'!$A37="","",IF('ORDENES'!$AT37="","-",'ORDENES'!$AT37))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0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IF('ORDENES'!$A37="","",'ORDENES'!$AF37)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IF('ORDENES'!$A38="","",IF('ORDENES'!$AH38="","-",'ORDENES'!$AH38))</f>
        <v/>
      </c>
      <c r="D60" s="5">
        <f>IF('ORDENES'!$A38="","",IF('ORDENES'!$Z38="","-",'ORDENES'!$Z38))</f>
        <v/>
      </c>
      <c r="E60" s="5">
        <f>IF('ORDENES'!$A38="","",IF('ORDENES'!$X38="","-",'ORDENES'!$X38))</f>
        <v/>
      </c>
      <c r="F60" s="5">
        <f>IF('ORDENES'!$A38="","",IF('ORDENES'!$AA38="","-",'ORDENES'!$AA38))</f>
        <v/>
      </c>
      <c r="G60" s="5">
        <f>IF('ORDENES'!$A38="","",IF('ORDENES'!$Y38="","-",'ORDENES'!$Y38))</f>
        <v/>
      </c>
      <c r="H60" s="5">
        <f>IF('ORDENES'!$A38="","",IF('ORDENES'!$AG38="","-",'ORDENES'!$AG38))</f>
        <v/>
      </c>
      <c r="I60" s="5">
        <f>IF('ORDENES'!$A38="","",IF('ORDENES'!$AT38="","-",'ORDENES'!$AT38))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0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IF('ORDENES'!$A38="","",'ORDENES'!$AF38)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IF('ORDENES'!$A39="","",IF('ORDENES'!$AH39="","-",'ORDENES'!$AH39))</f>
        <v/>
      </c>
      <c r="D61" s="5">
        <f>IF('ORDENES'!$A39="","",IF('ORDENES'!$Z39="","-",'ORDENES'!$Z39))</f>
        <v/>
      </c>
      <c r="E61" s="5">
        <f>IF('ORDENES'!$A39="","",IF('ORDENES'!$X39="","-",'ORDENES'!$X39))</f>
        <v/>
      </c>
      <c r="F61" s="5">
        <f>IF('ORDENES'!$A39="","",IF('ORDENES'!$AA39="","-",'ORDENES'!$AA39))</f>
        <v/>
      </c>
      <c r="G61" s="5">
        <f>IF('ORDENES'!$A39="","",IF('ORDENES'!$Y39="","-",'ORDENES'!$Y39))</f>
        <v/>
      </c>
      <c r="H61" s="5">
        <f>IF('ORDENES'!$A39="","",IF('ORDENES'!$AG39="","-",'ORDENES'!$AG39))</f>
        <v/>
      </c>
      <c r="I61" s="5">
        <f>IF('ORDENES'!$A39="","",IF('ORDENES'!$AT39="","-",'ORDENES'!$AT39))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0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IF('ORDENES'!$A39="","",'ORDENES'!$AF39)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IF('ORDENES'!$A40="","",IF('ORDENES'!$AH40="","-",'ORDENES'!$AH40))</f>
        <v/>
      </c>
      <c r="D62" s="5">
        <f>IF('ORDENES'!$A40="","",IF('ORDENES'!$Z40="","-",'ORDENES'!$Z40))</f>
        <v/>
      </c>
      <c r="E62" s="5">
        <f>IF('ORDENES'!$A40="","",IF('ORDENES'!$X40="","-",'ORDENES'!$X40))</f>
        <v/>
      </c>
      <c r="F62" s="5">
        <f>IF('ORDENES'!$A40="","",IF('ORDENES'!$AA40="","-",'ORDENES'!$AA40))</f>
        <v/>
      </c>
      <c r="G62" s="5">
        <f>IF('ORDENES'!$A40="","",IF('ORDENES'!$Y40="","-",'ORDENES'!$Y40))</f>
        <v/>
      </c>
      <c r="H62" s="5">
        <f>IF('ORDENES'!$A40="","",IF('ORDENES'!$AG40="","-",'ORDENES'!$AG40))</f>
        <v/>
      </c>
      <c r="I62" s="5">
        <f>IF('ORDENES'!$A40="","",IF('ORDENES'!$AT40="","-",'ORDENES'!$AT40))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0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IF('ORDENES'!$A40="","",'ORDENES'!$AF40)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IF('ORDENES'!$A41="","",IF('ORDENES'!$AH41="","-",'ORDENES'!$AH41))</f>
        <v/>
      </c>
      <c r="D63" s="5">
        <f>IF('ORDENES'!$A41="","",IF('ORDENES'!$Z41="","-",'ORDENES'!$Z41))</f>
        <v/>
      </c>
      <c r="E63" s="5">
        <f>IF('ORDENES'!$A41="","",IF('ORDENES'!$X41="","-",'ORDENES'!$X41))</f>
        <v/>
      </c>
      <c r="F63" s="5">
        <f>IF('ORDENES'!$A41="","",IF('ORDENES'!$AA41="","-",'ORDENES'!$AA41))</f>
        <v/>
      </c>
      <c r="G63" s="5">
        <f>IF('ORDENES'!$A41="","",IF('ORDENES'!$Y41="","-",'ORDENES'!$Y41))</f>
        <v/>
      </c>
      <c r="H63" s="5">
        <f>IF('ORDENES'!$A41="","",IF('ORDENES'!$AG41="","-",'ORDENES'!$AG41))</f>
        <v/>
      </c>
      <c r="I63" s="5">
        <f>IF('ORDENES'!$A41="","",IF('ORDENES'!$AT41="","-",'ORDENES'!$AT41))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0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IF('ORDENES'!$A41="","",'ORDENES'!$AF41)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IF('ORDENES'!$A42="","",IF('ORDENES'!$AH42="","-",'ORDENES'!$AH42))</f>
        <v/>
      </c>
      <c r="D64" s="5">
        <f>IF('ORDENES'!$A42="","",IF('ORDENES'!$Z42="","-",'ORDENES'!$Z42))</f>
        <v/>
      </c>
      <c r="E64" s="5">
        <f>IF('ORDENES'!$A42="","",IF('ORDENES'!$X42="","-",'ORDENES'!$X42))</f>
        <v/>
      </c>
      <c r="F64" s="5">
        <f>IF('ORDENES'!$A42="","",IF('ORDENES'!$AA42="","-",'ORDENES'!$AA42))</f>
        <v/>
      </c>
      <c r="G64" s="5">
        <f>IF('ORDENES'!$A42="","",IF('ORDENES'!$Y42="","-",'ORDENES'!$Y42))</f>
        <v/>
      </c>
      <c r="H64" s="5">
        <f>IF('ORDENES'!$A42="","",IF('ORDENES'!$AG42="","-",'ORDENES'!$AG42))</f>
        <v/>
      </c>
      <c r="I64" s="5">
        <f>IF('ORDENES'!$A42="","",IF('ORDENES'!$AT42="","-",'ORDENES'!$AT42))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0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IF('ORDENES'!$A42="","",'ORDENES'!$AF42)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IF('ORDENES'!$A43="","",IF('ORDENES'!$AH43="","-",'ORDENES'!$AH43))</f>
        <v/>
      </c>
      <c r="D65" s="5">
        <f>IF('ORDENES'!$A43="","",IF('ORDENES'!$Z43="","-",'ORDENES'!$Z43))</f>
        <v/>
      </c>
      <c r="E65" s="5">
        <f>IF('ORDENES'!$A43="","",IF('ORDENES'!$X43="","-",'ORDENES'!$X43))</f>
        <v/>
      </c>
      <c r="F65" s="5">
        <f>IF('ORDENES'!$A43="","",IF('ORDENES'!$AA43="","-",'ORDENES'!$AA43))</f>
        <v/>
      </c>
      <c r="G65" s="5">
        <f>IF('ORDENES'!$A43="","",IF('ORDENES'!$Y43="","-",'ORDENES'!$Y43))</f>
        <v/>
      </c>
      <c r="H65" s="5">
        <f>IF('ORDENES'!$A43="","",IF('ORDENES'!$AG43="","-",'ORDENES'!$AG43))</f>
        <v/>
      </c>
      <c r="I65" s="5">
        <f>IF('ORDENES'!$A43="","",IF('ORDENES'!$AT43="","-",'ORDENES'!$AT43))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0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IF('ORDENES'!$A43="","",'ORDENES'!$AF43)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IF('ORDENES'!$A44="","",IF('ORDENES'!$AH44="","-",'ORDENES'!$AH44))</f>
        <v/>
      </c>
      <c r="D66" s="5">
        <f>IF('ORDENES'!$A44="","",IF('ORDENES'!$Z44="","-",'ORDENES'!$Z44))</f>
        <v/>
      </c>
      <c r="E66" s="5">
        <f>IF('ORDENES'!$A44="","",IF('ORDENES'!$X44="","-",'ORDENES'!$X44))</f>
        <v/>
      </c>
      <c r="F66" s="5">
        <f>IF('ORDENES'!$A44="","",IF('ORDENES'!$AA44="","-",'ORDENES'!$AA44))</f>
        <v/>
      </c>
      <c r="G66" s="5">
        <f>IF('ORDENES'!$A44="","",IF('ORDENES'!$Y44="","-",'ORDENES'!$Y44))</f>
        <v/>
      </c>
      <c r="H66" s="5">
        <f>IF('ORDENES'!$A44="","",IF('ORDENES'!$AG44="","-",'ORDENES'!$AG44))</f>
        <v/>
      </c>
      <c r="I66" s="5">
        <f>IF('ORDENES'!$A44="","",IF('ORDENES'!$AT44="","-",'ORDENES'!$AT44))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0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IF('ORDENES'!$A44="","",'ORDENES'!$AF44)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IF('ORDENES'!$A45="","",IF('ORDENES'!$AH45="","-",'ORDENES'!$AH45))</f>
        <v/>
      </c>
      <c r="D67" s="5">
        <f>IF('ORDENES'!$A45="","",IF('ORDENES'!$Z45="","-",'ORDENES'!$Z45))</f>
        <v/>
      </c>
      <c r="E67" s="5">
        <f>IF('ORDENES'!$A45="","",IF('ORDENES'!$X45="","-",'ORDENES'!$X45))</f>
        <v/>
      </c>
      <c r="F67" s="5">
        <f>IF('ORDENES'!$A45="","",IF('ORDENES'!$AA45="","-",'ORDENES'!$AA45))</f>
        <v/>
      </c>
      <c r="G67" s="5">
        <f>IF('ORDENES'!$A45="","",IF('ORDENES'!$Y45="","-",'ORDENES'!$Y45))</f>
        <v/>
      </c>
      <c r="H67" s="5">
        <f>IF('ORDENES'!$A45="","",IF('ORDENES'!$AG45="","-",'ORDENES'!$AG45))</f>
        <v/>
      </c>
      <c r="I67" s="5">
        <f>IF('ORDENES'!$A45="","",IF('ORDENES'!$AT45="","-",'ORDENES'!$AT45))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0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IF('ORDENES'!$A45="","",'ORDENES'!$AF45)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IF('ORDENES'!$A46="","",IF('ORDENES'!$AH46="","-",'ORDENES'!$AH46))</f>
        <v/>
      </c>
      <c r="D68" s="5">
        <f>IF('ORDENES'!$A46="","",IF('ORDENES'!$Z46="","-",'ORDENES'!$Z46))</f>
        <v/>
      </c>
      <c r="E68" s="5">
        <f>IF('ORDENES'!$A46="","",IF('ORDENES'!$X46="","-",'ORDENES'!$X46))</f>
        <v/>
      </c>
      <c r="F68" s="5">
        <f>IF('ORDENES'!$A46="","",IF('ORDENES'!$AA46="","-",'ORDENES'!$AA46))</f>
        <v/>
      </c>
      <c r="G68" s="5">
        <f>IF('ORDENES'!$A46="","",IF('ORDENES'!$Y46="","-",'ORDENES'!$Y46))</f>
        <v/>
      </c>
      <c r="H68" s="5">
        <f>IF('ORDENES'!$A46="","",IF('ORDENES'!$AG46="","-",'ORDENES'!$AG46))</f>
        <v/>
      </c>
      <c r="I68" s="5">
        <f>IF('ORDENES'!$A46="","",IF('ORDENES'!$AT46="","-",'ORDENES'!$AT46))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0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IF('ORDENES'!$A46="","",'ORDENES'!$AF46)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IF('ORDENES'!$A47="","",IF('ORDENES'!$AH47="","-",'ORDENES'!$AH47))</f>
        <v/>
      </c>
      <c r="D69" s="5">
        <f>IF('ORDENES'!$A47="","",IF('ORDENES'!$Z47="","-",'ORDENES'!$Z47))</f>
        <v/>
      </c>
      <c r="E69" s="5">
        <f>IF('ORDENES'!$A47="","",IF('ORDENES'!$X47="","-",'ORDENES'!$X47))</f>
        <v/>
      </c>
      <c r="F69" s="5">
        <f>IF('ORDENES'!$A47="","",IF('ORDENES'!$AA47="","-",'ORDENES'!$AA47))</f>
        <v/>
      </c>
      <c r="G69" s="5">
        <f>IF('ORDENES'!$A47="","",IF('ORDENES'!$Y47="","-",'ORDENES'!$Y47))</f>
        <v/>
      </c>
      <c r="H69" s="5">
        <f>IF('ORDENES'!$A47="","",IF('ORDENES'!$AG47="","-",'ORDENES'!$AG47))</f>
        <v/>
      </c>
      <c r="I69" s="5">
        <f>IF('ORDENES'!$A47="","",IF('ORDENES'!$AT47="","-",'ORDENES'!$AT47))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0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IF('ORDENES'!$A47="","",'ORDENES'!$AF47)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IF('ORDENES'!$A48="","",IF('ORDENES'!$AH48="","-",'ORDENES'!$AH48))</f>
        <v/>
      </c>
      <c r="D70" s="5">
        <f>IF('ORDENES'!$A48="","",IF('ORDENES'!$Z48="","-",'ORDENES'!$Z48))</f>
        <v/>
      </c>
      <c r="E70" s="5">
        <f>IF('ORDENES'!$A48="","",IF('ORDENES'!$X48="","-",'ORDENES'!$X48))</f>
        <v/>
      </c>
      <c r="F70" s="5">
        <f>IF('ORDENES'!$A48="","",IF('ORDENES'!$AA48="","-",'ORDENES'!$AA48))</f>
        <v/>
      </c>
      <c r="G70" s="5">
        <f>IF('ORDENES'!$A48="","",IF('ORDENES'!$Y48="","-",'ORDENES'!$Y48))</f>
        <v/>
      </c>
      <c r="H70" s="5">
        <f>IF('ORDENES'!$A48="","",IF('ORDENES'!$AG48="","-",'ORDENES'!$AG48))</f>
        <v/>
      </c>
      <c r="I70" s="5">
        <f>IF('ORDENES'!$A48="","",IF('ORDENES'!$AT48="","-",'ORDENES'!$AT48))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0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IF('ORDENES'!$A48="","",'ORDENES'!$AF48)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IF('ORDENES'!$A49="","",IF('ORDENES'!$AH49="","-",'ORDENES'!$AH49))</f>
        <v/>
      </c>
      <c r="D71" s="5">
        <f>IF('ORDENES'!$A49="","",IF('ORDENES'!$Z49="","-",'ORDENES'!$Z49))</f>
        <v/>
      </c>
      <c r="E71" s="5">
        <f>IF('ORDENES'!$A49="","",IF('ORDENES'!$X49="","-",'ORDENES'!$X49))</f>
        <v/>
      </c>
      <c r="F71" s="5">
        <f>IF('ORDENES'!$A49="","",IF('ORDENES'!$AA49="","-",'ORDENES'!$AA49))</f>
        <v/>
      </c>
      <c r="G71" s="5">
        <f>IF('ORDENES'!$A49="","",IF('ORDENES'!$Y49="","-",'ORDENES'!$Y49))</f>
        <v/>
      </c>
      <c r="H71" s="5">
        <f>IF('ORDENES'!$A49="","",IF('ORDENES'!$AG49="","-",'ORDENES'!$AG49))</f>
        <v/>
      </c>
      <c r="I71" s="5">
        <f>IF('ORDENES'!$A49="","",IF('ORDENES'!$AT49="","-",'ORDENES'!$AT49))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0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IF('ORDENES'!$A49="","",'ORDENES'!$AF49)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IF('ORDENES'!$A50="","",IF('ORDENES'!$AH50="","-",'ORDENES'!$AH50))</f>
        <v/>
      </c>
      <c r="D72" s="5">
        <f>IF('ORDENES'!$A50="","",IF('ORDENES'!$Z50="","-",'ORDENES'!$Z50))</f>
        <v/>
      </c>
      <c r="E72" s="5">
        <f>IF('ORDENES'!$A50="","",IF('ORDENES'!$X50="","-",'ORDENES'!$X50))</f>
        <v/>
      </c>
      <c r="F72" s="5">
        <f>IF('ORDENES'!$A50="","",IF('ORDENES'!$AA50="","-",'ORDENES'!$AA50))</f>
        <v/>
      </c>
      <c r="G72" s="5">
        <f>IF('ORDENES'!$A50="","",IF('ORDENES'!$Y50="","-",'ORDENES'!$Y50))</f>
        <v/>
      </c>
      <c r="H72" s="5">
        <f>IF('ORDENES'!$A50="","",IF('ORDENES'!$AG50="","-",'ORDENES'!$AG50))</f>
        <v/>
      </c>
      <c r="I72" s="5">
        <f>IF('ORDENES'!$A50="","",IF('ORDENES'!$AT50="","-",'ORDENES'!$AT50))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0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IF('ORDENES'!$A50="","",'ORDENES'!$AF50)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IF('ORDENES'!$A51="","",IF('ORDENES'!$AH51="","-",'ORDENES'!$AH51))</f>
        <v/>
      </c>
      <c r="D73" s="5">
        <f>IF('ORDENES'!$A51="","",IF('ORDENES'!$Z51="","-",'ORDENES'!$Z51))</f>
        <v/>
      </c>
      <c r="E73" s="5">
        <f>IF('ORDENES'!$A51="","",IF('ORDENES'!$X51="","-",'ORDENES'!$X51))</f>
        <v/>
      </c>
      <c r="F73" s="5">
        <f>IF('ORDENES'!$A51="","",IF('ORDENES'!$AA51="","-",'ORDENES'!$AA51))</f>
        <v/>
      </c>
      <c r="G73" s="5">
        <f>IF('ORDENES'!$A51="","",IF('ORDENES'!$Y51="","-",'ORDENES'!$Y51))</f>
        <v/>
      </c>
      <c r="H73" s="5">
        <f>IF('ORDENES'!$A51="","",IF('ORDENES'!$AG51="","-",'ORDENES'!$AG51))</f>
        <v/>
      </c>
      <c r="I73" s="5">
        <f>IF('ORDENES'!$A51="","",IF('ORDENES'!$AT51="","-",'ORDENES'!$AT51))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0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IF('ORDENES'!$A51="","",'ORDENES'!$AF51)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IF('ORDENES'!$A52="","",IF('ORDENES'!$AH52="","-",'ORDENES'!$AH52))</f>
        <v/>
      </c>
      <c r="D74" s="5">
        <f>IF('ORDENES'!$A52="","",IF('ORDENES'!$Z52="","-",'ORDENES'!$Z52))</f>
        <v/>
      </c>
      <c r="E74" s="5">
        <f>IF('ORDENES'!$A52="","",IF('ORDENES'!$X52="","-",'ORDENES'!$X52))</f>
        <v/>
      </c>
      <c r="F74" s="5">
        <f>IF('ORDENES'!$A52="","",IF('ORDENES'!$AA52="","-",'ORDENES'!$AA52))</f>
        <v/>
      </c>
      <c r="G74" s="5">
        <f>IF('ORDENES'!$A52="","",IF('ORDENES'!$Y52="","-",'ORDENES'!$Y52))</f>
        <v/>
      </c>
      <c r="H74" s="5">
        <f>IF('ORDENES'!$A52="","",IF('ORDENES'!$AG52="","-",'ORDENES'!$AG52))</f>
        <v/>
      </c>
      <c r="I74" s="5">
        <f>IF('ORDENES'!$A52="","",IF('ORDENES'!$AT52="","-",'ORDENES'!$AT52))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0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IF('ORDENES'!$A52="","",'ORDENES'!$AF52)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IF('ORDENES'!$A53="","",IF('ORDENES'!$AH53="","-",'ORDENES'!$AH53))</f>
        <v/>
      </c>
      <c r="D75" s="5">
        <f>IF('ORDENES'!$A53="","",IF('ORDENES'!$Z53="","-",'ORDENES'!$Z53))</f>
        <v/>
      </c>
      <c r="E75" s="5">
        <f>IF('ORDENES'!$A53="","",IF('ORDENES'!$X53="","-",'ORDENES'!$X53))</f>
        <v/>
      </c>
      <c r="F75" s="5">
        <f>IF('ORDENES'!$A53="","",IF('ORDENES'!$AA53="","-",'ORDENES'!$AA53))</f>
        <v/>
      </c>
      <c r="G75" s="5">
        <f>IF('ORDENES'!$A53="","",IF('ORDENES'!$Y53="","-",'ORDENES'!$Y53))</f>
        <v/>
      </c>
      <c r="H75" s="5">
        <f>IF('ORDENES'!$A53="","",IF('ORDENES'!$AG53="","-",'ORDENES'!$AG53))</f>
        <v/>
      </c>
      <c r="I75" s="5">
        <f>IF('ORDENES'!$A53="","",IF('ORDENES'!$AT53="","-",'ORDENES'!$AT53))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0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IF('ORDENES'!$A53="","",'ORDENES'!$AF53)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IF('ORDENES'!$A54="","",IF('ORDENES'!$AH54="","-",'ORDENES'!$AH54))</f>
        <v/>
      </c>
      <c r="D76" s="5">
        <f>IF('ORDENES'!$A54="","",IF('ORDENES'!$Z54="","-",'ORDENES'!$Z54))</f>
        <v/>
      </c>
      <c r="E76" s="5">
        <f>IF('ORDENES'!$A54="","",IF('ORDENES'!$X54="","-",'ORDENES'!$X54))</f>
        <v/>
      </c>
      <c r="F76" s="5">
        <f>IF('ORDENES'!$A54="","",IF('ORDENES'!$AA54="","-",'ORDENES'!$AA54))</f>
        <v/>
      </c>
      <c r="G76" s="5">
        <f>IF('ORDENES'!$A54="","",IF('ORDENES'!$Y54="","-",'ORDENES'!$Y54))</f>
        <v/>
      </c>
      <c r="H76" s="5">
        <f>IF('ORDENES'!$A54="","",IF('ORDENES'!$AG54="","-",'ORDENES'!$AG54))</f>
        <v/>
      </c>
      <c r="I76" s="5">
        <f>IF('ORDENES'!$A54="","",IF('ORDENES'!$AT54="","-",'ORDENES'!$AT54))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0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IF('ORDENES'!$A54="","",'ORDENES'!$AF54)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IF('ORDENES'!$A55="","",IF('ORDENES'!$AH55="","-",'ORDENES'!$AH55))</f>
        <v/>
      </c>
      <c r="D77" s="5">
        <f>IF('ORDENES'!$A55="","",IF('ORDENES'!$Z55="","-",'ORDENES'!$Z55))</f>
        <v/>
      </c>
      <c r="E77" s="5">
        <f>IF('ORDENES'!$A55="","",IF('ORDENES'!$X55="","-",'ORDENES'!$X55))</f>
        <v/>
      </c>
      <c r="F77" s="5">
        <f>IF('ORDENES'!$A55="","",IF('ORDENES'!$AA55="","-",'ORDENES'!$AA55))</f>
        <v/>
      </c>
      <c r="G77" s="5">
        <f>IF('ORDENES'!$A55="","",IF('ORDENES'!$Y55="","-",'ORDENES'!$Y55))</f>
        <v/>
      </c>
      <c r="H77" s="5">
        <f>IF('ORDENES'!$A55="","",IF('ORDENES'!$AG55="","-",'ORDENES'!$AG55))</f>
        <v/>
      </c>
      <c r="I77" s="5">
        <f>IF('ORDENES'!$A55="","",IF('ORDENES'!$AT55="","-",'ORDENES'!$AT55))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0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IF('ORDENES'!$A55="","",'ORDENES'!$AF55)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IF('ORDENES'!$A56="","",IF('ORDENES'!$AH56="","-",'ORDENES'!$AH56))</f>
        <v/>
      </c>
      <c r="D78" s="5">
        <f>IF('ORDENES'!$A56="","",IF('ORDENES'!$Z56="","-",'ORDENES'!$Z56))</f>
        <v/>
      </c>
      <c r="E78" s="5">
        <f>IF('ORDENES'!$A56="","",IF('ORDENES'!$X56="","-",'ORDENES'!$X56))</f>
        <v/>
      </c>
      <c r="F78" s="5">
        <f>IF('ORDENES'!$A56="","",IF('ORDENES'!$AA56="","-",'ORDENES'!$AA56))</f>
        <v/>
      </c>
      <c r="G78" s="5">
        <f>IF('ORDENES'!$A56="","",IF('ORDENES'!$Y56="","-",'ORDENES'!$Y56))</f>
        <v/>
      </c>
      <c r="H78" s="5">
        <f>IF('ORDENES'!$A56="","",IF('ORDENES'!$AG56="","-",'ORDENES'!$AG56))</f>
        <v/>
      </c>
      <c r="I78" s="5">
        <f>IF('ORDENES'!$A56="","",IF('ORDENES'!$AT56="","-",'ORDENES'!$AT56))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0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IF('ORDENES'!$A56="","",'ORDENES'!$AF56)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IF('ORDENES'!$A57="","",IF('ORDENES'!$AH57="","-",'ORDENES'!$AH57))</f>
        <v/>
      </c>
      <c r="D79" s="5">
        <f>IF('ORDENES'!$A57="","",IF('ORDENES'!$Z57="","-",'ORDENES'!$Z57))</f>
        <v/>
      </c>
      <c r="E79" s="5">
        <f>IF('ORDENES'!$A57="","",IF('ORDENES'!$X57="","-",'ORDENES'!$X57))</f>
        <v/>
      </c>
      <c r="F79" s="5">
        <f>IF('ORDENES'!$A57="","",IF('ORDENES'!$AA57="","-",'ORDENES'!$AA57))</f>
        <v/>
      </c>
      <c r="G79" s="5">
        <f>IF('ORDENES'!$A57="","",IF('ORDENES'!$Y57="","-",'ORDENES'!$Y57))</f>
        <v/>
      </c>
      <c r="H79" s="5">
        <f>IF('ORDENES'!$A57="","",IF('ORDENES'!$AG57="","-",'ORDENES'!$AG57))</f>
        <v/>
      </c>
      <c r="I79" s="5">
        <f>IF('ORDENES'!$A57="","",IF('ORDENES'!$AT57="","-",'ORDENES'!$AT57))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0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IF('ORDENES'!$A57="","",'ORDENES'!$AF57)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IF('ORDENES'!$A58="","",IF('ORDENES'!$AH58="","-",'ORDENES'!$AH58))</f>
        <v/>
      </c>
      <c r="D80" s="5">
        <f>IF('ORDENES'!$A58="","",IF('ORDENES'!$Z58="","-",'ORDENES'!$Z58))</f>
        <v/>
      </c>
      <c r="E80" s="5">
        <f>IF('ORDENES'!$A58="","",IF('ORDENES'!$X58="","-",'ORDENES'!$X58))</f>
        <v/>
      </c>
      <c r="F80" s="5">
        <f>IF('ORDENES'!$A58="","",IF('ORDENES'!$AA58="","-",'ORDENES'!$AA58))</f>
        <v/>
      </c>
      <c r="G80" s="5">
        <f>IF('ORDENES'!$A58="","",IF('ORDENES'!$Y58="","-",'ORDENES'!$Y58))</f>
        <v/>
      </c>
      <c r="H80" s="5">
        <f>IF('ORDENES'!$A58="","",IF('ORDENES'!$AG58="","-",'ORDENES'!$AG58))</f>
        <v/>
      </c>
      <c r="I80" s="5">
        <f>IF('ORDENES'!$A58="","",IF('ORDENES'!$AT58="","-",'ORDENES'!$AT58))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0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IF('ORDENES'!$A58="","",'ORDENES'!$AF58)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IF('ORDENES'!$A59="","",IF('ORDENES'!$AH59="","-",'ORDENES'!$AH59))</f>
        <v/>
      </c>
      <c r="D81" s="5">
        <f>IF('ORDENES'!$A59="","",IF('ORDENES'!$Z59="","-",'ORDENES'!$Z59))</f>
        <v/>
      </c>
      <c r="E81" s="5">
        <f>IF('ORDENES'!$A59="","",IF('ORDENES'!$X59="","-",'ORDENES'!$X59))</f>
        <v/>
      </c>
      <c r="F81" s="5">
        <f>IF('ORDENES'!$A59="","",IF('ORDENES'!$AA59="","-",'ORDENES'!$AA59))</f>
        <v/>
      </c>
      <c r="G81" s="5">
        <f>IF('ORDENES'!$A59="","",IF('ORDENES'!$Y59="","-",'ORDENES'!$Y59))</f>
        <v/>
      </c>
      <c r="H81" s="5">
        <f>IF('ORDENES'!$A59="","",IF('ORDENES'!$AG59="","-",'ORDENES'!$AG59))</f>
        <v/>
      </c>
      <c r="I81" s="5">
        <f>IF('ORDENES'!$A59="","",IF('ORDENES'!$AT59="","-",'ORDENES'!$AT59))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0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IF('ORDENES'!$A59="","",'ORDENES'!$AF59)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IF('ORDENES'!$A60="","",IF('ORDENES'!$AH60="","-",'ORDENES'!$AH60))</f>
        <v/>
      </c>
      <c r="D82" s="5">
        <f>IF('ORDENES'!$A60="","",IF('ORDENES'!$Z60="","-",'ORDENES'!$Z60))</f>
        <v/>
      </c>
      <c r="E82" s="5">
        <f>IF('ORDENES'!$A60="","",IF('ORDENES'!$X60="","-",'ORDENES'!$X60))</f>
        <v/>
      </c>
      <c r="F82" s="5">
        <f>IF('ORDENES'!$A60="","",IF('ORDENES'!$AA60="","-",'ORDENES'!$AA60))</f>
        <v/>
      </c>
      <c r="G82" s="5">
        <f>IF('ORDENES'!$A60="","",IF('ORDENES'!$Y60="","-",'ORDENES'!$Y60))</f>
        <v/>
      </c>
      <c r="H82" s="5">
        <f>IF('ORDENES'!$A60="","",IF('ORDENES'!$AG60="","-",'ORDENES'!$AG60))</f>
        <v/>
      </c>
      <c r="I82" s="5">
        <f>IF('ORDENES'!$A60="","",IF('ORDENES'!$AT60="","-",'ORDENES'!$AT60))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0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IF('ORDENES'!$A60="","",'ORDENES'!$AF60)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IF('ORDENES'!$A61="","",IF('ORDENES'!$AH61="","-",'ORDENES'!$AH61))</f>
        <v/>
      </c>
      <c r="D83" s="5">
        <f>IF('ORDENES'!$A61="","",IF('ORDENES'!$Z61="","-",'ORDENES'!$Z61))</f>
        <v/>
      </c>
      <c r="E83" s="5">
        <f>IF('ORDENES'!$A61="","",IF('ORDENES'!$X61="","-",'ORDENES'!$X61))</f>
        <v/>
      </c>
      <c r="F83" s="5">
        <f>IF('ORDENES'!$A61="","",IF('ORDENES'!$AA61="","-",'ORDENES'!$AA61))</f>
        <v/>
      </c>
      <c r="G83" s="5">
        <f>IF('ORDENES'!$A61="","",IF('ORDENES'!$Y61="","-",'ORDENES'!$Y61))</f>
        <v/>
      </c>
      <c r="H83" s="5">
        <f>IF('ORDENES'!$A61="","",IF('ORDENES'!$AG61="","-",'ORDENES'!$AG61))</f>
        <v/>
      </c>
      <c r="I83" s="5">
        <f>IF('ORDENES'!$A61="","",IF('ORDENES'!$AT61="","-",'ORDENES'!$AT61))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0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IF('ORDENES'!$A61="","",'ORDENES'!$AF61)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IF('ORDENES'!$A62="","",IF('ORDENES'!$AH62="","-",'ORDENES'!$AH62))</f>
        <v/>
      </c>
      <c r="D84" s="5">
        <f>IF('ORDENES'!$A62="","",IF('ORDENES'!$Z62="","-",'ORDENES'!$Z62))</f>
        <v/>
      </c>
      <c r="E84" s="5">
        <f>IF('ORDENES'!$A62="","",IF('ORDENES'!$X62="","-",'ORDENES'!$X62))</f>
        <v/>
      </c>
      <c r="F84" s="5">
        <f>IF('ORDENES'!$A62="","",IF('ORDENES'!$AA62="","-",'ORDENES'!$AA62))</f>
        <v/>
      </c>
      <c r="G84" s="5">
        <f>IF('ORDENES'!$A62="","",IF('ORDENES'!$Y62="","-",'ORDENES'!$Y62))</f>
        <v/>
      </c>
      <c r="H84" s="5">
        <f>IF('ORDENES'!$A62="","",IF('ORDENES'!$AG62="","-",'ORDENES'!$AG62))</f>
        <v/>
      </c>
      <c r="I84" s="5">
        <f>IF('ORDENES'!$A62="","",IF('ORDENES'!$AT62="","-",'ORDENES'!$AT62))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0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IF('ORDENES'!$A62="","",'ORDENES'!$AF62)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IF('ORDENES'!$A63="","",IF('ORDENES'!$AH63="","-",'ORDENES'!$AH63))</f>
        <v/>
      </c>
      <c r="D85" s="5">
        <f>IF('ORDENES'!$A63="","",IF('ORDENES'!$Z63="","-",'ORDENES'!$Z63))</f>
        <v/>
      </c>
      <c r="E85" s="5">
        <f>IF('ORDENES'!$A63="","",IF('ORDENES'!$X63="","-",'ORDENES'!$X63))</f>
        <v/>
      </c>
      <c r="F85" s="5">
        <f>IF('ORDENES'!$A63="","",IF('ORDENES'!$AA63="","-",'ORDENES'!$AA63))</f>
        <v/>
      </c>
      <c r="G85" s="5">
        <f>IF('ORDENES'!$A63="","",IF('ORDENES'!$Y63="","-",'ORDENES'!$Y63))</f>
        <v/>
      </c>
      <c r="H85" s="5">
        <f>IF('ORDENES'!$A63="","",IF('ORDENES'!$AG63="","-",'ORDENES'!$AG63))</f>
        <v/>
      </c>
      <c r="I85" s="5">
        <f>IF('ORDENES'!$A63="","",IF('ORDENES'!$AT63="","-",'ORDENES'!$AT63))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0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IF('ORDENES'!$A63="","",'ORDENES'!$AF63)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IF('ORDENES'!$A64="","",IF('ORDENES'!$AH64="","-",'ORDENES'!$AH64))</f>
        <v/>
      </c>
      <c r="D86" s="5">
        <f>IF('ORDENES'!$A64="","",IF('ORDENES'!$Z64="","-",'ORDENES'!$Z64))</f>
        <v/>
      </c>
      <c r="E86" s="5">
        <f>IF('ORDENES'!$A64="","",IF('ORDENES'!$X64="","-",'ORDENES'!$X64))</f>
        <v/>
      </c>
      <c r="F86" s="5">
        <f>IF('ORDENES'!$A64="","",IF('ORDENES'!$AA64="","-",'ORDENES'!$AA64))</f>
        <v/>
      </c>
      <c r="G86" s="5">
        <f>IF('ORDENES'!$A64="","",IF('ORDENES'!$Y64="","-",'ORDENES'!$Y64))</f>
        <v/>
      </c>
      <c r="H86" s="5">
        <f>IF('ORDENES'!$A64="","",IF('ORDENES'!$AG64="","-",'ORDENES'!$AG64))</f>
        <v/>
      </c>
      <c r="I86" s="5">
        <f>IF('ORDENES'!$A64="","",IF('ORDENES'!$AT64="","-",'ORDENES'!$AT64))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0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IF('ORDENES'!$A64="","",'ORDENES'!$AF64)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IF('ORDENES'!$A65="","",IF('ORDENES'!$AH65="","-",'ORDENES'!$AH65))</f>
        <v/>
      </c>
      <c r="D87" s="5">
        <f>IF('ORDENES'!$A65="","",IF('ORDENES'!$Z65="","-",'ORDENES'!$Z65))</f>
        <v/>
      </c>
      <c r="E87" s="5">
        <f>IF('ORDENES'!$A65="","",IF('ORDENES'!$X65="","-",'ORDENES'!$X65))</f>
        <v/>
      </c>
      <c r="F87" s="5">
        <f>IF('ORDENES'!$A65="","",IF('ORDENES'!$AA65="","-",'ORDENES'!$AA65))</f>
        <v/>
      </c>
      <c r="G87" s="5">
        <f>IF('ORDENES'!$A65="","",IF('ORDENES'!$Y65="","-",'ORDENES'!$Y65))</f>
        <v/>
      </c>
      <c r="H87" s="5">
        <f>IF('ORDENES'!$A65="","",IF('ORDENES'!$AG65="","-",'ORDENES'!$AG65))</f>
        <v/>
      </c>
      <c r="I87" s="5">
        <f>IF('ORDENES'!$A65="","",IF('ORDENES'!$AT65="","-",'ORDENES'!$AT65))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0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IF('ORDENES'!$A65="","",'ORDENES'!$AF65)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IF('ORDENES'!$A66="","",IF('ORDENES'!$AH66="","-",'ORDENES'!$AH66))</f>
        <v/>
      </c>
      <c r="D88" s="5">
        <f>IF('ORDENES'!$A66="","",IF('ORDENES'!$Z66="","-",'ORDENES'!$Z66))</f>
        <v/>
      </c>
      <c r="E88" s="5">
        <f>IF('ORDENES'!$A66="","",IF('ORDENES'!$X66="","-",'ORDENES'!$X66))</f>
        <v/>
      </c>
      <c r="F88" s="5">
        <f>IF('ORDENES'!$A66="","",IF('ORDENES'!$AA66="","-",'ORDENES'!$AA66))</f>
        <v/>
      </c>
      <c r="G88" s="5">
        <f>IF('ORDENES'!$A66="","",IF('ORDENES'!$Y66="","-",'ORDENES'!$Y66))</f>
        <v/>
      </c>
      <c r="H88" s="5">
        <f>IF('ORDENES'!$A66="","",IF('ORDENES'!$AG66="","-",'ORDENES'!$AG66))</f>
        <v/>
      </c>
      <c r="I88" s="5">
        <f>IF('ORDENES'!$A66="","",IF('ORDENES'!$AT66="","-",'ORDENES'!$AT66))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0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IF('ORDENES'!$A66="","",'ORDENES'!$AF66)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IF('ORDENES'!$A67="","",IF('ORDENES'!$AH67="","-",'ORDENES'!$AH67))</f>
        <v/>
      </c>
      <c r="D89" s="5">
        <f>IF('ORDENES'!$A67="","",IF('ORDENES'!$Z67="","-",'ORDENES'!$Z67))</f>
        <v/>
      </c>
      <c r="E89" s="5">
        <f>IF('ORDENES'!$A67="","",IF('ORDENES'!$X67="","-",'ORDENES'!$X67))</f>
        <v/>
      </c>
      <c r="F89" s="5">
        <f>IF('ORDENES'!$A67="","",IF('ORDENES'!$AA67="","-",'ORDENES'!$AA67))</f>
        <v/>
      </c>
      <c r="G89" s="5">
        <f>IF('ORDENES'!$A67="","",IF('ORDENES'!$Y67="","-",'ORDENES'!$Y67))</f>
        <v/>
      </c>
      <c r="H89" s="5">
        <f>IF('ORDENES'!$A67="","",IF('ORDENES'!$AG67="","-",'ORDENES'!$AG67))</f>
        <v/>
      </c>
      <c r="I89" s="5">
        <f>IF('ORDENES'!$A67="","",IF('ORDENES'!$AT67="","-",'ORDENES'!$AT67))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0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IF('ORDENES'!$A67="","",'ORDENES'!$AF67)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IF('ORDENES'!$A68="","",IF('ORDENES'!$AH68="","-",'ORDENES'!$AH68))</f>
        <v/>
      </c>
      <c r="D90" s="5">
        <f>IF('ORDENES'!$A68="","",IF('ORDENES'!$Z68="","-",'ORDENES'!$Z68))</f>
        <v/>
      </c>
      <c r="E90" s="5">
        <f>IF('ORDENES'!$A68="","",IF('ORDENES'!$X68="","-",'ORDENES'!$X68))</f>
        <v/>
      </c>
      <c r="F90" s="5">
        <f>IF('ORDENES'!$A68="","",IF('ORDENES'!$AA68="","-",'ORDENES'!$AA68))</f>
        <v/>
      </c>
      <c r="G90" s="5">
        <f>IF('ORDENES'!$A68="","",IF('ORDENES'!$Y68="","-",'ORDENES'!$Y68))</f>
        <v/>
      </c>
      <c r="H90" s="5">
        <f>IF('ORDENES'!$A68="","",IF('ORDENES'!$AG68="","-",'ORDENES'!$AG68))</f>
        <v/>
      </c>
      <c r="I90" s="5">
        <f>IF('ORDENES'!$A68="","",IF('ORDENES'!$AT68="","-",'ORDENES'!$AT68))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0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IF('ORDENES'!$A68="","",'ORDENES'!$AF68)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IF('ORDENES'!$A69="","",IF('ORDENES'!$AH69="","-",'ORDENES'!$AH69))</f>
        <v/>
      </c>
      <c r="D91" s="5">
        <f>IF('ORDENES'!$A69="","",IF('ORDENES'!$Z69="","-",'ORDENES'!$Z69))</f>
        <v/>
      </c>
      <c r="E91" s="5">
        <f>IF('ORDENES'!$A69="","",IF('ORDENES'!$X69="","-",'ORDENES'!$X69))</f>
        <v/>
      </c>
      <c r="F91" s="5">
        <f>IF('ORDENES'!$A69="","",IF('ORDENES'!$AA69="","-",'ORDENES'!$AA69))</f>
        <v/>
      </c>
      <c r="G91" s="5">
        <f>IF('ORDENES'!$A69="","",IF('ORDENES'!$Y69="","-",'ORDENES'!$Y69))</f>
        <v/>
      </c>
      <c r="H91" s="5">
        <f>IF('ORDENES'!$A69="","",IF('ORDENES'!$AG69="","-",'ORDENES'!$AG69))</f>
        <v/>
      </c>
      <c r="I91" s="5">
        <f>IF('ORDENES'!$A69="","",IF('ORDENES'!$AT69="","-",'ORDENES'!$AT69))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0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IF('ORDENES'!$A69="","",'ORDENES'!$AF69)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IF('ORDENES'!$A70="","",IF('ORDENES'!$AH70="","-",'ORDENES'!$AH70))</f>
        <v/>
      </c>
      <c r="D92" s="5">
        <f>IF('ORDENES'!$A70="","",IF('ORDENES'!$Z70="","-",'ORDENES'!$Z70))</f>
        <v/>
      </c>
      <c r="E92" s="5">
        <f>IF('ORDENES'!$A70="","",IF('ORDENES'!$X70="","-",'ORDENES'!$X70))</f>
        <v/>
      </c>
      <c r="F92" s="5">
        <f>IF('ORDENES'!$A70="","",IF('ORDENES'!$AA70="","-",'ORDENES'!$AA70))</f>
        <v/>
      </c>
      <c r="G92" s="5">
        <f>IF('ORDENES'!$A70="","",IF('ORDENES'!$Y70="","-",'ORDENES'!$Y70))</f>
        <v/>
      </c>
      <c r="H92" s="5">
        <f>IF('ORDENES'!$A70="","",IF('ORDENES'!$AG70="","-",'ORDENES'!$AG70))</f>
        <v/>
      </c>
      <c r="I92" s="5">
        <f>IF('ORDENES'!$A70="","",IF('ORDENES'!$AT70="","-",'ORDENES'!$AT70))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0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IF('ORDENES'!$A70="","",'ORDENES'!$AF70)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IF('ORDENES'!$A71="","",IF('ORDENES'!$AH71="","-",'ORDENES'!$AH71))</f>
        <v/>
      </c>
      <c r="D93" s="5">
        <f>IF('ORDENES'!$A71="","",IF('ORDENES'!$Z71="","-",'ORDENES'!$Z71))</f>
        <v/>
      </c>
      <c r="E93" s="5">
        <f>IF('ORDENES'!$A71="","",IF('ORDENES'!$X71="","-",'ORDENES'!$X71))</f>
        <v/>
      </c>
      <c r="F93" s="5">
        <f>IF('ORDENES'!$A71="","",IF('ORDENES'!$AA71="","-",'ORDENES'!$AA71))</f>
        <v/>
      </c>
      <c r="G93" s="5">
        <f>IF('ORDENES'!$A71="","",IF('ORDENES'!$Y71="","-",'ORDENES'!$Y71))</f>
        <v/>
      </c>
      <c r="H93" s="5">
        <f>IF('ORDENES'!$A71="","",IF('ORDENES'!$AG71="","-",'ORDENES'!$AG71))</f>
        <v/>
      </c>
      <c r="I93" s="5">
        <f>IF('ORDENES'!$A71="","",IF('ORDENES'!$AT71="","-",'ORDENES'!$AT71))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0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IF('ORDENES'!$A71="","",'ORDENES'!$AF71)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IF('ORDENES'!$A72="","",IF('ORDENES'!$AH72="","-",'ORDENES'!$AH72))</f>
        <v/>
      </c>
      <c r="D94" s="5">
        <f>IF('ORDENES'!$A72="","",IF('ORDENES'!$Z72="","-",'ORDENES'!$Z72))</f>
        <v/>
      </c>
      <c r="E94" s="5">
        <f>IF('ORDENES'!$A72="","",IF('ORDENES'!$X72="","-",'ORDENES'!$X72))</f>
        <v/>
      </c>
      <c r="F94" s="5">
        <f>IF('ORDENES'!$A72="","",IF('ORDENES'!$AA72="","-",'ORDENES'!$AA72))</f>
        <v/>
      </c>
      <c r="G94" s="5">
        <f>IF('ORDENES'!$A72="","",IF('ORDENES'!$Y72="","-",'ORDENES'!$Y72))</f>
        <v/>
      </c>
      <c r="H94" s="5">
        <f>IF('ORDENES'!$A72="","",IF('ORDENES'!$AG72="","-",'ORDENES'!$AG72))</f>
        <v/>
      </c>
      <c r="I94" s="5">
        <f>IF('ORDENES'!$A72="","",IF('ORDENES'!$AT72="","-",'ORDENES'!$AT72))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0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IF('ORDENES'!$A72="","",'ORDENES'!$AF72)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IF('ORDENES'!$A73="","",IF('ORDENES'!$AH73="","-",'ORDENES'!$AH73))</f>
        <v/>
      </c>
      <c r="D95" s="5">
        <f>IF('ORDENES'!$A73="","",IF('ORDENES'!$Z73="","-",'ORDENES'!$Z73))</f>
        <v/>
      </c>
      <c r="E95" s="5">
        <f>IF('ORDENES'!$A73="","",IF('ORDENES'!$X73="","-",'ORDENES'!$X73))</f>
        <v/>
      </c>
      <c r="F95" s="5">
        <f>IF('ORDENES'!$A73="","",IF('ORDENES'!$AA73="","-",'ORDENES'!$AA73))</f>
        <v/>
      </c>
      <c r="G95" s="5">
        <f>IF('ORDENES'!$A73="","",IF('ORDENES'!$Y73="","-",'ORDENES'!$Y73))</f>
        <v/>
      </c>
      <c r="H95" s="5">
        <f>IF('ORDENES'!$A73="","",IF('ORDENES'!$AG73="","-",'ORDENES'!$AG73))</f>
        <v/>
      </c>
      <c r="I95" s="5">
        <f>IF('ORDENES'!$A73="","",IF('ORDENES'!$AT73="","-",'ORDENES'!$AT73))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0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IF('ORDENES'!$A73="","",'ORDENES'!$AF73)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IF('ORDENES'!$A74="","",IF('ORDENES'!$AH74="","-",'ORDENES'!$AH74))</f>
        <v/>
      </c>
      <c r="D96" s="5">
        <f>IF('ORDENES'!$A74="","",IF('ORDENES'!$Z74="","-",'ORDENES'!$Z74))</f>
        <v/>
      </c>
      <c r="E96" s="5">
        <f>IF('ORDENES'!$A74="","",IF('ORDENES'!$X74="","-",'ORDENES'!$X74))</f>
        <v/>
      </c>
      <c r="F96" s="5">
        <f>IF('ORDENES'!$A74="","",IF('ORDENES'!$AA74="","-",'ORDENES'!$AA74))</f>
        <v/>
      </c>
      <c r="G96" s="5">
        <f>IF('ORDENES'!$A74="","",IF('ORDENES'!$Y74="","-",'ORDENES'!$Y74))</f>
        <v/>
      </c>
      <c r="H96" s="5">
        <f>IF('ORDENES'!$A74="","",IF('ORDENES'!$AG74="","-",'ORDENES'!$AG74))</f>
        <v/>
      </c>
      <c r="I96" s="5">
        <f>IF('ORDENES'!$A74="","",IF('ORDENES'!$AT74="","-",'ORDENES'!$AT74))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0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IF('ORDENES'!$A74="","",'ORDENES'!$AF74)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IF('ORDENES'!$A75="","",IF('ORDENES'!$AH75="","-",'ORDENES'!$AH75))</f>
        <v/>
      </c>
      <c r="D97" s="5">
        <f>IF('ORDENES'!$A75="","",IF('ORDENES'!$Z75="","-",'ORDENES'!$Z75))</f>
        <v/>
      </c>
      <c r="E97" s="5">
        <f>IF('ORDENES'!$A75="","",IF('ORDENES'!$X75="","-",'ORDENES'!$X75))</f>
        <v/>
      </c>
      <c r="F97" s="5">
        <f>IF('ORDENES'!$A75="","",IF('ORDENES'!$AA75="","-",'ORDENES'!$AA75))</f>
        <v/>
      </c>
      <c r="G97" s="5">
        <f>IF('ORDENES'!$A75="","",IF('ORDENES'!$Y75="","-",'ORDENES'!$Y75))</f>
        <v/>
      </c>
      <c r="H97" s="5">
        <f>IF('ORDENES'!$A75="","",IF('ORDENES'!$AG75="","-",'ORDENES'!$AG75))</f>
        <v/>
      </c>
      <c r="I97" s="5">
        <f>IF('ORDENES'!$A75="","",IF('ORDENES'!$AT75="","-",'ORDENES'!$AT75))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0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IF('ORDENES'!$A75="","",'ORDENES'!$AF75)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IF('ORDENES'!$A76="","",IF('ORDENES'!$AH76="","-",'ORDENES'!$AH76))</f>
        <v/>
      </c>
      <c r="D98" s="5">
        <f>IF('ORDENES'!$A76="","",IF('ORDENES'!$Z76="","-",'ORDENES'!$Z76))</f>
        <v/>
      </c>
      <c r="E98" s="5">
        <f>IF('ORDENES'!$A76="","",IF('ORDENES'!$X76="","-",'ORDENES'!$X76))</f>
        <v/>
      </c>
      <c r="F98" s="5">
        <f>IF('ORDENES'!$A76="","",IF('ORDENES'!$AA76="","-",'ORDENES'!$AA76))</f>
        <v/>
      </c>
      <c r="G98" s="5">
        <f>IF('ORDENES'!$A76="","",IF('ORDENES'!$Y76="","-",'ORDENES'!$Y76))</f>
        <v/>
      </c>
      <c r="H98" s="5">
        <f>IF('ORDENES'!$A76="","",IF('ORDENES'!$AG76="","-",'ORDENES'!$AG76))</f>
        <v/>
      </c>
      <c r="I98" s="5">
        <f>IF('ORDENES'!$A76="","",IF('ORDENES'!$AT76="","-",'ORDENES'!$AT76))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0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IF('ORDENES'!$A76="","",'ORDENES'!$AF76)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IF('ORDENES'!$A77="","",IF('ORDENES'!$AH77="","-",'ORDENES'!$AH77))</f>
        <v/>
      </c>
      <c r="D99" s="5">
        <f>IF('ORDENES'!$A77="","",IF('ORDENES'!$Z77="","-",'ORDENES'!$Z77))</f>
        <v/>
      </c>
      <c r="E99" s="5">
        <f>IF('ORDENES'!$A77="","",IF('ORDENES'!$X77="","-",'ORDENES'!$X77))</f>
        <v/>
      </c>
      <c r="F99" s="5">
        <f>IF('ORDENES'!$A77="","",IF('ORDENES'!$AA77="","-",'ORDENES'!$AA77))</f>
        <v/>
      </c>
      <c r="G99" s="5">
        <f>IF('ORDENES'!$A77="","",IF('ORDENES'!$Y77="","-",'ORDENES'!$Y77))</f>
        <v/>
      </c>
      <c r="H99" s="5">
        <f>IF('ORDENES'!$A77="","",IF('ORDENES'!$AG77="","-",'ORDENES'!$AG77))</f>
        <v/>
      </c>
      <c r="I99" s="5">
        <f>IF('ORDENES'!$A77="","",IF('ORDENES'!$AT77="","-",'ORDENES'!$AT77))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0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IF('ORDENES'!$A77="","",'ORDENES'!$AF77)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IF('ORDENES'!$A78="","",IF('ORDENES'!$AH78="","-",'ORDENES'!$AH78))</f>
        <v/>
      </c>
      <c r="D100" s="5">
        <f>IF('ORDENES'!$A78="","",IF('ORDENES'!$Z78="","-",'ORDENES'!$Z78))</f>
        <v/>
      </c>
      <c r="E100" s="5">
        <f>IF('ORDENES'!$A78="","",IF('ORDENES'!$X78="","-",'ORDENES'!$X78))</f>
        <v/>
      </c>
      <c r="F100" s="5">
        <f>IF('ORDENES'!$A78="","",IF('ORDENES'!$AA78="","-",'ORDENES'!$AA78))</f>
        <v/>
      </c>
      <c r="G100" s="5">
        <f>IF('ORDENES'!$A78="","",IF('ORDENES'!$Y78="","-",'ORDENES'!$Y78))</f>
        <v/>
      </c>
      <c r="H100" s="5">
        <f>IF('ORDENES'!$A78="","",IF('ORDENES'!$AG78="","-",'ORDENES'!$AG78))</f>
        <v/>
      </c>
      <c r="I100" s="5">
        <f>IF('ORDENES'!$A78="","",IF('ORDENES'!$AT78="","-",'ORDENES'!$AT78))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0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IF('ORDENES'!$A78="","",'ORDENES'!$AF78)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IF('ORDENES'!$A79="","",IF('ORDENES'!$AH79="","-",'ORDENES'!$AH79))</f>
        <v/>
      </c>
      <c r="D101" s="5">
        <f>IF('ORDENES'!$A79="","",IF('ORDENES'!$Z79="","-",'ORDENES'!$Z79))</f>
        <v/>
      </c>
      <c r="E101" s="5">
        <f>IF('ORDENES'!$A79="","",IF('ORDENES'!$X79="","-",'ORDENES'!$X79))</f>
        <v/>
      </c>
      <c r="F101" s="5">
        <f>IF('ORDENES'!$A79="","",IF('ORDENES'!$AA79="","-",'ORDENES'!$AA79))</f>
        <v/>
      </c>
      <c r="G101" s="5">
        <f>IF('ORDENES'!$A79="","",IF('ORDENES'!$Y79="","-",'ORDENES'!$Y79))</f>
        <v/>
      </c>
      <c r="H101" s="5">
        <f>IF('ORDENES'!$A79="","",IF('ORDENES'!$AG79="","-",'ORDENES'!$AG79))</f>
        <v/>
      </c>
      <c r="I101" s="5">
        <f>IF('ORDENES'!$A79="","",IF('ORDENES'!$AT79="","-",'ORDENES'!$AT79))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0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IF('ORDENES'!$A79="","",'ORDENES'!$AF79)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IF('ORDENES'!$A80="","",IF('ORDENES'!$AH80="","-",'ORDENES'!$AH80))</f>
        <v/>
      </c>
      <c r="D102" s="5">
        <f>IF('ORDENES'!$A80="","",IF('ORDENES'!$Z80="","-",'ORDENES'!$Z80))</f>
        <v/>
      </c>
      <c r="E102" s="5">
        <f>IF('ORDENES'!$A80="","",IF('ORDENES'!$X80="","-",'ORDENES'!$X80))</f>
        <v/>
      </c>
      <c r="F102" s="5">
        <f>IF('ORDENES'!$A80="","",IF('ORDENES'!$AA80="","-",'ORDENES'!$AA80))</f>
        <v/>
      </c>
      <c r="G102" s="5">
        <f>IF('ORDENES'!$A80="","",IF('ORDENES'!$Y80="","-",'ORDENES'!$Y80))</f>
        <v/>
      </c>
      <c r="H102" s="5">
        <f>IF('ORDENES'!$A80="","",IF('ORDENES'!$AG80="","-",'ORDENES'!$AG80))</f>
        <v/>
      </c>
      <c r="I102" s="5">
        <f>IF('ORDENES'!$A80="","",IF('ORDENES'!$AT80="","-",'ORDENES'!$AT80))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0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IF('ORDENES'!$A80="","",'ORDENES'!$AF80)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IF('ORDENES'!$A81="","",IF('ORDENES'!$AH81="","-",'ORDENES'!$AH81))</f>
        <v/>
      </c>
      <c r="D103" s="5">
        <f>IF('ORDENES'!$A81="","",IF('ORDENES'!$Z81="","-",'ORDENES'!$Z81))</f>
        <v/>
      </c>
      <c r="E103" s="5">
        <f>IF('ORDENES'!$A81="","",IF('ORDENES'!$X81="","-",'ORDENES'!$X81))</f>
        <v/>
      </c>
      <c r="F103" s="5">
        <f>IF('ORDENES'!$A81="","",IF('ORDENES'!$AA81="","-",'ORDENES'!$AA81))</f>
        <v/>
      </c>
      <c r="G103" s="5">
        <f>IF('ORDENES'!$A81="","",IF('ORDENES'!$Y81="","-",'ORDENES'!$Y81))</f>
        <v/>
      </c>
      <c r="H103" s="5">
        <f>IF('ORDENES'!$A81="","",IF('ORDENES'!$AG81="","-",'ORDENES'!$AG81))</f>
        <v/>
      </c>
      <c r="I103" s="5">
        <f>IF('ORDENES'!$A81="","",IF('ORDENES'!$AT81="","-",'ORDENES'!$AT81))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0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IF('ORDENES'!$A81="","",'ORDENES'!$AF81)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IF('ORDENES'!$A82="","",IF('ORDENES'!$AH82="","-",'ORDENES'!$AH82))</f>
        <v/>
      </c>
      <c r="D104" s="5">
        <f>IF('ORDENES'!$A82="","",IF('ORDENES'!$Z82="","-",'ORDENES'!$Z82))</f>
        <v/>
      </c>
      <c r="E104" s="5">
        <f>IF('ORDENES'!$A82="","",IF('ORDENES'!$X82="","-",'ORDENES'!$X82))</f>
        <v/>
      </c>
      <c r="F104" s="5">
        <f>IF('ORDENES'!$A82="","",IF('ORDENES'!$AA82="","-",'ORDENES'!$AA82))</f>
        <v/>
      </c>
      <c r="G104" s="5">
        <f>IF('ORDENES'!$A82="","",IF('ORDENES'!$Y82="","-",'ORDENES'!$Y82))</f>
        <v/>
      </c>
      <c r="H104" s="5">
        <f>IF('ORDENES'!$A82="","",IF('ORDENES'!$AG82="","-",'ORDENES'!$AG82))</f>
        <v/>
      </c>
      <c r="I104" s="5">
        <f>IF('ORDENES'!$A82="","",IF('ORDENES'!$AT82="","-",'ORDENES'!$AT82))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0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IF('ORDENES'!$A82="","",'ORDENES'!$AF82)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IF('ORDENES'!$A83="","",IF('ORDENES'!$AH83="","-",'ORDENES'!$AH83))</f>
        <v/>
      </c>
      <c r="D105" s="5">
        <f>IF('ORDENES'!$A83="","",IF('ORDENES'!$Z83="","-",'ORDENES'!$Z83))</f>
        <v/>
      </c>
      <c r="E105" s="5">
        <f>IF('ORDENES'!$A83="","",IF('ORDENES'!$X83="","-",'ORDENES'!$X83))</f>
        <v/>
      </c>
      <c r="F105" s="5">
        <f>IF('ORDENES'!$A83="","",IF('ORDENES'!$AA83="","-",'ORDENES'!$AA83))</f>
        <v/>
      </c>
      <c r="G105" s="5">
        <f>IF('ORDENES'!$A83="","",IF('ORDENES'!$Y83="","-",'ORDENES'!$Y83))</f>
        <v/>
      </c>
      <c r="H105" s="5">
        <f>IF('ORDENES'!$A83="","",IF('ORDENES'!$AG83="","-",'ORDENES'!$AG83))</f>
        <v/>
      </c>
      <c r="I105" s="5">
        <f>IF('ORDENES'!$A83="","",IF('ORDENES'!$AT83="","-",'ORDENES'!$AT83))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0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IF('ORDENES'!$A83="","",'ORDENES'!$AF83)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IF('ORDENES'!$A84="","",IF('ORDENES'!$AH84="","-",'ORDENES'!$AH84))</f>
        <v/>
      </c>
      <c r="D106" s="5">
        <f>IF('ORDENES'!$A84="","",IF('ORDENES'!$Z84="","-",'ORDENES'!$Z84))</f>
        <v/>
      </c>
      <c r="E106" s="5">
        <f>IF('ORDENES'!$A84="","",IF('ORDENES'!$X84="","-",'ORDENES'!$X84))</f>
        <v/>
      </c>
      <c r="F106" s="5">
        <f>IF('ORDENES'!$A84="","",IF('ORDENES'!$AA84="","-",'ORDENES'!$AA84))</f>
        <v/>
      </c>
      <c r="G106" s="5">
        <f>IF('ORDENES'!$A84="","",IF('ORDENES'!$Y84="","-",'ORDENES'!$Y84))</f>
        <v/>
      </c>
      <c r="H106" s="5">
        <f>IF('ORDENES'!$A84="","",IF('ORDENES'!$AG84="","-",'ORDENES'!$AG84))</f>
        <v/>
      </c>
      <c r="I106" s="5">
        <f>IF('ORDENES'!$A84="","",IF('ORDENES'!$AT84="","-",'ORDENES'!$AT84))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0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IF('ORDENES'!$A84="","",'ORDENES'!$AF84)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IF('ORDENES'!$A85="","",IF('ORDENES'!$AH85="","-",'ORDENES'!$AH85))</f>
        <v/>
      </c>
      <c r="D107" s="5">
        <f>IF('ORDENES'!$A85="","",IF('ORDENES'!$Z85="","-",'ORDENES'!$Z85))</f>
        <v/>
      </c>
      <c r="E107" s="5">
        <f>IF('ORDENES'!$A85="","",IF('ORDENES'!$X85="","-",'ORDENES'!$X85))</f>
        <v/>
      </c>
      <c r="F107" s="5">
        <f>IF('ORDENES'!$A85="","",IF('ORDENES'!$AA85="","-",'ORDENES'!$AA85))</f>
        <v/>
      </c>
      <c r="G107" s="5">
        <f>IF('ORDENES'!$A85="","",IF('ORDENES'!$Y85="","-",'ORDENES'!$Y85))</f>
        <v/>
      </c>
      <c r="H107" s="5">
        <f>IF('ORDENES'!$A85="","",IF('ORDENES'!$AG85="","-",'ORDENES'!$AG85))</f>
        <v/>
      </c>
      <c r="I107" s="5">
        <f>IF('ORDENES'!$A85="","",IF('ORDENES'!$AT85="","-",'ORDENES'!$AT85))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0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IF('ORDENES'!$A85="","",'ORDENES'!$AF85)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IF('ORDENES'!$A86="","",IF('ORDENES'!$AH86="","-",'ORDENES'!$AH86))</f>
        <v/>
      </c>
      <c r="D108" s="5">
        <f>IF('ORDENES'!$A86="","",IF('ORDENES'!$Z86="","-",'ORDENES'!$Z86))</f>
        <v/>
      </c>
      <c r="E108" s="5">
        <f>IF('ORDENES'!$A86="","",IF('ORDENES'!$X86="","-",'ORDENES'!$X86))</f>
        <v/>
      </c>
      <c r="F108" s="5">
        <f>IF('ORDENES'!$A86="","",IF('ORDENES'!$AA86="","-",'ORDENES'!$AA86))</f>
        <v/>
      </c>
      <c r="G108" s="5">
        <f>IF('ORDENES'!$A86="","",IF('ORDENES'!$Y86="","-",'ORDENES'!$Y86))</f>
        <v/>
      </c>
      <c r="H108" s="5">
        <f>IF('ORDENES'!$A86="","",IF('ORDENES'!$AG86="","-",'ORDENES'!$AG86))</f>
        <v/>
      </c>
      <c r="I108" s="5">
        <f>IF('ORDENES'!$A86="","",IF('ORDENES'!$AT86="","-",'ORDENES'!$AT86))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0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IF('ORDENES'!$A86="","",'ORDENES'!$AF86)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IF('ORDENES'!$A87="","",IF('ORDENES'!$AH87="","-",'ORDENES'!$AH87))</f>
        <v/>
      </c>
      <c r="D109" s="5">
        <f>IF('ORDENES'!$A87="","",IF('ORDENES'!$Z87="","-",'ORDENES'!$Z87))</f>
        <v/>
      </c>
      <c r="E109" s="5">
        <f>IF('ORDENES'!$A87="","",IF('ORDENES'!$X87="","-",'ORDENES'!$X87))</f>
        <v/>
      </c>
      <c r="F109" s="5">
        <f>IF('ORDENES'!$A87="","",IF('ORDENES'!$AA87="","-",'ORDENES'!$AA87))</f>
        <v/>
      </c>
      <c r="G109" s="5">
        <f>IF('ORDENES'!$A87="","",IF('ORDENES'!$Y87="","-",'ORDENES'!$Y87))</f>
        <v/>
      </c>
      <c r="H109" s="5">
        <f>IF('ORDENES'!$A87="","",IF('ORDENES'!$AG87="","-",'ORDENES'!$AG87))</f>
        <v/>
      </c>
      <c r="I109" s="5">
        <f>IF('ORDENES'!$A87="","",IF('ORDENES'!$AT87="","-",'ORDENES'!$AT87))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0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IF('ORDENES'!$A87="","",'ORDENES'!$AF87)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IF('ORDENES'!$A88="","",IF('ORDENES'!$AH88="","-",'ORDENES'!$AH88))</f>
        <v/>
      </c>
      <c r="D110" s="5">
        <f>IF('ORDENES'!$A88="","",IF('ORDENES'!$Z88="","-",'ORDENES'!$Z88))</f>
        <v/>
      </c>
      <c r="E110" s="5">
        <f>IF('ORDENES'!$A88="","",IF('ORDENES'!$X88="","-",'ORDENES'!$X88))</f>
        <v/>
      </c>
      <c r="F110" s="5">
        <f>IF('ORDENES'!$A88="","",IF('ORDENES'!$AA88="","-",'ORDENES'!$AA88))</f>
        <v/>
      </c>
      <c r="G110" s="5">
        <f>IF('ORDENES'!$A88="","",IF('ORDENES'!$Y88="","-",'ORDENES'!$Y88))</f>
        <v/>
      </c>
      <c r="H110" s="5">
        <f>IF('ORDENES'!$A88="","",IF('ORDENES'!$AG88="","-",'ORDENES'!$AG88))</f>
        <v/>
      </c>
      <c r="I110" s="5">
        <f>IF('ORDENES'!$A88="","",IF('ORDENES'!$AT88="","-",'ORDENES'!$AT88))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0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IF('ORDENES'!$A88="","",'ORDENES'!$AF88)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IF('ORDENES'!$A89="","",IF('ORDENES'!$AH89="","-",'ORDENES'!$AH89))</f>
        <v/>
      </c>
      <c r="D111" s="5">
        <f>IF('ORDENES'!$A89="","",IF('ORDENES'!$Z89="","-",'ORDENES'!$Z89))</f>
        <v/>
      </c>
      <c r="E111" s="5">
        <f>IF('ORDENES'!$A89="","",IF('ORDENES'!$X89="","-",'ORDENES'!$X89))</f>
        <v/>
      </c>
      <c r="F111" s="5">
        <f>IF('ORDENES'!$A89="","",IF('ORDENES'!$AA89="","-",'ORDENES'!$AA89))</f>
        <v/>
      </c>
      <c r="G111" s="5">
        <f>IF('ORDENES'!$A89="","",IF('ORDENES'!$Y89="","-",'ORDENES'!$Y89))</f>
        <v/>
      </c>
      <c r="H111" s="5">
        <f>IF('ORDENES'!$A89="","",IF('ORDENES'!$AG89="","-",'ORDENES'!$AG89))</f>
        <v/>
      </c>
      <c r="I111" s="5">
        <f>IF('ORDENES'!$A89="","",IF('ORDENES'!$AT89="","-",'ORDENES'!$AT89))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0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IF('ORDENES'!$A89="","",'ORDENES'!$AF89)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IF('ORDENES'!$A90="","",IF('ORDENES'!$AH90="","-",'ORDENES'!$AH90))</f>
        <v/>
      </c>
      <c r="D112" s="5">
        <f>IF('ORDENES'!$A90="","",IF('ORDENES'!$Z90="","-",'ORDENES'!$Z90))</f>
        <v/>
      </c>
      <c r="E112" s="5">
        <f>IF('ORDENES'!$A90="","",IF('ORDENES'!$X90="","-",'ORDENES'!$X90))</f>
        <v/>
      </c>
      <c r="F112" s="5">
        <f>IF('ORDENES'!$A90="","",IF('ORDENES'!$AA90="","-",'ORDENES'!$AA90))</f>
        <v/>
      </c>
      <c r="G112" s="5">
        <f>IF('ORDENES'!$A90="","",IF('ORDENES'!$Y90="","-",'ORDENES'!$Y90))</f>
        <v/>
      </c>
      <c r="H112" s="5">
        <f>IF('ORDENES'!$A90="","",IF('ORDENES'!$AG90="","-",'ORDENES'!$AG90))</f>
        <v/>
      </c>
      <c r="I112" s="5">
        <f>IF('ORDENES'!$A90="","",IF('ORDENES'!$AT90="","-",'ORDENES'!$AT90))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0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IF('ORDENES'!$A90="","",'ORDENES'!$AF90)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IF('ORDENES'!$A91="","",IF('ORDENES'!$AH91="","-",'ORDENES'!$AH91))</f>
        <v/>
      </c>
      <c r="D113" s="5">
        <f>IF('ORDENES'!$A91="","",IF('ORDENES'!$Z91="","-",'ORDENES'!$Z91))</f>
        <v/>
      </c>
      <c r="E113" s="5">
        <f>IF('ORDENES'!$A91="","",IF('ORDENES'!$X91="","-",'ORDENES'!$X91))</f>
        <v/>
      </c>
      <c r="F113" s="5">
        <f>IF('ORDENES'!$A91="","",IF('ORDENES'!$AA91="","-",'ORDENES'!$AA91))</f>
        <v/>
      </c>
      <c r="G113" s="5">
        <f>IF('ORDENES'!$A91="","",IF('ORDENES'!$Y91="","-",'ORDENES'!$Y91))</f>
        <v/>
      </c>
      <c r="H113" s="5">
        <f>IF('ORDENES'!$A91="","",IF('ORDENES'!$AG91="","-",'ORDENES'!$AG91))</f>
        <v/>
      </c>
      <c r="I113" s="5">
        <f>IF('ORDENES'!$A91="","",IF('ORDENES'!$AT91="","-",'ORDENES'!$AT91))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0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IF('ORDENES'!$A91="","",'ORDENES'!$AF91)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IF('ORDENES'!$A92="","",IF('ORDENES'!$AH92="","-",'ORDENES'!$AH92))</f>
        <v/>
      </c>
      <c r="D114" s="5">
        <f>IF('ORDENES'!$A92="","",IF('ORDENES'!$Z92="","-",'ORDENES'!$Z92))</f>
        <v/>
      </c>
      <c r="E114" s="5">
        <f>IF('ORDENES'!$A92="","",IF('ORDENES'!$X92="","-",'ORDENES'!$X92))</f>
        <v/>
      </c>
      <c r="F114" s="5">
        <f>IF('ORDENES'!$A92="","",IF('ORDENES'!$AA92="","-",'ORDENES'!$AA92))</f>
        <v/>
      </c>
      <c r="G114" s="5">
        <f>IF('ORDENES'!$A92="","",IF('ORDENES'!$Y92="","-",'ORDENES'!$Y92))</f>
        <v/>
      </c>
      <c r="H114" s="5">
        <f>IF('ORDENES'!$A92="","",IF('ORDENES'!$AG92="","-",'ORDENES'!$AG92))</f>
        <v/>
      </c>
      <c r="I114" s="5">
        <f>IF('ORDENES'!$A92="","",IF('ORDENES'!$AT92="","-",'ORDENES'!$AT92))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0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IF('ORDENES'!$A92="","",'ORDENES'!$AF92)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IF('ORDENES'!$A93="","",IF('ORDENES'!$AH93="","-",'ORDENES'!$AH93))</f>
        <v/>
      </c>
      <c r="D115" s="5">
        <f>IF('ORDENES'!$A93="","",IF('ORDENES'!$Z93="","-",'ORDENES'!$Z93))</f>
        <v/>
      </c>
      <c r="E115" s="5">
        <f>IF('ORDENES'!$A93="","",IF('ORDENES'!$X93="","-",'ORDENES'!$X93))</f>
        <v/>
      </c>
      <c r="F115" s="5">
        <f>IF('ORDENES'!$A93="","",IF('ORDENES'!$AA93="","-",'ORDENES'!$AA93))</f>
        <v/>
      </c>
      <c r="G115" s="5">
        <f>IF('ORDENES'!$A93="","",IF('ORDENES'!$Y93="","-",'ORDENES'!$Y93))</f>
        <v/>
      </c>
      <c r="H115" s="5">
        <f>IF('ORDENES'!$A93="","",IF('ORDENES'!$AG93="","-",'ORDENES'!$AG93))</f>
        <v/>
      </c>
      <c r="I115" s="5">
        <f>IF('ORDENES'!$A93="","",IF('ORDENES'!$AT93="","-",'ORDENES'!$AT93))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0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IF('ORDENES'!$A93="","",'ORDENES'!$AF93)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IF('ORDENES'!$A94="","",IF('ORDENES'!$AH94="","-",'ORDENES'!$AH94))</f>
        <v/>
      </c>
      <c r="D116" s="5">
        <f>IF('ORDENES'!$A94="","",IF('ORDENES'!$Z94="","-",'ORDENES'!$Z94))</f>
        <v/>
      </c>
      <c r="E116" s="5">
        <f>IF('ORDENES'!$A94="","",IF('ORDENES'!$X94="","-",'ORDENES'!$X94))</f>
        <v/>
      </c>
      <c r="F116" s="5">
        <f>IF('ORDENES'!$A94="","",IF('ORDENES'!$AA94="","-",'ORDENES'!$AA94))</f>
        <v/>
      </c>
      <c r="G116" s="5">
        <f>IF('ORDENES'!$A94="","",IF('ORDENES'!$Y94="","-",'ORDENES'!$Y94))</f>
        <v/>
      </c>
      <c r="H116" s="5">
        <f>IF('ORDENES'!$A94="","",IF('ORDENES'!$AG94="","-",'ORDENES'!$AG94))</f>
        <v/>
      </c>
      <c r="I116" s="5">
        <f>IF('ORDENES'!$A94="","",IF('ORDENES'!$AT94="","-",'ORDENES'!$AT94))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0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IF('ORDENES'!$A94="","",'ORDENES'!$AF94)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IF('ORDENES'!$A95="","",IF('ORDENES'!$AH95="","-",'ORDENES'!$AH95))</f>
        <v/>
      </c>
      <c r="D117" s="5">
        <f>IF('ORDENES'!$A95="","",IF('ORDENES'!$Z95="","-",'ORDENES'!$Z95))</f>
        <v/>
      </c>
      <c r="E117" s="5">
        <f>IF('ORDENES'!$A95="","",IF('ORDENES'!$X95="","-",'ORDENES'!$X95))</f>
        <v/>
      </c>
      <c r="F117" s="5">
        <f>IF('ORDENES'!$A95="","",IF('ORDENES'!$AA95="","-",'ORDENES'!$AA95))</f>
        <v/>
      </c>
      <c r="G117" s="5">
        <f>IF('ORDENES'!$A95="","",IF('ORDENES'!$Y95="","-",'ORDENES'!$Y95))</f>
        <v/>
      </c>
      <c r="H117" s="5">
        <f>IF('ORDENES'!$A95="","",IF('ORDENES'!$AG95="","-",'ORDENES'!$AG95))</f>
        <v/>
      </c>
      <c r="I117" s="5">
        <f>IF('ORDENES'!$A95="","",IF('ORDENES'!$AT95="","-",'ORDENES'!$AT95))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0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IF('ORDENES'!$A95="","",'ORDENES'!$AF95)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IF('ORDENES'!$A96="","",IF('ORDENES'!$AH96="","-",'ORDENES'!$AH96))</f>
        <v/>
      </c>
      <c r="D118" s="5">
        <f>IF('ORDENES'!$A96="","",IF('ORDENES'!$Z96="","-",'ORDENES'!$Z96))</f>
        <v/>
      </c>
      <c r="E118" s="5">
        <f>IF('ORDENES'!$A96="","",IF('ORDENES'!$X96="","-",'ORDENES'!$X96))</f>
        <v/>
      </c>
      <c r="F118" s="5">
        <f>IF('ORDENES'!$A96="","",IF('ORDENES'!$AA96="","-",'ORDENES'!$AA96))</f>
        <v/>
      </c>
      <c r="G118" s="5">
        <f>IF('ORDENES'!$A96="","",IF('ORDENES'!$Y96="","-",'ORDENES'!$Y96))</f>
        <v/>
      </c>
      <c r="H118" s="5">
        <f>IF('ORDENES'!$A96="","",IF('ORDENES'!$AG96="","-",'ORDENES'!$AG96))</f>
        <v/>
      </c>
      <c r="I118" s="5">
        <f>IF('ORDENES'!$A96="","",IF('ORDENES'!$AT96="","-",'ORDENES'!$AT96))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0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IF('ORDENES'!$A96="","",'ORDENES'!$AF96)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IF('ORDENES'!$A97="","",IF('ORDENES'!$AH97="","-",'ORDENES'!$AH97))</f>
        <v/>
      </c>
      <c r="D119" s="5">
        <f>IF('ORDENES'!$A97="","",IF('ORDENES'!$Z97="","-",'ORDENES'!$Z97))</f>
        <v/>
      </c>
      <c r="E119" s="5">
        <f>IF('ORDENES'!$A97="","",IF('ORDENES'!$X97="","-",'ORDENES'!$X97))</f>
        <v/>
      </c>
      <c r="F119" s="5">
        <f>IF('ORDENES'!$A97="","",IF('ORDENES'!$AA97="","-",'ORDENES'!$AA97))</f>
        <v/>
      </c>
      <c r="G119" s="5">
        <f>IF('ORDENES'!$A97="","",IF('ORDENES'!$Y97="","-",'ORDENES'!$Y97))</f>
        <v/>
      </c>
      <c r="H119" s="5">
        <f>IF('ORDENES'!$A97="","",IF('ORDENES'!$AG97="","-",'ORDENES'!$AG97))</f>
        <v/>
      </c>
      <c r="I119" s="5">
        <f>IF('ORDENES'!$A97="","",IF('ORDENES'!$AT97="","-",'ORDENES'!$AT97))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0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IF('ORDENES'!$A97="","",'ORDENES'!$AF97)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IF('ORDENES'!$A98="","",IF('ORDENES'!$AH98="","-",'ORDENES'!$AH98))</f>
        <v/>
      </c>
      <c r="D120" s="5">
        <f>IF('ORDENES'!$A98="","",IF('ORDENES'!$Z98="","-",'ORDENES'!$Z98))</f>
        <v/>
      </c>
      <c r="E120" s="5">
        <f>IF('ORDENES'!$A98="","",IF('ORDENES'!$X98="","-",'ORDENES'!$X98))</f>
        <v/>
      </c>
      <c r="F120" s="5">
        <f>IF('ORDENES'!$A98="","",IF('ORDENES'!$AA98="","-",'ORDENES'!$AA98))</f>
        <v/>
      </c>
      <c r="G120" s="5">
        <f>IF('ORDENES'!$A98="","",IF('ORDENES'!$Y98="","-",'ORDENES'!$Y98))</f>
        <v/>
      </c>
      <c r="H120" s="5">
        <f>IF('ORDENES'!$A98="","",IF('ORDENES'!$AG98="","-",'ORDENES'!$AG98))</f>
        <v/>
      </c>
      <c r="I120" s="5">
        <f>IF('ORDENES'!$A98="","",IF('ORDENES'!$AT98="","-",'ORDENES'!$AT98))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0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IF('ORDENES'!$A98="","",'ORDENES'!$AF98)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IF('ORDENES'!$A99="","",IF('ORDENES'!$AH99="","-",'ORDENES'!$AH99))</f>
        <v/>
      </c>
      <c r="D121" s="5">
        <f>IF('ORDENES'!$A99="","",IF('ORDENES'!$Z99="","-",'ORDENES'!$Z99))</f>
        <v/>
      </c>
      <c r="E121" s="5">
        <f>IF('ORDENES'!$A99="","",IF('ORDENES'!$X99="","-",'ORDENES'!$X99))</f>
        <v/>
      </c>
      <c r="F121" s="5">
        <f>IF('ORDENES'!$A99="","",IF('ORDENES'!$AA99="","-",'ORDENES'!$AA99))</f>
        <v/>
      </c>
      <c r="G121" s="5">
        <f>IF('ORDENES'!$A99="","",IF('ORDENES'!$Y99="","-",'ORDENES'!$Y99))</f>
        <v/>
      </c>
      <c r="H121" s="5">
        <f>IF('ORDENES'!$A99="","",IF('ORDENES'!$AG99="","-",'ORDENES'!$AG99))</f>
        <v/>
      </c>
      <c r="I121" s="5">
        <f>IF('ORDENES'!$A99="","",IF('ORDENES'!$AT99="","-",'ORDENES'!$AT99))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0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IF('ORDENES'!$A99="","",'ORDENES'!$AF99)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IF('ORDENES'!$A100="","",IF('ORDENES'!$AH100="","-",'ORDENES'!$AH100))</f>
        <v/>
      </c>
      <c r="D122" s="5">
        <f>IF('ORDENES'!$A100="","",IF('ORDENES'!$Z100="","-",'ORDENES'!$Z100))</f>
        <v/>
      </c>
      <c r="E122" s="5">
        <f>IF('ORDENES'!$A100="","",IF('ORDENES'!$X100="","-",'ORDENES'!$X100))</f>
        <v/>
      </c>
      <c r="F122" s="5">
        <f>IF('ORDENES'!$A100="","",IF('ORDENES'!$AA100="","-",'ORDENES'!$AA100))</f>
        <v/>
      </c>
      <c r="G122" s="5">
        <f>IF('ORDENES'!$A100="","",IF('ORDENES'!$Y100="","-",'ORDENES'!$Y100))</f>
        <v/>
      </c>
      <c r="H122" s="5">
        <f>IF('ORDENES'!$A100="","",IF('ORDENES'!$AG100="","-",'ORDENES'!$AG100))</f>
        <v/>
      </c>
      <c r="I122" s="5">
        <f>IF('ORDENES'!$A100="","",IF('ORDENES'!$AT100="","-",'ORDENES'!$AT100))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0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IF('ORDENES'!$A100="","",'ORDENES'!$AF100)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IF('ORDENES'!$A101="","",IF('ORDENES'!$AH101="","-",'ORDENES'!$AH101))</f>
        <v/>
      </c>
      <c r="D123" s="5">
        <f>IF('ORDENES'!$A101="","",IF('ORDENES'!$Z101="","-",'ORDENES'!$Z101))</f>
        <v/>
      </c>
      <c r="E123" s="5">
        <f>IF('ORDENES'!$A101="","",IF('ORDENES'!$X101="","-",'ORDENES'!$X101))</f>
        <v/>
      </c>
      <c r="F123" s="5">
        <f>IF('ORDENES'!$A101="","",IF('ORDENES'!$AA101="","-",'ORDENES'!$AA101))</f>
        <v/>
      </c>
      <c r="G123" s="5">
        <f>IF('ORDENES'!$A101="","",IF('ORDENES'!$Y101="","-",'ORDENES'!$Y101))</f>
        <v/>
      </c>
      <c r="H123" s="5">
        <f>IF('ORDENES'!$A101="","",IF('ORDENES'!$AG101="","-",'ORDENES'!$AG101))</f>
        <v/>
      </c>
      <c r="I123" s="5">
        <f>IF('ORDENES'!$A101="","",IF('ORDENES'!$AT101="","-",'ORDENES'!$AT101))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0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IF('ORDENES'!$A101="","",'ORDENES'!$AF101)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IF('ORDENES'!$A102="","",IF('ORDENES'!$AH102="","-",'ORDENES'!$AH102))</f>
        <v/>
      </c>
      <c r="D124" s="5">
        <f>IF('ORDENES'!$A102="","",IF('ORDENES'!$Z102="","-",'ORDENES'!$Z102))</f>
        <v/>
      </c>
      <c r="E124" s="5">
        <f>IF('ORDENES'!$A102="","",IF('ORDENES'!$X102="","-",'ORDENES'!$X102))</f>
        <v/>
      </c>
      <c r="F124" s="5">
        <f>IF('ORDENES'!$A102="","",IF('ORDENES'!$AA102="","-",'ORDENES'!$AA102))</f>
        <v/>
      </c>
      <c r="G124" s="5">
        <f>IF('ORDENES'!$A102="","",IF('ORDENES'!$Y102="","-",'ORDENES'!$Y102))</f>
        <v/>
      </c>
      <c r="H124" s="5">
        <f>IF('ORDENES'!$A102="","",IF('ORDENES'!$AG102="","-",'ORDENES'!$AG102))</f>
        <v/>
      </c>
      <c r="I124" s="5">
        <f>IF('ORDENES'!$A102="","",IF('ORDENES'!$AT102="","-",'ORDENES'!$AT102))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0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IF('ORDENES'!$A102="","",'ORDENES'!$AF102)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IF('ORDENES'!$A103="","",IF('ORDENES'!$AH103="","-",'ORDENES'!$AH103))</f>
        <v/>
      </c>
      <c r="D125" s="5">
        <f>IF('ORDENES'!$A103="","",IF('ORDENES'!$Z103="","-",'ORDENES'!$Z103))</f>
        <v/>
      </c>
      <c r="E125" s="5">
        <f>IF('ORDENES'!$A103="","",IF('ORDENES'!$X103="","-",'ORDENES'!$X103))</f>
        <v/>
      </c>
      <c r="F125" s="5">
        <f>IF('ORDENES'!$A103="","",IF('ORDENES'!$AA103="","-",'ORDENES'!$AA103))</f>
        <v/>
      </c>
      <c r="G125" s="5">
        <f>IF('ORDENES'!$A103="","",IF('ORDENES'!$Y103="","-",'ORDENES'!$Y103))</f>
        <v/>
      </c>
      <c r="H125" s="5">
        <f>IF('ORDENES'!$A103="","",IF('ORDENES'!$AG103="","-",'ORDENES'!$AG103))</f>
        <v/>
      </c>
      <c r="I125" s="5">
        <f>IF('ORDENES'!$A103="","",IF('ORDENES'!$AT103="","-",'ORDENES'!$AT103))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0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IF('ORDENES'!$A103="","",'ORDENES'!$AF103)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IF('ORDENES'!$A104="","",IF('ORDENES'!$AH104="","-",'ORDENES'!$AH104))</f>
        <v/>
      </c>
      <c r="D126" s="5">
        <f>IF('ORDENES'!$A104="","",IF('ORDENES'!$Z104="","-",'ORDENES'!$Z104))</f>
        <v/>
      </c>
      <c r="E126" s="5">
        <f>IF('ORDENES'!$A104="","",IF('ORDENES'!$X104="","-",'ORDENES'!$X104))</f>
        <v/>
      </c>
      <c r="F126" s="5">
        <f>IF('ORDENES'!$A104="","",IF('ORDENES'!$AA104="","-",'ORDENES'!$AA104))</f>
        <v/>
      </c>
      <c r="G126" s="5">
        <f>IF('ORDENES'!$A104="","",IF('ORDENES'!$Y104="","-",'ORDENES'!$Y104))</f>
        <v/>
      </c>
      <c r="H126" s="5">
        <f>IF('ORDENES'!$A104="","",IF('ORDENES'!$AG104="","-",'ORDENES'!$AG104))</f>
        <v/>
      </c>
      <c r="I126" s="5">
        <f>IF('ORDENES'!$A104="","",IF('ORDENES'!$AT104="","-",'ORDENES'!$AT104))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0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IF('ORDENES'!$A104="","",'ORDENES'!$AF104)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IF('ORDENES'!$A105="","",IF('ORDENES'!$AH105="","-",'ORDENES'!$AH105))</f>
        <v/>
      </c>
      <c r="D127" s="5">
        <f>IF('ORDENES'!$A105="","",IF('ORDENES'!$Z105="","-",'ORDENES'!$Z105))</f>
        <v/>
      </c>
      <c r="E127" s="5">
        <f>IF('ORDENES'!$A105="","",IF('ORDENES'!$X105="","-",'ORDENES'!$X105))</f>
        <v/>
      </c>
      <c r="F127" s="5">
        <f>IF('ORDENES'!$A105="","",IF('ORDENES'!$AA105="","-",'ORDENES'!$AA105))</f>
        <v/>
      </c>
      <c r="G127" s="5">
        <f>IF('ORDENES'!$A105="","",IF('ORDENES'!$Y105="","-",'ORDENES'!$Y105))</f>
        <v/>
      </c>
      <c r="H127" s="5">
        <f>IF('ORDENES'!$A105="","",IF('ORDENES'!$AG105="","-",'ORDENES'!$AG105))</f>
        <v/>
      </c>
      <c r="I127" s="5">
        <f>IF('ORDENES'!$A105="","",IF('ORDENES'!$AT105="","-",'ORDENES'!$AT105))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0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IF('ORDENES'!$A105="","",'ORDENES'!$AF105)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IF('ORDENES'!$A106="","",IF('ORDENES'!$AH106="","-",'ORDENES'!$AH106))</f>
        <v/>
      </c>
      <c r="D128" s="5">
        <f>IF('ORDENES'!$A106="","",IF('ORDENES'!$Z106="","-",'ORDENES'!$Z106))</f>
        <v/>
      </c>
      <c r="E128" s="5">
        <f>IF('ORDENES'!$A106="","",IF('ORDENES'!$X106="","-",'ORDENES'!$X106))</f>
        <v/>
      </c>
      <c r="F128" s="5">
        <f>IF('ORDENES'!$A106="","",IF('ORDENES'!$AA106="","-",'ORDENES'!$AA106))</f>
        <v/>
      </c>
      <c r="G128" s="5">
        <f>IF('ORDENES'!$A106="","",IF('ORDENES'!$Y106="","-",'ORDENES'!$Y106))</f>
        <v/>
      </c>
      <c r="H128" s="5">
        <f>IF('ORDENES'!$A106="","",IF('ORDENES'!$AG106="","-",'ORDENES'!$AG106))</f>
        <v/>
      </c>
      <c r="I128" s="5">
        <f>IF('ORDENES'!$A106="","",IF('ORDENES'!$AT106="","-",'ORDENES'!$AT106))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0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IF('ORDENES'!$A106="","",'ORDENES'!$AF106)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IF('ORDENES'!$A107="","",IF('ORDENES'!$AH107="","-",'ORDENES'!$AH107))</f>
        <v/>
      </c>
      <c r="D129" s="5">
        <f>IF('ORDENES'!$A107="","",IF('ORDENES'!$Z107="","-",'ORDENES'!$Z107))</f>
        <v/>
      </c>
      <c r="E129" s="5">
        <f>IF('ORDENES'!$A107="","",IF('ORDENES'!$X107="","-",'ORDENES'!$X107))</f>
        <v/>
      </c>
      <c r="F129" s="5">
        <f>IF('ORDENES'!$A107="","",IF('ORDENES'!$AA107="","-",'ORDENES'!$AA107))</f>
        <v/>
      </c>
      <c r="G129" s="5">
        <f>IF('ORDENES'!$A107="","",IF('ORDENES'!$Y107="","-",'ORDENES'!$Y107))</f>
        <v/>
      </c>
      <c r="H129" s="5">
        <f>IF('ORDENES'!$A107="","",IF('ORDENES'!$AG107="","-",'ORDENES'!$AG107))</f>
        <v/>
      </c>
      <c r="I129" s="5">
        <f>IF('ORDENES'!$A107="","",IF('ORDENES'!$AT107="","-",'ORDENES'!$AT107))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0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IF('ORDENES'!$A107="","",'ORDENES'!$AF107)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IF('ORDENES'!$A108="","",IF('ORDENES'!$AH108="","-",'ORDENES'!$AH108))</f>
        <v/>
      </c>
      <c r="D130" s="5">
        <f>IF('ORDENES'!$A108="","",IF('ORDENES'!$Z108="","-",'ORDENES'!$Z108))</f>
        <v/>
      </c>
      <c r="E130" s="5">
        <f>IF('ORDENES'!$A108="","",IF('ORDENES'!$X108="","-",'ORDENES'!$X108))</f>
        <v/>
      </c>
      <c r="F130" s="5">
        <f>IF('ORDENES'!$A108="","",IF('ORDENES'!$AA108="","-",'ORDENES'!$AA108))</f>
        <v/>
      </c>
      <c r="G130" s="5">
        <f>IF('ORDENES'!$A108="","",IF('ORDENES'!$Y108="","-",'ORDENES'!$Y108))</f>
        <v/>
      </c>
      <c r="H130" s="5">
        <f>IF('ORDENES'!$A108="","",IF('ORDENES'!$AG108="","-",'ORDENES'!$AG108))</f>
        <v/>
      </c>
      <c r="I130" s="5">
        <f>IF('ORDENES'!$A108="","",IF('ORDENES'!$AT108="","-",'ORDENES'!$AT108))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0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IF('ORDENES'!$A108="","",'ORDENES'!$AF108)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IF('ORDENES'!$A109="","",IF('ORDENES'!$AH109="","-",'ORDENES'!$AH109))</f>
        <v/>
      </c>
      <c r="D131" s="5">
        <f>IF('ORDENES'!$A109="","",IF('ORDENES'!$Z109="","-",'ORDENES'!$Z109))</f>
        <v/>
      </c>
      <c r="E131" s="5">
        <f>IF('ORDENES'!$A109="","",IF('ORDENES'!$X109="","-",'ORDENES'!$X109))</f>
        <v/>
      </c>
      <c r="F131" s="5">
        <f>IF('ORDENES'!$A109="","",IF('ORDENES'!$AA109="","-",'ORDENES'!$AA109))</f>
        <v/>
      </c>
      <c r="G131" s="5">
        <f>IF('ORDENES'!$A109="","",IF('ORDENES'!$Y109="","-",'ORDENES'!$Y109))</f>
        <v/>
      </c>
      <c r="H131" s="5">
        <f>IF('ORDENES'!$A109="","",IF('ORDENES'!$AG109="","-",'ORDENES'!$AG109))</f>
        <v/>
      </c>
      <c r="I131" s="5">
        <f>IF('ORDENES'!$A109="","",IF('ORDENES'!$AT109="","-",'ORDENES'!$AT109))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0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IF('ORDENES'!$A109="","",'ORDENES'!$AF109)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IF('ORDENES'!$A110="","",IF('ORDENES'!$AH110="","-",'ORDENES'!$AH110))</f>
        <v/>
      </c>
      <c r="D132" s="5">
        <f>IF('ORDENES'!$A110="","",IF('ORDENES'!$Z110="","-",'ORDENES'!$Z110))</f>
        <v/>
      </c>
      <c r="E132" s="5">
        <f>IF('ORDENES'!$A110="","",IF('ORDENES'!$X110="","-",'ORDENES'!$X110))</f>
        <v/>
      </c>
      <c r="F132" s="5">
        <f>IF('ORDENES'!$A110="","",IF('ORDENES'!$AA110="","-",'ORDENES'!$AA110))</f>
        <v/>
      </c>
      <c r="G132" s="5">
        <f>IF('ORDENES'!$A110="","",IF('ORDENES'!$Y110="","-",'ORDENES'!$Y110))</f>
        <v/>
      </c>
      <c r="H132" s="5">
        <f>IF('ORDENES'!$A110="","",IF('ORDENES'!$AG110="","-",'ORDENES'!$AG110))</f>
        <v/>
      </c>
      <c r="I132" s="5">
        <f>IF('ORDENES'!$A110="","",IF('ORDENES'!$AT110="","-",'ORDENES'!$AT110))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0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IF('ORDENES'!$A110="","",'ORDENES'!$AF110)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IF('ORDENES'!$A111="","",IF('ORDENES'!$AH111="","-",'ORDENES'!$AH111))</f>
        <v/>
      </c>
      <c r="D133" s="5">
        <f>IF('ORDENES'!$A111="","",IF('ORDENES'!$Z111="","-",'ORDENES'!$Z111))</f>
        <v/>
      </c>
      <c r="E133" s="5">
        <f>IF('ORDENES'!$A111="","",IF('ORDENES'!$X111="","-",'ORDENES'!$X111))</f>
        <v/>
      </c>
      <c r="F133" s="5">
        <f>IF('ORDENES'!$A111="","",IF('ORDENES'!$AA111="","-",'ORDENES'!$AA111))</f>
        <v/>
      </c>
      <c r="G133" s="5">
        <f>IF('ORDENES'!$A111="","",IF('ORDENES'!$Y111="","-",'ORDENES'!$Y111))</f>
        <v/>
      </c>
      <c r="H133" s="5">
        <f>IF('ORDENES'!$A111="","",IF('ORDENES'!$AG111="","-",'ORDENES'!$AG111))</f>
        <v/>
      </c>
      <c r="I133" s="5">
        <f>IF('ORDENES'!$A111="","",IF('ORDENES'!$AT111="","-",'ORDENES'!$AT111))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0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IF('ORDENES'!$A111="","",'ORDENES'!$AF111)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IF('ORDENES'!$A112="","",IF('ORDENES'!$AH112="","-",'ORDENES'!$AH112))</f>
        <v/>
      </c>
      <c r="D134" s="5">
        <f>IF('ORDENES'!$A112="","",IF('ORDENES'!$Z112="","-",'ORDENES'!$Z112))</f>
        <v/>
      </c>
      <c r="E134" s="5">
        <f>IF('ORDENES'!$A112="","",IF('ORDENES'!$X112="","-",'ORDENES'!$X112))</f>
        <v/>
      </c>
      <c r="F134" s="5">
        <f>IF('ORDENES'!$A112="","",IF('ORDENES'!$AA112="","-",'ORDENES'!$AA112))</f>
        <v/>
      </c>
      <c r="G134" s="5">
        <f>IF('ORDENES'!$A112="","",IF('ORDENES'!$Y112="","-",'ORDENES'!$Y112))</f>
        <v/>
      </c>
      <c r="H134" s="5">
        <f>IF('ORDENES'!$A112="","",IF('ORDENES'!$AG112="","-",'ORDENES'!$AG112))</f>
        <v/>
      </c>
      <c r="I134" s="5">
        <f>IF('ORDENES'!$A112="","",IF('ORDENES'!$AT112="","-",'ORDENES'!$AT112))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0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IF('ORDENES'!$A112="","",'ORDENES'!$AF112)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IF('ORDENES'!$A113="","",IF('ORDENES'!$AH113="","-",'ORDENES'!$AH113))</f>
        <v/>
      </c>
      <c r="D135" s="5">
        <f>IF('ORDENES'!$A113="","",IF('ORDENES'!$Z113="","-",'ORDENES'!$Z113))</f>
        <v/>
      </c>
      <c r="E135" s="5">
        <f>IF('ORDENES'!$A113="","",IF('ORDENES'!$X113="","-",'ORDENES'!$X113))</f>
        <v/>
      </c>
      <c r="F135" s="5">
        <f>IF('ORDENES'!$A113="","",IF('ORDENES'!$AA113="","-",'ORDENES'!$AA113))</f>
        <v/>
      </c>
      <c r="G135" s="5">
        <f>IF('ORDENES'!$A113="","",IF('ORDENES'!$Y113="","-",'ORDENES'!$Y113))</f>
        <v/>
      </c>
      <c r="H135" s="5">
        <f>IF('ORDENES'!$A113="","",IF('ORDENES'!$AG113="","-",'ORDENES'!$AG113))</f>
        <v/>
      </c>
      <c r="I135" s="5">
        <f>IF('ORDENES'!$A113="","",IF('ORDENES'!$AT113="","-",'ORDENES'!$AT113))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0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IF('ORDENES'!$A113="","",'ORDENES'!$AF113)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IF('ORDENES'!$A114="","",IF('ORDENES'!$AH114="","-",'ORDENES'!$AH114))</f>
        <v/>
      </c>
      <c r="D136" s="5">
        <f>IF('ORDENES'!$A114="","",IF('ORDENES'!$Z114="","-",'ORDENES'!$Z114))</f>
        <v/>
      </c>
      <c r="E136" s="5">
        <f>IF('ORDENES'!$A114="","",IF('ORDENES'!$X114="","-",'ORDENES'!$X114))</f>
        <v/>
      </c>
      <c r="F136" s="5">
        <f>IF('ORDENES'!$A114="","",IF('ORDENES'!$AA114="","-",'ORDENES'!$AA114))</f>
        <v/>
      </c>
      <c r="G136" s="5">
        <f>IF('ORDENES'!$A114="","",IF('ORDENES'!$Y114="","-",'ORDENES'!$Y114))</f>
        <v/>
      </c>
      <c r="H136" s="5">
        <f>IF('ORDENES'!$A114="","",IF('ORDENES'!$AG114="","-",'ORDENES'!$AG114))</f>
        <v/>
      </c>
      <c r="I136" s="5">
        <f>IF('ORDENES'!$A114="","",IF('ORDENES'!$AT114="","-",'ORDENES'!$AT114))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0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IF('ORDENES'!$A114="","",'ORDENES'!$AF114)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IF('ORDENES'!$A115="","",IF('ORDENES'!$AH115="","-",'ORDENES'!$AH115))</f>
        <v/>
      </c>
      <c r="D137" s="5">
        <f>IF('ORDENES'!$A115="","",IF('ORDENES'!$Z115="","-",'ORDENES'!$Z115))</f>
        <v/>
      </c>
      <c r="E137" s="5">
        <f>IF('ORDENES'!$A115="","",IF('ORDENES'!$X115="","-",'ORDENES'!$X115))</f>
        <v/>
      </c>
      <c r="F137" s="5">
        <f>IF('ORDENES'!$A115="","",IF('ORDENES'!$AA115="","-",'ORDENES'!$AA115))</f>
        <v/>
      </c>
      <c r="G137" s="5">
        <f>IF('ORDENES'!$A115="","",IF('ORDENES'!$Y115="","-",'ORDENES'!$Y115))</f>
        <v/>
      </c>
      <c r="H137" s="5">
        <f>IF('ORDENES'!$A115="","",IF('ORDENES'!$AG115="","-",'ORDENES'!$AG115))</f>
        <v/>
      </c>
      <c r="I137" s="5">
        <f>IF('ORDENES'!$A115="","",IF('ORDENES'!$AT115="","-",'ORDENES'!$AT115))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0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IF('ORDENES'!$A115="","",'ORDENES'!$AF115)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IF('ORDENES'!$A116="","",IF('ORDENES'!$AH116="","-",'ORDENES'!$AH116))</f>
        <v/>
      </c>
      <c r="D138" s="5">
        <f>IF('ORDENES'!$A116="","",IF('ORDENES'!$Z116="","-",'ORDENES'!$Z116))</f>
        <v/>
      </c>
      <c r="E138" s="5">
        <f>IF('ORDENES'!$A116="","",IF('ORDENES'!$X116="","-",'ORDENES'!$X116))</f>
        <v/>
      </c>
      <c r="F138" s="5">
        <f>IF('ORDENES'!$A116="","",IF('ORDENES'!$AA116="","-",'ORDENES'!$AA116))</f>
        <v/>
      </c>
      <c r="G138" s="5">
        <f>IF('ORDENES'!$A116="","",IF('ORDENES'!$Y116="","-",'ORDENES'!$Y116))</f>
        <v/>
      </c>
      <c r="H138" s="5">
        <f>IF('ORDENES'!$A116="","",IF('ORDENES'!$AG116="","-",'ORDENES'!$AG116))</f>
        <v/>
      </c>
      <c r="I138" s="5">
        <f>IF('ORDENES'!$A116="","",IF('ORDENES'!$AT116="","-",'ORDENES'!$AT116))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0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IF('ORDENES'!$A116="","",'ORDENES'!$AF116)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IF('ORDENES'!$A117="","",IF('ORDENES'!$AH117="","-",'ORDENES'!$AH117))</f>
        <v/>
      </c>
      <c r="D139" s="5">
        <f>IF('ORDENES'!$A117="","",IF('ORDENES'!$Z117="","-",'ORDENES'!$Z117))</f>
        <v/>
      </c>
      <c r="E139" s="5">
        <f>IF('ORDENES'!$A117="","",IF('ORDENES'!$X117="","-",'ORDENES'!$X117))</f>
        <v/>
      </c>
      <c r="F139" s="5">
        <f>IF('ORDENES'!$A117="","",IF('ORDENES'!$AA117="","-",'ORDENES'!$AA117))</f>
        <v/>
      </c>
      <c r="G139" s="5">
        <f>IF('ORDENES'!$A117="","",IF('ORDENES'!$Y117="","-",'ORDENES'!$Y117))</f>
        <v/>
      </c>
      <c r="H139" s="5">
        <f>IF('ORDENES'!$A117="","",IF('ORDENES'!$AG117="","-",'ORDENES'!$AG117))</f>
        <v/>
      </c>
      <c r="I139" s="5">
        <f>IF('ORDENES'!$A117="","",IF('ORDENES'!$AT117="","-",'ORDENES'!$AT117))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0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IF('ORDENES'!$A117="","",'ORDENES'!$AF117)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IF('ORDENES'!$A118="","",IF('ORDENES'!$AH118="","-",'ORDENES'!$AH118))</f>
        <v/>
      </c>
      <c r="D140" s="5">
        <f>IF('ORDENES'!$A118="","",IF('ORDENES'!$Z118="","-",'ORDENES'!$Z118))</f>
        <v/>
      </c>
      <c r="E140" s="5">
        <f>IF('ORDENES'!$A118="","",IF('ORDENES'!$X118="","-",'ORDENES'!$X118))</f>
        <v/>
      </c>
      <c r="F140" s="5">
        <f>IF('ORDENES'!$A118="","",IF('ORDENES'!$AA118="","-",'ORDENES'!$AA118))</f>
        <v/>
      </c>
      <c r="G140" s="5">
        <f>IF('ORDENES'!$A118="","",IF('ORDENES'!$Y118="","-",'ORDENES'!$Y118))</f>
        <v/>
      </c>
      <c r="H140" s="5">
        <f>IF('ORDENES'!$A118="","",IF('ORDENES'!$AG118="","-",'ORDENES'!$AG118))</f>
        <v/>
      </c>
      <c r="I140" s="5">
        <f>IF('ORDENES'!$A118="","",IF('ORDENES'!$AT118="","-",'ORDENES'!$AT118))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0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IF('ORDENES'!$A118="","",'ORDENES'!$AF118)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IF('ORDENES'!$A119="","",IF('ORDENES'!$AH119="","-",'ORDENES'!$AH119))</f>
        <v/>
      </c>
      <c r="D141" s="5">
        <f>IF('ORDENES'!$A119="","",IF('ORDENES'!$Z119="","-",'ORDENES'!$Z119))</f>
        <v/>
      </c>
      <c r="E141" s="5">
        <f>IF('ORDENES'!$A119="","",IF('ORDENES'!$X119="","-",'ORDENES'!$X119))</f>
        <v/>
      </c>
      <c r="F141" s="5">
        <f>IF('ORDENES'!$A119="","",IF('ORDENES'!$AA119="","-",'ORDENES'!$AA119))</f>
        <v/>
      </c>
      <c r="G141" s="5">
        <f>IF('ORDENES'!$A119="","",IF('ORDENES'!$Y119="","-",'ORDENES'!$Y119))</f>
        <v/>
      </c>
      <c r="H141" s="5">
        <f>IF('ORDENES'!$A119="","",IF('ORDENES'!$AG119="","-",'ORDENES'!$AG119))</f>
        <v/>
      </c>
      <c r="I141" s="5">
        <f>IF('ORDENES'!$A119="","",IF('ORDENES'!$AT119="","-",'ORDENES'!$AT119))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0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IF('ORDENES'!$A119="","",'ORDENES'!$AF119)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IF('ORDENES'!$A120="","",IF('ORDENES'!$AH120="","-",'ORDENES'!$AH120))</f>
        <v/>
      </c>
      <c r="D142" s="5">
        <f>IF('ORDENES'!$A120="","",IF('ORDENES'!$Z120="","-",'ORDENES'!$Z120))</f>
        <v/>
      </c>
      <c r="E142" s="5">
        <f>IF('ORDENES'!$A120="","",IF('ORDENES'!$X120="","-",'ORDENES'!$X120))</f>
        <v/>
      </c>
      <c r="F142" s="5">
        <f>IF('ORDENES'!$A120="","",IF('ORDENES'!$AA120="","-",'ORDENES'!$AA120))</f>
        <v/>
      </c>
      <c r="G142" s="5">
        <f>IF('ORDENES'!$A120="","",IF('ORDENES'!$Y120="","-",'ORDENES'!$Y120))</f>
        <v/>
      </c>
      <c r="H142" s="5">
        <f>IF('ORDENES'!$A120="","",IF('ORDENES'!$AG120="","-",'ORDENES'!$AG120))</f>
        <v/>
      </c>
      <c r="I142" s="5">
        <f>IF('ORDENES'!$A120="","",IF('ORDENES'!$AT120="","-",'ORDENES'!$AT120))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0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IF('ORDENES'!$A120="","",'ORDENES'!$AF120)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IF('ORDENES'!$A121="","",IF('ORDENES'!$AH121="","-",'ORDENES'!$AH121))</f>
        <v/>
      </c>
      <c r="D143" s="5">
        <f>IF('ORDENES'!$A121="","",IF('ORDENES'!$Z121="","-",'ORDENES'!$Z121))</f>
        <v/>
      </c>
      <c r="E143" s="5">
        <f>IF('ORDENES'!$A121="","",IF('ORDENES'!$X121="","-",'ORDENES'!$X121))</f>
        <v/>
      </c>
      <c r="F143" s="5">
        <f>IF('ORDENES'!$A121="","",IF('ORDENES'!$AA121="","-",'ORDENES'!$AA121))</f>
        <v/>
      </c>
      <c r="G143" s="5">
        <f>IF('ORDENES'!$A121="","",IF('ORDENES'!$Y121="","-",'ORDENES'!$Y121))</f>
        <v/>
      </c>
      <c r="H143" s="5">
        <f>IF('ORDENES'!$A121="","",IF('ORDENES'!$AG121="","-",'ORDENES'!$AG121))</f>
        <v/>
      </c>
      <c r="I143" s="5">
        <f>IF('ORDENES'!$A121="","",IF('ORDENES'!$AT121="","-",'ORDENES'!$AT121))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0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IF('ORDENES'!$A121="","",'ORDENES'!$AF121)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IF('ORDENES'!$A122="","",IF('ORDENES'!$AH122="","-",'ORDENES'!$AH122))</f>
        <v/>
      </c>
      <c r="D144" s="5">
        <f>IF('ORDENES'!$A122="","",IF('ORDENES'!$Z122="","-",'ORDENES'!$Z122))</f>
        <v/>
      </c>
      <c r="E144" s="5">
        <f>IF('ORDENES'!$A122="","",IF('ORDENES'!$X122="","-",'ORDENES'!$X122))</f>
        <v/>
      </c>
      <c r="F144" s="5">
        <f>IF('ORDENES'!$A122="","",IF('ORDENES'!$AA122="","-",'ORDENES'!$AA122))</f>
        <v/>
      </c>
      <c r="G144" s="5">
        <f>IF('ORDENES'!$A122="","",IF('ORDENES'!$Y122="","-",'ORDENES'!$Y122))</f>
        <v/>
      </c>
      <c r="H144" s="5">
        <f>IF('ORDENES'!$A122="","",IF('ORDENES'!$AG122="","-",'ORDENES'!$AG122))</f>
        <v/>
      </c>
      <c r="I144" s="5">
        <f>IF('ORDENES'!$A122="","",IF('ORDENES'!$AT122="","-",'ORDENES'!$AT122))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0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IF('ORDENES'!$A122="","",'ORDENES'!$AF122)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IF('ORDENES'!$A123="","",IF('ORDENES'!$AH123="","-",'ORDENES'!$AH123))</f>
        <v/>
      </c>
      <c r="D145" s="5">
        <f>IF('ORDENES'!$A123="","",IF('ORDENES'!$Z123="","-",'ORDENES'!$Z123))</f>
        <v/>
      </c>
      <c r="E145" s="5">
        <f>IF('ORDENES'!$A123="","",IF('ORDENES'!$X123="","-",'ORDENES'!$X123))</f>
        <v/>
      </c>
      <c r="F145" s="5">
        <f>IF('ORDENES'!$A123="","",IF('ORDENES'!$AA123="","-",'ORDENES'!$AA123))</f>
        <v/>
      </c>
      <c r="G145" s="5">
        <f>IF('ORDENES'!$A123="","",IF('ORDENES'!$Y123="","-",'ORDENES'!$Y123))</f>
        <v/>
      </c>
      <c r="H145" s="5">
        <f>IF('ORDENES'!$A123="","",IF('ORDENES'!$AG123="","-",'ORDENES'!$AG123))</f>
        <v/>
      </c>
      <c r="I145" s="5">
        <f>IF('ORDENES'!$A123="","",IF('ORDENES'!$AT123="","-",'ORDENES'!$AT123))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0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IF('ORDENES'!$A123="","",'ORDENES'!$AF123)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IF('ORDENES'!$A124="","",IF('ORDENES'!$AH124="","-",'ORDENES'!$AH124))</f>
        <v/>
      </c>
      <c r="D146" s="5">
        <f>IF('ORDENES'!$A124="","",IF('ORDENES'!$Z124="","-",'ORDENES'!$Z124))</f>
        <v/>
      </c>
      <c r="E146" s="5">
        <f>IF('ORDENES'!$A124="","",IF('ORDENES'!$X124="","-",'ORDENES'!$X124))</f>
        <v/>
      </c>
      <c r="F146" s="5">
        <f>IF('ORDENES'!$A124="","",IF('ORDENES'!$AA124="","-",'ORDENES'!$AA124))</f>
        <v/>
      </c>
      <c r="G146" s="5">
        <f>IF('ORDENES'!$A124="","",IF('ORDENES'!$Y124="","-",'ORDENES'!$Y124))</f>
        <v/>
      </c>
      <c r="H146" s="5">
        <f>IF('ORDENES'!$A124="","",IF('ORDENES'!$AG124="","-",'ORDENES'!$AG124))</f>
        <v/>
      </c>
      <c r="I146" s="5">
        <f>IF('ORDENES'!$A124="","",IF('ORDENES'!$AT124="","-",'ORDENES'!$AT124))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0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IF('ORDENES'!$A124="","",'ORDENES'!$AF124)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IF('ORDENES'!$A125="","",IF('ORDENES'!$AH125="","-",'ORDENES'!$AH125))</f>
        <v/>
      </c>
      <c r="D147" s="5">
        <f>IF('ORDENES'!$A125="","",IF('ORDENES'!$Z125="","-",'ORDENES'!$Z125))</f>
        <v/>
      </c>
      <c r="E147" s="5">
        <f>IF('ORDENES'!$A125="","",IF('ORDENES'!$X125="","-",'ORDENES'!$X125))</f>
        <v/>
      </c>
      <c r="F147" s="5">
        <f>IF('ORDENES'!$A125="","",IF('ORDENES'!$AA125="","-",'ORDENES'!$AA125))</f>
        <v/>
      </c>
      <c r="G147" s="5">
        <f>IF('ORDENES'!$A125="","",IF('ORDENES'!$Y125="","-",'ORDENES'!$Y125))</f>
        <v/>
      </c>
      <c r="H147" s="5">
        <f>IF('ORDENES'!$A125="","",IF('ORDENES'!$AG125="","-",'ORDENES'!$AG125))</f>
        <v/>
      </c>
      <c r="I147" s="5">
        <f>IF('ORDENES'!$A125="","",IF('ORDENES'!$AT125="","-",'ORDENES'!$AT125))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0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IF('ORDENES'!$A125="","",'ORDENES'!$AF125)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IF('ORDENES'!$A126="","",IF('ORDENES'!$AH126="","-",'ORDENES'!$AH126))</f>
        <v/>
      </c>
      <c r="D148" s="5">
        <f>IF('ORDENES'!$A126="","",IF('ORDENES'!$Z126="","-",'ORDENES'!$Z126))</f>
        <v/>
      </c>
      <c r="E148" s="5">
        <f>IF('ORDENES'!$A126="","",IF('ORDENES'!$X126="","-",'ORDENES'!$X126))</f>
        <v/>
      </c>
      <c r="F148" s="5">
        <f>IF('ORDENES'!$A126="","",IF('ORDENES'!$AA126="","-",'ORDENES'!$AA126))</f>
        <v/>
      </c>
      <c r="G148" s="5">
        <f>IF('ORDENES'!$A126="","",IF('ORDENES'!$Y126="","-",'ORDENES'!$Y126))</f>
        <v/>
      </c>
      <c r="H148" s="5">
        <f>IF('ORDENES'!$A126="","",IF('ORDENES'!$AG126="","-",'ORDENES'!$AG126))</f>
        <v/>
      </c>
      <c r="I148" s="5">
        <f>IF('ORDENES'!$A126="","",IF('ORDENES'!$AT126="","-",'ORDENES'!$AT126))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0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IF('ORDENES'!$A126="","",'ORDENES'!$AF126)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IF('ORDENES'!$A127="","",IF('ORDENES'!$AH127="","-",'ORDENES'!$AH127))</f>
        <v/>
      </c>
      <c r="D149" s="5">
        <f>IF('ORDENES'!$A127="","",IF('ORDENES'!$Z127="","-",'ORDENES'!$Z127))</f>
        <v/>
      </c>
      <c r="E149" s="5">
        <f>IF('ORDENES'!$A127="","",IF('ORDENES'!$X127="","-",'ORDENES'!$X127))</f>
        <v/>
      </c>
      <c r="F149" s="5">
        <f>IF('ORDENES'!$A127="","",IF('ORDENES'!$AA127="","-",'ORDENES'!$AA127))</f>
        <v/>
      </c>
      <c r="G149" s="5">
        <f>IF('ORDENES'!$A127="","",IF('ORDENES'!$Y127="","-",'ORDENES'!$Y127))</f>
        <v/>
      </c>
      <c r="H149" s="5">
        <f>IF('ORDENES'!$A127="","",IF('ORDENES'!$AG127="","-",'ORDENES'!$AG127))</f>
        <v/>
      </c>
      <c r="I149" s="5">
        <f>IF('ORDENES'!$A127="","",IF('ORDENES'!$AT127="","-",'ORDENES'!$AT127))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0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IF('ORDENES'!$A127="","",'ORDENES'!$AF127)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IF('ORDENES'!$A128="","",IF('ORDENES'!$AH128="","-",'ORDENES'!$AH128))</f>
        <v/>
      </c>
      <c r="D150" s="5">
        <f>IF('ORDENES'!$A128="","",IF('ORDENES'!$Z128="","-",'ORDENES'!$Z128))</f>
        <v/>
      </c>
      <c r="E150" s="5">
        <f>IF('ORDENES'!$A128="","",IF('ORDENES'!$X128="","-",'ORDENES'!$X128))</f>
        <v/>
      </c>
      <c r="F150" s="5">
        <f>IF('ORDENES'!$A128="","",IF('ORDENES'!$AA128="","-",'ORDENES'!$AA128))</f>
        <v/>
      </c>
      <c r="G150" s="5">
        <f>IF('ORDENES'!$A128="","",IF('ORDENES'!$Y128="","-",'ORDENES'!$Y128))</f>
        <v/>
      </c>
      <c r="H150" s="5">
        <f>IF('ORDENES'!$A128="","",IF('ORDENES'!$AG128="","-",'ORDENES'!$AG128))</f>
        <v/>
      </c>
      <c r="I150" s="5">
        <f>IF('ORDENES'!$A128="","",IF('ORDENES'!$AT128="","-",'ORDENES'!$AT128))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0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IF('ORDENES'!$A128="","",'ORDENES'!$AF128)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IF('ORDENES'!$A129="","",IF('ORDENES'!$AH129="","-",'ORDENES'!$AH129))</f>
        <v/>
      </c>
      <c r="D151" s="5">
        <f>IF('ORDENES'!$A129="","",IF('ORDENES'!$Z129="","-",'ORDENES'!$Z129))</f>
        <v/>
      </c>
      <c r="E151" s="5">
        <f>IF('ORDENES'!$A129="","",IF('ORDENES'!$X129="","-",'ORDENES'!$X129))</f>
        <v/>
      </c>
      <c r="F151" s="5">
        <f>IF('ORDENES'!$A129="","",IF('ORDENES'!$AA129="","-",'ORDENES'!$AA129))</f>
        <v/>
      </c>
      <c r="G151" s="5">
        <f>IF('ORDENES'!$A129="","",IF('ORDENES'!$Y129="","-",'ORDENES'!$Y129))</f>
        <v/>
      </c>
      <c r="H151" s="5">
        <f>IF('ORDENES'!$A129="","",IF('ORDENES'!$AG129="","-",'ORDENES'!$AG129))</f>
        <v/>
      </c>
      <c r="I151" s="5">
        <f>IF('ORDENES'!$A129="","",IF('ORDENES'!$AT129="","-",'ORDENES'!$AT129))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0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IF('ORDENES'!$A129="","",'ORDENES'!$AF129)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IF('ORDENES'!$A130="","",IF('ORDENES'!$AH130="","-",'ORDENES'!$AH130))</f>
        <v/>
      </c>
      <c r="D152" s="5">
        <f>IF('ORDENES'!$A130="","",IF('ORDENES'!$Z130="","-",'ORDENES'!$Z130))</f>
        <v/>
      </c>
      <c r="E152" s="5">
        <f>IF('ORDENES'!$A130="","",IF('ORDENES'!$X130="","-",'ORDENES'!$X130))</f>
        <v/>
      </c>
      <c r="F152" s="5">
        <f>IF('ORDENES'!$A130="","",IF('ORDENES'!$AA130="","-",'ORDENES'!$AA130))</f>
        <v/>
      </c>
      <c r="G152" s="5">
        <f>IF('ORDENES'!$A130="","",IF('ORDENES'!$Y130="","-",'ORDENES'!$Y130))</f>
        <v/>
      </c>
      <c r="H152" s="5">
        <f>IF('ORDENES'!$A130="","",IF('ORDENES'!$AG130="","-",'ORDENES'!$AG130))</f>
        <v/>
      </c>
      <c r="I152" s="5">
        <f>IF('ORDENES'!$A130="","",IF('ORDENES'!$AT130="","-",'ORDENES'!$AT130))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0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IF('ORDENES'!$A130="","",'ORDENES'!$AF130)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IF('ORDENES'!$A131="","",IF('ORDENES'!$AH131="","-",'ORDENES'!$AH131))</f>
        <v/>
      </c>
      <c r="D153" s="5">
        <f>IF('ORDENES'!$A131="","",IF('ORDENES'!$Z131="","-",'ORDENES'!$Z131))</f>
        <v/>
      </c>
      <c r="E153" s="5">
        <f>IF('ORDENES'!$A131="","",IF('ORDENES'!$X131="","-",'ORDENES'!$X131))</f>
        <v/>
      </c>
      <c r="F153" s="5">
        <f>IF('ORDENES'!$A131="","",IF('ORDENES'!$AA131="","-",'ORDENES'!$AA131))</f>
        <v/>
      </c>
      <c r="G153" s="5">
        <f>IF('ORDENES'!$A131="","",IF('ORDENES'!$Y131="","-",'ORDENES'!$Y131))</f>
        <v/>
      </c>
      <c r="H153" s="5">
        <f>IF('ORDENES'!$A131="","",IF('ORDENES'!$AG131="","-",'ORDENES'!$AG131))</f>
        <v/>
      </c>
      <c r="I153" s="5">
        <f>IF('ORDENES'!$A131="","",IF('ORDENES'!$AT131="","-",'ORDENES'!$AT131))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0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IF('ORDENES'!$A131="","",'ORDENES'!$AF131)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IF('ORDENES'!$A132="","",IF('ORDENES'!$AH132="","-",'ORDENES'!$AH132))</f>
        <v/>
      </c>
      <c r="D154" s="5">
        <f>IF('ORDENES'!$A132="","",IF('ORDENES'!$Z132="","-",'ORDENES'!$Z132))</f>
        <v/>
      </c>
      <c r="E154" s="5">
        <f>IF('ORDENES'!$A132="","",IF('ORDENES'!$X132="","-",'ORDENES'!$X132))</f>
        <v/>
      </c>
      <c r="F154" s="5">
        <f>IF('ORDENES'!$A132="","",IF('ORDENES'!$AA132="","-",'ORDENES'!$AA132))</f>
        <v/>
      </c>
      <c r="G154" s="5">
        <f>IF('ORDENES'!$A132="","",IF('ORDENES'!$Y132="","-",'ORDENES'!$Y132))</f>
        <v/>
      </c>
      <c r="H154" s="5">
        <f>IF('ORDENES'!$A132="","",IF('ORDENES'!$AG132="","-",'ORDENES'!$AG132))</f>
        <v/>
      </c>
      <c r="I154" s="5">
        <f>IF('ORDENES'!$A132="","",IF('ORDENES'!$AT132="","-",'ORDENES'!$AT132))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0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IF('ORDENES'!$A132="","",'ORDENES'!$AF132)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IF('ORDENES'!$A133="","",IF('ORDENES'!$AH133="","-",'ORDENES'!$AH133))</f>
        <v/>
      </c>
      <c r="D155" s="5">
        <f>IF('ORDENES'!$A133="","",IF('ORDENES'!$Z133="","-",'ORDENES'!$Z133))</f>
        <v/>
      </c>
      <c r="E155" s="5">
        <f>IF('ORDENES'!$A133="","",IF('ORDENES'!$X133="","-",'ORDENES'!$X133))</f>
        <v/>
      </c>
      <c r="F155" s="5">
        <f>IF('ORDENES'!$A133="","",IF('ORDENES'!$AA133="","-",'ORDENES'!$AA133))</f>
        <v/>
      </c>
      <c r="G155" s="5">
        <f>IF('ORDENES'!$A133="","",IF('ORDENES'!$Y133="","-",'ORDENES'!$Y133))</f>
        <v/>
      </c>
      <c r="H155" s="5">
        <f>IF('ORDENES'!$A133="","",IF('ORDENES'!$AG133="","-",'ORDENES'!$AG133))</f>
        <v/>
      </c>
      <c r="I155" s="5">
        <f>IF('ORDENES'!$A133="","",IF('ORDENES'!$AT133="","-",'ORDENES'!$AT133))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0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IF('ORDENES'!$A133="","",'ORDENES'!$AF133)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IF('ORDENES'!$A134="","",IF('ORDENES'!$AH134="","-",'ORDENES'!$AH134))</f>
        <v/>
      </c>
      <c r="D156" s="5">
        <f>IF('ORDENES'!$A134="","",IF('ORDENES'!$Z134="","-",'ORDENES'!$Z134))</f>
        <v/>
      </c>
      <c r="E156" s="5">
        <f>IF('ORDENES'!$A134="","",IF('ORDENES'!$X134="","-",'ORDENES'!$X134))</f>
        <v/>
      </c>
      <c r="F156" s="5">
        <f>IF('ORDENES'!$A134="","",IF('ORDENES'!$AA134="","-",'ORDENES'!$AA134))</f>
        <v/>
      </c>
      <c r="G156" s="5">
        <f>IF('ORDENES'!$A134="","",IF('ORDENES'!$Y134="","-",'ORDENES'!$Y134))</f>
        <v/>
      </c>
      <c r="H156" s="5">
        <f>IF('ORDENES'!$A134="","",IF('ORDENES'!$AG134="","-",'ORDENES'!$AG134))</f>
        <v/>
      </c>
      <c r="I156" s="5">
        <f>IF('ORDENES'!$A134="","",IF('ORDENES'!$AT134="","-",'ORDENES'!$AT134))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0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IF('ORDENES'!$A134="","",'ORDENES'!$AF134)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IF('ORDENES'!$A135="","",IF('ORDENES'!$AH135="","-",'ORDENES'!$AH135))</f>
        <v/>
      </c>
      <c r="D157" s="5">
        <f>IF('ORDENES'!$A135="","",IF('ORDENES'!$Z135="","-",'ORDENES'!$Z135))</f>
        <v/>
      </c>
      <c r="E157" s="5">
        <f>IF('ORDENES'!$A135="","",IF('ORDENES'!$X135="","-",'ORDENES'!$X135))</f>
        <v/>
      </c>
      <c r="F157" s="5">
        <f>IF('ORDENES'!$A135="","",IF('ORDENES'!$AA135="","-",'ORDENES'!$AA135))</f>
        <v/>
      </c>
      <c r="G157" s="5">
        <f>IF('ORDENES'!$A135="","",IF('ORDENES'!$Y135="","-",'ORDENES'!$Y135))</f>
        <v/>
      </c>
      <c r="H157" s="5">
        <f>IF('ORDENES'!$A135="","",IF('ORDENES'!$AG135="","-",'ORDENES'!$AG135))</f>
        <v/>
      </c>
      <c r="I157" s="5">
        <f>IF('ORDENES'!$A135="","",IF('ORDENES'!$AT135="","-",'ORDENES'!$AT135))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0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IF('ORDENES'!$A135="","",'ORDENES'!$AF135)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IF('ORDENES'!$A136="","",IF('ORDENES'!$AH136="","-",'ORDENES'!$AH136))</f>
        <v/>
      </c>
      <c r="D158" s="5">
        <f>IF('ORDENES'!$A136="","",IF('ORDENES'!$Z136="","-",'ORDENES'!$Z136))</f>
        <v/>
      </c>
      <c r="E158" s="5">
        <f>IF('ORDENES'!$A136="","",IF('ORDENES'!$X136="","-",'ORDENES'!$X136))</f>
        <v/>
      </c>
      <c r="F158" s="5">
        <f>IF('ORDENES'!$A136="","",IF('ORDENES'!$AA136="","-",'ORDENES'!$AA136))</f>
        <v/>
      </c>
      <c r="G158" s="5">
        <f>IF('ORDENES'!$A136="","",IF('ORDENES'!$Y136="","-",'ORDENES'!$Y136))</f>
        <v/>
      </c>
      <c r="H158" s="5">
        <f>IF('ORDENES'!$A136="","",IF('ORDENES'!$AG136="","-",'ORDENES'!$AG136))</f>
        <v/>
      </c>
      <c r="I158" s="5">
        <f>IF('ORDENES'!$A136="","",IF('ORDENES'!$AT136="","-",'ORDENES'!$AT136))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0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IF('ORDENES'!$A136="","",'ORDENES'!$AF136)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IF('ORDENES'!$A137="","",IF('ORDENES'!$AH137="","-",'ORDENES'!$AH137))</f>
        <v/>
      </c>
      <c r="D159" s="5">
        <f>IF('ORDENES'!$A137="","",IF('ORDENES'!$Z137="","-",'ORDENES'!$Z137))</f>
        <v/>
      </c>
      <c r="E159" s="5">
        <f>IF('ORDENES'!$A137="","",IF('ORDENES'!$X137="","-",'ORDENES'!$X137))</f>
        <v/>
      </c>
      <c r="F159" s="5">
        <f>IF('ORDENES'!$A137="","",IF('ORDENES'!$AA137="","-",'ORDENES'!$AA137))</f>
        <v/>
      </c>
      <c r="G159" s="5">
        <f>IF('ORDENES'!$A137="","",IF('ORDENES'!$Y137="","-",'ORDENES'!$Y137))</f>
        <v/>
      </c>
      <c r="H159" s="5">
        <f>IF('ORDENES'!$A137="","",IF('ORDENES'!$AG137="","-",'ORDENES'!$AG137))</f>
        <v/>
      </c>
      <c r="I159" s="5">
        <f>IF('ORDENES'!$A137="","",IF('ORDENES'!$AT137="","-",'ORDENES'!$AT137))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0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IF('ORDENES'!$A137="","",'ORDENES'!$AF137)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IF('ORDENES'!$A138="","",IF('ORDENES'!$AH138="","-",'ORDENES'!$AH138))</f>
        <v/>
      </c>
      <c r="D160" s="5">
        <f>IF('ORDENES'!$A138="","",IF('ORDENES'!$Z138="","-",'ORDENES'!$Z138))</f>
        <v/>
      </c>
      <c r="E160" s="5">
        <f>IF('ORDENES'!$A138="","",IF('ORDENES'!$X138="","-",'ORDENES'!$X138))</f>
        <v/>
      </c>
      <c r="F160" s="5">
        <f>IF('ORDENES'!$A138="","",IF('ORDENES'!$AA138="","-",'ORDENES'!$AA138))</f>
        <v/>
      </c>
      <c r="G160" s="5">
        <f>IF('ORDENES'!$A138="","",IF('ORDENES'!$Y138="","-",'ORDENES'!$Y138))</f>
        <v/>
      </c>
      <c r="H160" s="5">
        <f>IF('ORDENES'!$A138="","",IF('ORDENES'!$AG138="","-",'ORDENES'!$AG138))</f>
        <v/>
      </c>
      <c r="I160" s="5">
        <f>IF('ORDENES'!$A138="","",IF('ORDENES'!$AT138="","-",'ORDENES'!$AT138))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0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IF('ORDENES'!$A138="","",'ORDENES'!$AF138)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IF('ORDENES'!$A139="","",IF('ORDENES'!$AH139="","-",'ORDENES'!$AH139))</f>
        <v/>
      </c>
      <c r="D161" s="5">
        <f>IF('ORDENES'!$A139="","",IF('ORDENES'!$Z139="","-",'ORDENES'!$Z139))</f>
        <v/>
      </c>
      <c r="E161" s="5">
        <f>IF('ORDENES'!$A139="","",IF('ORDENES'!$X139="","-",'ORDENES'!$X139))</f>
        <v/>
      </c>
      <c r="F161" s="5">
        <f>IF('ORDENES'!$A139="","",IF('ORDENES'!$AA139="","-",'ORDENES'!$AA139))</f>
        <v/>
      </c>
      <c r="G161" s="5">
        <f>IF('ORDENES'!$A139="","",IF('ORDENES'!$Y139="","-",'ORDENES'!$Y139))</f>
        <v/>
      </c>
      <c r="H161" s="5">
        <f>IF('ORDENES'!$A139="","",IF('ORDENES'!$AG139="","-",'ORDENES'!$AG139))</f>
        <v/>
      </c>
      <c r="I161" s="5">
        <f>IF('ORDENES'!$A139="","",IF('ORDENES'!$AT139="","-",'ORDENES'!$AT139))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0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IF('ORDENES'!$A139="","",'ORDENES'!$AF139)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IF('ORDENES'!$A140="","",IF('ORDENES'!$AH140="","-",'ORDENES'!$AH140))</f>
        <v/>
      </c>
      <c r="D162" s="5">
        <f>IF('ORDENES'!$A140="","",IF('ORDENES'!$Z140="","-",'ORDENES'!$Z140))</f>
        <v/>
      </c>
      <c r="E162" s="5">
        <f>IF('ORDENES'!$A140="","",IF('ORDENES'!$X140="","-",'ORDENES'!$X140))</f>
        <v/>
      </c>
      <c r="F162" s="5">
        <f>IF('ORDENES'!$A140="","",IF('ORDENES'!$AA140="","-",'ORDENES'!$AA140))</f>
        <v/>
      </c>
      <c r="G162" s="5">
        <f>IF('ORDENES'!$A140="","",IF('ORDENES'!$Y140="","-",'ORDENES'!$Y140))</f>
        <v/>
      </c>
      <c r="H162" s="5">
        <f>IF('ORDENES'!$A140="","",IF('ORDENES'!$AG140="","-",'ORDENES'!$AG140))</f>
        <v/>
      </c>
      <c r="I162" s="5">
        <f>IF('ORDENES'!$A140="","",IF('ORDENES'!$AT140="","-",'ORDENES'!$AT140))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0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IF('ORDENES'!$A140="","",'ORDENES'!$AF140)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IF('ORDENES'!$A141="","",IF('ORDENES'!$AH141="","-",'ORDENES'!$AH141))</f>
        <v/>
      </c>
      <c r="D163" s="5">
        <f>IF('ORDENES'!$A141="","",IF('ORDENES'!$Z141="","-",'ORDENES'!$Z141))</f>
        <v/>
      </c>
      <c r="E163" s="5">
        <f>IF('ORDENES'!$A141="","",IF('ORDENES'!$X141="","-",'ORDENES'!$X141))</f>
        <v/>
      </c>
      <c r="F163" s="5">
        <f>IF('ORDENES'!$A141="","",IF('ORDENES'!$AA141="","-",'ORDENES'!$AA141))</f>
        <v/>
      </c>
      <c r="G163" s="5">
        <f>IF('ORDENES'!$A141="","",IF('ORDENES'!$Y141="","-",'ORDENES'!$Y141))</f>
        <v/>
      </c>
      <c r="H163" s="5">
        <f>IF('ORDENES'!$A141="","",IF('ORDENES'!$AG141="","-",'ORDENES'!$AG141))</f>
        <v/>
      </c>
      <c r="I163" s="5">
        <f>IF('ORDENES'!$A141="","",IF('ORDENES'!$AT141="","-",'ORDENES'!$AT141))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0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IF('ORDENES'!$A141="","",'ORDENES'!$AF141)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IF('ORDENES'!$A142="","",IF('ORDENES'!$AH142="","-",'ORDENES'!$AH142))</f>
        <v/>
      </c>
      <c r="D164" s="5">
        <f>IF('ORDENES'!$A142="","",IF('ORDENES'!$Z142="","-",'ORDENES'!$Z142))</f>
        <v/>
      </c>
      <c r="E164" s="5">
        <f>IF('ORDENES'!$A142="","",IF('ORDENES'!$X142="","-",'ORDENES'!$X142))</f>
        <v/>
      </c>
      <c r="F164" s="5">
        <f>IF('ORDENES'!$A142="","",IF('ORDENES'!$AA142="","-",'ORDENES'!$AA142))</f>
        <v/>
      </c>
      <c r="G164" s="5">
        <f>IF('ORDENES'!$A142="","",IF('ORDENES'!$Y142="","-",'ORDENES'!$Y142))</f>
        <v/>
      </c>
      <c r="H164" s="5">
        <f>IF('ORDENES'!$A142="","",IF('ORDENES'!$AG142="","-",'ORDENES'!$AG142))</f>
        <v/>
      </c>
      <c r="I164" s="5">
        <f>IF('ORDENES'!$A142="","",IF('ORDENES'!$AT142="","-",'ORDENES'!$AT142))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0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IF('ORDENES'!$A142="","",'ORDENES'!$AF142)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IF('ORDENES'!$A143="","",IF('ORDENES'!$AH143="","-",'ORDENES'!$AH143))</f>
        <v/>
      </c>
      <c r="D165" s="5">
        <f>IF('ORDENES'!$A143="","",IF('ORDENES'!$Z143="","-",'ORDENES'!$Z143))</f>
        <v/>
      </c>
      <c r="E165" s="5">
        <f>IF('ORDENES'!$A143="","",IF('ORDENES'!$X143="","-",'ORDENES'!$X143))</f>
        <v/>
      </c>
      <c r="F165" s="5">
        <f>IF('ORDENES'!$A143="","",IF('ORDENES'!$AA143="","-",'ORDENES'!$AA143))</f>
        <v/>
      </c>
      <c r="G165" s="5">
        <f>IF('ORDENES'!$A143="","",IF('ORDENES'!$Y143="","-",'ORDENES'!$Y143))</f>
        <v/>
      </c>
      <c r="H165" s="5">
        <f>IF('ORDENES'!$A143="","",IF('ORDENES'!$AG143="","-",'ORDENES'!$AG143))</f>
        <v/>
      </c>
      <c r="I165" s="5">
        <f>IF('ORDENES'!$A143="","",IF('ORDENES'!$AT143="","-",'ORDENES'!$AT143))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0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IF('ORDENES'!$A143="","",'ORDENES'!$AF143)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IF('ORDENES'!$A144="","",IF('ORDENES'!$AH144="","-",'ORDENES'!$AH144))</f>
        <v/>
      </c>
      <c r="D166" s="5">
        <f>IF('ORDENES'!$A144="","",IF('ORDENES'!$Z144="","-",'ORDENES'!$Z144))</f>
        <v/>
      </c>
      <c r="E166" s="5">
        <f>IF('ORDENES'!$A144="","",IF('ORDENES'!$X144="","-",'ORDENES'!$X144))</f>
        <v/>
      </c>
      <c r="F166" s="5">
        <f>IF('ORDENES'!$A144="","",IF('ORDENES'!$AA144="","-",'ORDENES'!$AA144))</f>
        <v/>
      </c>
      <c r="G166" s="5">
        <f>IF('ORDENES'!$A144="","",IF('ORDENES'!$Y144="","-",'ORDENES'!$Y144))</f>
        <v/>
      </c>
      <c r="H166" s="5">
        <f>IF('ORDENES'!$A144="","",IF('ORDENES'!$AG144="","-",'ORDENES'!$AG144))</f>
        <v/>
      </c>
      <c r="I166" s="5">
        <f>IF('ORDENES'!$A144="","",IF('ORDENES'!$AT144="","-",'ORDENES'!$AT144))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0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IF('ORDENES'!$A144="","",'ORDENES'!$AF144)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IF('ORDENES'!$A145="","",IF('ORDENES'!$AH145="","-",'ORDENES'!$AH145))</f>
        <v/>
      </c>
      <c r="D167" s="5">
        <f>IF('ORDENES'!$A145="","",IF('ORDENES'!$Z145="","-",'ORDENES'!$Z145))</f>
        <v/>
      </c>
      <c r="E167" s="5">
        <f>IF('ORDENES'!$A145="","",IF('ORDENES'!$X145="","-",'ORDENES'!$X145))</f>
        <v/>
      </c>
      <c r="F167" s="5">
        <f>IF('ORDENES'!$A145="","",IF('ORDENES'!$AA145="","-",'ORDENES'!$AA145))</f>
        <v/>
      </c>
      <c r="G167" s="5">
        <f>IF('ORDENES'!$A145="","",IF('ORDENES'!$Y145="","-",'ORDENES'!$Y145))</f>
        <v/>
      </c>
      <c r="H167" s="5">
        <f>IF('ORDENES'!$A145="","",IF('ORDENES'!$AG145="","-",'ORDENES'!$AG145))</f>
        <v/>
      </c>
      <c r="I167" s="5">
        <f>IF('ORDENES'!$A145="","",IF('ORDENES'!$AT145="","-",'ORDENES'!$AT145))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0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IF('ORDENES'!$A145="","",'ORDENES'!$AF145)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IF('ORDENES'!$A146="","",IF('ORDENES'!$AH146="","-",'ORDENES'!$AH146))</f>
        <v/>
      </c>
      <c r="D168" s="5">
        <f>IF('ORDENES'!$A146="","",IF('ORDENES'!$Z146="","-",'ORDENES'!$Z146))</f>
        <v/>
      </c>
      <c r="E168" s="5">
        <f>IF('ORDENES'!$A146="","",IF('ORDENES'!$X146="","-",'ORDENES'!$X146))</f>
        <v/>
      </c>
      <c r="F168" s="5">
        <f>IF('ORDENES'!$A146="","",IF('ORDENES'!$AA146="","-",'ORDENES'!$AA146))</f>
        <v/>
      </c>
      <c r="G168" s="5">
        <f>IF('ORDENES'!$A146="","",IF('ORDENES'!$Y146="","-",'ORDENES'!$Y146))</f>
        <v/>
      </c>
      <c r="H168" s="5">
        <f>IF('ORDENES'!$A146="","",IF('ORDENES'!$AG146="","-",'ORDENES'!$AG146))</f>
        <v/>
      </c>
      <c r="I168" s="5">
        <f>IF('ORDENES'!$A146="","",IF('ORDENES'!$AT146="","-",'ORDENES'!$AT146))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0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IF('ORDENES'!$A146="","",'ORDENES'!$AF146)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IF('ORDENES'!$A147="","",IF('ORDENES'!$AH147="","-",'ORDENES'!$AH147))</f>
        <v/>
      </c>
      <c r="D169" s="5">
        <f>IF('ORDENES'!$A147="","",IF('ORDENES'!$Z147="","-",'ORDENES'!$Z147))</f>
        <v/>
      </c>
      <c r="E169" s="5">
        <f>IF('ORDENES'!$A147="","",IF('ORDENES'!$X147="","-",'ORDENES'!$X147))</f>
        <v/>
      </c>
      <c r="F169" s="5">
        <f>IF('ORDENES'!$A147="","",IF('ORDENES'!$AA147="","-",'ORDENES'!$AA147))</f>
        <v/>
      </c>
      <c r="G169" s="5">
        <f>IF('ORDENES'!$A147="","",IF('ORDENES'!$Y147="","-",'ORDENES'!$Y147))</f>
        <v/>
      </c>
      <c r="H169" s="5">
        <f>IF('ORDENES'!$A147="","",IF('ORDENES'!$AG147="","-",'ORDENES'!$AG147))</f>
        <v/>
      </c>
      <c r="I169" s="5">
        <f>IF('ORDENES'!$A147="","",IF('ORDENES'!$AT147="","-",'ORDENES'!$AT147))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0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IF('ORDENES'!$A147="","",'ORDENES'!$AF147)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IF('ORDENES'!$A148="","",IF('ORDENES'!$AH148="","-",'ORDENES'!$AH148))</f>
        <v/>
      </c>
      <c r="D170" s="5">
        <f>IF('ORDENES'!$A148="","",IF('ORDENES'!$Z148="","-",'ORDENES'!$Z148))</f>
        <v/>
      </c>
      <c r="E170" s="5">
        <f>IF('ORDENES'!$A148="","",IF('ORDENES'!$X148="","-",'ORDENES'!$X148))</f>
        <v/>
      </c>
      <c r="F170" s="5">
        <f>IF('ORDENES'!$A148="","",IF('ORDENES'!$AA148="","-",'ORDENES'!$AA148))</f>
        <v/>
      </c>
      <c r="G170" s="5">
        <f>IF('ORDENES'!$A148="","",IF('ORDENES'!$Y148="","-",'ORDENES'!$Y148))</f>
        <v/>
      </c>
      <c r="H170" s="5">
        <f>IF('ORDENES'!$A148="","",IF('ORDENES'!$AG148="","-",'ORDENES'!$AG148))</f>
        <v/>
      </c>
      <c r="I170" s="5">
        <f>IF('ORDENES'!$A148="","",IF('ORDENES'!$AT148="","-",'ORDENES'!$AT148))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0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IF('ORDENES'!$A148="","",'ORDENES'!$AF148)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IF('ORDENES'!$A149="","",IF('ORDENES'!$AH149="","-",'ORDENES'!$AH149))</f>
        <v/>
      </c>
      <c r="D171" s="5">
        <f>IF('ORDENES'!$A149="","",IF('ORDENES'!$Z149="","-",'ORDENES'!$Z149))</f>
        <v/>
      </c>
      <c r="E171" s="5">
        <f>IF('ORDENES'!$A149="","",IF('ORDENES'!$X149="","-",'ORDENES'!$X149))</f>
        <v/>
      </c>
      <c r="F171" s="5">
        <f>IF('ORDENES'!$A149="","",IF('ORDENES'!$AA149="","-",'ORDENES'!$AA149))</f>
        <v/>
      </c>
      <c r="G171" s="5">
        <f>IF('ORDENES'!$A149="","",IF('ORDENES'!$Y149="","-",'ORDENES'!$Y149))</f>
        <v/>
      </c>
      <c r="H171" s="5">
        <f>IF('ORDENES'!$A149="","",IF('ORDENES'!$AG149="","-",'ORDENES'!$AG149))</f>
        <v/>
      </c>
      <c r="I171" s="5">
        <f>IF('ORDENES'!$A149="","",IF('ORDENES'!$AT149="","-",'ORDENES'!$AT149))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0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IF('ORDENES'!$A149="","",'ORDENES'!$AF149)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IF('ORDENES'!$A150="","",IF('ORDENES'!$AH150="","-",'ORDENES'!$AH150))</f>
        <v/>
      </c>
      <c r="D172" s="5">
        <f>IF('ORDENES'!$A150="","",IF('ORDENES'!$Z150="","-",'ORDENES'!$Z150))</f>
        <v/>
      </c>
      <c r="E172" s="5">
        <f>IF('ORDENES'!$A150="","",IF('ORDENES'!$X150="","-",'ORDENES'!$X150))</f>
        <v/>
      </c>
      <c r="F172" s="5">
        <f>IF('ORDENES'!$A150="","",IF('ORDENES'!$AA150="","-",'ORDENES'!$AA150))</f>
        <v/>
      </c>
      <c r="G172" s="5">
        <f>IF('ORDENES'!$A150="","",IF('ORDENES'!$Y150="","-",'ORDENES'!$Y150))</f>
        <v/>
      </c>
      <c r="H172" s="5">
        <f>IF('ORDENES'!$A150="","",IF('ORDENES'!$AG150="","-",'ORDENES'!$AG150))</f>
        <v/>
      </c>
      <c r="I172" s="5">
        <f>IF('ORDENES'!$A150="","",IF('ORDENES'!$AT150="","-",'ORDENES'!$AT150))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0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IF('ORDENES'!$A150="","",'ORDENES'!$AF150)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IF('ORDENES'!$A151="","",IF('ORDENES'!$AH151="","-",'ORDENES'!$AH151))</f>
        <v/>
      </c>
      <c r="D173" s="5">
        <f>IF('ORDENES'!$A151="","",IF('ORDENES'!$Z151="","-",'ORDENES'!$Z151))</f>
        <v/>
      </c>
      <c r="E173" s="5">
        <f>IF('ORDENES'!$A151="","",IF('ORDENES'!$X151="","-",'ORDENES'!$X151))</f>
        <v/>
      </c>
      <c r="F173" s="5">
        <f>IF('ORDENES'!$A151="","",IF('ORDENES'!$AA151="","-",'ORDENES'!$AA151))</f>
        <v/>
      </c>
      <c r="G173" s="5">
        <f>IF('ORDENES'!$A151="","",IF('ORDENES'!$Y151="","-",'ORDENES'!$Y151))</f>
        <v/>
      </c>
      <c r="H173" s="5">
        <f>IF('ORDENES'!$A151="","",IF('ORDENES'!$AG151="","-",'ORDENES'!$AG151))</f>
        <v/>
      </c>
      <c r="I173" s="5">
        <f>IF('ORDENES'!$A151="","",IF('ORDENES'!$AT151="","-",'ORDENES'!$AT151))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0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IF('ORDENES'!$A151="","",'ORDENES'!$AF151)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IF('ORDENES'!$A152="","",IF('ORDENES'!$AH152="","-",'ORDENES'!$AH152))</f>
        <v/>
      </c>
      <c r="D174" s="5">
        <f>IF('ORDENES'!$A152="","",IF('ORDENES'!$Z152="","-",'ORDENES'!$Z152))</f>
        <v/>
      </c>
      <c r="E174" s="5">
        <f>IF('ORDENES'!$A152="","",IF('ORDENES'!$X152="","-",'ORDENES'!$X152))</f>
        <v/>
      </c>
      <c r="F174" s="5">
        <f>IF('ORDENES'!$A152="","",IF('ORDENES'!$AA152="","-",'ORDENES'!$AA152))</f>
        <v/>
      </c>
      <c r="G174" s="5">
        <f>IF('ORDENES'!$A152="","",IF('ORDENES'!$Y152="","-",'ORDENES'!$Y152))</f>
        <v/>
      </c>
      <c r="H174" s="5">
        <f>IF('ORDENES'!$A152="","",IF('ORDENES'!$AG152="","-",'ORDENES'!$AG152))</f>
        <v/>
      </c>
      <c r="I174" s="5">
        <f>IF('ORDENES'!$A152="","",IF('ORDENES'!$AT152="","-",'ORDENES'!$AT152))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0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IF('ORDENES'!$A152="","",'ORDENES'!$AF152)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IF('ORDENES'!$A153="","",IF('ORDENES'!$AH153="","-",'ORDENES'!$AH153))</f>
        <v/>
      </c>
      <c r="D175" s="5">
        <f>IF('ORDENES'!$A153="","",IF('ORDENES'!$Z153="","-",'ORDENES'!$Z153))</f>
        <v/>
      </c>
      <c r="E175" s="5">
        <f>IF('ORDENES'!$A153="","",IF('ORDENES'!$X153="","-",'ORDENES'!$X153))</f>
        <v/>
      </c>
      <c r="F175" s="5">
        <f>IF('ORDENES'!$A153="","",IF('ORDENES'!$AA153="","-",'ORDENES'!$AA153))</f>
        <v/>
      </c>
      <c r="G175" s="5">
        <f>IF('ORDENES'!$A153="","",IF('ORDENES'!$Y153="","-",'ORDENES'!$Y153))</f>
        <v/>
      </c>
      <c r="H175" s="5">
        <f>IF('ORDENES'!$A153="","",IF('ORDENES'!$AG153="","-",'ORDENES'!$AG153))</f>
        <v/>
      </c>
      <c r="I175" s="5">
        <f>IF('ORDENES'!$A153="","",IF('ORDENES'!$AT153="","-",'ORDENES'!$AT153))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0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IF('ORDENES'!$A153="","",'ORDENES'!$AF153)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IF('ORDENES'!$A154="","",IF('ORDENES'!$AH154="","-",'ORDENES'!$AH154))</f>
        <v/>
      </c>
      <c r="D176" s="5">
        <f>IF('ORDENES'!$A154="","",IF('ORDENES'!$Z154="","-",'ORDENES'!$Z154))</f>
        <v/>
      </c>
      <c r="E176" s="5">
        <f>IF('ORDENES'!$A154="","",IF('ORDENES'!$X154="","-",'ORDENES'!$X154))</f>
        <v/>
      </c>
      <c r="F176" s="5">
        <f>IF('ORDENES'!$A154="","",IF('ORDENES'!$AA154="","-",'ORDENES'!$AA154))</f>
        <v/>
      </c>
      <c r="G176" s="5">
        <f>IF('ORDENES'!$A154="","",IF('ORDENES'!$Y154="","-",'ORDENES'!$Y154))</f>
        <v/>
      </c>
      <c r="H176" s="5">
        <f>IF('ORDENES'!$A154="","",IF('ORDENES'!$AG154="","-",'ORDENES'!$AG154))</f>
        <v/>
      </c>
      <c r="I176" s="5">
        <f>IF('ORDENES'!$A154="","",IF('ORDENES'!$AT154="","-",'ORDENES'!$AT154))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0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IF('ORDENES'!$A154="","",'ORDENES'!$AF154)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IF('ORDENES'!$A155="","",IF('ORDENES'!$AH155="","-",'ORDENES'!$AH155))</f>
        <v/>
      </c>
      <c r="D177" s="5">
        <f>IF('ORDENES'!$A155="","",IF('ORDENES'!$Z155="","-",'ORDENES'!$Z155))</f>
        <v/>
      </c>
      <c r="E177" s="5">
        <f>IF('ORDENES'!$A155="","",IF('ORDENES'!$X155="","-",'ORDENES'!$X155))</f>
        <v/>
      </c>
      <c r="F177" s="5">
        <f>IF('ORDENES'!$A155="","",IF('ORDENES'!$AA155="","-",'ORDENES'!$AA155))</f>
        <v/>
      </c>
      <c r="G177" s="5">
        <f>IF('ORDENES'!$A155="","",IF('ORDENES'!$Y155="","-",'ORDENES'!$Y155))</f>
        <v/>
      </c>
      <c r="H177" s="5">
        <f>IF('ORDENES'!$A155="","",IF('ORDENES'!$AG155="","-",'ORDENES'!$AG155))</f>
        <v/>
      </c>
      <c r="I177" s="5">
        <f>IF('ORDENES'!$A155="","",IF('ORDENES'!$AT155="","-",'ORDENES'!$AT155))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0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IF('ORDENES'!$A155="","",'ORDENES'!$AF155)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IF('ORDENES'!$A156="","",IF('ORDENES'!$AH156="","-",'ORDENES'!$AH156))</f>
        <v/>
      </c>
      <c r="D178" s="5">
        <f>IF('ORDENES'!$A156="","",IF('ORDENES'!$Z156="","-",'ORDENES'!$Z156))</f>
        <v/>
      </c>
      <c r="E178" s="5">
        <f>IF('ORDENES'!$A156="","",IF('ORDENES'!$X156="","-",'ORDENES'!$X156))</f>
        <v/>
      </c>
      <c r="F178" s="5">
        <f>IF('ORDENES'!$A156="","",IF('ORDENES'!$AA156="","-",'ORDENES'!$AA156))</f>
        <v/>
      </c>
      <c r="G178" s="5">
        <f>IF('ORDENES'!$A156="","",IF('ORDENES'!$Y156="","-",'ORDENES'!$Y156))</f>
        <v/>
      </c>
      <c r="H178" s="5">
        <f>IF('ORDENES'!$A156="","",IF('ORDENES'!$AG156="","-",'ORDENES'!$AG156))</f>
        <v/>
      </c>
      <c r="I178" s="5">
        <f>IF('ORDENES'!$A156="","",IF('ORDENES'!$AT156="","-",'ORDENES'!$AT156))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0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IF('ORDENES'!$A156="","",'ORDENES'!$AF156)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IF('ORDENES'!$A157="","",IF('ORDENES'!$AH157="","-",'ORDENES'!$AH157))</f>
        <v/>
      </c>
      <c r="D179" s="5">
        <f>IF('ORDENES'!$A157="","",IF('ORDENES'!$Z157="","-",'ORDENES'!$Z157))</f>
        <v/>
      </c>
      <c r="E179" s="5">
        <f>IF('ORDENES'!$A157="","",IF('ORDENES'!$X157="","-",'ORDENES'!$X157))</f>
        <v/>
      </c>
      <c r="F179" s="5">
        <f>IF('ORDENES'!$A157="","",IF('ORDENES'!$AA157="","-",'ORDENES'!$AA157))</f>
        <v/>
      </c>
      <c r="G179" s="5">
        <f>IF('ORDENES'!$A157="","",IF('ORDENES'!$Y157="","-",'ORDENES'!$Y157))</f>
        <v/>
      </c>
      <c r="H179" s="5">
        <f>IF('ORDENES'!$A157="","",IF('ORDENES'!$AG157="","-",'ORDENES'!$AG157))</f>
        <v/>
      </c>
      <c r="I179" s="5">
        <f>IF('ORDENES'!$A157="","",IF('ORDENES'!$AT157="","-",'ORDENES'!$AT157))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0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IF('ORDENES'!$A157="","",'ORDENES'!$AF157)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IF('ORDENES'!$A158="","",IF('ORDENES'!$AH158="","-",'ORDENES'!$AH158))</f>
        <v/>
      </c>
      <c r="D180" s="5">
        <f>IF('ORDENES'!$A158="","",IF('ORDENES'!$Z158="","-",'ORDENES'!$Z158))</f>
        <v/>
      </c>
      <c r="E180" s="5">
        <f>IF('ORDENES'!$A158="","",IF('ORDENES'!$X158="","-",'ORDENES'!$X158))</f>
        <v/>
      </c>
      <c r="F180" s="5">
        <f>IF('ORDENES'!$A158="","",IF('ORDENES'!$AA158="","-",'ORDENES'!$AA158))</f>
        <v/>
      </c>
      <c r="G180" s="5">
        <f>IF('ORDENES'!$A158="","",IF('ORDENES'!$Y158="","-",'ORDENES'!$Y158))</f>
        <v/>
      </c>
      <c r="H180" s="5">
        <f>IF('ORDENES'!$A158="","",IF('ORDENES'!$AG158="","-",'ORDENES'!$AG158))</f>
        <v/>
      </c>
      <c r="I180" s="5">
        <f>IF('ORDENES'!$A158="","",IF('ORDENES'!$AT158="","-",'ORDENES'!$AT158))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0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IF('ORDENES'!$A158="","",'ORDENES'!$AF158)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IF('ORDENES'!$A159="","",IF('ORDENES'!$AH159="","-",'ORDENES'!$AH159))</f>
        <v/>
      </c>
      <c r="D181" s="5">
        <f>IF('ORDENES'!$A159="","",IF('ORDENES'!$Z159="","-",'ORDENES'!$Z159))</f>
        <v/>
      </c>
      <c r="E181" s="5">
        <f>IF('ORDENES'!$A159="","",IF('ORDENES'!$X159="","-",'ORDENES'!$X159))</f>
        <v/>
      </c>
      <c r="F181" s="5">
        <f>IF('ORDENES'!$A159="","",IF('ORDENES'!$AA159="","-",'ORDENES'!$AA159))</f>
        <v/>
      </c>
      <c r="G181" s="5">
        <f>IF('ORDENES'!$A159="","",IF('ORDENES'!$Y159="","-",'ORDENES'!$Y159))</f>
        <v/>
      </c>
      <c r="H181" s="5">
        <f>IF('ORDENES'!$A159="","",IF('ORDENES'!$AG159="","-",'ORDENES'!$AG159))</f>
        <v/>
      </c>
      <c r="I181" s="5">
        <f>IF('ORDENES'!$A159="","",IF('ORDENES'!$AT159="","-",'ORDENES'!$AT159))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0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IF('ORDENES'!$A159="","",'ORDENES'!$AF159)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IF('ORDENES'!$A160="","",IF('ORDENES'!$AH160="","-",'ORDENES'!$AH160))</f>
        <v/>
      </c>
      <c r="D182" s="5">
        <f>IF('ORDENES'!$A160="","",IF('ORDENES'!$Z160="","-",'ORDENES'!$Z160))</f>
        <v/>
      </c>
      <c r="E182" s="5">
        <f>IF('ORDENES'!$A160="","",IF('ORDENES'!$X160="","-",'ORDENES'!$X160))</f>
        <v/>
      </c>
      <c r="F182" s="5">
        <f>IF('ORDENES'!$A160="","",IF('ORDENES'!$AA160="","-",'ORDENES'!$AA160))</f>
        <v/>
      </c>
      <c r="G182" s="5">
        <f>IF('ORDENES'!$A160="","",IF('ORDENES'!$Y160="","-",'ORDENES'!$Y160))</f>
        <v/>
      </c>
      <c r="H182" s="5">
        <f>IF('ORDENES'!$A160="","",IF('ORDENES'!$AG160="","-",'ORDENES'!$AG160))</f>
        <v/>
      </c>
      <c r="I182" s="5">
        <f>IF('ORDENES'!$A160="","",IF('ORDENES'!$AT160="","-",'ORDENES'!$AT160))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0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IF('ORDENES'!$A160="","",'ORDENES'!$AF160)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IF('ORDENES'!$A161="","",IF('ORDENES'!$AH161="","-",'ORDENES'!$AH161))</f>
        <v/>
      </c>
      <c r="D183" s="5">
        <f>IF('ORDENES'!$A161="","",IF('ORDENES'!$Z161="","-",'ORDENES'!$Z161))</f>
        <v/>
      </c>
      <c r="E183" s="5">
        <f>IF('ORDENES'!$A161="","",IF('ORDENES'!$X161="","-",'ORDENES'!$X161))</f>
        <v/>
      </c>
      <c r="F183" s="5">
        <f>IF('ORDENES'!$A161="","",IF('ORDENES'!$AA161="","-",'ORDENES'!$AA161))</f>
        <v/>
      </c>
      <c r="G183" s="5">
        <f>IF('ORDENES'!$A161="","",IF('ORDENES'!$Y161="","-",'ORDENES'!$Y161))</f>
        <v/>
      </c>
      <c r="H183" s="5">
        <f>IF('ORDENES'!$A161="","",IF('ORDENES'!$AG161="","-",'ORDENES'!$AG161))</f>
        <v/>
      </c>
      <c r="I183" s="5">
        <f>IF('ORDENES'!$A161="","",IF('ORDENES'!$AT161="","-",'ORDENES'!$AT161))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0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IF('ORDENES'!$A161="","",'ORDENES'!$AF161)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IF('ORDENES'!$A162="","",IF('ORDENES'!$AH162="","-",'ORDENES'!$AH162))</f>
        <v/>
      </c>
      <c r="D184" s="5">
        <f>IF('ORDENES'!$A162="","",IF('ORDENES'!$Z162="","-",'ORDENES'!$Z162))</f>
        <v/>
      </c>
      <c r="E184" s="5">
        <f>IF('ORDENES'!$A162="","",IF('ORDENES'!$X162="","-",'ORDENES'!$X162))</f>
        <v/>
      </c>
      <c r="F184" s="5">
        <f>IF('ORDENES'!$A162="","",IF('ORDENES'!$AA162="","-",'ORDENES'!$AA162))</f>
        <v/>
      </c>
      <c r="G184" s="5">
        <f>IF('ORDENES'!$A162="","",IF('ORDENES'!$Y162="","-",'ORDENES'!$Y162))</f>
        <v/>
      </c>
      <c r="H184" s="5">
        <f>IF('ORDENES'!$A162="","",IF('ORDENES'!$AG162="","-",'ORDENES'!$AG162))</f>
        <v/>
      </c>
      <c r="I184" s="5">
        <f>IF('ORDENES'!$A162="","",IF('ORDENES'!$AT162="","-",'ORDENES'!$AT162))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0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IF('ORDENES'!$A162="","",'ORDENES'!$AF162)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IF('ORDENES'!$A163="","",IF('ORDENES'!$AH163="","-",'ORDENES'!$AH163))</f>
        <v/>
      </c>
      <c r="D185" s="5">
        <f>IF('ORDENES'!$A163="","",IF('ORDENES'!$Z163="","-",'ORDENES'!$Z163))</f>
        <v/>
      </c>
      <c r="E185" s="5">
        <f>IF('ORDENES'!$A163="","",IF('ORDENES'!$X163="","-",'ORDENES'!$X163))</f>
        <v/>
      </c>
      <c r="F185" s="5">
        <f>IF('ORDENES'!$A163="","",IF('ORDENES'!$AA163="","-",'ORDENES'!$AA163))</f>
        <v/>
      </c>
      <c r="G185" s="5">
        <f>IF('ORDENES'!$A163="","",IF('ORDENES'!$Y163="","-",'ORDENES'!$Y163))</f>
        <v/>
      </c>
      <c r="H185" s="5">
        <f>IF('ORDENES'!$A163="","",IF('ORDENES'!$AG163="","-",'ORDENES'!$AG163))</f>
        <v/>
      </c>
      <c r="I185" s="5">
        <f>IF('ORDENES'!$A163="","",IF('ORDENES'!$AT163="","-",'ORDENES'!$AT163))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0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IF('ORDENES'!$A163="","",'ORDENES'!$AF163)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IF('ORDENES'!$A164="","",IF('ORDENES'!$AH164="","-",'ORDENES'!$AH164))</f>
        <v/>
      </c>
      <c r="D186" s="5">
        <f>IF('ORDENES'!$A164="","",IF('ORDENES'!$Z164="","-",'ORDENES'!$Z164))</f>
        <v/>
      </c>
      <c r="E186" s="5">
        <f>IF('ORDENES'!$A164="","",IF('ORDENES'!$X164="","-",'ORDENES'!$X164))</f>
        <v/>
      </c>
      <c r="F186" s="5">
        <f>IF('ORDENES'!$A164="","",IF('ORDENES'!$AA164="","-",'ORDENES'!$AA164))</f>
        <v/>
      </c>
      <c r="G186" s="5">
        <f>IF('ORDENES'!$A164="","",IF('ORDENES'!$Y164="","-",'ORDENES'!$Y164))</f>
        <v/>
      </c>
      <c r="H186" s="5">
        <f>IF('ORDENES'!$A164="","",IF('ORDENES'!$AG164="","-",'ORDENES'!$AG164))</f>
        <v/>
      </c>
      <c r="I186" s="5">
        <f>IF('ORDENES'!$A164="","",IF('ORDENES'!$AT164="","-",'ORDENES'!$AT164))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0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IF('ORDENES'!$A164="","",'ORDENES'!$AF164)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IF('ORDENES'!$A165="","",IF('ORDENES'!$AH165="","-",'ORDENES'!$AH165))</f>
        <v/>
      </c>
      <c r="D187" s="5">
        <f>IF('ORDENES'!$A165="","",IF('ORDENES'!$Z165="","-",'ORDENES'!$Z165))</f>
        <v/>
      </c>
      <c r="E187" s="5">
        <f>IF('ORDENES'!$A165="","",IF('ORDENES'!$X165="","-",'ORDENES'!$X165))</f>
        <v/>
      </c>
      <c r="F187" s="5">
        <f>IF('ORDENES'!$A165="","",IF('ORDENES'!$AA165="","-",'ORDENES'!$AA165))</f>
        <v/>
      </c>
      <c r="G187" s="5">
        <f>IF('ORDENES'!$A165="","",IF('ORDENES'!$Y165="","-",'ORDENES'!$Y165))</f>
        <v/>
      </c>
      <c r="H187" s="5">
        <f>IF('ORDENES'!$A165="","",IF('ORDENES'!$AG165="","-",'ORDENES'!$AG165))</f>
        <v/>
      </c>
      <c r="I187" s="5">
        <f>IF('ORDENES'!$A165="","",IF('ORDENES'!$AT165="","-",'ORDENES'!$AT165))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0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IF('ORDENES'!$A165="","",'ORDENES'!$AF165)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IF('ORDENES'!$A166="","",IF('ORDENES'!$AH166="","-",'ORDENES'!$AH166))</f>
        <v/>
      </c>
      <c r="D188" s="5">
        <f>IF('ORDENES'!$A166="","",IF('ORDENES'!$Z166="","-",'ORDENES'!$Z166))</f>
        <v/>
      </c>
      <c r="E188" s="5">
        <f>IF('ORDENES'!$A166="","",IF('ORDENES'!$X166="","-",'ORDENES'!$X166))</f>
        <v/>
      </c>
      <c r="F188" s="5">
        <f>IF('ORDENES'!$A166="","",IF('ORDENES'!$AA166="","-",'ORDENES'!$AA166))</f>
        <v/>
      </c>
      <c r="G188" s="5">
        <f>IF('ORDENES'!$A166="","",IF('ORDENES'!$Y166="","-",'ORDENES'!$Y166))</f>
        <v/>
      </c>
      <c r="H188" s="5">
        <f>IF('ORDENES'!$A166="","",IF('ORDENES'!$AG166="","-",'ORDENES'!$AG166))</f>
        <v/>
      </c>
      <c r="I188" s="5">
        <f>IF('ORDENES'!$A166="","",IF('ORDENES'!$AT166="","-",'ORDENES'!$AT166))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0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IF('ORDENES'!$A166="","",'ORDENES'!$AF166)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IF('ORDENES'!$A167="","",IF('ORDENES'!$AH167="","-",'ORDENES'!$AH167))</f>
        <v/>
      </c>
      <c r="D189" s="5">
        <f>IF('ORDENES'!$A167="","",IF('ORDENES'!$Z167="","-",'ORDENES'!$Z167))</f>
        <v/>
      </c>
      <c r="E189" s="5">
        <f>IF('ORDENES'!$A167="","",IF('ORDENES'!$X167="","-",'ORDENES'!$X167))</f>
        <v/>
      </c>
      <c r="F189" s="5">
        <f>IF('ORDENES'!$A167="","",IF('ORDENES'!$AA167="","-",'ORDENES'!$AA167))</f>
        <v/>
      </c>
      <c r="G189" s="5">
        <f>IF('ORDENES'!$A167="","",IF('ORDENES'!$Y167="","-",'ORDENES'!$Y167))</f>
        <v/>
      </c>
      <c r="H189" s="5">
        <f>IF('ORDENES'!$A167="","",IF('ORDENES'!$AG167="","-",'ORDENES'!$AG167))</f>
        <v/>
      </c>
      <c r="I189" s="5">
        <f>IF('ORDENES'!$A167="","",IF('ORDENES'!$AT167="","-",'ORDENES'!$AT167))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0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IF('ORDENES'!$A167="","",'ORDENES'!$AF167)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IF('ORDENES'!$A168="","",IF('ORDENES'!$AH168="","-",'ORDENES'!$AH168))</f>
        <v/>
      </c>
      <c r="D190" s="5">
        <f>IF('ORDENES'!$A168="","",IF('ORDENES'!$Z168="","-",'ORDENES'!$Z168))</f>
        <v/>
      </c>
      <c r="E190" s="5">
        <f>IF('ORDENES'!$A168="","",IF('ORDENES'!$X168="","-",'ORDENES'!$X168))</f>
        <v/>
      </c>
      <c r="F190" s="5">
        <f>IF('ORDENES'!$A168="","",IF('ORDENES'!$AA168="","-",'ORDENES'!$AA168))</f>
        <v/>
      </c>
      <c r="G190" s="5">
        <f>IF('ORDENES'!$A168="","",IF('ORDENES'!$Y168="","-",'ORDENES'!$Y168))</f>
        <v/>
      </c>
      <c r="H190" s="5">
        <f>IF('ORDENES'!$A168="","",IF('ORDENES'!$AG168="","-",'ORDENES'!$AG168))</f>
        <v/>
      </c>
      <c r="I190" s="5">
        <f>IF('ORDENES'!$A168="","",IF('ORDENES'!$AT168="","-",'ORDENES'!$AT168))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0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IF('ORDENES'!$A168="","",'ORDENES'!$AF168)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IF('ORDENES'!$A169="","",IF('ORDENES'!$AH169="","-",'ORDENES'!$AH169))</f>
        <v/>
      </c>
      <c r="D191" s="5">
        <f>IF('ORDENES'!$A169="","",IF('ORDENES'!$Z169="","-",'ORDENES'!$Z169))</f>
        <v/>
      </c>
      <c r="E191" s="5">
        <f>IF('ORDENES'!$A169="","",IF('ORDENES'!$X169="","-",'ORDENES'!$X169))</f>
        <v/>
      </c>
      <c r="F191" s="5">
        <f>IF('ORDENES'!$A169="","",IF('ORDENES'!$AA169="","-",'ORDENES'!$AA169))</f>
        <v/>
      </c>
      <c r="G191" s="5">
        <f>IF('ORDENES'!$A169="","",IF('ORDENES'!$Y169="","-",'ORDENES'!$Y169))</f>
        <v/>
      </c>
      <c r="H191" s="5">
        <f>IF('ORDENES'!$A169="","",IF('ORDENES'!$AG169="","-",'ORDENES'!$AG169))</f>
        <v/>
      </c>
      <c r="I191" s="5">
        <f>IF('ORDENES'!$A169="","",IF('ORDENES'!$AT169="","-",'ORDENES'!$AT169))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0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IF('ORDENES'!$A169="","",'ORDENES'!$AF169)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IF('ORDENES'!$A170="","",IF('ORDENES'!$AH170="","-",'ORDENES'!$AH170))</f>
        <v/>
      </c>
      <c r="D192" s="5">
        <f>IF('ORDENES'!$A170="","",IF('ORDENES'!$Z170="","-",'ORDENES'!$Z170))</f>
        <v/>
      </c>
      <c r="E192" s="5">
        <f>IF('ORDENES'!$A170="","",IF('ORDENES'!$X170="","-",'ORDENES'!$X170))</f>
        <v/>
      </c>
      <c r="F192" s="5">
        <f>IF('ORDENES'!$A170="","",IF('ORDENES'!$AA170="","-",'ORDENES'!$AA170))</f>
        <v/>
      </c>
      <c r="G192" s="5">
        <f>IF('ORDENES'!$A170="","",IF('ORDENES'!$Y170="","-",'ORDENES'!$Y170))</f>
        <v/>
      </c>
      <c r="H192" s="5">
        <f>IF('ORDENES'!$A170="","",IF('ORDENES'!$AG170="","-",'ORDENES'!$AG170))</f>
        <v/>
      </c>
      <c r="I192" s="5">
        <f>IF('ORDENES'!$A170="","",IF('ORDENES'!$AT170="","-",'ORDENES'!$AT170))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0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IF('ORDENES'!$A170="","",'ORDENES'!$AF170)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IF('ORDENES'!$A171="","",IF('ORDENES'!$AH171="","-",'ORDENES'!$AH171))</f>
        <v/>
      </c>
      <c r="D193" s="5">
        <f>IF('ORDENES'!$A171="","",IF('ORDENES'!$Z171="","-",'ORDENES'!$Z171))</f>
        <v/>
      </c>
      <c r="E193" s="5">
        <f>IF('ORDENES'!$A171="","",IF('ORDENES'!$X171="","-",'ORDENES'!$X171))</f>
        <v/>
      </c>
      <c r="F193" s="5">
        <f>IF('ORDENES'!$A171="","",IF('ORDENES'!$AA171="","-",'ORDENES'!$AA171))</f>
        <v/>
      </c>
      <c r="G193" s="5">
        <f>IF('ORDENES'!$A171="","",IF('ORDENES'!$Y171="","-",'ORDENES'!$Y171))</f>
        <v/>
      </c>
      <c r="H193" s="5">
        <f>IF('ORDENES'!$A171="","",IF('ORDENES'!$AG171="","-",'ORDENES'!$AG171))</f>
        <v/>
      </c>
      <c r="I193" s="5">
        <f>IF('ORDENES'!$A171="","",IF('ORDENES'!$AT171="","-",'ORDENES'!$AT171))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0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IF('ORDENES'!$A171="","",'ORDENES'!$AF171)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IF('ORDENES'!$A172="","",IF('ORDENES'!$AH172="","-",'ORDENES'!$AH172))</f>
        <v/>
      </c>
      <c r="D194" s="5">
        <f>IF('ORDENES'!$A172="","",IF('ORDENES'!$Z172="","-",'ORDENES'!$Z172))</f>
        <v/>
      </c>
      <c r="E194" s="5">
        <f>IF('ORDENES'!$A172="","",IF('ORDENES'!$X172="","-",'ORDENES'!$X172))</f>
        <v/>
      </c>
      <c r="F194" s="5">
        <f>IF('ORDENES'!$A172="","",IF('ORDENES'!$AA172="","-",'ORDENES'!$AA172))</f>
        <v/>
      </c>
      <c r="G194" s="5">
        <f>IF('ORDENES'!$A172="","",IF('ORDENES'!$Y172="","-",'ORDENES'!$Y172))</f>
        <v/>
      </c>
      <c r="H194" s="5">
        <f>IF('ORDENES'!$A172="","",IF('ORDENES'!$AG172="","-",'ORDENES'!$AG172))</f>
        <v/>
      </c>
      <c r="I194" s="5">
        <f>IF('ORDENES'!$A172="","",IF('ORDENES'!$AT172="","-",'ORDENES'!$AT172))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0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IF('ORDENES'!$A172="","",'ORDENES'!$AF172)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IF('ORDENES'!$A173="","",IF('ORDENES'!$AH173="","-",'ORDENES'!$AH173))</f>
        <v/>
      </c>
      <c r="D195" s="5">
        <f>IF('ORDENES'!$A173="","",IF('ORDENES'!$Z173="","-",'ORDENES'!$Z173))</f>
        <v/>
      </c>
      <c r="E195" s="5">
        <f>IF('ORDENES'!$A173="","",IF('ORDENES'!$X173="","-",'ORDENES'!$X173))</f>
        <v/>
      </c>
      <c r="F195" s="5">
        <f>IF('ORDENES'!$A173="","",IF('ORDENES'!$AA173="","-",'ORDENES'!$AA173))</f>
        <v/>
      </c>
      <c r="G195" s="5">
        <f>IF('ORDENES'!$A173="","",IF('ORDENES'!$Y173="","-",'ORDENES'!$Y173))</f>
        <v/>
      </c>
      <c r="H195" s="5">
        <f>IF('ORDENES'!$A173="","",IF('ORDENES'!$AG173="","-",'ORDENES'!$AG173))</f>
        <v/>
      </c>
      <c r="I195" s="5">
        <f>IF('ORDENES'!$A173="","",IF('ORDENES'!$AT173="","-",'ORDENES'!$AT173))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0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IF('ORDENES'!$A173="","",'ORDENES'!$AF173)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IF('ORDENES'!$A174="","",IF('ORDENES'!$AH174="","-",'ORDENES'!$AH174))</f>
        <v/>
      </c>
      <c r="D196" s="5">
        <f>IF('ORDENES'!$A174="","",IF('ORDENES'!$Z174="","-",'ORDENES'!$Z174))</f>
        <v/>
      </c>
      <c r="E196" s="5">
        <f>IF('ORDENES'!$A174="","",IF('ORDENES'!$X174="","-",'ORDENES'!$X174))</f>
        <v/>
      </c>
      <c r="F196" s="5">
        <f>IF('ORDENES'!$A174="","",IF('ORDENES'!$AA174="","-",'ORDENES'!$AA174))</f>
        <v/>
      </c>
      <c r="G196" s="5">
        <f>IF('ORDENES'!$A174="","",IF('ORDENES'!$Y174="","-",'ORDENES'!$Y174))</f>
        <v/>
      </c>
      <c r="H196" s="5">
        <f>IF('ORDENES'!$A174="","",IF('ORDENES'!$AG174="","-",'ORDENES'!$AG174))</f>
        <v/>
      </c>
      <c r="I196" s="5">
        <f>IF('ORDENES'!$A174="","",IF('ORDENES'!$AT174="","-",'ORDENES'!$AT174))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0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IF('ORDENES'!$A174="","",'ORDENES'!$AF174)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IF('ORDENES'!$A175="","",IF('ORDENES'!$AH175="","-",'ORDENES'!$AH175))</f>
        <v/>
      </c>
      <c r="D197" s="5">
        <f>IF('ORDENES'!$A175="","",IF('ORDENES'!$Z175="","-",'ORDENES'!$Z175))</f>
        <v/>
      </c>
      <c r="E197" s="5">
        <f>IF('ORDENES'!$A175="","",IF('ORDENES'!$X175="","-",'ORDENES'!$X175))</f>
        <v/>
      </c>
      <c r="F197" s="5">
        <f>IF('ORDENES'!$A175="","",IF('ORDENES'!$AA175="","-",'ORDENES'!$AA175))</f>
        <v/>
      </c>
      <c r="G197" s="5">
        <f>IF('ORDENES'!$A175="","",IF('ORDENES'!$Y175="","-",'ORDENES'!$Y175))</f>
        <v/>
      </c>
      <c r="H197" s="5">
        <f>IF('ORDENES'!$A175="","",IF('ORDENES'!$AG175="","-",'ORDENES'!$AG175))</f>
        <v/>
      </c>
      <c r="I197" s="5">
        <f>IF('ORDENES'!$A175="","",IF('ORDENES'!$AT175="","-",'ORDENES'!$AT175))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0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IF('ORDENES'!$A175="","",'ORDENES'!$AF175)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IF('ORDENES'!$A176="","",IF('ORDENES'!$AH176="","-",'ORDENES'!$AH176))</f>
        <v/>
      </c>
      <c r="D198" s="5">
        <f>IF('ORDENES'!$A176="","",IF('ORDENES'!$Z176="","-",'ORDENES'!$Z176))</f>
        <v/>
      </c>
      <c r="E198" s="5">
        <f>IF('ORDENES'!$A176="","",IF('ORDENES'!$X176="","-",'ORDENES'!$X176))</f>
        <v/>
      </c>
      <c r="F198" s="5">
        <f>IF('ORDENES'!$A176="","",IF('ORDENES'!$AA176="","-",'ORDENES'!$AA176))</f>
        <v/>
      </c>
      <c r="G198" s="5">
        <f>IF('ORDENES'!$A176="","",IF('ORDENES'!$Y176="","-",'ORDENES'!$Y176))</f>
        <v/>
      </c>
      <c r="H198" s="5">
        <f>IF('ORDENES'!$A176="","",IF('ORDENES'!$AG176="","-",'ORDENES'!$AG176))</f>
        <v/>
      </c>
      <c r="I198" s="5">
        <f>IF('ORDENES'!$A176="","",IF('ORDENES'!$AT176="","-",'ORDENES'!$AT176))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0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IF('ORDENES'!$A176="","",'ORDENES'!$AF176)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IF('ORDENES'!$A177="","",IF('ORDENES'!$AH177="","-",'ORDENES'!$AH177))</f>
        <v/>
      </c>
      <c r="D199" s="5">
        <f>IF('ORDENES'!$A177="","",IF('ORDENES'!$Z177="","-",'ORDENES'!$Z177))</f>
        <v/>
      </c>
      <c r="E199" s="5">
        <f>IF('ORDENES'!$A177="","",IF('ORDENES'!$X177="","-",'ORDENES'!$X177))</f>
        <v/>
      </c>
      <c r="F199" s="5">
        <f>IF('ORDENES'!$A177="","",IF('ORDENES'!$AA177="","-",'ORDENES'!$AA177))</f>
        <v/>
      </c>
      <c r="G199" s="5">
        <f>IF('ORDENES'!$A177="","",IF('ORDENES'!$Y177="","-",'ORDENES'!$Y177))</f>
        <v/>
      </c>
      <c r="H199" s="5">
        <f>IF('ORDENES'!$A177="","",IF('ORDENES'!$AG177="","-",'ORDENES'!$AG177))</f>
        <v/>
      </c>
      <c r="I199" s="5">
        <f>IF('ORDENES'!$A177="","",IF('ORDENES'!$AT177="","-",'ORDENES'!$AT177))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0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IF('ORDENES'!$A177="","",'ORDENES'!$AF177)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IF('ORDENES'!$A178="","",IF('ORDENES'!$AH178="","-",'ORDENES'!$AH178))</f>
        <v/>
      </c>
      <c r="D200" s="5">
        <f>IF('ORDENES'!$A178="","",IF('ORDENES'!$Z178="","-",'ORDENES'!$Z178))</f>
        <v/>
      </c>
      <c r="E200" s="5">
        <f>IF('ORDENES'!$A178="","",IF('ORDENES'!$X178="","-",'ORDENES'!$X178))</f>
        <v/>
      </c>
      <c r="F200" s="5">
        <f>IF('ORDENES'!$A178="","",IF('ORDENES'!$AA178="","-",'ORDENES'!$AA178))</f>
        <v/>
      </c>
      <c r="G200" s="5">
        <f>IF('ORDENES'!$A178="","",IF('ORDENES'!$Y178="","-",'ORDENES'!$Y178))</f>
        <v/>
      </c>
      <c r="H200" s="5">
        <f>IF('ORDENES'!$A178="","",IF('ORDENES'!$AG178="","-",'ORDENES'!$AG178))</f>
        <v/>
      </c>
      <c r="I200" s="5">
        <f>IF('ORDENES'!$A178="","",IF('ORDENES'!$AT178="","-",'ORDENES'!$AT178))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0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IF('ORDENES'!$A178="","",'ORDENES'!$AF178)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IF('ORDENES'!$A179="","",IF('ORDENES'!$AH179="","-",'ORDENES'!$AH179))</f>
        <v/>
      </c>
      <c r="D201" s="5">
        <f>IF('ORDENES'!$A179="","",IF('ORDENES'!$Z179="","-",'ORDENES'!$Z179))</f>
        <v/>
      </c>
      <c r="E201" s="5">
        <f>IF('ORDENES'!$A179="","",IF('ORDENES'!$X179="","-",'ORDENES'!$X179))</f>
        <v/>
      </c>
      <c r="F201" s="5">
        <f>IF('ORDENES'!$A179="","",IF('ORDENES'!$AA179="","-",'ORDENES'!$AA179))</f>
        <v/>
      </c>
      <c r="G201" s="5">
        <f>IF('ORDENES'!$A179="","",IF('ORDENES'!$Y179="","-",'ORDENES'!$Y179))</f>
        <v/>
      </c>
      <c r="H201" s="5">
        <f>IF('ORDENES'!$A179="","",IF('ORDENES'!$AG179="","-",'ORDENES'!$AG179))</f>
        <v/>
      </c>
      <c r="I201" s="5">
        <f>IF('ORDENES'!$A179="","",IF('ORDENES'!$AT179="","-",'ORDENES'!$AT179))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0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IF('ORDENES'!$A179="","",'ORDENES'!$AF179)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IF('ORDENES'!$A180="","",IF('ORDENES'!$AH180="","-",'ORDENES'!$AH180))</f>
        <v/>
      </c>
      <c r="D202" s="5">
        <f>IF('ORDENES'!$A180="","",IF('ORDENES'!$Z180="","-",'ORDENES'!$Z180))</f>
        <v/>
      </c>
      <c r="E202" s="5">
        <f>IF('ORDENES'!$A180="","",IF('ORDENES'!$X180="","-",'ORDENES'!$X180))</f>
        <v/>
      </c>
      <c r="F202" s="5">
        <f>IF('ORDENES'!$A180="","",IF('ORDENES'!$AA180="","-",'ORDENES'!$AA180))</f>
        <v/>
      </c>
      <c r="G202" s="5">
        <f>IF('ORDENES'!$A180="","",IF('ORDENES'!$Y180="","-",'ORDENES'!$Y180))</f>
        <v/>
      </c>
      <c r="H202" s="5">
        <f>IF('ORDENES'!$A180="","",IF('ORDENES'!$AG180="","-",'ORDENES'!$AG180))</f>
        <v/>
      </c>
      <c r="I202" s="5">
        <f>IF('ORDENES'!$A180="","",IF('ORDENES'!$AT180="","-",'ORDENES'!$AT180))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0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IF('ORDENES'!$A180="","",'ORDENES'!$AF180)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IF('ORDENES'!$A181="","",IF('ORDENES'!$AH181="","-",'ORDENES'!$AH181))</f>
        <v/>
      </c>
      <c r="D203" s="5">
        <f>IF('ORDENES'!$A181="","",IF('ORDENES'!$Z181="","-",'ORDENES'!$Z181))</f>
        <v/>
      </c>
      <c r="E203" s="5">
        <f>IF('ORDENES'!$A181="","",IF('ORDENES'!$X181="","-",'ORDENES'!$X181))</f>
        <v/>
      </c>
      <c r="F203" s="5">
        <f>IF('ORDENES'!$A181="","",IF('ORDENES'!$AA181="","-",'ORDENES'!$AA181))</f>
        <v/>
      </c>
      <c r="G203" s="5">
        <f>IF('ORDENES'!$A181="","",IF('ORDENES'!$Y181="","-",'ORDENES'!$Y181))</f>
        <v/>
      </c>
      <c r="H203" s="5">
        <f>IF('ORDENES'!$A181="","",IF('ORDENES'!$AG181="","-",'ORDENES'!$AG181))</f>
        <v/>
      </c>
      <c r="I203" s="5">
        <f>IF('ORDENES'!$A181="","",IF('ORDENES'!$AT181="","-",'ORDENES'!$AT181))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0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IF('ORDENES'!$A181="","",'ORDENES'!$AF181)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IF('ORDENES'!$A182="","",IF('ORDENES'!$AH182="","-",'ORDENES'!$AH182))</f>
        <v/>
      </c>
      <c r="D204" s="5">
        <f>IF('ORDENES'!$A182="","",IF('ORDENES'!$Z182="","-",'ORDENES'!$Z182))</f>
        <v/>
      </c>
      <c r="E204" s="5">
        <f>IF('ORDENES'!$A182="","",IF('ORDENES'!$X182="","-",'ORDENES'!$X182))</f>
        <v/>
      </c>
      <c r="F204" s="5">
        <f>IF('ORDENES'!$A182="","",IF('ORDENES'!$AA182="","-",'ORDENES'!$AA182))</f>
        <v/>
      </c>
      <c r="G204" s="5">
        <f>IF('ORDENES'!$A182="","",IF('ORDENES'!$Y182="","-",'ORDENES'!$Y182))</f>
        <v/>
      </c>
      <c r="H204" s="5">
        <f>IF('ORDENES'!$A182="","",IF('ORDENES'!$AG182="","-",'ORDENES'!$AG182))</f>
        <v/>
      </c>
      <c r="I204" s="5">
        <f>IF('ORDENES'!$A182="","",IF('ORDENES'!$AT182="","-",'ORDENES'!$AT182))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0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IF('ORDENES'!$A182="","",'ORDENES'!$AF182)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IF('ORDENES'!$A183="","",IF('ORDENES'!$AH183="","-",'ORDENES'!$AH183))</f>
        <v/>
      </c>
      <c r="D205" s="5">
        <f>IF('ORDENES'!$A183="","",IF('ORDENES'!$Z183="","-",'ORDENES'!$Z183))</f>
        <v/>
      </c>
      <c r="E205" s="5">
        <f>IF('ORDENES'!$A183="","",IF('ORDENES'!$X183="","-",'ORDENES'!$X183))</f>
        <v/>
      </c>
      <c r="F205" s="5">
        <f>IF('ORDENES'!$A183="","",IF('ORDENES'!$AA183="","-",'ORDENES'!$AA183))</f>
        <v/>
      </c>
      <c r="G205" s="5">
        <f>IF('ORDENES'!$A183="","",IF('ORDENES'!$Y183="","-",'ORDENES'!$Y183))</f>
        <v/>
      </c>
      <c r="H205" s="5">
        <f>IF('ORDENES'!$A183="","",IF('ORDENES'!$AG183="","-",'ORDENES'!$AG183))</f>
        <v/>
      </c>
      <c r="I205" s="5">
        <f>IF('ORDENES'!$A183="","",IF('ORDENES'!$AT183="","-",'ORDENES'!$AT183))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0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IF('ORDENES'!$A183="","",'ORDENES'!$AF183)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IF('ORDENES'!$A184="","",IF('ORDENES'!$AH184="","-",'ORDENES'!$AH184))</f>
        <v/>
      </c>
      <c r="D206" s="5">
        <f>IF('ORDENES'!$A184="","",IF('ORDENES'!$Z184="","-",'ORDENES'!$Z184))</f>
        <v/>
      </c>
      <c r="E206" s="5">
        <f>IF('ORDENES'!$A184="","",IF('ORDENES'!$X184="","-",'ORDENES'!$X184))</f>
        <v/>
      </c>
      <c r="F206" s="5">
        <f>IF('ORDENES'!$A184="","",IF('ORDENES'!$AA184="","-",'ORDENES'!$AA184))</f>
        <v/>
      </c>
      <c r="G206" s="5">
        <f>IF('ORDENES'!$A184="","",IF('ORDENES'!$Y184="","-",'ORDENES'!$Y184))</f>
        <v/>
      </c>
      <c r="H206" s="5">
        <f>IF('ORDENES'!$A184="","",IF('ORDENES'!$AG184="","-",'ORDENES'!$AG184))</f>
        <v/>
      </c>
      <c r="I206" s="5">
        <f>IF('ORDENES'!$A184="","",IF('ORDENES'!$AT184="","-",'ORDENES'!$AT184))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0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IF('ORDENES'!$A184="","",'ORDENES'!$AF184)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IF('ORDENES'!$A185="","",IF('ORDENES'!$AH185="","-",'ORDENES'!$AH185))</f>
        <v/>
      </c>
      <c r="D207" s="5">
        <f>IF('ORDENES'!$A185="","",IF('ORDENES'!$Z185="","-",'ORDENES'!$Z185))</f>
        <v/>
      </c>
      <c r="E207" s="5">
        <f>IF('ORDENES'!$A185="","",IF('ORDENES'!$X185="","-",'ORDENES'!$X185))</f>
        <v/>
      </c>
      <c r="F207" s="5">
        <f>IF('ORDENES'!$A185="","",IF('ORDENES'!$AA185="","-",'ORDENES'!$AA185))</f>
        <v/>
      </c>
      <c r="G207" s="5">
        <f>IF('ORDENES'!$A185="","",IF('ORDENES'!$Y185="","-",'ORDENES'!$Y185))</f>
        <v/>
      </c>
      <c r="H207" s="5">
        <f>IF('ORDENES'!$A185="","",IF('ORDENES'!$AG185="","-",'ORDENES'!$AG185))</f>
        <v/>
      </c>
      <c r="I207" s="5">
        <f>IF('ORDENES'!$A185="","",IF('ORDENES'!$AT185="","-",'ORDENES'!$AT185))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0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IF('ORDENES'!$A185="","",'ORDENES'!$AF185)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IF('ORDENES'!$A186="","",IF('ORDENES'!$AH186="","-",'ORDENES'!$AH186))</f>
        <v/>
      </c>
      <c r="D208" s="5">
        <f>IF('ORDENES'!$A186="","",IF('ORDENES'!$Z186="","-",'ORDENES'!$Z186))</f>
        <v/>
      </c>
      <c r="E208" s="5">
        <f>IF('ORDENES'!$A186="","",IF('ORDENES'!$X186="","-",'ORDENES'!$X186))</f>
        <v/>
      </c>
      <c r="F208" s="5">
        <f>IF('ORDENES'!$A186="","",IF('ORDENES'!$AA186="","-",'ORDENES'!$AA186))</f>
        <v/>
      </c>
      <c r="G208" s="5">
        <f>IF('ORDENES'!$A186="","",IF('ORDENES'!$Y186="","-",'ORDENES'!$Y186))</f>
        <v/>
      </c>
      <c r="H208" s="5">
        <f>IF('ORDENES'!$A186="","",IF('ORDENES'!$AG186="","-",'ORDENES'!$AG186))</f>
        <v/>
      </c>
      <c r="I208" s="5">
        <f>IF('ORDENES'!$A186="","",IF('ORDENES'!$AT186="","-",'ORDENES'!$AT186))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0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IF('ORDENES'!$A186="","",'ORDENES'!$AF186)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IF('ORDENES'!$A187="","",IF('ORDENES'!$AH187="","-",'ORDENES'!$AH187))</f>
        <v/>
      </c>
      <c r="D209" s="5">
        <f>IF('ORDENES'!$A187="","",IF('ORDENES'!$Z187="","-",'ORDENES'!$Z187))</f>
        <v/>
      </c>
      <c r="E209" s="5">
        <f>IF('ORDENES'!$A187="","",IF('ORDENES'!$X187="","-",'ORDENES'!$X187))</f>
        <v/>
      </c>
      <c r="F209" s="5">
        <f>IF('ORDENES'!$A187="","",IF('ORDENES'!$AA187="","-",'ORDENES'!$AA187))</f>
        <v/>
      </c>
      <c r="G209" s="5">
        <f>IF('ORDENES'!$A187="","",IF('ORDENES'!$Y187="","-",'ORDENES'!$Y187))</f>
        <v/>
      </c>
      <c r="H209" s="5">
        <f>IF('ORDENES'!$A187="","",IF('ORDENES'!$AG187="","-",'ORDENES'!$AG187))</f>
        <v/>
      </c>
      <c r="I209" s="5">
        <f>IF('ORDENES'!$A187="","",IF('ORDENES'!$AT187="","-",'ORDENES'!$AT187))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0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IF('ORDENES'!$A187="","",'ORDENES'!$AF187)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IF('ORDENES'!$A188="","",IF('ORDENES'!$AH188="","-",'ORDENES'!$AH188))</f>
        <v/>
      </c>
      <c r="D210" s="5">
        <f>IF('ORDENES'!$A188="","",IF('ORDENES'!$Z188="","-",'ORDENES'!$Z188))</f>
        <v/>
      </c>
      <c r="E210" s="5">
        <f>IF('ORDENES'!$A188="","",IF('ORDENES'!$X188="","-",'ORDENES'!$X188))</f>
        <v/>
      </c>
      <c r="F210" s="5">
        <f>IF('ORDENES'!$A188="","",IF('ORDENES'!$AA188="","-",'ORDENES'!$AA188))</f>
        <v/>
      </c>
      <c r="G210" s="5">
        <f>IF('ORDENES'!$A188="","",IF('ORDENES'!$Y188="","-",'ORDENES'!$Y188))</f>
        <v/>
      </c>
      <c r="H210" s="5">
        <f>IF('ORDENES'!$A188="","",IF('ORDENES'!$AG188="","-",'ORDENES'!$AG188))</f>
        <v/>
      </c>
      <c r="I210" s="5">
        <f>IF('ORDENES'!$A188="","",IF('ORDENES'!$AT188="","-",'ORDENES'!$AT188))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0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IF('ORDENES'!$A188="","",'ORDENES'!$AF188)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IF('ORDENES'!$A189="","",IF('ORDENES'!$AH189="","-",'ORDENES'!$AH189))</f>
        <v/>
      </c>
      <c r="D211" s="5">
        <f>IF('ORDENES'!$A189="","",IF('ORDENES'!$Z189="","-",'ORDENES'!$Z189))</f>
        <v/>
      </c>
      <c r="E211" s="5">
        <f>IF('ORDENES'!$A189="","",IF('ORDENES'!$X189="","-",'ORDENES'!$X189))</f>
        <v/>
      </c>
      <c r="F211" s="5">
        <f>IF('ORDENES'!$A189="","",IF('ORDENES'!$AA189="","-",'ORDENES'!$AA189))</f>
        <v/>
      </c>
      <c r="G211" s="5">
        <f>IF('ORDENES'!$A189="","",IF('ORDENES'!$Y189="","-",'ORDENES'!$Y189))</f>
        <v/>
      </c>
      <c r="H211" s="5">
        <f>IF('ORDENES'!$A189="","",IF('ORDENES'!$AG189="","-",'ORDENES'!$AG189))</f>
        <v/>
      </c>
      <c r="I211" s="5">
        <f>IF('ORDENES'!$A189="","",IF('ORDENES'!$AT189="","-",'ORDENES'!$AT189))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0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IF('ORDENES'!$A189="","",'ORDENES'!$AF189)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IF('ORDENES'!$A190="","",IF('ORDENES'!$AH190="","-",'ORDENES'!$AH190))</f>
        <v/>
      </c>
      <c r="D212" s="5">
        <f>IF('ORDENES'!$A190="","",IF('ORDENES'!$Z190="","-",'ORDENES'!$Z190))</f>
        <v/>
      </c>
      <c r="E212" s="5">
        <f>IF('ORDENES'!$A190="","",IF('ORDENES'!$X190="","-",'ORDENES'!$X190))</f>
        <v/>
      </c>
      <c r="F212" s="5">
        <f>IF('ORDENES'!$A190="","",IF('ORDENES'!$AA190="","-",'ORDENES'!$AA190))</f>
        <v/>
      </c>
      <c r="G212" s="5">
        <f>IF('ORDENES'!$A190="","",IF('ORDENES'!$Y190="","-",'ORDENES'!$Y190))</f>
        <v/>
      </c>
      <c r="H212" s="5">
        <f>IF('ORDENES'!$A190="","",IF('ORDENES'!$AG190="","-",'ORDENES'!$AG190))</f>
        <v/>
      </c>
      <c r="I212" s="5">
        <f>IF('ORDENES'!$A190="","",IF('ORDENES'!$AT190="","-",'ORDENES'!$AT190))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0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IF('ORDENES'!$A190="","",'ORDENES'!$AF190)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IF('ORDENES'!$A191="","",IF('ORDENES'!$AH191="","-",'ORDENES'!$AH191))</f>
        <v/>
      </c>
      <c r="D213" s="5">
        <f>IF('ORDENES'!$A191="","",IF('ORDENES'!$Z191="","-",'ORDENES'!$Z191))</f>
        <v/>
      </c>
      <c r="E213" s="5">
        <f>IF('ORDENES'!$A191="","",IF('ORDENES'!$X191="","-",'ORDENES'!$X191))</f>
        <v/>
      </c>
      <c r="F213" s="5">
        <f>IF('ORDENES'!$A191="","",IF('ORDENES'!$AA191="","-",'ORDENES'!$AA191))</f>
        <v/>
      </c>
      <c r="G213" s="5">
        <f>IF('ORDENES'!$A191="","",IF('ORDENES'!$Y191="","-",'ORDENES'!$Y191))</f>
        <v/>
      </c>
      <c r="H213" s="5">
        <f>IF('ORDENES'!$A191="","",IF('ORDENES'!$AG191="","-",'ORDENES'!$AG191))</f>
        <v/>
      </c>
      <c r="I213" s="5">
        <f>IF('ORDENES'!$A191="","",IF('ORDENES'!$AT191="","-",'ORDENES'!$AT191))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0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IF('ORDENES'!$A191="","",'ORDENES'!$AF191)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IF('ORDENES'!$A192="","",IF('ORDENES'!$AH192="","-",'ORDENES'!$AH192))</f>
        <v/>
      </c>
      <c r="D214" s="5">
        <f>IF('ORDENES'!$A192="","",IF('ORDENES'!$Z192="","-",'ORDENES'!$Z192))</f>
        <v/>
      </c>
      <c r="E214" s="5">
        <f>IF('ORDENES'!$A192="","",IF('ORDENES'!$X192="","-",'ORDENES'!$X192))</f>
        <v/>
      </c>
      <c r="F214" s="5">
        <f>IF('ORDENES'!$A192="","",IF('ORDENES'!$AA192="","-",'ORDENES'!$AA192))</f>
        <v/>
      </c>
      <c r="G214" s="5">
        <f>IF('ORDENES'!$A192="","",IF('ORDENES'!$Y192="","-",'ORDENES'!$Y192))</f>
        <v/>
      </c>
      <c r="H214" s="5">
        <f>IF('ORDENES'!$A192="","",IF('ORDENES'!$AG192="","-",'ORDENES'!$AG192))</f>
        <v/>
      </c>
      <c r="I214" s="5">
        <f>IF('ORDENES'!$A192="","",IF('ORDENES'!$AT192="","-",'ORDENES'!$AT192))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0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IF('ORDENES'!$A192="","",'ORDENES'!$AF192)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IF('ORDENES'!$A193="","",IF('ORDENES'!$AH193="","-",'ORDENES'!$AH193))</f>
        <v/>
      </c>
      <c r="D215" s="5">
        <f>IF('ORDENES'!$A193="","",IF('ORDENES'!$Z193="","-",'ORDENES'!$Z193))</f>
        <v/>
      </c>
      <c r="E215" s="5">
        <f>IF('ORDENES'!$A193="","",IF('ORDENES'!$X193="","-",'ORDENES'!$X193))</f>
        <v/>
      </c>
      <c r="F215" s="5">
        <f>IF('ORDENES'!$A193="","",IF('ORDENES'!$AA193="","-",'ORDENES'!$AA193))</f>
        <v/>
      </c>
      <c r="G215" s="5">
        <f>IF('ORDENES'!$A193="","",IF('ORDENES'!$Y193="","-",'ORDENES'!$Y193))</f>
        <v/>
      </c>
      <c r="H215" s="5">
        <f>IF('ORDENES'!$A193="","",IF('ORDENES'!$AG193="","-",'ORDENES'!$AG193))</f>
        <v/>
      </c>
      <c r="I215" s="5">
        <f>IF('ORDENES'!$A193="","",IF('ORDENES'!$AT193="","-",'ORDENES'!$AT193))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0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IF('ORDENES'!$A193="","",'ORDENES'!$AF193)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IF('ORDENES'!$A194="","",IF('ORDENES'!$AH194="","-",'ORDENES'!$AH194))</f>
        <v/>
      </c>
      <c r="D216" s="5">
        <f>IF('ORDENES'!$A194="","",IF('ORDENES'!$Z194="","-",'ORDENES'!$Z194))</f>
        <v/>
      </c>
      <c r="E216" s="5">
        <f>IF('ORDENES'!$A194="","",IF('ORDENES'!$X194="","-",'ORDENES'!$X194))</f>
        <v/>
      </c>
      <c r="F216" s="5">
        <f>IF('ORDENES'!$A194="","",IF('ORDENES'!$AA194="","-",'ORDENES'!$AA194))</f>
        <v/>
      </c>
      <c r="G216" s="5">
        <f>IF('ORDENES'!$A194="","",IF('ORDENES'!$Y194="","-",'ORDENES'!$Y194))</f>
        <v/>
      </c>
      <c r="H216" s="5">
        <f>IF('ORDENES'!$A194="","",IF('ORDENES'!$AG194="","-",'ORDENES'!$AG194))</f>
        <v/>
      </c>
      <c r="I216" s="5">
        <f>IF('ORDENES'!$A194="","",IF('ORDENES'!$AT194="","-",'ORDENES'!$AT194))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0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IF('ORDENES'!$A194="","",'ORDENES'!$AF194)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IF('ORDENES'!$A195="","",IF('ORDENES'!$AH195="","-",'ORDENES'!$AH195))</f>
        <v/>
      </c>
      <c r="D217" s="5">
        <f>IF('ORDENES'!$A195="","",IF('ORDENES'!$Z195="","-",'ORDENES'!$Z195))</f>
        <v/>
      </c>
      <c r="E217" s="5">
        <f>IF('ORDENES'!$A195="","",IF('ORDENES'!$X195="","-",'ORDENES'!$X195))</f>
        <v/>
      </c>
      <c r="F217" s="5">
        <f>IF('ORDENES'!$A195="","",IF('ORDENES'!$AA195="","-",'ORDENES'!$AA195))</f>
        <v/>
      </c>
      <c r="G217" s="5">
        <f>IF('ORDENES'!$A195="","",IF('ORDENES'!$Y195="","-",'ORDENES'!$Y195))</f>
        <v/>
      </c>
      <c r="H217" s="5">
        <f>IF('ORDENES'!$A195="","",IF('ORDENES'!$AG195="","-",'ORDENES'!$AG195))</f>
        <v/>
      </c>
      <c r="I217" s="5">
        <f>IF('ORDENES'!$A195="","",IF('ORDENES'!$AT195="","-",'ORDENES'!$AT195))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0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IF('ORDENES'!$A195="","",'ORDENES'!$AF195)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IF('ORDENES'!$A196="","",IF('ORDENES'!$AH196="","-",'ORDENES'!$AH196))</f>
        <v/>
      </c>
      <c r="D218" s="5">
        <f>IF('ORDENES'!$A196="","",IF('ORDENES'!$Z196="","-",'ORDENES'!$Z196))</f>
        <v/>
      </c>
      <c r="E218" s="5">
        <f>IF('ORDENES'!$A196="","",IF('ORDENES'!$X196="","-",'ORDENES'!$X196))</f>
        <v/>
      </c>
      <c r="F218" s="5">
        <f>IF('ORDENES'!$A196="","",IF('ORDENES'!$AA196="","-",'ORDENES'!$AA196))</f>
        <v/>
      </c>
      <c r="G218" s="5">
        <f>IF('ORDENES'!$A196="","",IF('ORDENES'!$Y196="","-",'ORDENES'!$Y196))</f>
        <v/>
      </c>
      <c r="H218" s="5">
        <f>IF('ORDENES'!$A196="","",IF('ORDENES'!$AG196="","-",'ORDENES'!$AG196))</f>
        <v/>
      </c>
      <c r="I218" s="5">
        <f>IF('ORDENES'!$A196="","",IF('ORDENES'!$AT196="","-",'ORDENES'!$AT196))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0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IF('ORDENES'!$A196="","",'ORDENES'!$AF196)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IF('ORDENES'!$A197="","",IF('ORDENES'!$AH197="","-",'ORDENES'!$AH197))</f>
        <v/>
      </c>
      <c r="D219" s="5">
        <f>IF('ORDENES'!$A197="","",IF('ORDENES'!$Z197="","-",'ORDENES'!$Z197))</f>
        <v/>
      </c>
      <c r="E219" s="5">
        <f>IF('ORDENES'!$A197="","",IF('ORDENES'!$X197="","-",'ORDENES'!$X197))</f>
        <v/>
      </c>
      <c r="F219" s="5">
        <f>IF('ORDENES'!$A197="","",IF('ORDENES'!$AA197="","-",'ORDENES'!$AA197))</f>
        <v/>
      </c>
      <c r="G219" s="5">
        <f>IF('ORDENES'!$A197="","",IF('ORDENES'!$Y197="","-",'ORDENES'!$Y197))</f>
        <v/>
      </c>
      <c r="H219" s="5">
        <f>IF('ORDENES'!$A197="","",IF('ORDENES'!$AG197="","-",'ORDENES'!$AG197))</f>
        <v/>
      </c>
      <c r="I219" s="5">
        <f>IF('ORDENES'!$A197="","",IF('ORDENES'!$AT197="","-",'ORDENES'!$AT197))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0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IF('ORDENES'!$A197="","",'ORDENES'!$AF197)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IF('ORDENES'!$A198="","",IF('ORDENES'!$AH198="","-",'ORDENES'!$AH198))</f>
        <v/>
      </c>
      <c r="D220" s="5">
        <f>IF('ORDENES'!$A198="","",IF('ORDENES'!$Z198="","-",'ORDENES'!$Z198))</f>
        <v/>
      </c>
      <c r="E220" s="5">
        <f>IF('ORDENES'!$A198="","",IF('ORDENES'!$X198="","-",'ORDENES'!$X198))</f>
        <v/>
      </c>
      <c r="F220" s="5">
        <f>IF('ORDENES'!$A198="","",IF('ORDENES'!$AA198="","-",'ORDENES'!$AA198))</f>
        <v/>
      </c>
      <c r="G220" s="5">
        <f>IF('ORDENES'!$A198="","",IF('ORDENES'!$Y198="","-",'ORDENES'!$Y198))</f>
        <v/>
      </c>
      <c r="H220" s="5">
        <f>IF('ORDENES'!$A198="","",IF('ORDENES'!$AG198="","-",'ORDENES'!$AG198))</f>
        <v/>
      </c>
      <c r="I220" s="5">
        <f>IF('ORDENES'!$A198="","",IF('ORDENES'!$AT198="","-",'ORDENES'!$AT198))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0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IF('ORDENES'!$A198="","",'ORDENES'!$AF198)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IF('ORDENES'!$A199="","",IF('ORDENES'!$AH199="","-",'ORDENES'!$AH199))</f>
        <v/>
      </c>
      <c r="D221" s="5">
        <f>IF('ORDENES'!$A199="","",IF('ORDENES'!$Z199="","-",'ORDENES'!$Z199))</f>
        <v/>
      </c>
      <c r="E221" s="5">
        <f>IF('ORDENES'!$A199="","",IF('ORDENES'!$X199="","-",'ORDENES'!$X199))</f>
        <v/>
      </c>
      <c r="F221" s="5">
        <f>IF('ORDENES'!$A199="","",IF('ORDENES'!$AA199="","-",'ORDENES'!$AA199))</f>
        <v/>
      </c>
      <c r="G221" s="5">
        <f>IF('ORDENES'!$A199="","",IF('ORDENES'!$Y199="","-",'ORDENES'!$Y199))</f>
        <v/>
      </c>
      <c r="H221" s="5">
        <f>IF('ORDENES'!$A199="","",IF('ORDENES'!$AG199="","-",'ORDENES'!$AG199))</f>
        <v/>
      </c>
      <c r="I221" s="5">
        <f>IF('ORDENES'!$A199="","",IF('ORDENES'!$AT199="","-",'ORDENES'!$AT199))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0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IF('ORDENES'!$A199="","",'ORDENES'!$AF199)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IF('ORDENES'!$A200="","",IF('ORDENES'!$AH200="","-",'ORDENES'!$AH200))</f>
        <v/>
      </c>
      <c r="D222" s="5">
        <f>IF('ORDENES'!$A200="","",IF('ORDENES'!$Z200="","-",'ORDENES'!$Z200))</f>
        <v/>
      </c>
      <c r="E222" s="5">
        <f>IF('ORDENES'!$A200="","",IF('ORDENES'!$X200="","-",'ORDENES'!$X200))</f>
        <v/>
      </c>
      <c r="F222" s="5">
        <f>IF('ORDENES'!$A200="","",IF('ORDENES'!$AA200="","-",'ORDENES'!$AA200))</f>
        <v/>
      </c>
      <c r="G222" s="5">
        <f>IF('ORDENES'!$A200="","",IF('ORDENES'!$Y200="","-",'ORDENES'!$Y200))</f>
        <v/>
      </c>
      <c r="H222" s="5">
        <f>IF('ORDENES'!$A200="","",IF('ORDENES'!$AG200="","-",'ORDENES'!$AG200))</f>
        <v/>
      </c>
      <c r="I222" s="5">
        <f>IF('ORDENES'!$A200="","",IF('ORDENES'!$AT200="","-",'ORDENES'!$AT200))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0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IF('ORDENES'!$A200="","",'ORDENES'!$AF200)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IF('ORDENES'!$A201="","",IF('ORDENES'!$AH201="","-",'ORDENES'!$AH201))</f>
        <v/>
      </c>
      <c r="D223" s="5">
        <f>IF('ORDENES'!$A201="","",IF('ORDENES'!$Z201="","-",'ORDENES'!$Z201))</f>
        <v/>
      </c>
      <c r="E223" s="5">
        <f>IF('ORDENES'!$A201="","",IF('ORDENES'!$X201="","-",'ORDENES'!$X201))</f>
        <v/>
      </c>
      <c r="F223" s="5">
        <f>IF('ORDENES'!$A201="","",IF('ORDENES'!$AA201="","-",'ORDENES'!$AA201))</f>
        <v/>
      </c>
      <c r="G223" s="5">
        <f>IF('ORDENES'!$A201="","",IF('ORDENES'!$Y201="","-",'ORDENES'!$Y201))</f>
        <v/>
      </c>
      <c r="H223" s="5">
        <f>IF('ORDENES'!$A201="","",IF('ORDENES'!$AG201="","-",'ORDENES'!$AG201))</f>
        <v/>
      </c>
      <c r="I223" s="5">
        <f>IF('ORDENES'!$A201="","",IF('ORDENES'!$AT201="","-",'ORDENES'!$AT201))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0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IF('ORDENES'!$A201="","",'ORDENES'!$AF201)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IF('ORDENES'!$A202="","",IF('ORDENES'!$AH202="","-",'ORDENES'!$AH202))</f>
        <v/>
      </c>
      <c r="D224" s="5">
        <f>IF('ORDENES'!$A202="","",IF('ORDENES'!$Z202="","-",'ORDENES'!$Z202))</f>
        <v/>
      </c>
      <c r="E224" s="5">
        <f>IF('ORDENES'!$A202="","",IF('ORDENES'!$X202="","-",'ORDENES'!$X202))</f>
        <v/>
      </c>
      <c r="F224" s="5">
        <f>IF('ORDENES'!$A202="","",IF('ORDENES'!$AA202="","-",'ORDENES'!$AA202))</f>
        <v/>
      </c>
      <c r="G224" s="5">
        <f>IF('ORDENES'!$A202="","",IF('ORDENES'!$Y202="","-",'ORDENES'!$Y202))</f>
        <v/>
      </c>
      <c r="H224" s="5">
        <f>IF('ORDENES'!$A202="","",IF('ORDENES'!$AG202="","-",'ORDENES'!$AG202))</f>
        <v/>
      </c>
      <c r="I224" s="5">
        <f>IF('ORDENES'!$A202="","",IF('ORDENES'!$AT202="","-",'ORDENES'!$AT202))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0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IF('ORDENES'!$A202="","",'ORDENES'!$AF202)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IF('ORDENES'!$A203="","",IF('ORDENES'!$AH203="","-",'ORDENES'!$AH203))</f>
        <v/>
      </c>
      <c r="D225" s="5">
        <f>IF('ORDENES'!$A203="","",IF('ORDENES'!$Z203="","-",'ORDENES'!$Z203))</f>
        <v/>
      </c>
      <c r="E225" s="5">
        <f>IF('ORDENES'!$A203="","",IF('ORDENES'!$X203="","-",'ORDENES'!$X203))</f>
        <v/>
      </c>
      <c r="F225" s="5">
        <f>IF('ORDENES'!$A203="","",IF('ORDENES'!$AA203="","-",'ORDENES'!$AA203))</f>
        <v/>
      </c>
      <c r="G225" s="5">
        <f>IF('ORDENES'!$A203="","",IF('ORDENES'!$Y203="","-",'ORDENES'!$Y203))</f>
        <v/>
      </c>
      <c r="H225" s="5">
        <f>IF('ORDENES'!$A203="","",IF('ORDENES'!$AG203="","-",'ORDENES'!$AG203))</f>
        <v/>
      </c>
      <c r="I225" s="5">
        <f>IF('ORDENES'!$A203="","",IF('ORDENES'!$AT203="","-",'ORDENES'!$AT203))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0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IF('ORDENES'!$A203="","",'ORDENES'!$AF203)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IF('ORDENES'!$A204="","",IF('ORDENES'!$AH204="","-",'ORDENES'!$AH204))</f>
        <v/>
      </c>
      <c r="D226" s="5">
        <f>IF('ORDENES'!$A204="","",IF('ORDENES'!$Z204="","-",'ORDENES'!$Z204))</f>
        <v/>
      </c>
      <c r="E226" s="5">
        <f>IF('ORDENES'!$A204="","",IF('ORDENES'!$X204="","-",'ORDENES'!$X204))</f>
        <v/>
      </c>
      <c r="F226" s="5">
        <f>IF('ORDENES'!$A204="","",IF('ORDENES'!$AA204="","-",'ORDENES'!$AA204))</f>
        <v/>
      </c>
      <c r="G226" s="5">
        <f>IF('ORDENES'!$A204="","",IF('ORDENES'!$Y204="","-",'ORDENES'!$Y204))</f>
        <v/>
      </c>
      <c r="H226" s="5">
        <f>IF('ORDENES'!$A204="","",IF('ORDENES'!$AG204="","-",'ORDENES'!$AG204))</f>
        <v/>
      </c>
      <c r="I226" s="5">
        <f>IF('ORDENES'!$A204="","",IF('ORDENES'!$AT204="","-",'ORDENES'!$AT204))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0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IF('ORDENES'!$A204="","",'ORDENES'!$AF204)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IF('ORDENES'!$A205="","",IF('ORDENES'!$AH205="","-",'ORDENES'!$AH205))</f>
        <v/>
      </c>
      <c r="D227" s="5">
        <f>IF('ORDENES'!$A205="","",IF('ORDENES'!$Z205="","-",'ORDENES'!$Z205))</f>
        <v/>
      </c>
      <c r="E227" s="5">
        <f>IF('ORDENES'!$A205="","",IF('ORDENES'!$X205="","-",'ORDENES'!$X205))</f>
        <v/>
      </c>
      <c r="F227" s="5">
        <f>IF('ORDENES'!$A205="","",IF('ORDENES'!$AA205="","-",'ORDENES'!$AA205))</f>
        <v/>
      </c>
      <c r="G227" s="5">
        <f>IF('ORDENES'!$A205="","",IF('ORDENES'!$Y205="","-",'ORDENES'!$Y205))</f>
        <v/>
      </c>
      <c r="H227" s="5">
        <f>IF('ORDENES'!$A205="","",IF('ORDENES'!$AG205="","-",'ORDENES'!$AG205))</f>
        <v/>
      </c>
      <c r="I227" s="5">
        <f>IF('ORDENES'!$A205="","",IF('ORDENES'!$AT205="","-",'ORDENES'!$AT205))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0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IF('ORDENES'!$A205="","",'ORDENES'!$AF205)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IF('ORDENES'!$A206="","",IF('ORDENES'!$AH206="","-",'ORDENES'!$AH206))</f>
        <v/>
      </c>
      <c r="D228" s="5">
        <f>IF('ORDENES'!$A206="","",IF('ORDENES'!$Z206="","-",'ORDENES'!$Z206))</f>
        <v/>
      </c>
      <c r="E228" s="5">
        <f>IF('ORDENES'!$A206="","",IF('ORDENES'!$X206="","-",'ORDENES'!$X206))</f>
        <v/>
      </c>
      <c r="F228" s="5">
        <f>IF('ORDENES'!$A206="","",IF('ORDENES'!$AA206="","-",'ORDENES'!$AA206))</f>
        <v/>
      </c>
      <c r="G228" s="5">
        <f>IF('ORDENES'!$A206="","",IF('ORDENES'!$Y206="","-",'ORDENES'!$Y206))</f>
        <v/>
      </c>
      <c r="H228" s="5">
        <f>IF('ORDENES'!$A206="","",IF('ORDENES'!$AG206="","-",'ORDENES'!$AG206))</f>
        <v/>
      </c>
      <c r="I228" s="5">
        <f>IF('ORDENES'!$A206="","",IF('ORDENES'!$AT206="","-",'ORDENES'!$AT206))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0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IF('ORDENES'!$A206="","",'ORDENES'!$AF206)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IF('ORDENES'!$A207="","",IF('ORDENES'!$AH207="","-",'ORDENES'!$AH207))</f>
        <v/>
      </c>
      <c r="D229" s="5">
        <f>IF('ORDENES'!$A207="","",IF('ORDENES'!$Z207="","-",'ORDENES'!$Z207))</f>
        <v/>
      </c>
      <c r="E229" s="5">
        <f>IF('ORDENES'!$A207="","",IF('ORDENES'!$X207="","-",'ORDENES'!$X207))</f>
        <v/>
      </c>
      <c r="F229" s="5">
        <f>IF('ORDENES'!$A207="","",IF('ORDENES'!$AA207="","-",'ORDENES'!$AA207))</f>
        <v/>
      </c>
      <c r="G229" s="5">
        <f>IF('ORDENES'!$A207="","",IF('ORDENES'!$Y207="","-",'ORDENES'!$Y207))</f>
        <v/>
      </c>
      <c r="H229" s="5">
        <f>IF('ORDENES'!$A207="","",IF('ORDENES'!$AG207="","-",'ORDENES'!$AG207))</f>
        <v/>
      </c>
      <c r="I229" s="5">
        <f>IF('ORDENES'!$A207="","",IF('ORDENES'!$AT207="","-",'ORDENES'!$AT207))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0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IF('ORDENES'!$A207="","",'ORDENES'!$AF207)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IF('ORDENES'!$A208="","",IF('ORDENES'!$AH208="","-",'ORDENES'!$AH208))</f>
        <v/>
      </c>
      <c r="D230" s="5">
        <f>IF('ORDENES'!$A208="","",IF('ORDENES'!$Z208="","-",'ORDENES'!$Z208))</f>
        <v/>
      </c>
      <c r="E230" s="5">
        <f>IF('ORDENES'!$A208="","",IF('ORDENES'!$X208="","-",'ORDENES'!$X208))</f>
        <v/>
      </c>
      <c r="F230" s="5">
        <f>IF('ORDENES'!$A208="","",IF('ORDENES'!$AA208="","-",'ORDENES'!$AA208))</f>
        <v/>
      </c>
      <c r="G230" s="5">
        <f>IF('ORDENES'!$A208="","",IF('ORDENES'!$Y208="","-",'ORDENES'!$Y208))</f>
        <v/>
      </c>
      <c r="H230" s="5">
        <f>IF('ORDENES'!$A208="","",IF('ORDENES'!$AG208="","-",'ORDENES'!$AG208))</f>
        <v/>
      </c>
      <c r="I230" s="5">
        <f>IF('ORDENES'!$A208="","",IF('ORDENES'!$AT208="","-",'ORDENES'!$AT208))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0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IF('ORDENES'!$A208="","",'ORDENES'!$AF208)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IF('ORDENES'!$A209="","",IF('ORDENES'!$AH209="","-",'ORDENES'!$AH209))</f>
        <v/>
      </c>
      <c r="D231" s="5">
        <f>IF('ORDENES'!$A209="","",IF('ORDENES'!$Z209="","-",'ORDENES'!$Z209))</f>
        <v/>
      </c>
      <c r="E231" s="5">
        <f>IF('ORDENES'!$A209="","",IF('ORDENES'!$X209="","-",'ORDENES'!$X209))</f>
        <v/>
      </c>
      <c r="F231" s="5">
        <f>IF('ORDENES'!$A209="","",IF('ORDENES'!$AA209="","-",'ORDENES'!$AA209))</f>
        <v/>
      </c>
      <c r="G231" s="5">
        <f>IF('ORDENES'!$A209="","",IF('ORDENES'!$Y209="","-",'ORDENES'!$Y209))</f>
        <v/>
      </c>
      <c r="H231" s="5">
        <f>IF('ORDENES'!$A209="","",IF('ORDENES'!$AG209="","-",'ORDENES'!$AG209))</f>
        <v/>
      </c>
      <c r="I231" s="5">
        <f>IF('ORDENES'!$A209="","",IF('ORDENES'!$AT209="","-",'ORDENES'!$AT209))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0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IF('ORDENES'!$A209="","",'ORDENES'!$AF209)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IF('ORDENES'!$A210="","",IF('ORDENES'!$AH210="","-",'ORDENES'!$AH210))</f>
        <v/>
      </c>
      <c r="D232" s="5">
        <f>IF('ORDENES'!$A210="","",IF('ORDENES'!$Z210="","-",'ORDENES'!$Z210))</f>
        <v/>
      </c>
      <c r="E232" s="5">
        <f>IF('ORDENES'!$A210="","",IF('ORDENES'!$X210="","-",'ORDENES'!$X210))</f>
        <v/>
      </c>
      <c r="F232" s="5">
        <f>IF('ORDENES'!$A210="","",IF('ORDENES'!$AA210="","-",'ORDENES'!$AA210))</f>
        <v/>
      </c>
      <c r="G232" s="5">
        <f>IF('ORDENES'!$A210="","",IF('ORDENES'!$Y210="","-",'ORDENES'!$Y210))</f>
        <v/>
      </c>
      <c r="H232" s="5">
        <f>IF('ORDENES'!$A210="","",IF('ORDENES'!$AG210="","-",'ORDENES'!$AG210))</f>
        <v/>
      </c>
      <c r="I232" s="5">
        <f>IF('ORDENES'!$A210="","",IF('ORDENES'!$AT210="","-",'ORDENES'!$AT210))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0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IF('ORDENES'!$A210="","",'ORDENES'!$AF210)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IF('ORDENES'!$A211="","",IF('ORDENES'!$AH211="","-",'ORDENES'!$AH211))</f>
        <v/>
      </c>
      <c r="D233" s="5">
        <f>IF('ORDENES'!$A211="","",IF('ORDENES'!$Z211="","-",'ORDENES'!$Z211))</f>
        <v/>
      </c>
      <c r="E233" s="5">
        <f>IF('ORDENES'!$A211="","",IF('ORDENES'!$X211="","-",'ORDENES'!$X211))</f>
        <v/>
      </c>
      <c r="F233" s="5">
        <f>IF('ORDENES'!$A211="","",IF('ORDENES'!$AA211="","-",'ORDENES'!$AA211))</f>
        <v/>
      </c>
      <c r="G233" s="5">
        <f>IF('ORDENES'!$A211="","",IF('ORDENES'!$Y211="","-",'ORDENES'!$Y211))</f>
        <v/>
      </c>
      <c r="H233" s="5">
        <f>IF('ORDENES'!$A211="","",IF('ORDENES'!$AG211="","-",'ORDENES'!$AG211))</f>
        <v/>
      </c>
      <c r="I233" s="5">
        <f>IF('ORDENES'!$A211="","",IF('ORDENES'!$AT211="","-",'ORDENES'!$AT211))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0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IF('ORDENES'!$A211="","",'ORDENES'!$AF211)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IF('ORDENES'!$A212="","",IF('ORDENES'!$AH212="","-",'ORDENES'!$AH212))</f>
        <v/>
      </c>
      <c r="D234" s="5">
        <f>IF('ORDENES'!$A212="","",IF('ORDENES'!$Z212="","-",'ORDENES'!$Z212))</f>
        <v/>
      </c>
      <c r="E234" s="5">
        <f>IF('ORDENES'!$A212="","",IF('ORDENES'!$X212="","-",'ORDENES'!$X212))</f>
        <v/>
      </c>
      <c r="F234" s="5">
        <f>IF('ORDENES'!$A212="","",IF('ORDENES'!$AA212="","-",'ORDENES'!$AA212))</f>
        <v/>
      </c>
      <c r="G234" s="5">
        <f>IF('ORDENES'!$A212="","",IF('ORDENES'!$Y212="","-",'ORDENES'!$Y212))</f>
        <v/>
      </c>
      <c r="H234" s="5">
        <f>IF('ORDENES'!$A212="","",IF('ORDENES'!$AG212="","-",'ORDENES'!$AG212))</f>
        <v/>
      </c>
      <c r="I234" s="5">
        <f>IF('ORDENES'!$A212="","",IF('ORDENES'!$AT212="","-",'ORDENES'!$AT212))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0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IF('ORDENES'!$A212="","",'ORDENES'!$AF212)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IF('ORDENES'!$A213="","",IF('ORDENES'!$AH213="","-",'ORDENES'!$AH213))</f>
        <v/>
      </c>
      <c r="D235" s="5">
        <f>IF('ORDENES'!$A213="","",IF('ORDENES'!$Z213="","-",'ORDENES'!$Z213))</f>
        <v/>
      </c>
      <c r="E235" s="5">
        <f>IF('ORDENES'!$A213="","",IF('ORDENES'!$X213="","-",'ORDENES'!$X213))</f>
        <v/>
      </c>
      <c r="F235" s="5">
        <f>IF('ORDENES'!$A213="","",IF('ORDENES'!$AA213="","-",'ORDENES'!$AA213))</f>
        <v/>
      </c>
      <c r="G235" s="5">
        <f>IF('ORDENES'!$A213="","",IF('ORDENES'!$Y213="","-",'ORDENES'!$Y213))</f>
        <v/>
      </c>
      <c r="H235" s="5">
        <f>IF('ORDENES'!$A213="","",IF('ORDENES'!$AG213="","-",'ORDENES'!$AG213))</f>
        <v/>
      </c>
      <c r="I235" s="5">
        <f>IF('ORDENES'!$A213="","",IF('ORDENES'!$AT213="","-",'ORDENES'!$AT213))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0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IF('ORDENES'!$A213="","",'ORDENES'!$AF213)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IF('ORDENES'!$A214="","",IF('ORDENES'!$AH214="","-",'ORDENES'!$AH214))</f>
        <v/>
      </c>
      <c r="D236" s="5">
        <f>IF('ORDENES'!$A214="","",IF('ORDENES'!$Z214="","-",'ORDENES'!$Z214))</f>
        <v/>
      </c>
      <c r="E236" s="5">
        <f>IF('ORDENES'!$A214="","",IF('ORDENES'!$X214="","-",'ORDENES'!$X214))</f>
        <v/>
      </c>
      <c r="F236" s="5">
        <f>IF('ORDENES'!$A214="","",IF('ORDENES'!$AA214="","-",'ORDENES'!$AA214))</f>
        <v/>
      </c>
      <c r="G236" s="5">
        <f>IF('ORDENES'!$A214="","",IF('ORDENES'!$Y214="","-",'ORDENES'!$Y214))</f>
        <v/>
      </c>
      <c r="H236" s="5">
        <f>IF('ORDENES'!$A214="","",IF('ORDENES'!$AG214="","-",'ORDENES'!$AG214))</f>
        <v/>
      </c>
      <c r="I236" s="5">
        <f>IF('ORDENES'!$A214="","",IF('ORDENES'!$AT214="","-",'ORDENES'!$AT214))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0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IF('ORDENES'!$A214="","",'ORDENES'!$AF214)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IF('ORDENES'!$A215="","",IF('ORDENES'!$AH215="","-",'ORDENES'!$AH215))</f>
        <v/>
      </c>
      <c r="D237" s="5">
        <f>IF('ORDENES'!$A215="","",IF('ORDENES'!$Z215="","-",'ORDENES'!$Z215))</f>
        <v/>
      </c>
      <c r="E237" s="5">
        <f>IF('ORDENES'!$A215="","",IF('ORDENES'!$X215="","-",'ORDENES'!$X215))</f>
        <v/>
      </c>
      <c r="F237" s="5">
        <f>IF('ORDENES'!$A215="","",IF('ORDENES'!$AA215="","-",'ORDENES'!$AA215))</f>
        <v/>
      </c>
      <c r="G237" s="5">
        <f>IF('ORDENES'!$A215="","",IF('ORDENES'!$Y215="","-",'ORDENES'!$Y215))</f>
        <v/>
      </c>
      <c r="H237" s="5">
        <f>IF('ORDENES'!$A215="","",IF('ORDENES'!$AG215="","-",'ORDENES'!$AG215))</f>
        <v/>
      </c>
      <c r="I237" s="5">
        <f>IF('ORDENES'!$A215="","",IF('ORDENES'!$AT215="","-",'ORDENES'!$AT215))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0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IF('ORDENES'!$A215="","",'ORDENES'!$AF215)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IF('ORDENES'!$A216="","",IF('ORDENES'!$AH216="","-",'ORDENES'!$AH216))</f>
        <v/>
      </c>
      <c r="D238" s="5">
        <f>IF('ORDENES'!$A216="","",IF('ORDENES'!$Z216="","-",'ORDENES'!$Z216))</f>
        <v/>
      </c>
      <c r="E238" s="5">
        <f>IF('ORDENES'!$A216="","",IF('ORDENES'!$X216="","-",'ORDENES'!$X216))</f>
        <v/>
      </c>
      <c r="F238" s="5">
        <f>IF('ORDENES'!$A216="","",IF('ORDENES'!$AA216="","-",'ORDENES'!$AA216))</f>
        <v/>
      </c>
      <c r="G238" s="5">
        <f>IF('ORDENES'!$A216="","",IF('ORDENES'!$Y216="","-",'ORDENES'!$Y216))</f>
        <v/>
      </c>
      <c r="H238" s="5">
        <f>IF('ORDENES'!$A216="","",IF('ORDENES'!$AG216="","-",'ORDENES'!$AG216))</f>
        <v/>
      </c>
      <c r="I238" s="5">
        <f>IF('ORDENES'!$A216="","",IF('ORDENES'!$AT216="","-",'ORDENES'!$AT216))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0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IF('ORDENES'!$A216="","",'ORDENES'!$AF216)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IF('ORDENES'!$A217="","",IF('ORDENES'!$AH217="","-",'ORDENES'!$AH217))</f>
        <v/>
      </c>
      <c r="D239" s="5">
        <f>IF('ORDENES'!$A217="","",IF('ORDENES'!$Z217="","-",'ORDENES'!$Z217))</f>
        <v/>
      </c>
      <c r="E239" s="5">
        <f>IF('ORDENES'!$A217="","",IF('ORDENES'!$X217="","-",'ORDENES'!$X217))</f>
        <v/>
      </c>
      <c r="F239" s="5">
        <f>IF('ORDENES'!$A217="","",IF('ORDENES'!$AA217="","-",'ORDENES'!$AA217))</f>
        <v/>
      </c>
      <c r="G239" s="5">
        <f>IF('ORDENES'!$A217="","",IF('ORDENES'!$Y217="","-",'ORDENES'!$Y217))</f>
        <v/>
      </c>
      <c r="H239" s="5">
        <f>IF('ORDENES'!$A217="","",IF('ORDENES'!$AG217="","-",'ORDENES'!$AG217))</f>
        <v/>
      </c>
      <c r="I239" s="5">
        <f>IF('ORDENES'!$A217="","",IF('ORDENES'!$AT217="","-",'ORDENES'!$AT217))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0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IF('ORDENES'!$A217="","",'ORDENES'!$AF217)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IF('ORDENES'!$A218="","",IF('ORDENES'!$AH218="","-",'ORDENES'!$AH218))</f>
        <v/>
      </c>
      <c r="D240" s="5">
        <f>IF('ORDENES'!$A218="","",IF('ORDENES'!$Z218="","-",'ORDENES'!$Z218))</f>
        <v/>
      </c>
      <c r="E240" s="5">
        <f>IF('ORDENES'!$A218="","",IF('ORDENES'!$X218="","-",'ORDENES'!$X218))</f>
        <v/>
      </c>
      <c r="F240" s="5">
        <f>IF('ORDENES'!$A218="","",IF('ORDENES'!$AA218="","-",'ORDENES'!$AA218))</f>
        <v/>
      </c>
      <c r="G240" s="5">
        <f>IF('ORDENES'!$A218="","",IF('ORDENES'!$Y218="","-",'ORDENES'!$Y218))</f>
        <v/>
      </c>
      <c r="H240" s="5">
        <f>IF('ORDENES'!$A218="","",IF('ORDENES'!$AG218="","-",'ORDENES'!$AG218))</f>
        <v/>
      </c>
      <c r="I240" s="5">
        <f>IF('ORDENES'!$A218="","",IF('ORDENES'!$AT218="","-",'ORDENES'!$AT218))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0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IF('ORDENES'!$A218="","",'ORDENES'!$AF218)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IF('ORDENES'!$A219="","",IF('ORDENES'!$AH219="","-",'ORDENES'!$AH219))</f>
        <v/>
      </c>
      <c r="D241" s="5">
        <f>IF('ORDENES'!$A219="","",IF('ORDENES'!$Z219="","-",'ORDENES'!$Z219))</f>
        <v/>
      </c>
      <c r="E241" s="5">
        <f>IF('ORDENES'!$A219="","",IF('ORDENES'!$X219="","-",'ORDENES'!$X219))</f>
        <v/>
      </c>
      <c r="F241" s="5">
        <f>IF('ORDENES'!$A219="","",IF('ORDENES'!$AA219="","-",'ORDENES'!$AA219))</f>
        <v/>
      </c>
      <c r="G241" s="5">
        <f>IF('ORDENES'!$A219="","",IF('ORDENES'!$Y219="","-",'ORDENES'!$Y219))</f>
        <v/>
      </c>
      <c r="H241" s="5">
        <f>IF('ORDENES'!$A219="","",IF('ORDENES'!$AG219="","-",'ORDENES'!$AG219))</f>
        <v/>
      </c>
      <c r="I241" s="5">
        <f>IF('ORDENES'!$A219="","",IF('ORDENES'!$AT219="","-",'ORDENES'!$AT219))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0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IF('ORDENES'!$A219="","",'ORDENES'!$AF219)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IF('ORDENES'!$A220="","",IF('ORDENES'!$AH220="","-",'ORDENES'!$AH220))</f>
        <v/>
      </c>
      <c r="D242" s="5">
        <f>IF('ORDENES'!$A220="","",IF('ORDENES'!$Z220="","-",'ORDENES'!$Z220))</f>
        <v/>
      </c>
      <c r="E242" s="5">
        <f>IF('ORDENES'!$A220="","",IF('ORDENES'!$X220="","-",'ORDENES'!$X220))</f>
        <v/>
      </c>
      <c r="F242" s="5">
        <f>IF('ORDENES'!$A220="","",IF('ORDENES'!$AA220="","-",'ORDENES'!$AA220))</f>
        <v/>
      </c>
      <c r="G242" s="5">
        <f>IF('ORDENES'!$A220="","",IF('ORDENES'!$Y220="","-",'ORDENES'!$Y220))</f>
        <v/>
      </c>
      <c r="H242" s="5">
        <f>IF('ORDENES'!$A220="","",IF('ORDENES'!$AG220="","-",'ORDENES'!$AG220))</f>
        <v/>
      </c>
      <c r="I242" s="5">
        <f>IF('ORDENES'!$A220="","",IF('ORDENES'!$AT220="","-",'ORDENES'!$AT220))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0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IF('ORDENES'!$A220="","",'ORDENES'!$AF220)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IF('ORDENES'!$A221="","",IF('ORDENES'!$AH221="","-",'ORDENES'!$AH221))</f>
        <v/>
      </c>
      <c r="D243" s="5">
        <f>IF('ORDENES'!$A221="","",IF('ORDENES'!$Z221="","-",'ORDENES'!$Z221))</f>
        <v/>
      </c>
      <c r="E243" s="5">
        <f>IF('ORDENES'!$A221="","",IF('ORDENES'!$X221="","-",'ORDENES'!$X221))</f>
        <v/>
      </c>
      <c r="F243" s="5">
        <f>IF('ORDENES'!$A221="","",IF('ORDENES'!$AA221="","-",'ORDENES'!$AA221))</f>
        <v/>
      </c>
      <c r="G243" s="5">
        <f>IF('ORDENES'!$A221="","",IF('ORDENES'!$Y221="","-",'ORDENES'!$Y221))</f>
        <v/>
      </c>
      <c r="H243" s="5">
        <f>IF('ORDENES'!$A221="","",IF('ORDENES'!$AG221="","-",'ORDENES'!$AG221))</f>
        <v/>
      </c>
      <c r="I243" s="5">
        <f>IF('ORDENES'!$A221="","",IF('ORDENES'!$AT221="","-",'ORDENES'!$AT221))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0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IF('ORDENES'!$A221="","",'ORDENES'!$AF221)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IF('ORDENES'!$A222="","",IF('ORDENES'!$AH222="","-",'ORDENES'!$AH222))</f>
        <v/>
      </c>
      <c r="D244" s="5">
        <f>IF('ORDENES'!$A222="","",IF('ORDENES'!$Z222="","-",'ORDENES'!$Z222))</f>
        <v/>
      </c>
      <c r="E244" s="5">
        <f>IF('ORDENES'!$A222="","",IF('ORDENES'!$X222="","-",'ORDENES'!$X222))</f>
        <v/>
      </c>
      <c r="F244" s="5">
        <f>IF('ORDENES'!$A222="","",IF('ORDENES'!$AA222="","-",'ORDENES'!$AA222))</f>
        <v/>
      </c>
      <c r="G244" s="5">
        <f>IF('ORDENES'!$A222="","",IF('ORDENES'!$Y222="","-",'ORDENES'!$Y222))</f>
        <v/>
      </c>
      <c r="H244" s="5">
        <f>IF('ORDENES'!$A222="","",IF('ORDENES'!$AG222="","-",'ORDENES'!$AG222))</f>
        <v/>
      </c>
      <c r="I244" s="5">
        <f>IF('ORDENES'!$A222="","",IF('ORDENES'!$AT222="","-",'ORDENES'!$AT222))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0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IF('ORDENES'!$A222="","",'ORDENES'!$AF222)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IF('ORDENES'!$A223="","",IF('ORDENES'!$AH223="","-",'ORDENES'!$AH223))</f>
        <v/>
      </c>
      <c r="D245" s="5">
        <f>IF('ORDENES'!$A223="","",IF('ORDENES'!$Z223="","-",'ORDENES'!$Z223))</f>
        <v/>
      </c>
      <c r="E245" s="5">
        <f>IF('ORDENES'!$A223="","",IF('ORDENES'!$X223="","-",'ORDENES'!$X223))</f>
        <v/>
      </c>
      <c r="F245" s="5">
        <f>IF('ORDENES'!$A223="","",IF('ORDENES'!$AA223="","-",'ORDENES'!$AA223))</f>
        <v/>
      </c>
      <c r="G245" s="5">
        <f>IF('ORDENES'!$A223="","",IF('ORDENES'!$Y223="","-",'ORDENES'!$Y223))</f>
        <v/>
      </c>
      <c r="H245" s="5">
        <f>IF('ORDENES'!$A223="","",IF('ORDENES'!$AG223="","-",'ORDENES'!$AG223))</f>
        <v/>
      </c>
      <c r="I245" s="5">
        <f>IF('ORDENES'!$A223="","",IF('ORDENES'!$AT223="","-",'ORDENES'!$AT223))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0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IF('ORDENES'!$A223="","",'ORDENES'!$AF223)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IF('ORDENES'!$A224="","",IF('ORDENES'!$AH224="","-",'ORDENES'!$AH224))</f>
        <v/>
      </c>
      <c r="D246" s="5">
        <f>IF('ORDENES'!$A224="","",IF('ORDENES'!$Z224="","-",'ORDENES'!$Z224))</f>
        <v/>
      </c>
      <c r="E246" s="5">
        <f>IF('ORDENES'!$A224="","",IF('ORDENES'!$X224="","-",'ORDENES'!$X224))</f>
        <v/>
      </c>
      <c r="F246" s="5">
        <f>IF('ORDENES'!$A224="","",IF('ORDENES'!$AA224="","-",'ORDENES'!$AA224))</f>
        <v/>
      </c>
      <c r="G246" s="5">
        <f>IF('ORDENES'!$A224="","",IF('ORDENES'!$Y224="","-",'ORDENES'!$Y224))</f>
        <v/>
      </c>
      <c r="H246" s="5">
        <f>IF('ORDENES'!$A224="","",IF('ORDENES'!$AG224="","-",'ORDENES'!$AG224))</f>
        <v/>
      </c>
      <c r="I246" s="5">
        <f>IF('ORDENES'!$A224="","",IF('ORDENES'!$AT224="","-",'ORDENES'!$AT224))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0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IF('ORDENES'!$A224="","",'ORDENES'!$AF224)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IF('ORDENES'!$A225="","",IF('ORDENES'!$AH225="","-",'ORDENES'!$AH225))</f>
        <v/>
      </c>
      <c r="D247" s="5">
        <f>IF('ORDENES'!$A225="","",IF('ORDENES'!$Z225="","-",'ORDENES'!$Z225))</f>
        <v/>
      </c>
      <c r="E247" s="5">
        <f>IF('ORDENES'!$A225="","",IF('ORDENES'!$X225="","-",'ORDENES'!$X225))</f>
        <v/>
      </c>
      <c r="F247" s="5">
        <f>IF('ORDENES'!$A225="","",IF('ORDENES'!$AA225="","-",'ORDENES'!$AA225))</f>
        <v/>
      </c>
      <c r="G247" s="5">
        <f>IF('ORDENES'!$A225="","",IF('ORDENES'!$Y225="","-",'ORDENES'!$Y225))</f>
        <v/>
      </c>
      <c r="H247" s="5">
        <f>IF('ORDENES'!$A225="","",IF('ORDENES'!$AG225="","-",'ORDENES'!$AG225))</f>
        <v/>
      </c>
      <c r="I247" s="5">
        <f>IF('ORDENES'!$A225="","",IF('ORDENES'!$AT225="","-",'ORDENES'!$AT225))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0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IF('ORDENES'!$A225="","",'ORDENES'!$AF225)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IF('ORDENES'!$A226="","",IF('ORDENES'!$AH226="","-",'ORDENES'!$AH226))</f>
        <v/>
      </c>
      <c r="D248" s="5">
        <f>IF('ORDENES'!$A226="","",IF('ORDENES'!$Z226="","-",'ORDENES'!$Z226))</f>
        <v/>
      </c>
      <c r="E248" s="5">
        <f>IF('ORDENES'!$A226="","",IF('ORDENES'!$X226="","-",'ORDENES'!$X226))</f>
        <v/>
      </c>
      <c r="F248" s="5">
        <f>IF('ORDENES'!$A226="","",IF('ORDENES'!$AA226="","-",'ORDENES'!$AA226))</f>
        <v/>
      </c>
      <c r="G248" s="5">
        <f>IF('ORDENES'!$A226="","",IF('ORDENES'!$Y226="","-",'ORDENES'!$Y226))</f>
        <v/>
      </c>
      <c r="H248" s="5">
        <f>IF('ORDENES'!$A226="","",IF('ORDENES'!$AG226="","-",'ORDENES'!$AG226))</f>
        <v/>
      </c>
      <c r="I248" s="5">
        <f>IF('ORDENES'!$A226="","",IF('ORDENES'!$AT226="","-",'ORDENES'!$AT226))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0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IF('ORDENES'!$A226="","",'ORDENES'!$AF226)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IF('ORDENES'!$A227="","",IF('ORDENES'!$AH227="","-",'ORDENES'!$AH227))</f>
        <v/>
      </c>
      <c r="D249" s="5">
        <f>IF('ORDENES'!$A227="","",IF('ORDENES'!$Z227="","-",'ORDENES'!$Z227))</f>
        <v/>
      </c>
      <c r="E249" s="5">
        <f>IF('ORDENES'!$A227="","",IF('ORDENES'!$X227="","-",'ORDENES'!$X227))</f>
        <v/>
      </c>
      <c r="F249" s="5">
        <f>IF('ORDENES'!$A227="","",IF('ORDENES'!$AA227="","-",'ORDENES'!$AA227))</f>
        <v/>
      </c>
      <c r="G249" s="5">
        <f>IF('ORDENES'!$A227="","",IF('ORDENES'!$Y227="","-",'ORDENES'!$Y227))</f>
        <v/>
      </c>
      <c r="H249" s="5">
        <f>IF('ORDENES'!$A227="","",IF('ORDENES'!$AG227="","-",'ORDENES'!$AG227))</f>
        <v/>
      </c>
      <c r="I249" s="5">
        <f>IF('ORDENES'!$A227="","",IF('ORDENES'!$AT227="","-",'ORDENES'!$AT227))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0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IF('ORDENES'!$A227="","",'ORDENES'!$AF227)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IF('ORDENES'!$A228="","",IF('ORDENES'!$AH228="","-",'ORDENES'!$AH228))</f>
        <v/>
      </c>
      <c r="D250" s="5">
        <f>IF('ORDENES'!$A228="","",IF('ORDENES'!$Z228="","-",'ORDENES'!$Z228))</f>
        <v/>
      </c>
      <c r="E250" s="5">
        <f>IF('ORDENES'!$A228="","",IF('ORDENES'!$X228="","-",'ORDENES'!$X228))</f>
        <v/>
      </c>
      <c r="F250" s="5">
        <f>IF('ORDENES'!$A228="","",IF('ORDENES'!$AA228="","-",'ORDENES'!$AA228))</f>
        <v/>
      </c>
      <c r="G250" s="5">
        <f>IF('ORDENES'!$A228="","",IF('ORDENES'!$Y228="","-",'ORDENES'!$Y228))</f>
        <v/>
      </c>
      <c r="H250" s="5">
        <f>IF('ORDENES'!$A228="","",IF('ORDENES'!$AG228="","-",'ORDENES'!$AG228))</f>
        <v/>
      </c>
      <c r="I250" s="5">
        <f>IF('ORDENES'!$A228="","",IF('ORDENES'!$AT228="","-",'ORDENES'!$AT228))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0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IF('ORDENES'!$A228="","",'ORDENES'!$AF228)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IF('ORDENES'!$A229="","",IF('ORDENES'!$AH229="","-",'ORDENES'!$AH229))</f>
        <v/>
      </c>
      <c r="D251" s="5">
        <f>IF('ORDENES'!$A229="","",IF('ORDENES'!$Z229="","-",'ORDENES'!$Z229))</f>
        <v/>
      </c>
      <c r="E251" s="5">
        <f>IF('ORDENES'!$A229="","",IF('ORDENES'!$X229="","-",'ORDENES'!$X229))</f>
        <v/>
      </c>
      <c r="F251" s="5">
        <f>IF('ORDENES'!$A229="","",IF('ORDENES'!$AA229="","-",'ORDENES'!$AA229))</f>
        <v/>
      </c>
      <c r="G251" s="5">
        <f>IF('ORDENES'!$A229="","",IF('ORDENES'!$Y229="","-",'ORDENES'!$Y229))</f>
        <v/>
      </c>
      <c r="H251" s="5">
        <f>IF('ORDENES'!$A229="","",IF('ORDENES'!$AG229="","-",'ORDENES'!$AG229))</f>
        <v/>
      </c>
      <c r="I251" s="5">
        <f>IF('ORDENES'!$A229="","",IF('ORDENES'!$AT229="","-",'ORDENES'!$AT229))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0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IF('ORDENES'!$A229="","",'ORDENES'!$AF229)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IF('ORDENES'!$A230="","",IF('ORDENES'!$AH230="","-",'ORDENES'!$AH230))</f>
        <v/>
      </c>
      <c r="D252" s="5">
        <f>IF('ORDENES'!$A230="","",IF('ORDENES'!$Z230="","-",'ORDENES'!$Z230))</f>
        <v/>
      </c>
      <c r="E252" s="5">
        <f>IF('ORDENES'!$A230="","",IF('ORDENES'!$X230="","-",'ORDENES'!$X230))</f>
        <v/>
      </c>
      <c r="F252" s="5">
        <f>IF('ORDENES'!$A230="","",IF('ORDENES'!$AA230="","-",'ORDENES'!$AA230))</f>
        <v/>
      </c>
      <c r="G252" s="5">
        <f>IF('ORDENES'!$A230="","",IF('ORDENES'!$Y230="","-",'ORDENES'!$Y230))</f>
        <v/>
      </c>
      <c r="H252" s="5">
        <f>IF('ORDENES'!$A230="","",IF('ORDENES'!$AG230="","-",'ORDENES'!$AG230))</f>
        <v/>
      </c>
      <c r="I252" s="5">
        <f>IF('ORDENES'!$A230="","",IF('ORDENES'!$AT230="","-",'ORDENES'!$AT230))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0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IF('ORDENES'!$A230="","",'ORDENES'!$AF230)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IF('ORDENES'!$A231="","",IF('ORDENES'!$AH231="","-",'ORDENES'!$AH231))</f>
        <v/>
      </c>
      <c r="D253" s="5">
        <f>IF('ORDENES'!$A231="","",IF('ORDENES'!$Z231="","-",'ORDENES'!$Z231))</f>
        <v/>
      </c>
      <c r="E253" s="5">
        <f>IF('ORDENES'!$A231="","",IF('ORDENES'!$X231="","-",'ORDENES'!$X231))</f>
        <v/>
      </c>
      <c r="F253" s="5">
        <f>IF('ORDENES'!$A231="","",IF('ORDENES'!$AA231="","-",'ORDENES'!$AA231))</f>
        <v/>
      </c>
      <c r="G253" s="5">
        <f>IF('ORDENES'!$A231="","",IF('ORDENES'!$Y231="","-",'ORDENES'!$Y231))</f>
        <v/>
      </c>
      <c r="H253" s="5">
        <f>IF('ORDENES'!$A231="","",IF('ORDENES'!$AG231="","-",'ORDENES'!$AG231))</f>
        <v/>
      </c>
      <c r="I253" s="5">
        <f>IF('ORDENES'!$A231="","",IF('ORDENES'!$AT231="","-",'ORDENES'!$AT231))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0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IF('ORDENES'!$A231="","",'ORDENES'!$AF231)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IF('ORDENES'!$A232="","",IF('ORDENES'!$AH232="","-",'ORDENES'!$AH232))</f>
        <v/>
      </c>
      <c r="D254" s="5">
        <f>IF('ORDENES'!$A232="","",IF('ORDENES'!$Z232="","-",'ORDENES'!$Z232))</f>
        <v/>
      </c>
      <c r="E254" s="5">
        <f>IF('ORDENES'!$A232="","",IF('ORDENES'!$X232="","-",'ORDENES'!$X232))</f>
        <v/>
      </c>
      <c r="F254" s="5">
        <f>IF('ORDENES'!$A232="","",IF('ORDENES'!$AA232="","-",'ORDENES'!$AA232))</f>
        <v/>
      </c>
      <c r="G254" s="5">
        <f>IF('ORDENES'!$A232="","",IF('ORDENES'!$Y232="","-",'ORDENES'!$Y232))</f>
        <v/>
      </c>
      <c r="H254" s="5">
        <f>IF('ORDENES'!$A232="","",IF('ORDENES'!$AG232="","-",'ORDENES'!$AG232))</f>
        <v/>
      </c>
      <c r="I254" s="5">
        <f>IF('ORDENES'!$A232="","",IF('ORDENES'!$AT232="","-",'ORDENES'!$AT232))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0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IF('ORDENES'!$A232="","",'ORDENES'!$AF232)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IF('ORDENES'!$A233="","",IF('ORDENES'!$AH233="","-",'ORDENES'!$AH233))</f>
        <v/>
      </c>
      <c r="D255" s="5">
        <f>IF('ORDENES'!$A233="","",IF('ORDENES'!$Z233="","-",'ORDENES'!$Z233))</f>
        <v/>
      </c>
      <c r="E255" s="5">
        <f>IF('ORDENES'!$A233="","",IF('ORDENES'!$X233="","-",'ORDENES'!$X233))</f>
        <v/>
      </c>
      <c r="F255" s="5">
        <f>IF('ORDENES'!$A233="","",IF('ORDENES'!$AA233="","-",'ORDENES'!$AA233))</f>
        <v/>
      </c>
      <c r="G255" s="5">
        <f>IF('ORDENES'!$A233="","",IF('ORDENES'!$Y233="","-",'ORDENES'!$Y233))</f>
        <v/>
      </c>
      <c r="H255" s="5">
        <f>IF('ORDENES'!$A233="","",IF('ORDENES'!$AG233="","-",'ORDENES'!$AG233))</f>
        <v/>
      </c>
      <c r="I255" s="5">
        <f>IF('ORDENES'!$A233="","",IF('ORDENES'!$AT233="","-",'ORDENES'!$AT233))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0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IF('ORDENES'!$A233="","",'ORDENES'!$AF233)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IF('ORDENES'!$A234="","",IF('ORDENES'!$AH234="","-",'ORDENES'!$AH234))</f>
        <v/>
      </c>
      <c r="D256" s="5">
        <f>IF('ORDENES'!$A234="","",IF('ORDENES'!$Z234="","-",'ORDENES'!$Z234))</f>
        <v/>
      </c>
      <c r="E256" s="5">
        <f>IF('ORDENES'!$A234="","",IF('ORDENES'!$X234="","-",'ORDENES'!$X234))</f>
        <v/>
      </c>
      <c r="F256" s="5">
        <f>IF('ORDENES'!$A234="","",IF('ORDENES'!$AA234="","-",'ORDENES'!$AA234))</f>
        <v/>
      </c>
      <c r="G256" s="5">
        <f>IF('ORDENES'!$A234="","",IF('ORDENES'!$Y234="","-",'ORDENES'!$Y234))</f>
        <v/>
      </c>
      <c r="H256" s="5">
        <f>IF('ORDENES'!$A234="","",IF('ORDENES'!$AG234="","-",'ORDENES'!$AG234))</f>
        <v/>
      </c>
      <c r="I256" s="5">
        <f>IF('ORDENES'!$A234="","",IF('ORDENES'!$AT234="","-",'ORDENES'!$AT234))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0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IF('ORDENES'!$A234="","",'ORDENES'!$AF234)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IF('ORDENES'!$A235="","",IF('ORDENES'!$AH235="","-",'ORDENES'!$AH235))</f>
        <v/>
      </c>
      <c r="D257" s="5">
        <f>IF('ORDENES'!$A235="","",IF('ORDENES'!$Z235="","-",'ORDENES'!$Z235))</f>
        <v/>
      </c>
      <c r="E257" s="5">
        <f>IF('ORDENES'!$A235="","",IF('ORDENES'!$X235="","-",'ORDENES'!$X235))</f>
        <v/>
      </c>
      <c r="F257" s="5">
        <f>IF('ORDENES'!$A235="","",IF('ORDENES'!$AA235="","-",'ORDENES'!$AA235))</f>
        <v/>
      </c>
      <c r="G257" s="5">
        <f>IF('ORDENES'!$A235="","",IF('ORDENES'!$Y235="","-",'ORDENES'!$Y235))</f>
        <v/>
      </c>
      <c r="H257" s="5">
        <f>IF('ORDENES'!$A235="","",IF('ORDENES'!$AG235="","-",'ORDENES'!$AG235))</f>
        <v/>
      </c>
      <c r="I257" s="5">
        <f>IF('ORDENES'!$A235="","",IF('ORDENES'!$AT235="","-",'ORDENES'!$AT235))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0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IF('ORDENES'!$A235="","",'ORDENES'!$AF235)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IF('ORDENES'!$A236="","",IF('ORDENES'!$AH236="","-",'ORDENES'!$AH236))</f>
        <v/>
      </c>
      <c r="D258" s="5">
        <f>IF('ORDENES'!$A236="","",IF('ORDENES'!$Z236="","-",'ORDENES'!$Z236))</f>
        <v/>
      </c>
      <c r="E258" s="5">
        <f>IF('ORDENES'!$A236="","",IF('ORDENES'!$X236="","-",'ORDENES'!$X236))</f>
        <v/>
      </c>
      <c r="F258" s="5">
        <f>IF('ORDENES'!$A236="","",IF('ORDENES'!$AA236="","-",'ORDENES'!$AA236))</f>
        <v/>
      </c>
      <c r="G258" s="5">
        <f>IF('ORDENES'!$A236="","",IF('ORDENES'!$Y236="","-",'ORDENES'!$Y236))</f>
        <v/>
      </c>
      <c r="H258" s="5">
        <f>IF('ORDENES'!$A236="","",IF('ORDENES'!$AG236="","-",'ORDENES'!$AG236))</f>
        <v/>
      </c>
      <c r="I258" s="5">
        <f>IF('ORDENES'!$A236="","",IF('ORDENES'!$AT236="","-",'ORDENES'!$AT236))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0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IF('ORDENES'!$A236="","",'ORDENES'!$AF236)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IF('ORDENES'!$A237="","",IF('ORDENES'!$AH237="","-",'ORDENES'!$AH237))</f>
        <v/>
      </c>
      <c r="D259" s="5">
        <f>IF('ORDENES'!$A237="","",IF('ORDENES'!$Z237="","-",'ORDENES'!$Z237))</f>
        <v/>
      </c>
      <c r="E259" s="5">
        <f>IF('ORDENES'!$A237="","",IF('ORDENES'!$X237="","-",'ORDENES'!$X237))</f>
        <v/>
      </c>
      <c r="F259" s="5">
        <f>IF('ORDENES'!$A237="","",IF('ORDENES'!$AA237="","-",'ORDENES'!$AA237))</f>
        <v/>
      </c>
      <c r="G259" s="5">
        <f>IF('ORDENES'!$A237="","",IF('ORDENES'!$Y237="","-",'ORDENES'!$Y237))</f>
        <v/>
      </c>
      <c r="H259" s="5">
        <f>IF('ORDENES'!$A237="","",IF('ORDENES'!$AG237="","-",'ORDENES'!$AG237))</f>
        <v/>
      </c>
      <c r="I259" s="5">
        <f>IF('ORDENES'!$A237="","",IF('ORDENES'!$AT237="","-",'ORDENES'!$AT237))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0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IF('ORDENES'!$A237="","",'ORDENES'!$AF237)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IF('ORDENES'!$A238="","",IF('ORDENES'!$AH238="","-",'ORDENES'!$AH238))</f>
        <v/>
      </c>
      <c r="D260" s="5">
        <f>IF('ORDENES'!$A238="","",IF('ORDENES'!$Z238="","-",'ORDENES'!$Z238))</f>
        <v/>
      </c>
      <c r="E260" s="5">
        <f>IF('ORDENES'!$A238="","",IF('ORDENES'!$X238="","-",'ORDENES'!$X238))</f>
        <v/>
      </c>
      <c r="F260" s="5">
        <f>IF('ORDENES'!$A238="","",IF('ORDENES'!$AA238="","-",'ORDENES'!$AA238))</f>
        <v/>
      </c>
      <c r="G260" s="5">
        <f>IF('ORDENES'!$A238="","",IF('ORDENES'!$Y238="","-",'ORDENES'!$Y238))</f>
        <v/>
      </c>
      <c r="H260" s="5">
        <f>IF('ORDENES'!$A238="","",IF('ORDENES'!$AG238="","-",'ORDENES'!$AG238))</f>
        <v/>
      </c>
      <c r="I260" s="5">
        <f>IF('ORDENES'!$A238="","",IF('ORDENES'!$AT238="","-",'ORDENES'!$AT238))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0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IF('ORDENES'!$A238="","",'ORDENES'!$AF238)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IF('ORDENES'!$A239="","",IF('ORDENES'!$AH239="","-",'ORDENES'!$AH239))</f>
        <v/>
      </c>
      <c r="D261" s="5">
        <f>IF('ORDENES'!$A239="","",IF('ORDENES'!$Z239="","-",'ORDENES'!$Z239))</f>
        <v/>
      </c>
      <c r="E261" s="5">
        <f>IF('ORDENES'!$A239="","",IF('ORDENES'!$X239="","-",'ORDENES'!$X239))</f>
        <v/>
      </c>
      <c r="F261" s="5">
        <f>IF('ORDENES'!$A239="","",IF('ORDENES'!$AA239="","-",'ORDENES'!$AA239))</f>
        <v/>
      </c>
      <c r="G261" s="5">
        <f>IF('ORDENES'!$A239="","",IF('ORDENES'!$Y239="","-",'ORDENES'!$Y239))</f>
        <v/>
      </c>
      <c r="H261" s="5">
        <f>IF('ORDENES'!$A239="","",IF('ORDENES'!$AG239="","-",'ORDENES'!$AG239))</f>
        <v/>
      </c>
      <c r="I261" s="5">
        <f>IF('ORDENES'!$A239="","",IF('ORDENES'!$AT239="","-",'ORDENES'!$AT239))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0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IF('ORDENES'!$A239="","",'ORDENES'!$AF239)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IF('ORDENES'!$A240="","",IF('ORDENES'!$AH240="","-",'ORDENES'!$AH240))</f>
        <v/>
      </c>
      <c r="D262" s="5">
        <f>IF('ORDENES'!$A240="","",IF('ORDENES'!$Z240="","-",'ORDENES'!$Z240))</f>
        <v/>
      </c>
      <c r="E262" s="5">
        <f>IF('ORDENES'!$A240="","",IF('ORDENES'!$X240="","-",'ORDENES'!$X240))</f>
        <v/>
      </c>
      <c r="F262" s="5">
        <f>IF('ORDENES'!$A240="","",IF('ORDENES'!$AA240="","-",'ORDENES'!$AA240))</f>
        <v/>
      </c>
      <c r="G262" s="5">
        <f>IF('ORDENES'!$A240="","",IF('ORDENES'!$Y240="","-",'ORDENES'!$Y240))</f>
        <v/>
      </c>
      <c r="H262" s="5">
        <f>IF('ORDENES'!$A240="","",IF('ORDENES'!$AG240="","-",'ORDENES'!$AG240))</f>
        <v/>
      </c>
      <c r="I262" s="5">
        <f>IF('ORDENES'!$A240="","",IF('ORDENES'!$AT240="","-",'ORDENES'!$AT240))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0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IF('ORDENES'!$A240="","",'ORDENES'!$AF240)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IF('ORDENES'!$A241="","",IF('ORDENES'!$AH241="","-",'ORDENES'!$AH241))</f>
        <v/>
      </c>
      <c r="D263" s="5">
        <f>IF('ORDENES'!$A241="","",IF('ORDENES'!$Z241="","-",'ORDENES'!$Z241))</f>
        <v/>
      </c>
      <c r="E263" s="5">
        <f>IF('ORDENES'!$A241="","",IF('ORDENES'!$X241="","-",'ORDENES'!$X241))</f>
        <v/>
      </c>
      <c r="F263" s="5">
        <f>IF('ORDENES'!$A241="","",IF('ORDENES'!$AA241="","-",'ORDENES'!$AA241))</f>
        <v/>
      </c>
      <c r="G263" s="5">
        <f>IF('ORDENES'!$A241="","",IF('ORDENES'!$Y241="","-",'ORDENES'!$Y241))</f>
        <v/>
      </c>
      <c r="H263" s="5">
        <f>IF('ORDENES'!$A241="","",IF('ORDENES'!$AG241="","-",'ORDENES'!$AG241))</f>
        <v/>
      </c>
      <c r="I263" s="5">
        <f>IF('ORDENES'!$A241="","",IF('ORDENES'!$AT241="","-",'ORDENES'!$AT241))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0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IF('ORDENES'!$A241="","",'ORDENES'!$AF241)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IF('ORDENES'!$A242="","",IF('ORDENES'!$AH242="","-",'ORDENES'!$AH242))</f>
        <v/>
      </c>
      <c r="D264" s="5">
        <f>IF('ORDENES'!$A242="","",IF('ORDENES'!$Z242="","-",'ORDENES'!$Z242))</f>
        <v/>
      </c>
      <c r="E264" s="5">
        <f>IF('ORDENES'!$A242="","",IF('ORDENES'!$X242="","-",'ORDENES'!$X242))</f>
        <v/>
      </c>
      <c r="F264" s="5">
        <f>IF('ORDENES'!$A242="","",IF('ORDENES'!$AA242="","-",'ORDENES'!$AA242))</f>
        <v/>
      </c>
      <c r="G264" s="5">
        <f>IF('ORDENES'!$A242="","",IF('ORDENES'!$Y242="","-",'ORDENES'!$Y242))</f>
        <v/>
      </c>
      <c r="H264" s="5">
        <f>IF('ORDENES'!$A242="","",IF('ORDENES'!$AG242="","-",'ORDENES'!$AG242))</f>
        <v/>
      </c>
      <c r="I264" s="5">
        <f>IF('ORDENES'!$A242="","",IF('ORDENES'!$AT242="","-",'ORDENES'!$AT242))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0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IF('ORDENES'!$A242="","",'ORDENES'!$AF242)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IF('ORDENES'!$A243="","",IF('ORDENES'!$AH243="","-",'ORDENES'!$AH243))</f>
        <v/>
      </c>
      <c r="D265" s="5">
        <f>IF('ORDENES'!$A243="","",IF('ORDENES'!$Z243="","-",'ORDENES'!$Z243))</f>
        <v/>
      </c>
      <c r="E265" s="5">
        <f>IF('ORDENES'!$A243="","",IF('ORDENES'!$X243="","-",'ORDENES'!$X243))</f>
        <v/>
      </c>
      <c r="F265" s="5">
        <f>IF('ORDENES'!$A243="","",IF('ORDENES'!$AA243="","-",'ORDENES'!$AA243))</f>
        <v/>
      </c>
      <c r="G265" s="5">
        <f>IF('ORDENES'!$A243="","",IF('ORDENES'!$Y243="","-",'ORDENES'!$Y243))</f>
        <v/>
      </c>
      <c r="H265" s="5">
        <f>IF('ORDENES'!$A243="","",IF('ORDENES'!$AG243="","-",'ORDENES'!$AG243))</f>
        <v/>
      </c>
      <c r="I265" s="5">
        <f>IF('ORDENES'!$A243="","",IF('ORDENES'!$AT243="","-",'ORDENES'!$AT243))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0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IF('ORDENES'!$A243="","",'ORDENES'!$AF243)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IF('ORDENES'!$A244="","",IF('ORDENES'!$AH244="","-",'ORDENES'!$AH244))</f>
        <v/>
      </c>
      <c r="D266" s="5">
        <f>IF('ORDENES'!$A244="","",IF('ORDENES'!$Z244="","-",'ORDENES'!$Z244))</f>
        <v/>
      </c>
      <c r="E266" s="5">
        <f>IF('ORDENES'!$A244="","",IF('ORDENES'!$X244="","-",'ORDENES'!$X244))</f>
        <v/>
      </c>
      <c r="F266" s="5">
        <f>IF('ORDENES'!$A244="","",IF('ORDENES'!$AA244="","-",'ORDENES'!$AA244))</f>
        <v/>
      </c>
      <c r="G266" s="5">
        <f>IF('ORDENES'!$A244="","",IF('ORDENES'!$Y244="","-",'ORDENES'!$Y244))</f>
        <v/>
      </c>
      <c r="H266" s="5">
        <f>IF('ORDENES'!$A244="","",IF('ORDENES'!$AG244="","-",'ORDENES'!$AG244))</f>
        <v/>
      </c>
      <c r="I266" s="5">
        <f>IF('ORDENES'!$A244="","",IF('ORDENES'!$AT244="","-",'ORDENES'!$AT244))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0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IF('ORDENES'!$A244="","",'ORDENES'!$AF244)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IF('ORDENES'!$A245="","",IF('ORDENES'!$AH245="","-",'ORDENES'!$AH245))</f>
        <v/>
      </c>
      <c r="D267" s="5">
        <f>IF('ORDENES'!$A245="","",IF('ORDENES'!$Z245="","-",'ORDENES'!$Z245))</f>
        <v/>
      </c>
      <c r="E267" s="5">
        <f>IF('ORDENES'!$A245="","",IF('ORDENES'!$X245="","-",'ORDENES'!$X245))</f>
        <v/>
      </c>
      <c r="F267" s="5">
        <f>IF('ORDENES'!$A245="","",IF('ORDENES'!$AA245="","-",'ORDENES'!$AA245))</f>
        <v/>
      </c>
      <c r="G267" s="5">
        <f>IF('ORDENES'!$A245="","",IF('ORDENES'!$Y245="","-",'ORDENES'!$Y245))</f>
        <v/>
      </c>
      <c r="H267" s="5">
        <f>IF('ORDENES'!$A245="","",IF('ORDENES'!$AG245="","-",'ORDENES'!$AG245))</f>
        <v/>
      </c>
      <c r="I267" s="5">
        <f>IF('ORDENES'!$A245="","",IF('ORDENES'!$AT245="","-",'ORDENES'!$AT245))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0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IF('ORDENES'!$A245="","",'ORDENES'!$AF245)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IF('ORDENES'!$A246="","",IF('ORDENES'!$AH246="","-",'ORDENES'!$AH246))</f>
        <v/>
      </c>
      <c r="D268" s="5">
        <f>IF('ORDENES'!$A246="","",IF('ORDENES'!$Z246="","-",'ORDENES'!$Z246))</f>
        <v/>
      </c>
      <c r="E268" s="5">
        <f>IF('ORDENES'!$A246="","",IF('ORDENES'!$X246="","-",'ORDENES'!$X246))</f>
        <v/>
      </c>
      <c r="F268" s="5">
        <f>IF('ORDENES'!$A246="","",IF('ORDENES'!$AA246="","-",'ORDENES'!$AA246))</f>
        <v/>
      </c>
      <c r="G268" s="5">
        <f>IF('ORDENES'!$A246="","",IF('ORDENES'!$Y246="","-",'ORDENES'!$Y246))</f>
        <v/>
      </c>
      <c r="H268" s="5">
        <f>IF('ORDENES'!$A246="","",IF('ORDENES'!$AG246="","-",'ORDENES'!$AG246))</f>
        <v/>
      </c>
      <c r="I268" s="5">
        <f>IF('ORDENES'!$A246="","",IF('ORDENES'!$AT246="","-",'ORDENES'!$AT246))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0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IF('ORDENES'!$A246="","",'ORDENES'!$AF246)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IF('ORDENES'!$A247="","",IF('ORDENES'!$AH247="","-",'ORDENES'!$AH247))</f>
        <v/>
      </c>
      <c r="D269" s="5">
        <f>IF('ORDENES'!$A247="","",IF('ORDENES'!$Z247="","-",'ORDENES'!$Z247))</f>
        <v/>
      </c>
      <c r="E269" s="5">
        <f>IF('ORDENES'!$A247="","",IF('ORDENES'!$X247="","-",'ORDENES'!$X247))</f>
        <v/>
      </c>
      <c r="F269" s="5">
        <f>IF('ORDENES'!$A247="","",IF('ORDENES'!$AA247="","-",'ORDENES'!$AA247))</f>
        <v/>
      </c>
      <c r="G269" s="5">
        <f>IF('ORDENES'!$A247="","",IF('ORDENES'!$Y247="","-",'ORDENES'!$Y247))</f>
        <v/>
      </c>
      <c r="H269" s="5">
        <f>IF('ORDENES'!$A247="","",IF('ORDENES'!$AG247="","-",'ORDENES'!$AG247))</f>
        <v/>
      </c>
      <c r="I269" s="5">
        <f>IF('ORDENES'!$A247="","",IF('ORDENES'!$AT247="","-",'ORDENES'!$AT247))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0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IF('ORDENES'!$A247="","",'ORDENES'!$AF247)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IF('ORDENES'!$A248="","",IF('ORDENES'!$AH248="","-",'ORDENES'!$AH248))</f>
        <v/>
      </c>
      <c r="D270" s="5">
        <f>IF('ORDENES'!$A248="","",IF('ORDENES'!$Z248="","-",'ORDENES'!$Z248))</f>
        <v/>
      </c>
      <c r="E270" s="5">
        <f>IF('ORDENES'!$A248="","",IF('ORDENES'!$X248="","-",'ORDENES'!$X248))</f>
        <v/>
      </c>
      <c r="F270" s="5">
        <f>IF('ORDENES'!$A248="","",IF('ORDENES'!$AA248="","-",'ORDENES'!$AA248))</f>
        <v/>
      </c>
      <c r="G270" s="5">
        <f>IF('ORDENES'!$A248="","",IF('ORDENES'!$Y248="","-",'ORDENES'!$Y248))</f>
        <v/>
      </c>
      <c r="H270" s="5">
        <f>IF('ORDENES'!$A248="","",IF('ORDENES'!$AG248="","-",'ORDENES'!$AG248))</f>
        <v/>
      </c>
      <c r="I270" s="5">
        <f>IF('ORDENES'!$A248="","",IF('ORDENES'!$AT248="","-",'ORDENES'!$AT248))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0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IF('ORDENES'!$A248="","",'ORDENES'!$AF248)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IF('ORDENES'!$A249="","",IF('ORDENES'!$AH249="","-",'ORDENES'!$AH249))</f>
        <v/>
      </c>
      <c r="D271" s="5">
        <f>IF('ORDENES'!$A249="","",IF('ORDENES'!$Z249="","-",'ORDENES'!$Z249))</f>
        <v/>
      </c>
      <c r="E271" s="5">
        <f>IF('ORDENES'!$A249="","",IF('ORDENES'!$X249="","-",'ORDENES'!$X249))</f>
        <v/>
      </c>
      <c r="F271" s="5">
        <f>IF('ORDENES'!$A249="","",IF('ORDENES'!$AA249="","-",'ORDENES'!$AA249))</f>
        <v/>
      </c>
      <c r="G271" s="5">
        <f>IF('ORDENES'!$A249="","",IF('ORDENES'!$Y249="","-",'ORDENES'!$Y249))</f>
        <v/>
      </c>
      <c r="H271" s="5">
        <f>IF('ORDENES'!$A249="","",IF('ORDENES'!$AG249="","-",'ORDENES'!$AG249))</f>
        <v/>
      </c>
      <c r="I271" s="5">
        <f>IF('ORDENES'!$A249="","",IF('ORDENES'!$AT249="","-",'ORDENES'!$AT249))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0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IF('ORDENES'!$A249="","",'ORDENES'!$AF249)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IF('ORDENES'!$A250="","",IF('ORDENES'!$AH250="","-",'ORDENES'!$AH250))</f>
        <v/>
      </c>
      <c r="D272" s="5">
        <f>IF('ORDENES'!$A250="","",IF('ORDENES'!$Z250="","-",'ORDENES'!$Z250))</f>
        <v/>
      </c>
      <c r="E272" s="5">
        <f>IF('ORDENES'!$A250="","",IF('ORDENES'!$X250="","-",'ORDENES'!$X250))</f>
        <v/>
      </c>
      <c r="F272" s="5">
        <f>IF('ORDENES'!$A250="","",IF('ORDENES'!$AA250="","-",'ORDENES'!$AA250))</f>
        <v/>
      </c>
      <c r="G272" s="5">
        <f>IF('ORDENES'!$A250="","",IF('ORDENES'!$Y250="","-",'ORDENES'!$Y250))</f>
        <v/>
      </c>
      <c r="H272" s="5">
        <f>IF('ORDENES'!$A250="","",IF('ORDENES'!$AG250="","-",'ORDENES'!$AG250))</f>
        <v/>
      </c>
      <c r="I272" s="5">
        <f>IF('ORDENES'!$A250="","",IF('ORDENES'!$AT250="","-",'ORDENES'!$AT250))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0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IF('ORDENES'!$A250="","",'ORDENES'!$AF250)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IF('ORDENES'!$A251="","",IF('ORDENES'!$AH251="","-",'ORDENES'!$AH251))</f>
        <v/>
      </c>
      <c r="D273" s="5">
        <f>IF('ORDENES'!$A251="","",IF('ORDENES'!$Z251="","-",'ORDENES'!$Z251))</f>
        <v/>
      </c>
      <c r="E273" s="5">
        <f>IF('ORDENES'!$A251="","",IF('ORDENES'!$X251="","-",'ORDENES'!$X251))</f>
        <v/>
      </c>
      <c r="F273" s="5">
        <f>IF('ORDENES'!$A251="","",IF('ORDENES'!$AA251="","-",'ORDENES'!$AA251))</f>
        <v/>
      </c>
      <c r="G273" s="5">
        <f>IF('ORDENES'!$A251="","",IF('ORDENES'!$Y251="","-",'ORDENES'!$Y251))</f>
        <v/>
      </c>
      <c r="H273" s="5">
        <f>IF('ORDENES'!$A251="","",IF('ORDENES'!$AG251="","-",'ORDENES'!$AG251))</f>
        <v/>
      </c>
      <c r="I273" s="5">
        <f>IF('ORDENES'!$A251="","",IF('ORDENES'!$AT251="","-",'ORDENES'!$AT251))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0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IF('ORDENES'!$A251="","",'ORDENES'!$AF251)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IF('ORDENES'!$A252="","",IF('ORDENES'!$AH252="","-",'ORDENES'!$AH252))</f>
        <v/>
      </c>
      <c r="D274" s="5">
        <f>IF('ORDENES'!$A252="","",IF('ORDENES'!$Z252="","-",'ORDENES'!$Z252))</f>
        <v/>
      </c>
      <c r="E274" s="5">
        <f>IF('ORDENES'!$A252="","",IF('ORDENES'!$X252="","-",'ORDENES'!$X252))</f>
        <v/>
      </c>
      <c r="F274" s="5">
        <f>IF('ORDENES'!$A252="","",IF('ORDENES'!$AA252="","-",'ORDENES'!$AA252))</f>
        <v/>
      </c>
      <c r="G274" s="5">
        <f>IF('ORDENES'!$A252="","",IF('ORDENES'!$Y252="","-",'ORDENES'!$Y252))</f>
        <v/>
      </c>
      <c r="H274" s="5">
        <f>IF('ORDENES'!$A252="","",IF('ORDENES'!$AG252="","-",'ORDENES'!$AG252))</f>
        <v/>
      </c>
      <c r="I274" s="5">
        <f>IF('ORDENES'!$A252="","",IF('ORDENES'!$AT252="","-",'ORDENES'!$AT252))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0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IF('ORDENES'!$A252="","",'ORDENES'!$AF252)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IF('ORDENES'!$A253="","",IF('ORDENES'!$AH253="","-",'ORDENES'!$AH253))</f>
        <v/>
      </c>
      <c r="D275" s="5">
        <f>IF('ORDENES'!$A253="","",IF('ORDENES'!$Z253="","-",'ORDENES'!$Z253))</f>
        <v/>
      </c>
      <c r="E275" s="5">
        <f>IF('ORDENES'!$A253="","",IF('ORDENES'!$X253="","-",'ORDENES'!$X253))</f>
        <v/>
      </c>
      <c r="F275" s="5">
        <f>IF('ORDENES'!$A253="","",IF('ORDENES'!$AA253="","-",'ORDENES'!$AA253))</f>
        <v/>
      </c>
      <c r="G275" s="5">
        <f>IF('ORDENES'!$A253="","",IF('ORDENES'!$Y253="","-",'ORDENES'!$Y253))</f>
        <v/>
      </c>
      <c r="H275" s="5">
        <f>IF('ORDENES'!$A253="","",IF('ORDENES'!$AG253="","-",'ORDENES'!$AG253))</f>
        <v/>
      </c>
      <c r="I275" s="5">
        <f>IF('ORDENES'!$A253="","",IF('ORDENES'!$AT253="","-",'ORDENES'!$AT253))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0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IF('ORDENES'!$A253="","",'ORDENES'!$AF253)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IF('ORDENES'!$A254="","",IF('ORDENES'!$AH254="","-",'ORDENES'!$AH254))</f>
        <v/>
      </c>
      <c r="D276" s="5">
        <f>IF('ORDENES'!$A254="","",IF('ORDENES'!$Z254="","-",'ORDENES'!$Z254))</f>
        <v/>
      </c>
      <c r="E276" s="5">
        <f>IF('ORDENES'!$A254="","",IF('ORDENES'!$X254="","-",'ORDENES'!$X254))</f>
        <v/>
      </c>
      <c r="F276" s="5">
        <f>IF('ORDENES'!$A254="","",IF('ORDENES'!$AA254="","-",'ORDENES'!$AA254))</f>
        <v/>
      </c>
      <c r="G276" s="5">
        <f>IF('ORDENES'!$A254="","",IF('ORDENES'!$Y254="","-",'ORDENES'!$Y254))</f>
        <v/>
      </c>
      <c r="H276" s="5">
        <f>IF('ORDENES'!$A254="","",IF('ORDENES'!$AG254="","-",'ORDENES'!$AG254))</f>
        <v/>
      </c>
      <c r="I276" s="5">
        <f>IF('ORDENES'!$A254="","",IF('ORDENES'!$AT254="","-",'ORDENES'!$AT254))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0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IF('ORDENES'!$A254="","",'ORDENES'!$AF254)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IF('ORDENES'!$A255="","",IF('ORDENES'!$AH255="","-",'ORDENES'!$AH255))</f>
        <v/>
      </c>
      <c r="D277" s="5">
        <f>IF('ORDENES'!$A255="","",IF('ORDENES'!$Z255="","-",'ORDENES'!$Z255))</f>
        <v/>
      </c>
      <c r="E277" s="5">
        <f>IF('ORDENES'!$A255="","",IF('ORDENES'!$X255="","-",'ORDENES'!$X255))</f>
        <v/>
      </c>
      <c r="F277" s="5">
        <f>IF('ORDENES'!$A255="","",IF('ORDENES'!$AA255="","-",'ORDENES'!$AA255))</f>
        <v/>
      </c>
      <c r="G277" s="5">
        <f>IF('ORDENES'!$A255="","",IF('ORDENES'!$Y255="","-",'ORDENES'!$Y255))</f>
        <v/>
      </c>
      <c r="H277" s="5">
        <f>IF('ORDENES'!$A255="","",IF('ORDENES'!$AG255="","-",'ORDENES'!$AG255))</f>
        <v/>
      </c>
      <c r="I277" s="5">
        <f>IF('ORDENES'!$A255="","",IF('ORDENES'!$AT255="","-",'ORDENES'!$AT255))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0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IF('ORDENES'!$A255="","",'ORDENES'!$AF255)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IF('ORDENES'!$A256="","",IF('ORDENES'!$AH256="","-",'ORDENES'!$AH256))</f>
        <v/>
      </c>
      <c r="D278" s="5">
        <f>IF('ORDENES'!$A256="","",IF('ORDENES'!$Z256="","-",'ORDENES'!$Z256))</f>
        <v/>
      </c>
      <c r="E278" s="5">
        <f>IF('ORDENES'!$A256="","",IF('ORDENES'!$X256="","-",'ORDENES'!$X256))</f>
        <v/>
      </c>
      <c r="F278" s="5">
        <f>IF('ORDENES'!$A256="","",IF('ORDENES'!$AA256="","-",'ORDENES'!$AA256))</f>
        <v/>
      </c>
      <c r="G278" s="5">
        <f>IF('ORDENES'!$A256="","",IF('ORDENES'!$Y256="","-",'ORDENES'!$Y256))</f>
        <v/>
      </c>
      <c r="H278" s="5">
        <f>IF('ORDENES'!$A256="","",IF('ORDENES'!$AG256="","-",'ORDENES'!$AG256))</f>
        <v/>
      </c>
      <c r="I278" s="5">
        <f>IF('ORDENES'!$A256="","",IF('ORDENES'!$AT256="","-",'ORDENES'!$AT256))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0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IF('ORDENES'!$A256="","",'ORDENES'!$AF256)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IF('ORDENES'!$A257="","",IF('ORDENES'!$AH257="","-",'ORDENES'!$AH257))</f>
        <v/>
      </c>
      <c r="D279" s="5">
        <f>IF('ORDENES'!$A257="","",IF('ORDENES'!$Z257="","-",'ORDENES'!$Z257))</f>
        <v/>
      </c>
      <c r="E279" s="5">
        <f>IF('ORDENES'!$A257="","",IF('ORDENES'!$X257="","-",'ORDENES'!$X257))</f>
        <v/>
      </c>
      <c r="F279" s="5">
        <f>IF('ORDENES'!$A257="","",IF('ORDENES'!$AA257="","-",'ORDENES'!$AA257))</f>
        <v/>
      </c>
      <c r="G279" s="5">
        <f>IF('ORDENES'!$A257="","",IF('ORDENES'!$Y257="","-",'ORDENES'!$Y257))</f>
        <v/>
      </c>
      <c r="H279" s="5">
        <f>IF('ORDENES'!$A257="","",IF('ORDENES'!$AG257="","-",'ORDENES'!$AG257))</f>
        <v/>
      </c>
      <c r="I279" s="5">
        <f>IF('ORDENES'!$A257="","",IF('ORDENES'!$AT257="","-",'ORDENES'!$AT257))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0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IF('ORDENES'!$A257="","",'ORDENES'!$AF257)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IF('ORDENES'!$A258="","",IF('ORDENES'!$AH258="","-",'ORDENES'!$AH258))</f>
        <v/>
      </c>
      <c r="D280" s="5">
        <f>IF('ORDENES'!$A258="","",IF('ORDENES'!$Z258="","-",'ORDENES'!$Z258))</f>
        <v/>
      </c>
      <c r="E280" s="5">
        <f>IF('ORDENES'!$A258="","",IF('ORDENES'!$X258="","-",'ORDENES'!$X258))</f>
        <v/>
      </c>
      <c r="F280" s="5">
        <f>IF('ORDENES'!$A258="","",IF('ORDENES'!$AA258="","-",'ORDENES'!$AA258))</f>
        <v/>
      </c>
      <c r="G280" s="5">
        <f>IF('ORDENES'!$A258="","",IF('ORDENES'!$Y258="","-",'ORDENES'!$Y258))</f>
        <v/>
      </c>
      <c r="H280" s="5">
        <f>IF('ORDENES'!$A258="","",IF('ORDENES'!$AG258="","-",'ORDENES'!$AG258))</f>
        <v/>
      </c>
      <c r="I280" s="5">
        <f>IF('ORDENES'!$A258="","",IF('ORDENES'!$AT258="","-",'ORDENES'!$AT258))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0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IF('ORDENES'!$A258="","",'ORDENES'!$AF258)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IF('ORDENES'!$A259="","",IF('ORDENES'!$AH259="","-",'ORDENES'!$AH259))</f>
        <v/>
      </c>
      <c r="D281" s="5">
        <f>IF('ORDENES'!$A259="","",IF('ORDENES'!$Z259="","-",'ORDENES'!$Z259))</f>
        <v/>
      </c>
      <c r="E281" s="5">
        <f>IF('ORDENES'!$A259="","",IF('ORDENES'!$X259="","-",'ORDENES'!$X259))</f>
        <v/>
      </c>
      <c r="F281" s="5">
        <f>IF('ORDENES'!$A259="","",IF('ORDENES'!$AA259="","-",'ORDENES'!$AA259))</f>
        <v/>
      </c>
      <c r="G281" s="5">
        <f>IF('ORDENES'!$A259="","",IF('ORDENES'!$Y259="","-",'ORDENES'!$Y259))</f>
        <v/>
      </c>
      <c r="H281" s="5">
        <f>IF('ORDENES'!$A259="","",IF('ORDENES'!$AG259="","-",'ORDENES'!$AG259))</f>
        <v/>
      </c>
      <c r="I281" s="5">
        <f>IF('ORDENES'!$A259="","",IF('ORDENES'!$AT259="","-",'ORDENES'!$AT259))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0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IF('ORDENES'!$A259="","",'ORDENES'!$AF259)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IF('ORDENES'!$A260="","",IF('ORDENES'!$AH260="","-",'ORDENES'!$AH260))</f>
        <v/>
      </c>
      <c r="D282" s="5">
        <f>IF('ORDENES'!$A260="","",IF('ORDENES'!$Z260="","-",'ORDENES'!$Z260))</f>
        <v/>
      </c>
      <c r="E282" s="5">
        <f>IF('ORDENES'!$A260="","",IF('ORDENES'!$X260="","-",'ORDENES'!$X260))</f>
        <v/>
      </c>
      <c r="F282" s="5">
        <f>IF('ORDENES'!$A260="","",IF('ORDENES'!$AA260="","-",'ORDENES'!$AA260))</f>
        <v/>
      </c>
      <c r="G282" s="5">
        <f>IF('ORDENES'!$A260="","",IF('ORDENES'!$Y260="","-",'ORDENES'!$Y260))</f>
        <v/>
      </c>
      <c r="H282" s="5">
        <f>IF('ORDENES'!$A260="","",IF('ORDENES'!$AG260="","-",'ORDENES'!$AG260))</f>
        <v/>
      </c>
      <c r="I282" s="5">
        <f>IF('ORDENES'!$A260="","",IF('ORDENES'!$AT260="","-",'ORDENES'!$AT260))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0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IF('ORDENES'!$A260="","",'ORDENES'!$AF260)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IF('ORDENES'!$A261="","",IF('ORDENES'!$AH261="","-",'ORDENES'!$AH261))</f>
        <v/>
      </c>
      <c r="D283" s="5">
        <f>IF('ORDENES'!$A261="","",IF('ORDENES'!$Z261="","-",'ORDENES'!$Z261))</f>
        <v/>
      </c>
      <c r="E283" s="5">
        <f>IF('ORDENES'!$A261="","",IF('ORDENES'!$X261="","-",'ORDENES'!$X261))</f>
        <v/>
      </c>
      <c r="F283" s="5">
        <f>IF('ORDENES'!$A261="","",IF('ORDENES'!$AA261="","-",'ORDENES'!$AA261))</f>
        <v/>
      </c>
      <c r="G283" s="5">
        <f>IF('ORDENES'!$A261="","",IF('ORDENES'!$Y261="","-",'ORDENES'!$Y261))</f>
        <v/>
      </c>
      <c r="H283" s="5">
        <f>IF('ORDENES'!$A261="","",IF('ORDENES'!$AG261="","-",'ORDENES'!$AG261))</f>
        <v/>
      </c>
      <c r="I283" s="5">
        <f>IF('ORDENES'!$A261="","",IF('ORDENES'!$AT261="","-",'ORDENES'!$AT261))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0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IF('ORDENES'!$A261="","",'ORDENES'!$AF261)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IF('ORDENES'!$A262="","",IF('ORDENES'!$AH262="","-",'ORDENES'!$AH262))</f>
        <v/>
      </c>
      <c r="D284" s="5">
        <f>IF('ORDENES'!$A262="","",IF('ORDENES'!$Z262="","-",'ORDENES'!$Z262))</f>
        <v/>
      </c>
      <c r="E284" s="5">
        <f>IF('ORDENES'!$A262="","",IF('ORDENES'!$X262="","-",'ORDENES'!$X262))</f>
        <v/>
      </c>
      <c r="F284" s="5">
        <f>IF('ORDENES'!$A262="","",IF('ORDENES'!$AA262="","-",'ORDENES'!$AA262))</f>
        <v/>
      </c>
      <c r="G284" s="5">
        <f>IF('ORDENES'!$A262="","",IF('ORDENES'!$Y262="","-",'ORDENES'!$Y262))</f>
        <v/>
      </c>
      <c r="H284" s="5">
        <f>IF('ORDENES'!$A262="","",IF('ORDENES'!$AG262="","-",'ORDENES'!$AG262))</f>
        <v/>
      </c>
      <c r="I284" s="5">
        <f>IF('ORDENES'!$A262="","",IF('ORDENES'!$AT262="","-",'ORDENES'!$AT262))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0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IF('ORDENES'!$A262="","",'ORDENES'!$AF262)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IF('ORDENES'!$A263="","",IF('ORDENES'!$AH263="","-",'ORDENES'!$AH263))</f>
        <v/>
      </c>
      <c r="D285" s="5">
        <f>IF('ORDENES'!$A263="","",IF('ORDENES'!$Z263="","-",'ORDENES'!$Z263))</f>
        <v/>
      </c>
      <c r="E285" s="5">
        <f>IF('ORDENES'!$A263="","",IF('ORDENES'!$X263="","-",'ORDENES'!$X263))</f>
        <v/>
      </c>
      <c r="F285" s="5">
        <f>IF('ORDENES'!$A263="","",IF('ORDENES'!$AA263="","-",'ORDENES'!$AA263))</f>
        <v/>
      </c>
      <c r="G285" s="5">
        <f>IF('ORDENES'!$A263="","",IF('ORDENES'!$Y263="","-",'ORDENES'!$Y263))</f>
        <v/>
      </c>
      <c r="H285" s="5">
        <f>IF('ORDENES'!$A263="","",IF('ORDENES'!$AG263="","-",'ORDENES'!$AG263))</f>
        <v/>
      </c>
      <c r="I285" s="5">
        <f>IF('ORDENES'!$A263="","",IF('ORDENES'!$AT263="","-",'ORDENES'!$AT263))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0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IF('ORDENES'!$A263="","",'ORDENES'!$AF263)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IF('ORDENES'!$A264="","",IF('ORDENES'!$AH264="","-",'ORDENES'!$AH264))</f>
        <v/>
      </c>
      <c r="D286" s="5">
        <f>IF('ORDENES'!$A264="","",IF('ORDENES'!$Z264="","-",'ORDENES'!$Z264))</f>
        <v/>
      </c>
      <c r="E286" s="5">
        <f>IF('ORDENES'!$A264="","",IF('ORDENES'!$X264="","-",'ORDENES'!$X264))</f>
        <v/>
      </c>
      <c r="F286" s="5">
        <f>IF('ORDENES'!$A264="","",IF('ORDENES'!$AA264="","-",'ORDENES'!$AA264))</f>
        <v/>
      </c>
      <c r="G286" s="5">
        <f>IF('ORDENES'!$A264="","",IF('ORDENES'!$Y264="","-",'ORDENES'!$Y264))</f>
        <v/>
      </c>
      <c r="H286" s="5">
        <f>IF('ORDENES'!$A264="","",IF('ORDENES'!$AG264="","-",'ORDENES'!$AG264))</f>
        <v/>
      </c>
      <c r="I286" s="5">
        <f>IF('ORDENES'!$A264="","",IF('ORDENES'!$AT264="","-",'ORDENES'!$AT264))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0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IF('ORDENES'!$A264="","",'ORDENES'!$AF264)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IF('ORDENES'!$A265="","",IF('ORDENES'!$AH265="","-",'ORDENES'!$AH265))</f>
        <v/>
      </c>
      <c r="D287" s="5">
        <f>IF('ORDENES'!$A265="","",IF('ORDENES'!$Z265="","-",'ORDENES'!$Z265))</f>
        <v/>
      </c>
      <c r="E287" s="5">
        <f>IF('ORDENES'!$A265="","",IF('ORDENES'!$X265="","-",'ORDENES'!$X265))</f>
        <v/>
      </c>
      <c r="F287" s="5">
        <f>IF('ORDENES'!$A265="","",IF('ORDENES'!$AA265="","-",'ORDENES'!$AA265))</f>
        <v/>
      </c>
      <c r="G287" s="5">
        <f>IF('ORDENES'!$A265="","",IF('ORDENES'!$Y265="","-",'ORDENES'!$Y265))</f>
        <v/>
      </c>
      <c r="H287" s="5">
        <f>IF('ORDENES'!$A265="","",IF('ORDENES'!$AG265="","-",'ORDENES'!$AG265))</f>
        <v/>
      </c>
      <c r="I287" s="5">
        <f>IF('ORDENES'!$A265="","",IF('ORDENES'!$AT265="","-",'ORDENES'!$AT265))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0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IF('ORDENES'!$A265="","",'ORDENES'!$AF265)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IF('ORDENES'!$A266="","",IF('ORDENES'!$AH266="","-",'ORDENES'!$AH266))</f>
        <v/>
      </c>
      <c r="D288" s="5">
        <f>IF('ORDENES'!$A266="","",IF('ORDENES'!$Z266="","-",'ORDENES'!$Z266))</f>
        <v/>
      </c>
      <c r="E288" s="5">
        <f>IF('ORDENES'!$A266="","",IF('ORDENES'!$X266="","-",'ORDENES'!$X266))</f>
        <v/>
      </c>
      <c r="F288" s="5">
        <f>IF('ORDENES'!$A266="","",IF('ORDENES'!$AA266="","-",'ORDENES'!$AA266))</f>
        <v/>
      </c>
      <c r="G288" s="5">
        <f>IF('ORDENES'!$A266="","",IF('ORDENES'!$Y266="","-",'ORDENES'!$Y266))</f>
        <v/>
      </c>
      <c r="H288" s="5">
        <f>IF('ORDENES'!$A266="","",IF('ORDENES'!$AG266="","-",'ORDENES'!$AG266))</f>
        <v/>
      </c>
      <c r="I288" s="5">
        <f>IF('ORDENES'!$A266="","",IF('ORDENES'!$AT266="","-",'ORDENES'!$AT266))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0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IF('ORDENES'!$A266="","",'ORDENES'!$AF266)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IF('ORDENES'!$A267="","",IF('ORDENES'!$AH267="","-",'ORDENES'!$AH267))</f>
        <v/>
      </c>
      <c r="D289" s="5">
        <f>IF('ORDENES'!$A267="","",IF('ORDENES'!$Z267="","-",'ORDENES'!$Z267))</f>
        <v/>
      </c>
      <c r="E289" s="5">
        <f>IF('ORDENES'!$A267="","",IF('ORDENES'!$X267="","-",'ORDENES'!$X267))</f>
        <v/>
      </c>
      <c r="F289" s="5">
        <f>IF('ORDENES'!$A267="","",IF('ORDENES'!$AA267="","-",'ORDENES'!$AA267))</f>
        <v/>
      </c>
      <c r="G289" s="5">
        <f>IF('ORDENES'!$A267="","",IF('ORDENES'!$Y267="","-",'ORDENES'!$Y267))</f>
        <v/>
      </c>
      <c r="H289" s="5">
        <f>IF('ORDENES'!$A267="","",IF('ORDENES'!$AG267="","-",'ORDENES'!$AG267))</f>
        <v/>
      </c>
      <c r="I289" s="5">
        <f>IF('ORDENES'!$A267="","",IF('ORDENES'!$AT267="","-",'ORDENES'!$AT267))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0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IF('ORDENES'!$A267="","",'ORDENES'!$AF267)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IF('ORDENES'!$A268="","",IF('ORDENES'!$AH268="","-",'ORDENES'!$AH268))</f>
        <v/>
      </c>
      <c r="D290" s="5">
        <f>IF('ORDENES'!$A268="","",IF('ORDENES'!$Z268="","-",'ORDENES'!$Z268))</f>
        <v/>
      </c>
      <c r="E290" s="5">
        <f>IF('ORDENES'!$A268="","",IF('ORDENES'!$X268="","-",'ORDENES'!$X268))</f>
        <v/>
      </c>
      <c r="F290" s="5">
        <f>IF('ORDENES'!$A268="","",IF('ORDENES'!$AA268="","-",'ORDENES'!$AA268))</f>
        <v/>
      </c>
      <c r="G290" s="5">
        <f>IF('ORDENES'!$A268="","",IF('ORDENES'!$Y268="","-",'ORDENES'!$Y268))</f>
        <v/>
      </c>
      <c r="H290" s="5">
        <f>IF('ORDENES'!$A268="","",IF('ORDENES'!$AG268="","-",'ORDENES'!$AG268))</f>
        <v/>
      </c>
      <c r="I290" s="5">
        <f>IF('ORDENES'!$A268="","",IF('ORDENES'!$AT268="","-",'ORDENES'!$AT268))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0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IF('ORDENES'!$A268="","",'ORDENES'!$AF268)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IF('ORDENES'!$A269="","",IF('ORDENES'!$AH269="","-",'ORDENES'!$AH269))</f>
        <v/>
      </c>
      <c r="D291" s="5">
        <f>IF('ORDENES'!$A269="","",IF('ORDENES'!$Z269="","-",'ORDENES'!$Z269))</f>
        <v/>
      </c>
      <c r="E291" s="5">
        <f>IF('ORDENES'!$A269="","",IF('ORDENES'!$X269="","-",'ORDENES'!$X269))</f>
        <v/>
      </c>
      <c r="F291" s="5">
        <f>IF('ORDENES'!$A269="","",IF('ORDENES'!$AA269="","-",'ORDENES'!$AA269))</f>
        <v/>
      </c>
      <c r="G291" s="5">
        <f>IF('ORDENES'!$A269="","",IF('ORDENES'!$Y269="","-",'ORDENES'!$Y269))</f>
        <v/>
      </c>
      <c r="H291" s="5">
        <f>IF('ORDENES'!$A269="","",IF('ORDENES'!$AG269="","-",'ORDENES'!$AG269))</f>
        <v/>
      </c>
      <c r="I291" s="5">
        <f>IF('ORDENES'!$A269="","",IF('ORDENES'!$AT269="","-",'ORDENES'!$AT269))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0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IF('ORDENES'!$A269="","",'ORDENES'!$AF269)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IF('ORDENES'!$A270="","",IF('ORDENES'!$AH270="","-",'ORDENES'!$AH270))</f>
        <v/>
      </c>
      <c r="D292" s="5">
        <f>IF('ORDENES'!$A270="","",IF('ORDENES'!$Z270="","-",'ORDENES'!$Z270))</f>
        <v/>
      </c>
      <c r="E292" s="5">
        <f>IF('ORDENES'!$A270="","",IF('ORDENES'!$X270="","-",'ORDENES'!$X270))</f>
        <v/>
      </c>
      <c r="F292" s="5">
        <f>IF('ORDENES'!$A270="","",IF('ORDENES'!$AA270="","-",'ORDENES'!$AA270))</f>
        <v/>
      </c>
      <c r="G292" s="5">
        <f>IF('ORDENES'!$A270="","",IF('ORDENES'!$Y270="","-",'ORDENES'!$Y270))</f>
        <v/>
      </c>
      <c r="H292" s="5">
        <f>IF('ORDENES'!$A270="","",IF('ORDENES'!$AG270="","-",'ORDENES'!$AG270))</f>
        <v/>
      </c>
      <c r="I292" s="5">
        <f>IF('ORDENES'!$A270="","",IF('ORDENES'!$AT270="","-",'ORDENES'!$AT270))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0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IF('ORDENES'!$A270="","",'ORDENES'!$AF270)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IF('ORDENES'!$A271="","",IF('ORDENES'!$AH271="","-",'ORDENES'!$AH271))</f>
        <v/>
      </c>
      <c r="D293" s="5">
        <f>IF('ORDENES'!$A271="","",IF('ORDENES'!$Z271="","-",'ORDENES'!$Z271))</f>
        <v/>
      </c>
      <c r="E293" s="5">
        <f>IF('ORDENES'!$A271="","",IF('ORDENES'!$X271="","-",'ORDENES'!$X271))</f>
        <v/>
      </c>
      <c r="F293" s="5">
        <f>IF('ORDENES'!$A271="","",IF('ORDENES'!$AA271="","-",'ORDENES'!$AA271))</f>
        <v/>
      </c>
      <c r="G293" s="5">
        <f>IF('ORDENES'!$A271="","",IF('ORDENES'!$Y271="","-",'ORDENES'!$Y271))</f>
        <v/>
      </c>
      <c r="H293" s="5">
        <f>IF('ORDENES'!$A271="","",IF('ORDENES'!$AG271="","-",'ORDENES'!$AG271))</f>
        <v/>
      </c>
      <c r="I293" s="5">
        <f>IF('ORDENES'!$A271="","",IF('ORDENES'!$AT271="","-",'ORDENES'!$AT271))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0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IF('ORDENES'!$A271="","",'ORDENES'!$AF271)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IF('ORDENES'!$A272="","",IF('ORDENES'!$AH272="","-",'ORDENES'!$AH272))</f>
        <v/>
      </c>
      <c r="D294" s="5">
        <f>IF('ORDENES'!$A272="","",IF('ORDENES'!$Z272="","-",'ORDENES'!$Z272))</f>
        <v/>
      </c>
      <c r="E294" s="5">
        <f>IF('ORDENES'!$A272="","",IF('ORDENES'!$X272="","-",'ORDENES'!$X272))</f>
        <v/>
      </c>
      <c r="F294" s="5">
        <f>IF('ORDENES'!$A272="","",IF('ORDENES'!$AA272="","-",'ORDENES'!$AA272))</f>
        <v/>
      </c>
      <c r="G294" s="5">
        <f>IF('ORDENES'!$A272="","",IF('ORDENES'!$Y272="","-",'ORDENES'!$Y272))</f>
        <v/>
      </c>
      <c r="H294" s="5">
        <f>IF('ORDENES'!$A272="","",IF('ORDENES'!$AG272="","-",'ORDENES'!$AG272))</f>
        <v/>
      </c>
      <c r="I294" s="5">
        <f>IF('ORDENES'!$A272="","",IF('ORDENES'!$AT272="","-",'ORDENES'!$AT272))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0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IF('ORDENES'!$A272="","",'ORDENES'!$AF272)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IF('ORDENES'!$A273="","",IF('ORDENES'!$AH273="","-",'ORDENES'!$AH273))</f>
        <v/>
      </c>
      <c r="D295" s="5">
        <f>IF('ORDENES'!$A273="","",IF('ORDENES'!$Z273="","-",'ORDENES'!$Z273))</f>
        <v/>
      </c>
      <c r="E295" s="5">
        <f>IF('ORDENES'!$A273="","",IF('ORDENES'!$X273="","-",'ORDENES'!$X273))</f>
        <v/>
      </c>
      <c r="F295" s="5">
        <f>IF('ORDENES'!$A273="","",IF('ORDENES'!$AA273="","-",'ORDENES'!$AA273))</f>
        <v/>
      </c>
      <c r="G295" s="5">
        <f>IF('ORDENES'!$A273="","",IF('ORDENES'!$Y273="","-",'ORDENES'!$Y273))</f>
        <v/>
      </c>
      <c r="H295" s="5">
        <f>IF('ORDENES'!$A273="","",IF('ORDENES'!$AG273="","-",'ORDENES'!$AG273))</f>
        <v/>
      </c>
      <c r="I295" s="5">
        <f>IF('ORDENES'!$A273="","",IF('ORDENES'!$AT273="","-",'ORDENES'!$AT273))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0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IF('ORDENES'!$A273="","",'ORDENES'!$AF273)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IF('ORDENES'!$A274="","",IF('ORDENES'!$AH274="","-",'ORDENES'!$AH274))</f>
        <v/>
      </c>
      <c r="D296" s="5">
        <f>IF('ORDENES'!$A274="","",IF('ORDENES'!$Z274="","-",'ORDENES'!$Z274))</f>
        <v/>
      </c>
      <c r="E296" s="5">
        <f>IF('ORDENES'!$A274="","",IF('ORDENES'!$X274="","-",'ORDENES'!$X274))</f>
        <v/>
      </c>
      <c r="F296" s="5">
        <f>IF('ORDENES'!$A274="","",IF('ORDENES'!$AA274="","-",'ORDENES'!$AA274))</f>
        <v/>
      </c>
      <c r="G296" s="5">
        <f>IF('ORDENES'!$A274="","",IF('ORDENES'!$Y274="","-",'ORDENES'!$Y274))</f>
        <v/>
      </c>
      <c r="H296" s="5">
        <f>IF('ORDENES'!$A274="","",IF('ORDENES'!$AG274="","-",'ORDENES'!$AG274))</f>
        <v/>
      </c>
      <c r="I296" s="5">
        <f>IF('ORDENES'!$A274="","",IF('ORDENES'!$AT274="","-",'ORDENES'!$AT274))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0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IF('ORDENES'!$A274="","",'ORDENES'!$AF274)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IF('ORDENES'!$A275="","",IF('ORDENES'!$AH275="","-",'ORDENES'!$AH275))</f>
        <v/>
      </c>
      <c r="D297" s="5">
        <f>IF('ORDENES'!$A275="","",IF('ORDENES'!$Z275="","-",'ORDENES'!$Z275))</f>
        <v/>
      </c>
      <c r="E297" s="5">
        <f>IF('ORDENES'!$A275="","",IF('ORDENES'!$X275="","-",'ORDENES'!$X275))</f>
        <v/>
      </c>
      <c r="F297" s="5">
        <f>IF('ORDENES'!$A275="","",IF('ORDENES'!$AA275="","-",'ORDENES'!$AA275))</f>
        <v/>
      </c>
      <c r="G297" s="5">
        <f>IF('ORDENES'!$A275="","",IF('ORDENES'!$Y275="","-",'ORDENES'!$Y275))</f>
        <v/>
      </c>
      <c r="H297" s="5">
        <f>IF('ORDENES'!$A275="","",IF('ORDENES'!$AG275="","-",'ORDENES'!$AG275))</f>
        <v/>
      </c>
      <c r="I297" s="5">
        <f>IF('ORDENES'!$A275="","",IF('ORDENES'!$AT275="","-",'ORDENES'!$AT275))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0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IF('ORDENES'!$A275="","",'ORDENES'!$AF275)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IF('ORDENES'!$A276="","",IF('ORDENES'!$AH276="","-",'ORDENES'!$AH276))</f>
        <v/>
      </c>
      <c r="D298" s="5">
        <f>IF('ORDENES'!$A276="","",IF('ORDENES'!$Z276="","-",'ORDENES'!$Z276))</f>
        <v/>
      </c>
      <c r="E298" s="5">
        <f>IF('ORDENES'!$A276="","",IF('ORDENES'!$X276="","-",'ORDENES'!$X276))</f>
        <v/>
      </c>
      <c r="F298" s="5">
        <f>IF('ORDENES'!$A276="","",IF('ORDENES'!$AA276="","-",'ORDENES'!$AA276))</f>
        <v/>
      </c>
      <c r="G298" s="5">
        <f>IF('ORDENES'!$A276="","",IF('ORDENES'!$Y276="","-",'ORDENES'!$Y276))</f>
        <v/>
      </c>
      <c r="H298" s="5">
        <f>IF('ORDENES'!$A276="","",IF('ORDENES'!$AG276="","-",'ORDENES'!$AG276))</f>
        <v/>
      </c>
      <c r="I298" s="5">
        <f>IF('ORDENES'!$A276="","",IF('ORDENES'!$AT276="","-",'ORDENES'!$AT276))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0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IF('ORDENES'!$A276="","",'ORDENES'!$AF276)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IF('ORDENES'!$A277="","",IF('ORDENES'!$AH277="","-",'ORDENES'!$AH277))</f>
        <v/>
      </c>
      <c r="D299" s="5">
        <f>IF('ORDENES'!$A277="","",IF('ORDENES'!$Z277="","-",'ORDENES'!$Z277))</f>
        <v/>
      </c>
      <c r="E299" s="5">
        <f>IF('ORDENES'!$A277="","",IF('ORDENES'!$X277="","-",'ORDENES'!$X277))</f>
        <v/>
      </c>
      <c r="F299" s="5">
        <f>IF('ORDENES'!$A277="","",IF('ORDENES'!$AA277="","-",'ORDENES'!$AA277))</f>
        <v/>
      </c>
      <c r="G299" s="5">
        <f>IF('ORDENES'!$A277="","",IF('ORDENES'!$Y277="","-",'ORDENES'!$Y277))</f>
        <v/>
      </c>
      <c r="H299" s="5">
        <f>IF('ORDENES'!$A277="","",IF('ORDENES'!$AG277="","-",'ORDENES'!$AG277))</f>
        <v/>
      </c>
      <c r="I299" s="5">
        <f>IF('ORDENES'!$A277="","",IF('ORDENES'!$AT277="","-",'ORDENES'!$AT277))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0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IF('ORDENES'!$A277="","",'ORDENES'!$AF277)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IF('ORDENES'!$A278="","",IF('ORDENES'!$AH278="","-",'ORDENES'!$AH278))</f>
        <v/>
      </c>
      <c r="D300" s="5">
        <f>IF('ORDENES'!$A278="","",IF('ORDENES'!$Z278="","-",'ORDENES'!$Z278))</f>
        <v/>
      </c>
      <c r="E300" s="5">
        <f>IF('ORDENES'!$A278="","",IF('ORDENES'!$X278="","-",'ORDENES'!$X278))</f>
        <v/>
      </c>
      <c r="F300" s="5">
        <f>IF('ORDENES'!$A278="","",IF('ORDENES'!$AA278="","-",'ORDENES'!$AA278))</f>
        <v/>
      </c>
      <c r="G300" s="5">
        <f>IF('ORDENES'!$A278="","",IF('ORDENES'!$Y278="","-",'ORDENES'!$Y278))</f>
        <v/>
      </c>
      <c r="H300" s="5">
        <f>IF('ORDENES'!$A278="","",IF('ORDENES'!$AG278="","-",'ORDENES'!$AG278))</f>
        <v/>
      </c>
      <c r="I300" s="5">
        <f>IF('ORDENES'!$A278="","",IF('ORDENES'!$AT278="","-",'ORDENES'!$AT278))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0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IF('ORDENES'!$A278="","",'ORDENES'!$AF278)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IF('ORDENES'!$A279="","",IF('ORDENES'!$AH279="","-",'ORDENES'!$AH279))</f>
        <v/>
      </c>
      <c r="D301" s="5">
        <f>IF('ORDENES'!$A279="","",IF('ORDENES'!$Z279="","-",'ORDENES'!$Z279))</f>
        <v/>
      </c>
      <c r="E301" s="5">
        <f>IF('ORDENES'!$A279="","",IF('ORDENES'!$X279="","-",'ORDENES'!$X279))</f>
        <v/>
      </c>
      <c r="F301" s="5">
        <f>IF('ORDENES'!$A279="","",IF('ORDENES'!$AA279="","-",'ORDENES'!$AA279))</f>
        <v/>
      </c>
      <c r="G301" s="5">
        <f>IF('ORDENES'!$A279="","",IF('ORDENES'!$Y279="","-",'ORDENES'!$Y279))</f>
        <v/>
      </c>
      <c r="H301" s="5">
        <f>IF('ORDENES'!$A279="","",IF('ORDENES'!$AG279="","-",'ORDENES'!$AG279))</f>
        <v/>
      </c>
      <c r="I301" s="5">
        <f>IF('ORDENES'!$A279="","",IF('ORDENES'!$AT279="","-",'ORDENES'!$AT279))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0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IF('ORDENES'!$A279="","",'ORDENES'!$AF279)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IF('ORDENES'!$A280="","",IF('ORDENES'!$AH280="","-",'ORDENES'!$AH280))</f>
        <v/>
      </c>
      <c r="D302" s="5">
        <f>IF('ORDENES'!$A280="","",IF('ORDENES'!$Z280="","-",'ORDENES'!$Z280))</f>
        <v/>
      </c>
      <c r="E302" s="5">
        <f>IF('ORDENES'!$A280="","",IF('ORDENES'!$X280="","-",'ORDENES'!$X280))</f>
        <v/>
      </c>
      <c r="F302" s="5">
        <f>IF('ORDENES'!$A280="","",IF('ORDENES'!$AA280="","-",'ORDENES'!$AA280))</f>
        <v/>
      </c>
      <c r="G302" s="5">
        <f>IF('ORDENES'!$A280="","",IF('ORDENES'!$Y280="","-",'ORDENES'!$Y280))</f>
        <v/>
      </c>
      <c r="H302" s="5">
        <f>IF('ORDENES'!$A280="","",IF('ORDENES'!$AG280="","-",'ORDENES'!$AG280))</f>
        <v/>
      </c>
      <c r="I302" s="5">
        <f>IF('ORDENES'!$A280="","",IF('ORDENES'!$AT280="","-",'ORDENES'!$AT280))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0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IF('ORDENES'!$A280="","",'ORDENES'!$AF280)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IF('ORDENES'!$A281="","",IF('ORDENES'!$AH281="","-",'ORDENES'!$AH281))</f>
        <v/>
      </c>
      <c r="D303" s="5">
        <f>IF('ORDENES'!$A281="","",IF('ORDENES'!$Z281="","-",'ORDENES'!$Z281))</f>
        <v/>
      </c>
      <c r="E303" s="5">
        <f>IF('ORDENES'!$A281="","",IF('ORDENES'!$X281="","-",'ORDENES'!$X281))</f>
        <v/>
      </c>
      <c r="F303" s="5">
        <f>IF('ORDENES'!$A281="","",IF('ORDENES'!$AA281="","-",'ORDENES'!$AA281))</f>
        <v/>
      </c>
      <c r="G303" s="5">
        <f>IF('ORDENES'!$A281="","",IF('ORDENES'!$Y281="","-",'ORDENES'!$Y281))</f>
        <v/>
      </c>
      <c r="H303" s="5">
        <f>IF('ORDENES'!$A281="","",IF('ORDENES'!$AG281="","-",'ORDENES'!$AG281))</f>
        <v/>
      </c>
      <c r="I303" s="5">
        <f>IF('ORDENES'!$A281="","",IF('ORDENES'!$AT281="","-",'ORDENES'!$AT281))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0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IF('ORDENES'!$A281="","",'ORDENES'!$AF281)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IF('ORDENES'!$A282="","",IF('ORDENES'!$AH282="","-",'ORDENES'!$AH282))</f>
        <v/>
      </c>
      <c r="D304" s="5">
        <f>IF('ORDENES'!$A282="","",IF('ORDENES'!$Z282="","-",'ORDENES'!$Z282))</f>
        <v/>
      </c>
      <c r="E304" s="5">
        <f>IF('ORDENES'!$A282="","",IF('ORDENES'!$X282="","-",'ORDENES'!$X282))</f>
        <v/>
      </c>
      <c r="F304" s="5">
        <f>IF('ORDENES'!$A282="","",IF('ORDENES'!$AA282="","-",'ORDENES'!$AA282))</f>
        <v/>
      </c>
      <c r="G304" s="5">
        <f>IF('ORDENES'!$A282="","",IF('ORDENES'!$Y282="","-",'ORDENES'!$Y282))</f>
        <v/>
      </c>
      <c r="H304" s="5">
        <f>IF('ORDENES'!$A282="","",IF('ORDENES'!$AG282="","-",'ORDENES'!$AG282))</f>
        <v/>
      </c>
      <c r="I304" s="5">
        <f>IF('ORDENES'!$A282="","",IF('ORDENES'!$AT282="","-",'ORDENES'!$AT282))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0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IF('ORDENES'!$A282="","",'ORDENES'!$AF282)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IF('ORDENES'!$A283="","",IF('ORDENES'!$AH283="","-",'ORDENES'!$AH283))</f>
        <v/>
      </c>
      <c r="D305" s="5">
        <f>IF('ORDENES'!$A283="","",IF('ORDENES'!$Z283="","-",'ORDENES'!$Z283))</f>
        <v/>
      </c>
      <c r="E305" s="5">
        <f>IF('ORDENES'!$A283="","",IF('ORDENES'!$X283="","-",'ORDENES'!$X283))</f>
        <v/>
      </c>
      <c r="F305" s="5">
        <f>IF('ORDENES'!$A283="","",IF('ORDENES'!$AA283="","-",'ORDENES'!$AA283))</f>
        <v/>
      </c>
      <c r="G305" s="5">
        <f>IF('ORDENES'!$A283="","",IF('ORDENES'!$Y283="","-",'ORDENES'!$Y283))</f>
        <v/>
      </c>
      <c r="H305" s="5">
        <f>IF('ORDENES'!$A283="","",IF('ORDENES'!$AG283="","-",'ORDENES'!$AG283))</f>
        <v/>
      </c>
      <c r="I305" s="5">
        <f>IF('ORDENES'!$A283="","",IF('ORDENES'!$AT283="","-",'ORDENES'!$AT283))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0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IF('ORDENES'!$A283="","",'ORDENES'!$AF283)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IF('ORDENES'!$A284="","",IF('ORDENES'!$AH284="","-",'ORDENES'!$AH284))</f>
        <v/>
      </c>
      <c r="D306" s="5">
        <f>IF('ORDENES'!$A284="","",IF('ORDENES'!$Z284="","-",'ORDENES'!$Z284))</f>
        <v/>
      </c>
      <c r="E306" s="5">
        <f>IF('ORDENES'!$A284="","",IF('ORDENES'!$X284="","-",'ORDENES'!$X284))</f>
        <v/>
      </c>
      <c r="F306" s="5">
        <f>IF('ORDENES'!$A284="","",IF('ORDENES'!$AA284="","-",'ORDENES'!$AA284))</f>
        <v/>
      </c>
      <c r="G306" s="5">
        <f>IF('ORDENES'!$A284="","",IF('ORDENES'!$Y284="","-",'ORDENES'!$Y284))</f>
        <v/>
      </c>
      <c r="H306" s="5">
        <f>IF('ORDENES'!$A284="","",IF('ORDENES'!$AG284="","-",'ORDENES'!$AG284))</f>
        <v/>
      </c>
      <c r="I306" s="5">
        <f>IF('ORDENES'!$A284="","",IF('ORDENES'!$AT284="","-",'ORDENES'!$AT284))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0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IF('ORDENES'!$A284="","",'ORDENES'!$AF284)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IF('ORDENES'!$A285="","",IF('ORDENES'!$AH285="","-",'ORDENES'!$AH285))</f>
        <v/>
      </c>
      <c r="D307" s="5">
        <f>IF('ORDENES'!$A285="","",IF('ORDENES'!$Z285="","-",'ORDENES'!$Z285))</f>
        <v/>
      </c>
      <c r="E307" s="5">
        <f>IF('ORDENES'!$A285="","",IF('ORDENES'!$X285="","-",'ORDENES'!$X285))</f>
        <v/>
      </c>
      <c r="F307" s="5">
        <f>IF('ORDENES'!$A285="","",IF('ORDENES'!$AA285="","-",'ORDENES'!$AA285))</f>
        <v/>
      </c>
      <c r="G307" s="5">
        <f>IF('ORDENES'!$A285="","",IF('ORDENES'!$Y285="","-",'ORDENES'!$Y285))</f>
        <v/>
      </c>
      <c r="H307" s="5">
        <f>IF('ORDENES'!$A285="","",IF('ORDENES'!$AG285="","-",'ORDENES'!$AG285))</f>
        <v/>
      </c>
      <c r="I307" s="5">
        <f>IF('ORDENES'!$A285="","",IF('ORDENES'!$AT285="","-",'ORDENES'!$AT285))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0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IF('ORDENES'!$A285="","",'ORDENES'!$AF285)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IF('ORDENES'!$A286="","",IF('ORDENES'!$AH286="","-",'ORDENES'!$AH286))</f>
        <v/>
      </c>
      <c r="D308" s="5">
        <f>IF('ORDENES'!$A286="","",IF('ORDENES'!$Z286="","-",'ORDENES'!$Z286))</f>
        <v/>
      </c>
      <c r="E308" s="5">
        <f>IF('ORDENES'!$A286="","",IF('ORDENES'!$X286="","-",'ORDENES'!$X286))</f>
        <v/>
      </c>
      <c r="F308" s="5">
        <f>IF('ORDENES'!$A286="","",IF('ORDENES'!$AA286="","-",'ORDENES'!$AA286))</f>
        <v/>
      </c>
      <c r="G308" s="5">
        <f>IF('ORDENES'!$A286="","",IF('ORDENES'!$Y286="","-",'ORDENES'!$Y286))</f>
        <v/>
      </c>
      <c r="H308" s="5">
        <f>IF('ORDENES'!$A286="","",IF('ORDENES'!$AG286="","-",'ORDENES'!$AG286))</f>
        <v/>
      </c>
      <c r="I308" s="5">
        <f>IF('ORDENES'!$A286="","",IF('ORDENES'!$AT286="","-",'ORDENES'!$AT286))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0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IF('ORDENES'!$A286="","",'ORDENES'!$AF286)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IF('ORDENES'!$A287="","",IF('ORDENES'!$AH287="","-",'ORDENES'!$AH287))</f>
        <v/>
      </c>
      <c r="D309" s="5">
        <f>IF('ORDENES'!$A287="","",IF('ORDENES'!$Z287="","-",'ORDENES'!$Z287))</f>
        <v/>
      </c>
      <c r="E309" s="5">
        <f>IF('ORDENES'!$A287="","",IF('ORDENES'!$X287="","-",'ORDENES'!$X287))</f>
        <v/>
      </c>
      <c r="F309" s="5">
        <f>IF('ORDENES'!$A287="","",IF('ORDENES'!$AA287="","-",'ORDENES'!$AA287))</f>
        <v/>
      </c>
      <c r="G309" s="5">
        <f>IF('ORDENES'!$A287="","",IF('ORDENES'!$Y287="","-",'ORDENES'!$Y287))</f>
        <v/>
      </c>
      <c r="H309" s="5">
        <f>IF('ORDENES'!$A287="","",IF('ORDENES'!$AG287="","-",'ORDENES'!$AG287))</f>
        <v/>
      </c>
      <c r="I309" s="5">
        <f>IF('ORDENES'!$A287="","",IF('ORDENES'!$AT287="","-",'ORDENES'!$AT287))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0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IF('ORDENES'!$A287="","",'ORDENES'!$AF287)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IF('ORDENES'!$A288="","",IF('ORDENES'!$AH288="","-",'ORDENES'!$AH288))</f>
        <v/>
      </c>
      <c r="D310" s="5">
        <f>IF('ORDENES'!$A288="","",IF('ORDENES'!$Z288="","-",'ORDENES'!$Z288))</f>
        <v/>
      </c>
      <c r="E310" s="5">
        <f>IF('ORDENES'!$A288="","",IF('ORDENES'!$X288="","-",'ORDENES'!$X288))</f>
        <v/>
      </c>
      <c r="F310" s="5">
        <f>IF('ORDENES'!$A288="","",IF('ORDENES'!$AA288="","-",'ORDENES'!$AA288))</f>
        <v/>
      </c>
      <c r="G310" s="5">
        <f>IF('ORDENES'!$A288="","",IF('ORDENES'!$Y288="","-",'ORDENES'!$Y288))</f>
        <v/>
      </c>
      <c r="H310" s="5">
        <f>IF('ORDENES'!$A288="","",IF('ORDENES'!$AG288="","-",'ORDENES'!$AG288))</f>
        <v/>
      </c>
      <c r="I310" s="5">
        <f>IF('ORDENES'!$A288="","",IF('ORDENES'!$AT288="","-",'ORDENES'!$AT288))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0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IF('ORDENES'!$A288="","",'ORDENES'!$AF288)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IF('ORDENES'!$A289="","",IF('ORDENES'!$AH289="","-",'ORDENES'!$AH289))</f>
        <v/>
      </c>
      <c r="D311" s="5">
        <f>IF('ORDENES'!$A289="","",IF('ORDENES'!$Z289="","-",'ORDENES'!$Z289))</f>
        <v/>
      </c>
      <c r="E311" s="5">
        <f>IF('ORDENES'!$A289="","",IF('ORDENES'!$X289="","-",'ORDENES'!$X289))</f>
        <v/>
      </c>
      <c r="F311" s="5">
        <f>IF('ORDENES'!$A289="","",IF('ORDENES'!$AA289="","-",'ORDENES'!$AA289))</f>
        <v/>
      </c>
      <c r="G311" s="5">
        <f>IF('ORDENES'!$A289="","",IF('ORDENES'!$Y289="","-",'ORDENES'!$Y289))</f>
        <v/>
      </c>
      <c r="H311" s="5">
        <f>IF('ORDENES'!$A289="","",IF('ORDENES'!$AG289="","-",'ORDENES'!$AG289))</f>
        <v/>
      </c>
      <c r="I311" s="5">
        <f>IF('ORDENES'!$A289="","",IF('ORDENES'!$AT289="","-",'ORDENES'!$AT289))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0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IF('ORDENES'!$A289="","",'ORDENES'!$AF289)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IF('ORDENES'!$A290="","",IF('ORDENES'!$AH290="","-",'ORDENES'!$AH290))</f>
        <v/>
      </c>
      <c r="D312" s="5">
        <f>IF('ORDENES'!$A290="","",IF('ORDENES'!$Z290="","-",'ORDENES'!$Z290))</f>
        <v/>
      </c>
      <c r="E312" s="5">
        <f>IF('ORDENES'!$A290="","",IF('ORDENES'!$X290="","-",'ORDENES'!$X290))</f>
        <v/>
      </c>
      <c r="F312" s="5">
        <f>IF('ORDENES'!$A290="","",IF('ORDENES'!$AA290="","-",'ORDENES'!$AA290))</f>
        <v/>
      </c>
      <c r="G312" s="5">
        <f>IF('ORDENES'!$A290="","",IF('ORDENES'!$Y290="","-",'ORDENES'!$Y290))</f>
        <v/>
      </c>
      <c r="H312" s="5">
        <f>IF('ORDENES'!$A290="","",IF('ORDENES'!$AG290="","-",'ORDENES'!$AG290))</f>
        <v/>
      </c>
      <c r="I312" s="5">
        <f>IF('ORDENES'!$A290="","",IF('ORDENES'!$AT290="","-",'ORDENES'!$AT290))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0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IF('ORDENES'!$A290="","",'ORDENES'!$AF290)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IF('ORDENES'!$A291="","",IF('ORDENES'!$AH291="","-",'ORDENES'!$AH291))</f>
        <v/>
      </c>
      <c r="D313" s="5">
        <f>IF('ORDENES'!$A291="","",IF('ORDENES'!$Z291="","-",'ORDENES'!$Z291))</f>
        <v/>
      </c>
      <c r="E313" s="5">
        <f>IF('ORDENES'!$A291="","",IF('ORDENES'!$X291="","-",'ORDENES'!$X291))</f>
        <v/>
      </c>
      <c r="F313" s="5">
        <f>IF('ORDENES'!$A291="","",IF('ORDENES'!$AA291="","-",'ORDENES'!$AA291))</f>
        <v/>
      </c>
      <c r="G313" s="5">
        <f>IF('ORDENES'!$A291="","",IF('ORDENES'!$Y291="","-",'ORDENES'!$Y291))</f>
        <v/>
      </c>
      <c r="H313" s="5">
        <f>IF('ORDENES'!$A291="","",IF('ORDENES'!$AG291="","-",'ORDENES'!$AG291))</f>
        <v/>
      </c>
      <c r="I313" s="5">
        <f>IF('ORDENES'!$A291="","",IF('ORDENES'!$AT291="","-",'ORDENES'!$AT291))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0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IF('ORDENES'!$A291="","",'ORDENES'!$AF291)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IF('ORDENES'!$A292="","",IF('ORDENES'!$AH292="","-",'ORDENES'!$AH292))</f>
        <v/>
      </c>
      <c r="D314" s="5">
        <f>IF('ORDENES'!$A292="","",IF('ORDENES'!$Z292="","-",'ORDENES'!$Z292))</f>
        <v/>
      </c>
      <c r="E314" s="5">
        <f>IF('ORDENES'!$A292="","",IF('ORDENES'!$X292="","-",'ORDENES'!$X292))</f>
        <v/>
      </c>
      <c r="F314" s="5">
        <f>IF('ORDENES'!$A292="","",IF('ORDENES'!$AA292="","-",'ORDENES'!$AA292))</f>
        <v/>
      </c>
      <c r="G314" s="5">
        <f>IF('ORDENES'!$A292="","",IF('ORDENES'!$Y292="","-",'ORDENES'!$Y292))</f>
        <v/>
      </c>
      <c r="H314" s="5">
        <f>IF('ORDENES'!$A292="","",IF('ORDENES'!$AG292="","-",'ORDENES'!$AG292))</f>
        <v/>
      </c>
      <c r="I314" s="5">
        <f>IF('ORDENES'!$A292="","",IF('ORDENES'!$AT292="","-",'ORDENES'!$AT292))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0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IF('ORDENES'!$A292="","",'ORDENES'!$AF292)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IF('ORDENES'!$A293="","",IF('ORDENES'!$AH293="","-",'ORDENES'!$AH293))</f>
        <v/>
      </c>
      <c r="D315" s="5">
        <f>IF('ORDENES'!$A293="","",IF('ORDENES'!$Z293="","-",'ORDENES'!$Z293))</f>
        <v/>
      </c>
      <c r="E315" s="5">
        <f>IF('ORDENES'!$A293="","",IF('ORDENES'!$X293="","-",'ORDENES'!$X293))</f>
        <v/>
      </c>
      <c r="F315" s="5">
        <f>IF('ORDENES'!$A293="","",IF('ORDENES'!$AA293="","-",'ORDENES'!$AA293))</f>
        <v/>
      </c>
      <c r="G315" s="5">
        <f>IF('ORDENES'!$A293="","",IF('ORDENES'!$Y293="","-",'ORDENES'!$Y293))</f>
        <v/>
      </c>
      <c r="H315" s="5">
        <f>IF('ORDENES'!$A293="","",IF('ORDENES'!$AG293="","-",'ORDENES'!$AG293))</f>
        <v/>
      </c>
      <c r="I315" s="5">
        <f>IF('ORDENES'!$A293="","",IF('ORDENES'!$AT293="","-",'ORDENES'!$AT293))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0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IF('ORDENES'!$A293="","",'ORDENES'!$AF293)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IF('ORDENES'!$A294="","",IF('ORDENES'!$AH294="","-",'ORDENES'!$AH294))</f>
        <v/>
      </c>
      <c r="D316" s="5">
        <f>IF('ORDENES'!$A294="","",IF('ORDENES'!$Z294="","-",'ORDENES'!$Z294))</f>
        <v/>
      </c>
      <c r="E316" s="5">
        <f>IF('ORDENES'!$A294="","",IF('ORDENES'!$X294="","-",'ORDENES'!$X294))</f>
        <v/>
      </c>
      <c r="F316" s="5">
        <f>IF('ORDENES'!$A294="","",IF('ORDENES'!$AA294="","-",'ORDENES'!$AA294))</f>
        <v/>
      </c>
      <c r="G316" s="5">
        <f>IF('ORDENES'!$A294="","",IF('ORDENES'!$Y294="","-",'ORDENES'!$Y294))</f>
        <v/>
      </c>
      <c r="H316" s="5">
        <f>IF('ORDENES'!$A294="","",IF('ORDENES'!$AG294="","-",'ORDENES'!$AG294))</f>
        <v/>
      </c>
      <c r="I316" s="5">
        <f>IF('ORDENES'!$A294="","",IF('ORDENES'!$AT294="","-",'ORDENES'!$AT294))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0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IF('ORDENES'!$A294="","",'ORDENES'!$AF294)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IF('ORDENES'!$A295="","",IF('ORDENES'!$AH295="","-",'ORDENES'!$AH295))</f>
        <v/>
      </c>
      <c r="D317" s="5">
        <f>IF('ORDENES'!$A295="","",IF('ORDENES'!$Z295="","-",'ORDENES'!$Z295))</f>
        <v/>
      </c>
      <c r="E317" s="5">
        <f>IF('ORDENES'!$A295="","",IF('ORDENES'!$X295="","-",'ORDENES'!$X295))</f>
        <v/>
      </c>
      <c r="F317" s="5">
        <f>IF('ORDENES'!$A295="","",IF('ORDENES'!$AA295="","-",'ORDENES'!$AA295))</f>
        <v/>
      </c>
      <c r="G317" s="5">
        <f>IF('ORDENES'!$A295="","",IF('ORDENES'!$Y295="","-",'ORDENES'!$Y295))</f>
        <v/>
      </c>
      <c r="H317" s="5">
        <f>IF('ORDENES'!$A295="","",IF('ORDENES'!$AG295="","-",'ORDENES'!$AG295))</f>
        <v/>
      </c>
      <c r="I317" s="5">
        <f>IF('ORDENES'!$A295="","",IF('ORDENES'!$AT295="","-",'ORDENES'!$AT295))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0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IF('ORDENES'!$A295="","",'ORDENES'!$AF295)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IF('ORDENES'!$A296="","",IF('ORDENES'!$AH296="","-",'ORDENES'!$AH296))</f>
        <v/>
      </c>
      <c r="D318" s="5">
        <f>IF('ORDENES'!$A296="","",IF('ORDENES'!$Z296="","-",'ORDENES'!$Z296))</f>
        <v/>
      </c>
      <c r="E318" s="5">
        <f>IF('ORDENES'!$A296="","",IF('ORDENES'!$X296="","-",'ORDENES'!$X296))</f>
        <v/>
      </c>
      <c r="F318" s="5">
        <f>IF('ORDENES'!$A296="","",IF('ORDENES'!$AA296="","-",'ORDENES'!$AA296))</f>
        <v/>
      </c>
      <c r="G318" s="5">
        <f>IF('ORDENES'!$A296="","",IF('ORDENES'!$Y296="","-",'ORDENES'!$Y296))</f>
        <v/>
      </c>
      <c r="H318" s="5">
        <f>IF('ORDENES'!$A296="","",IF('ORDENES'!$AG296="","-",'ORDENES'!$AG296))</f>
        <v/>
      </c>
      <c r="I318" s="5">
        <f>IF('ORDENES'!$A296="","",IF('ORDENES'!$AT296="","-",'ORDENES'!$AT296))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0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IF('ORDENES'!$A296="","",'ORDENES'!$AF296)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IF('ORDENES'!$A297="","",IF('ORDENES'!$AH297="","-",'ORDENES'!$AH297))</f>
        <v/>
      </c>
      <c r="D319" s="5">
        <f>IF('ORDENES'!$A297="","",IF('ORDENES'!$Z297="","-",'ORDENES'!$Z297))</f>
        <v/>
      </c>
      <c r="E319" s="5">
        <f>IF('ORDENES'!$A297="","",IF('ORDENES'!$X297="","-",'ORDENES'!$X297))</f>
        <v/>
      </c>
      <c r="F319" s="5">
        <f>IF('ORDENES'!$A297="","",IF('ORDENES'!$AA297="","-",'ORDENES'!$AA297))</f>
        <v/>
      </c>
      <c r="G319" s="5">
        <f>IF('ORDENES'!$A297="","",IF('ORDENES'!$Y297="","-",'ORDENES'!$Y297))</f>
        <v/>
      </c>
      <c r="H319" s="5">
        <f>IF('ORDENES'!$A297="","",IF('ORDENES'!$AG297="","-",'ORDENES'!$AG297))</f>
        <v/>
      </c>
      <c r="I319" s="5">
        <f>IF('ORDENES'!$A297="","",IF('ORDENES'!$AT297="","-",'ORDENES'!$AT297))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0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IF('ORDENES'!$A297="","",'ORDENES'!$AF297)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IF('ORDENES'!$A298="","",IF('ORDENES'!$AH298="","-",'ORDENES'!$AH298))</f>
        <v/>
      </c>
      <c r="D320" s="5">
        <f>IF('ORDENES'!$A298="","",IF('ORDENES'!$Z298="","-",'ORDENES'!$Z298))</f>
        <v/>
      </c>
      <c r="E320" s="5">
        <f>IF('ORDENES'!$A298="","",IF('ORDENES'!$X298="","-",'ORDENES'!$X298))</f>
        <v/>
      </c>
      <c r="F320" s="5">
        <f>IF('ORDENES'!$A298="","",IF('ORDENES'!$AA298="","-",'ORDENES'!$AA298))</f>
        <v/>
      </c>
      <c r="G320" s="5">
        <f>IF('ORDENES'!$A298="","",IF('ORDENES'!$Y298="","-",'ORDENES'!$Y298))</f>
        <v/>
      </c>
      <c r="H320" s="5">
        <f>IF('ORDENES'!$A298="","",IF('ORDENES'!$AG298="","-",'ORDENES'!$AG298))</f>
        <v/>
      </c>
      <c r="I320" s="5">
        <f>IF('ORDENES'!$A298="","",IF('ORDENES'!$AT298="","-",'ORDENES'!$AT298))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0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IF('ORDENES'!$A298="","",'ORDENES'!$AF298)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IF('ORDENES'!$A299="","",IF('ORDENES'!$AH299="","-",'ORDENES'!$AH299))</f>
        <v/>
      </c>
      <c r="D321" s="5">
        <f>IF('ORDENES'!$A299="","",IF('ORDENES'!$Z299="","-",'ORDENES'!$Z299))</f>
        <v/>
      </c>
      <c r="E321" s="5">
        <f>IF('ORDENES'!$A299="","",IF('ORDENES'!$X299="","-",'ORDENES'!$X299))</f>
        <v/>
      </c>
      <c r="F321" s="5">
        <f>IF('ORDENES'!$A299="","",IF('ORDENES'!$AA299="","-",'ORDENES'!$AA299))</f>
        <v/>
      </c>
      <c r="G321" s="5">
        <f>IF('ORDENES'!$A299="","",IF('ORDENES'!$Y299="","-",'ORDENES'!$Y299))</f>
        <v/>
      </c>
      <c r="H321" s="5">
        <f>IF('ORDENES'!$A299="","",IF('ORDENES'!$AG299="","-",'ORDENES'!$AG299))</f>
        <v/>
      </c>
      <c r="I321" s="5">
        <f>IF('ORDENES'!$A299="","",IF('ORDENES'!$AT299="","-",'ORDENES'!$AT299))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0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IF('ORDENES'!$A299="","",'ORDENES'!$AF299)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IF('ORDENES'!$A300="","",IF('ORDENES'!$AH300="","-",'ORDENES'!$AH300))</f>
        <v/>
      </c>
      <c r="D322" s="5">
        <f>IF('ORDENES'!$A300="","",IF('ORDENES'!$Z300="","-",'ORDENES'!$Z300))</f>
        <v/>
      </c>
      <c r="E322" s="5">
        <f>IF('ORDENES'!$A300="","",IF('ORDENES'!$X300="","-",'ORDENES'!$X300))</f>
        <v/>
      </c>
      <c r="F322" s="5">
        <f>IF('ORDENES'!$A300="","",IF('ORDENES'!$AA300="","-",'ORDENES'!$AA300))</f>
        <v/>
      </c>
      <c r="G322" s="5">
        <f>IF('ORDENES'!$A300="","",IF('ORDENES'!$Y300="","-",'ORDENES'!$Y300))</f>
        <v/>
      </c>
      <c r="H322" s="5">
        <f>IF('ORDENES'!$A300="","",IF('ORDENES'!$AG300="","-",'ORDENES'!$AG300))</f>
        <v/>
      </c>
      <c r="I322" s="5">
        <f>IF('ORDENES'!$A300="","",IF('ORDENES'!$AT300="","-",'ORDENES'!$AT300))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0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IF('ORDENES'!$A300="","",'ORDENES'!$AF300)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IF('ORDENES'!$A301="","",IF('ORDENES'!$AH301="","-",'ORDENES'!$AH301))</f>
        <v/>
      </c>
      <c r="D323" s="5">
        <f>IF('ORDENES'!$A301="","",IF('ORDENES'!$Z301="","-",'ORDENES'!$Z301))</f>
        <v/>
      </c>
      <c r="E323" s="5">
        <f>IF('ORDENES'!$A301="","",IF('ORDENES'!$X301="","-",'ORDENES'!$X301))</f>
        <v/>
      </c>
      <c r="F323" s="5">
        <f>IF('ORDENES'!$A301="","",IF('ORDENES'!$AA301="","-",'ORDENES'!$AA301))</f>
        <v/>
      </c>
      <c r="G323" s="5">
        <f>IF('ORDENES'!$A301="","",IF('ORDENES'!$Y301="","-",'ORDENES'!$Y301))</f>
        <v/>
      </c>
      <c r="H323" s="5">
        <f>IF('ORDENES'!$A301="","",IF('ORDENES'!$AG301="","-",'ORDENES'!$AG301))</f>
        <v/>
      </c>
      <c r="I323" s="5">
        <f>IF('ORDENES'!$A301="","",IF('ORDENES'!$AT301="","-",'ORDENES'!$AT301))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0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IF('ORDENES'!$A301="","",'ORDENES'!$AF301)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IF('ORDENES'!$A302="","",IF('ORDENES'!$AH302="","-",'ORDENES'!$AH302))</f>
        <v/>
      </c>
      <c r="D324" s="5">
        <f>IF('ORDENES'!$A302="","",IF('ORDENES'!$Z302="","-",'ORDENES'!$Z302))</f>
        <v/>
      </c>
      <c r="E324" s="5">
        <f>IF('ORDENES'!$A302="","",IF('ORDENES'!$X302="","-",'ORDENES'!$X302))</f>
        <v/>
      </c>
      <c r="F324" s="5">
        <f>IF('ORDENES'!$A302="","",IF('ORDENES'!$AA302="","-",'ORDENES'!$AA302))</f>
        <v/>
      </c>
      <c r="G324" s="5">
        <f>IF('ORDENES'!$A302="","",IF('ORDENES'!$Y302="","-",'ORDENES'!$Y302))</f>
        <v/>
      </c>
      <c r="H324" s="5">
        <f>IF('ORDENES'!$A302="","",IF('ORDENES'!$AG302="","-",'ORDENES'!$AG302))</f>
        <v/>
      </c>
      <c r="I324" s="5">
        <f>IF('ORDENES'!$A302="","",IF('ORDENES'!$AT302="","-",'ORDENES'!$AT302))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0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IF('ORDENES'!$A302="","",'ORDENES'!$AF302)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IF('ORDENES'!$A303="","",IF('ORDENES'!$AH303="","-",'ORDENES'!$AH303))</f>
        <v/>
      </c>
      <c r="D325" s="5">
        <f>IF('ORDENES'!$A303="","",IF('ORDENES'!$Z303="","-",'ORDENES'!$Z303))</f>
        <v/>
      </c>
      <c r="E325" s="5">
        <f>IF('ORDENES'!$A303="","",IF('ORDENES'!$X303="","-",'ORDENES'!$X303))</f>
        <v/>
      </c>
      <c r="F325" s="5">
        <f>IF('ORDENES'!$A303="","",IF('ORDENES'!$AA303="","-",'ORDENES'!$AA303))</f>
        <v/>
      </c>
      <c r="G325" s="5">
        <f>IF('ORDENES'!$A303="","",IF('ORDENES'!$Y303="","-",'ORDENES'!$Y303))</f>
        <v/>
      </c>
      <c r="H325" s="5">
        <f>IF('ORDENES'!$A303="","",IF('ORDENES'!$AG303="","-",'ORDENES'!$AG303))</f>
        <v/>
      </c>
      <c r="I325" s="5">
        <f>IF('ORDENES'!$A303="","",IF('ORDENES'!$AT303="","-",'ORDENES'!$AT303))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0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IF('ORDENES'!$A303="","",'ORDENES'!$AF303)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IF('ORDENES'!$A304="","",IF('ORDENES'!$AH304="","-",'ORDENES'!$AH304))</f>
        <v/>
      </c>
      <c r="D326" s="5">
        <f>IF('ORDENES'!$A304="","",IF('ORDENES'!$Z304="","-",'ORDENES'!$Z304))</f>
        <v/>
      </c>
      <c r="E326" s="5">
        <f>IF('ORDENES'!$A304="","",IF('ORDENES'!$X304="","-",'ORDENES'!$X304))</f>
        <v/>
      </c>
      <c r="F326" s="5">
        <f>IF('ORDENES'!$A304="","",IF('ORDENES'!$AA304="","-",'ORDENES'!$AA304))</f>
        <v/>
      </c>
      <c r="G326" s="5">
        <f>IF('ORDENES'!$A304="","",IF('ORDENES'!$Y304="","-",'ORDENES'!$Y304))</f>
        <v/>
      </c>
      <c r="H326" s="5">
        <f>IF('ORDENES'!$A304="","",IF('ORDENES'!$AG304="","-",'ORDENES'!$AG304))</f>
        <v/>
      </c>
      <c r="I326" s="5">
        <f>IF('ORDENES'!$A304="","",IF('ORDENES'!$AT304="","-",'ORDENES'!$AT304))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0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IF('ORDENES'!$A304="","",'ORDENES'!$AF304)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IF('ORDENES'!$A305="","",IF('ORDENES'!$AH305="","-",'ORDENES'!$AH305))</f>
        <v/>
      </c>
      <c r="D327" s="5">
        <f>IF('ORDENES'!$A305="","",IF('ORDENES'!$Z305="","-",'ORDENES'!$Z305))</f>
        <v/>
      </c>
      <c r="E327" s="5">
        <f>IF('ORDENES'!$A305="","",IF('ORDENES'!$X305="","-",'ORDENES'!$X305))</f>
        <v/>
      </c>
      <c r="F327" s="5">
        <f>IF('ORDENES'!$A305="","",IF('ORDENES'!$AA305="","-",'ORDENES'!$AA305))</f>
        <v/>
      </c>
      <c r="G327" s="5">
        <f>IF('ORDENES'!$A305="","",IF('ORDENES'!$Y305="","-",'ORDENES'!$Y305))</f>
        <v/>
      </c>
      <c r="H327" s="5">
        <f>IF('ORDENES'!$A305="","",IF('ORDENES'!$AG305="","-",'ORDENES'!$AG305))</f>
        <v/>
      </c>
      <c r="I327" s="5">
        <f>IF('ORDENES'!$A305="","",IF('ORDENES'!$AT305="","-",'ORDENES'!$AT305))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0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IF('ORDENES'!$A305="","",'ORDENES'!$AF305)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IF('ORDENES'!$A306="","",IF('ORDENES'!$AH306="","-",'ORDENES'!$AH306))</f>
        <v/>
      </c>
      <c r="D328" s="5">
        <f>IF('ORDENES'!$A306="","",IF('ORDENES'!$Z306="","-",'ORDENES'!$Z306))</f>
        <v/>
      </c>
      <c r="E328" s="5">
        <f>IF('ORDENES'!$A306="","",IF('ORDENES'!$X306="","-",'ORDENES'!$X306))</f>
        <v/>
      </c>
      <c r="F328" s="5">
        <f>IF('ORDENES'!$A306="","",IF('ORDENES'!$AA306="","-",'ORDENES'!$AA306))</f>
        <v/>
      </c>
      <c r="G328" s="5">
        <f>IF('ORDENES'!$A306="","",IF('ORDENES'!$Y306="","-",'ORDENES'!$Y306))</f>
        <v/>
      </c>
      <c r="H328" s="5">
        <f>IF('ORDENES'!$A306="","",IF('ORDENES'!$AG306="","-",'ORDENES'!$AG306))</f>
        <v/>
      </c>
      <c r="I328" s="5">
        <f>IF('ORDENES'!$A306="","",IF('ORDENES'!$AT306="","-",'ORDENES'!$AT306))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0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IF('ORDENES'!$A306="","",'ORDENES'!$AF306)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IF('ORDENES'!$A307="","",IF('ORDENES'!$AH307="","-",'ORDENES'!$AH307))</f>
        <v/>
      </c>
      <c r="D329" s="5">
        <f>IF('ORDENES'!$A307="","",IF('ORDENES'!$Z307="","-",'ORDENES'!$Z307))</f>
        <v/>
      </c>
      <c r="E329" s="5">
        <f>IF('ORDENES'!$A307="","",IF('ORDENES'!$X307="","-",'ORDENES'!$X307))</f>
        <v/>
      </c>
      <c r="F329" s="5">
        <f>IF('ORDENES'!$A307="","",IF('ORDENES'!$AA307="","-",'ORDENES'!$AA307))</f>
        <v/>
      </c>
      <c r="G329" s="5">
        <f>IF('ORDENES'!$A307="","",IF('ORDENES'!$Y307="","-",'ORDENES'!$Y307))</f>
        <v/>
      </c>
      <c r="H329" s="5">
        <f>IF('ORDENES'!$A307="","",IF('ORDENES'!$AG307="","-",'ORDENES'!$AG307))</f>
        <v/>
      </c>
      <c r="I329" s="5">
        <f>IF('ORDENES'!$A307="","",IF('ORDENES'!$AT307="","-",'ORDENES'!$AT307))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0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IF('ORDENES'!$A307="","",'ORDENES'!$AF307)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IF('ORDENES'!$A308="","",IF('ORDENES'!$AH308="","-",'ORDENES'!$AH308))</f>
        <v/>
      </c>
      <c r="D330" s="5">
        <f>IF('ORDENES'!$A308="","",IF('ORDENES'!$Z308="","-",'ORDENES'!$Z308))</f>
        <v/>
      </c>
      <c r="E330" s="5">
        <f>IF('ORDENES'!$A308="","",IF('ORDENES'!$X308="","-",'ORDENES'!$X308))</f>
        <v/>
      </c>
      <c r="F330" s="5">
        <f>IF('ORDENES'!$A308="","",IF('ORDENES'!$AA308="","-",'ORDENES'!$AA308))</f>
        <v/>
      </c>
      <c r="G330" s="5">
        <f>IF('ORDENES'!$A308="","",IF('ORDENES'!$Y308="","-",'ORDENES'!$Y308))</f>
        <v/>
      </c>
      <c r="H330" s="5">
        <f>IF('ORDENES'!$A308="","",IF('ORDENES'!$AG308="","-",'ORDENES'!$AG308))</f>
        <v/>
      </c>
      <c r="I330" s="5">
        <f>IF('ORDENES'!$A308="","",IF('ORDENES'!$AT308="","-",'ORDENES'!$AT308))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0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IF('ORDENES'!$A308="","",'ORDENES'!$AF308)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IF('ORDENES'!$A309="","",IF('ORDENES'!$AH309="","-",'ORDENES'!$AH309))</f>
        <v/>
      </c>
      <c r="D331" s="5">
        <f>IF('ORDENES'!$A309="","",IF('ORDENES'!$Z309="","-",'ORDENES'!$Z309))</f>
        <v/>
      </c>
      <c r="E331" s="5">
        <f>IF('ORDENES'!$A309="","",IF('ORDENES'!$X309="","-",'ORDENES'!$X309))</f>
        <v/>
      </c>
      <c r="F331" s="5">
        <f>IF('ORDENES'!$A309="","",IF('ORDENES'!$AA309="","-",'ORDENES'!$AA309))</f>
        <v/>
      </c>
      <c r="G331" s="5">
        <f>IF('ORDENES'!$A309="","",IF('ORDENES'!$Y309="","-",'ORDENES'!$Y309))</f>
        <v/>
      </c>
      <c r="H331" s="5">
        <f>IF('ORDENES'!$A309="","",IF('ORDENES'!$AG309="","-",'ORDENES'!$AG309))</f>
        <v/>
      </c>
      <c r="I331" s="5">
        <f>IF('ORDENES'!$A309="","",IF('ORDENES'!$AT309="","-",'ORDENES'!$AT309))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0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IF('ORDENES'!$A309="","",'ORDENES'!$AF309)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IF('ORDENES'!$A310="","",IF('ORDENES'!$AH310="","-",'ORDENES'!$AH310))</f>
        <v/>
      </c>
      <c r="D332" s="5">
        <f>IF('ORDENES'!$A310="","",IF('ORDENES'!$Z310="","-",'ORDENES'!$Z310))</f>
        <v/>
      </c>
      <c r="E332" s="5">
        <f>IF('ORDENES'!$A310="","",IF('ORDENES'!$X310="","-",'ORDENES'!$X310))</f>
        <v/>
      </c>
      <c r="F332" s="5">
        <f>IF('ORDENES'!$A310="","",IF('ORDENES'!$AA310="","-",'ORDENES'!$AA310))</f>
        <v/>
      </c>
      <c r="G332" s="5">
        <f>IF('ORDENES'!$A310="","",IF('ORDENES'!$Y310="","-",'ORDENES'!$Y310))</f>
        <v/>
      </c>
      <c r="H332" s="5">
        <f>IF('ORDENES'!$A310="","",IF('ORDENES'!$AG310="","-",'ORDENES'!$AG310))</f>
        <v/>
      </c>
      <c r="I332" s="5">
        <f>IF('ORDENES'!$A310="","",IF('ORDENES'!$AT310="","-",'ORDENES'!$AT310))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0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IF('ORDENES'!$A310="","",'ORDENES'!$AF310)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IF('ORDENES'!$A311="","",IF('ORDENES'!$AH311="","-",'ORDENES'!$AH311))</f>
        <v/>
      </c>
      <c r="D333" s="5">
        <f>IF('ORDENES'!$A311="","",IF('ORDENES'!$Z311="","-",'ORDENES'!$Z311))</f>
        <v/>
      </c>
      <c r="E333" s="5">
        <f>IF('ORDENES'!$A311="","",IF('ORDENES'!$X311="","-",'ORDENES'!$X311))</f>
        <v/>
      </c>
      <c r="F333" s="5">
        <f>IF('ORDENES'!$A311="","",IF('ORDENES'!$AA311="","-",'ORDENES'!$AA311))</f>
        <v/>
      </c>
      <c r="G333" s="5">
        <f>IF('ORDENES'!$A311="","",IF('ORDENES'!$Y311="","-",'ORDENES'!$Y311))</f>
        <v/>
      </c>
      <c r="H333" s="5">
        <f>IF('ORDENES'!$A311="","",IF('ORDENES'!$AG311="","-",'ORDENES'!$AG311))</f>
        <v/>
      </c>
      <c r="I333" s="5">
        <f>IF('ORDENES'!$A311="","",IF('ORDENES'!$AT311="","-",'ORDENES'!$AT311))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0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IF('ORDENES'!$A311="","",'ORDENES'!$AF311)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IF('ORDENES'!$A312="","",IF('ORDENES'!$AH312="","-",'ORDENES'!$AH312))</f>
        <v/>
      </c>
      <c r="D334" s="5">
        <f>IF('ORDENES'!$A312="","",IF('ORDENES'!$Z312="","-",'ORDENES'!$Z312))</f>
        <v/>
      </c>
      <c r="E334" s="5">
        <f>IF('ORDENES'!$A312="","",IF('ORDENES'!$X312="","-",'ORDENES'!$X312))</f>
        <v/>
      </c>
      <c r="F334" s="5">
        <f>IF('ORDENES'!$A312="","",IF('ORDENES'!$AA312="","-",'ORDENES'!$AA312))</f>
        <v/>
      </c>
      <c r="G334" s="5">
        <f>IF('ORDENES'!$A312="","",IF('ORDENES'!$Y312="","-",'ORDENES'!$Y312))</f>
        <v/>
      </c>
      <c r="H334" s="5">
        <f>IF('ORDENES'!$A312="","",IF('ORDENES'!$AG312="","-",'ORDENES'!$AG312))</f>
        <v/>
      </c>
      <c r="I334" s="5">
        <f>IF('ORDENES'!$A312="","",IF('ORDENES'!$AT312="","-",'ORDENES'!$AT312))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0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IF('ORDENES'!$A312="","",'ORDENES'!$AF312)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IF('ORDENES'!$A313="","",IF('ORDENES'!$AH313="","-",'ORDENES'!$AH313))</f>
        <v/>
      </c>
      <c r="D335" s="5">
        <f>IF('ORDENES'!$A313="","",IF('ORDENES'!$Z313="","-",'ORDENES'!$Z313))</f>
        <v/>
      </c>
      <c r="E335" s="5">
        <f>IF('ORDENES'!$A313="","",IF('ORDENES'!$X313="","-",'ORDENES'!$X313))</f>
        <v/>
      </c>
      <c r="F335" s="5">
        <f>IF('ORDENES'!$A313="","",IF('ORDENES'!$AA313="","-",'ORDENES'!$AA313))</f>
        <v/>
      </c>
      <c r="G335" s="5">
        <f>IF('ORDENES'!$A313="","",IF('ORDENES'!$Y313="","-",'ORDENES'!$Y313))</f>
        <v/>
      </c>
      <c r="H335" s="5">
        <f>IF('ORDENES'!$A313="","",IF('ORDENES'!$AG313="","-",'ORDENES'!$AG313))</f>
        <v/>
      </c>
      <c r="I335" s="5">
        <f>IF('ORDENES'!$A313="","",IF('ORDENES'!$AT313="","-",'ORDENES'!$AT313))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0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IF('ORDENES'!$A313="","",'ORDENES'!$AF313)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IF('ORDENES'!$A314="","",IF('ORDENES'!$AH314="","-",'ORDENES'!$AH314))</f>
        <v/>
      </c>
      <c r="D336" s="5">
        <f>IF('ORDENES'!$A314="","",IF('ORDENES'!$Z314="","-",'ORDENES'!$Z314))</f>
        <v/>
      </c>
      <c r="E336" s="5">
        <f>IF('ORDENES'!$A314="","",IF('ORDENES'!$X314="","-",'ORDENES'!$X314))</f>
        <v/>
      </c>
      <c r="F336" s="5">
        <f>IF('ORDENES'!$A314="","",IF('ORDENES'!$AA314="","-",'ORDENES'!$AA314))</f>
        <v/>
      </c>
      <c r="G336" s="5">
        <f>IF('ORDENES'!$A314="","",IF('ORDENES'!$Y314="","-",'ORDENES'!$Y314))</f>
        <v/>
      </c>
      <c r="H336" s="5">
        <f>IF('ORDENES'!$A314="","",IF('ORDENES'!$AG314="","-",'ORDENES'!$AG314))</f>
        <v/>
      </c>
      <c r="I336" s="5">
        <f>IF('ORDENES'!$A314="","",IF('ORDENES'!$AT314="","-",'ORDENES'!$AT314))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0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IF('ORDENES'!$A314="","",'ORDENES'!$AF314)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IF('ORDENES'!$A315="","",IF('ORDENES'!$AH315="","-",'ORDENES'!$AH315))</f>
        <v/>
      </c>
      <c r="D337" s="5">
        <f>IF('ORDENES'!$A315="","",IF('ORDENES'!$Z315="","-",'ORDENES'!$Z315))</f>
        <v/>
      </c>
      <c r="E337" s="5">
        <f>IF('ORDENES'!$A315="","",IF('ORDENES'!$X315="","-",'ORDENES'!$X315))</f>
        <v/>
      </c>
      <c r="F337" s="5">
        <f>IF('ORDENES'!$A315="","",IF('ORDENES'!$AA315="","-",'ORDENES'!$AA315))</f>
        <v/>
      </c>
      <c r="G337" s="5">
        <f>IF('ORDENES'!$A315="","",IF('ORDENES'!$Y315="","-",'ORDENES'!$Y315))</f>
        <v/>
      </c>
      <c r="H337" s="5">
        <f>IF('ORDENES'!$A315="","",IF('ORDENES'!$AG315="","-",'ORDENES'!$AG315))</f>
        <v/>
      </c>
      <c r="I337" s="5">
        <f>IF('ORDENES'!$A315="","",IF('ORDENES'!$AT315="","-",'ORDENES'!$AT315))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0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IF('ORDENES'!$A315="","",'ORDENES'!$AF315)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IF('ORDENES'!$A316="","",IF('ORDENES'!$AH316="","-",'ORDENES'!$AH316))</f>
        <v/>
      </c>
      <c r="D338" s="5">
        <f>IF('ORDENES'!$A316="","",IF('ORDENES'!$Z316="","-",'ORDENES'!$Z316))</f>
        <v/>
      </c>
      <c r="E338" s="5">
        <f>IF('ORDENES'!$A316="","",IF('ORDENES'!$X316="","-",'ORDENES'!$X316))</f>
        <v/>
      </c>
      <c r="F338" s="5">
        <f>IF('ORDENES'!$A316="","",IF('ORDENES'!$AA316="","-",'ORDENES'!$AA316))</f>
        <v/>
      </c>
      <c r="G338" s="5">
        <f>IF('ORDENES'!$A316="","",IF('ORDENES'!$Y316="","-",'ORDENES'!$Y316))</f>
        <v/>
      </c>
      <c r="H338" s="5">
        <f>IF('ORDENES'!$A316="","",IF('ORDENES'!$AG316="","-",'ORDENES'!$AG316))</f>
        <v/>
      </c>
      <c r="I338" s="5">
        <f>IF('ORDENES'!$A316="","",IF('ORDENES'!$AT316="","-",'ORDENES'!$AT316))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0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IF('ORDENES'!$A316="","",'ORDENES'!$AF316)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IF('ORDENES'!$A317="","",IF('ORDENES'!$AH317="","-",'ORDENES'!$AH317))</f>
        <v/>
      </c>
      <c r="D339" s="5">
        <f>IF('ORDENES'!$A317="","",IF('ORDENES'!$Z317="","-",'ORDENES'!$Z317))</f>
        <v/>
      </c>
      <c r="E339" s="5">
        <f>IF('ORDENES'!$A317="","",IF('ORDENES'!$X317="","-",'ORDENES'!$X317))</f>
        <v/>
      </c>
      <c r="F339" s="5">
        <f>IF('ORDENES'!$A317="","",IF('ORDENES'!$AA317="","-",'ORDENES'!$AA317))</f>
        <v/>
      </c>
      <c r="G339" s="5">
        <f>IF('ORDENES'!$A317="","",IF('ORDENES'!$Y317="","-",'ORDENES'!$Y317))</f>
        <v/>
      </c>
      <c r="H339" s="5">
        <f>IF('ORDENES'!$A317="","",IF('ORDENES'!$AG317="","-",'ORDENES'!$AG317))</f>
        <v/>
      </c>
      <c r="I339" s="5">
        <f>IF('ORDENES'!$A317="","",IF('ORDENES'!$AT317="","-",'ORDENES'!$AT317))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0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IF('ORDENES'!$A317="","",'ORDENES'!$AF317)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IF('ORDENES'!$A318="","",IF('ORDENES'!$AH318="","-",'ORDENES'!$AH318))</f>
        <v/>
      </c>
      <c r="D340" s="5">
        <f>IF('ORDENES'!$A318="","",IF('ORDENES'!$Z318="","-",'ORDENES'!$Z318))</f>
        <v/>
      </c>
      <c r="E340" s="5">
        <f>IF('ORDENES'!$A318="","",IF('ORDENES'!$X318="","-",'ORDENES'!$X318))</f>
        <v/>
      </c>
      <c r="F340" s="5">
        <f>IF('ORDENES'!$A318="","",IF('ORDENES'!$AA318="","-",'ORDENES'!$AA318))</f>
        <v/>
      </c>
      <c r="G340" s="5">
        <f>IF('ORDENES'!$A318="","",IF('ORDENES'!$Y318="","-",'ORDENES'!$Y318))</f>
        <v/>
      </c>
      <c r="H340" s="5">
        <f>IF('ORDENES'!$A318="","",IF('ORDENES'!$AG318="","-",'ORDENES'!$AG318))</f>
        <v/>
      </c>
      <c r="I340" s="5">
        <f>IF('ORDENES'!$A318="","",IF('ORDENES'!$AT318="","-",'ORDENES'!$AT318))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0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IF('ORDENES'!$A318="","",'ORDENES'!$AF318)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IF('ORDENES'!$A319="","",IF('ORDENES'!$AH319="","-",'ORDENES'!$AH319))</f>
        <v/>
      </c>
      <c r="D341" s="5">
        <f>IF('ORDENES'!$A319="","",IF('ORDENES'!$Z319="","-",'ORDENES'!$Z319))</f>
        <v/>
      </c>
      <c r="E341" s="5">
        <f>IF('ORDENES'!$A319="","",IF('ORDENES'!$X319="","-",'ORDENES'!$X319))</f>
        <v/>
      </c>
      <c r="F341" s="5">
        <f>IF('ORDENES'!$A319="","",IF('ORDENES'!$AA319="","-",'ORDENES'!$AA319))</f>
        <v/>
      </c>
      <c r="G341" s="5">
        <f>IF('ORDENES'!$A319="","",IF('ORDENES'!$Y319="","-",'ORDENES'!$Y319))</f>
        <v/>
      </c>
      <c r="H341" s="5">
        <f>IF('ORDENES'!$A319="","",IF('ORDENES'!$AG319="","-",'ORDENES'!$AG319))</f>
        <v/>
      </c>
      <c r="I341" s="5">
        <f>IF('ORDENES'!$A319="","",IF('ORDENES'!$AT319="","-",'ORDENES'!$AT319))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0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IF('ORDENES'!$A319="","",'ORDENES'!$AF319)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IF('ORDENES'!$A320="","",IF('ORDENES'!$AH320="","-",'ORDENES'!$AH320))</f>
        <v/>
      </c>
      <c r="D342" s="5">
        <f>IF('ORDENES'!$A320="","",IF('ORDENES'!$Z320="","-",'ORDENES'!$Z320))</f>
        <v/>
      </c>
      <c r="E342" s="5">
        <f>IF('ORDENES'!$A320="","",IF('ORDENES'!$X320="","-",'ORDENES'!$X320))</f>
        <v/>
      </c>
      <c r="F342" s="5">
        <f>IF('ORDENES'!$A320="","",IF('ORDENES'!$AA320="","-",'ORDENES'!$AA320))</f>
        <v/>
      </c>
      <c r="G342" s="5">
        <f>IF('ORDENES'!$A320="","",IF('ORDENES'!$Y320="","-",'ORDENES'!$Y320))</f>
        <v/>
      </c>
      <c r="H342" s="5">
        <f>IF('ORDENES'!$A320="","",IF('ORDENES'!$AG320="","-",'ORDENES'!$AG320))</f>
        <v/>
      </c>
      <c r="I342" s="5">
        <f>IF('ORDENES'!$A320="","",IF('ORDENES'!$AT320="","-",'ORDENES'!$AT320))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0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IF('ORDENES'!$A320="","",'ORDENES'!$AF320)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IF('ORDENES'!$A321="","",IF('ORDENES'!$AH321="","-",'ORDENES'!$AH321))</f>
        <v/>
      </c>
      <c r="D343" s="5">
        <f>IF('ORDENES'!$A321="","",IF('ORDENES'!$Z321="","-",'ORDENES'!$Z321))</f>
        <v/>
      </c>
      <c r="E343" s="5">
        <f>IF('ORDENES'!$A321="","",IF('ORDENES'!$X321="","-",'ORDENES'!$X321))</f>
        <v/>
      </c>
      <c r="F343" s="5">
        <f>IF('ORDENES'!$A321="","",IF('ORDENES'!$AA321="","-",'ORDENES'!$AA321))</f>
        <v/>
      </c>
      <c r="G343" s="5">
        <f>IF('ORDENES'!$A321="","",IF('ORDENES'!$Y321="","-",'ORDENES'!$Y321))</f>
        <v/>
      </c>
      <c r="H343" s="5">
        <f>IF('ORDENES'!$A321="","",IF('ORDENES'!$AG321="","-",'ORDENES'!$AG321))</f>
        <v/>
      </c>
      <c r="I343" s="5">
        <f>IF('ORDENES'!$A321="","",IF('ORDENES'!$AT321="","-",'ORDENES'!$AT321))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0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IF('ORDENES'!$A321="","",'ORDENES'!$AF321)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IF('ORDENES'!$A322="","",IF('ORDENES'!$AH322="","-",'ORDENES'!$AH322))</f>
        <v/>
      </c>
      <c r="D344" s="5">
        <f>IF('ORDENES'!$A322="","",IF('ORDENES'!$Z322="","-",'ORDENES'!$Z322))</f>
        <v/>
      </c>
      <c r="E344" s="5">
        <f>IF('ORDENES'!$A322="","",IF('ORDENES'!$X322="","-",'ORDENES'!$X322))</f>
        <v/>
      </c>
      <c r="F344" s="5">
        <f>IF('ORDENES'!$A322="","",IF('ORDENES'!$AA322="","-",'ORDENES'!$AA322))</f>
        <v/>
      </c>
      <c r="G344" s="5">
        <f>IF('ORDENES'!$A322="","",IF('ORDENES'!$Y322="","-",'ORDENES'!$Y322))</f>
        <v/>
      </c>
      <c r="H344" s="5">
        <f>IF('ORDENES'!$A322="","",IF('ORDENES'!$AG322="","-",'ORDENES'!$AG322))</f>
        <v/>
      </c>
      <c r="I344" s="5">
        <f>IF('ORDENES'!$A322="","",IF('ORDENES'!$AT322="","-",'ORDENES'!$AT322))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0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IF('ORDENES'!$A322="","",'ORDENES'!$AF322)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IF('ORDENES'!$A323="","",IF('ORDENES'!$AH323="","-",'ORDENES'!$AH323))</f>
        <v/>
      </c>
      <c r="D345" s="5">
        <f>IF('ORDENES'!$A323="","",IF('ORDENES'!$Z323="","-",'ORDENES'!$Z323))</f>
        <v/>
      </c>
      <c r="E345" s="5">
        <f>IF('ORDENES'!$A323="","",IF('ORDENES'!$X323="","-",'ORDENES'!$X323))</f>
        <v/>
      </c>
      <c r="F345" s="5">
        <f>IF('ORDENES'!$A323="","",IF('ORDENES'!$AA323="","-",'ORDENES'!$AA323))</f>
        <v/>
      </c>
      <c r="G345" s="5">
        <f>IF('ORDENES'!$A323="","",IF('ORDENES'!$Y323="","-",'ORDENES'!$Y323))</f>
        <v/>
      </c>
      <c r="H345" s="5">
        <f>IF('ORDENES'!$A323="","",IF('ORDENES'!$AG323="","-",'ORDENES'!$AG323))</f>
        <v/>
      </c>
      <c r="I345" s="5">
        <f>IF('ORDENES'!$A323="","",IF('ORDENES'!$AT323="","-",'ORDENES'!$AT323))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0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IF('ORDENES'!$A323="","",'ORDENES'!$AF323)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IF('ORDENES'!$A324="","",IF('ORDENES'!$AH324="","-",'ORDENES'!$AH324))</f>
        <v/>
      </c>
      <c r="D346" s="5">
        <f>IF('ORDENES'!$A324="","",IF('ORDENES'!$Z324="","-",'ORDENES'!$Z324))</f>
        <v/>
      </c>
      <c r="E346" s="5">
        <f>IF('ORDENES'!$A324="","",IF('ORDENES'!$X324="","-",'ORDENES'!$X324))</f>
        <v/>
      </c>
      <c r="F346" s="5">
        <f>IF('ORDENES'!$A324="","",IF('ORDENES'!$AA324="","-",'ORDENES'!$AA324))</f>
        <v/>
      </c>
      <c r="G346" s="5">
        <f>IF('ORDENES'!$A324="","",IF('ORDENES'!$Y324="","-",'ORDENES'!$Y324))</f>
        <v/>
      </c>
      <c r="H346" s="5">
        <f>IF('ORDENES'!$A324="","",IF('ORDENES'!$AG324="","-",'ORDENES'!$AG324))</f>
        <v/>
      </c>
      <c r="I346" s="5">
        <f>IF('ORDENES'!$A324="","",IF('ORDENES'!$AT324="","-",'ORDENES'!$AT324))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0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IF('ORDENES'!$A324="","",'ORDENES'!$AF324)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IF('ORDENES'!$A325="","",IF('ORDENES'!$AH325="","-",'ORDENES'!$AH325))</f>
        <v/>
      </c>
      <c r="D347" s="5">
        <f>IF('ORDENES'!$A325="","",IF('ORDENES'!$Z325="","-",'ORDENES'!$Z325))</f>
        <v/>
      </c>
      <c r="E347" s="5">
        <f>IF('ORDENES'!$A325="","",IF('ORDENES'!$X325="","-",'ORDENES'!$X325))</f>
        <v/>
      </c>
      <c r="F347" s="5">
        <f>IF('ORDENES'!$A325="","",IF('ORDENES'!$AA325="","-",'ORDENES'!$AA325))</f>
        <v/>
      </c>
      <c r="G347" s="5">
        <f>IF('ORDENES'!$A325="","",IF('ORDENES'!$Y325="","-",'ORDENES'!$Y325))</f>
        <v/>
      </c>
      <c r="H347" s="5">
        <f>IF('ORDENES'!$A325="","",IF('ORDENES'!$AG325="","-",'ORDENES'!$AG325))</f>
        <v/>
      </c>
      <c r="I347" s="5">
        <f>IF('ORDENES'!$A325="","",IF('ORDENES'!$AT325="","-",'ORDENES'!$AT325))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0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IF('ORDENES'!$A325="","",'ORDENES'!$AF325)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IF('ORDENES'!$A326="","",IF('ORDENES'!$AH326="","-",'ORDENES'!$AH326))</f>
        <v/>
      </c>
      <c r="D348" s="5">
        <f>IF('ORDENES'!$A326="","",IF('ORDENES'!$Z326="","-",'ORDENES'!$Z326))</f>
        <v/>
      </c>
      <c r="E348" s="5">
        <f>IF('ORDENES'!$A326="","",IF('ORDENES'!$X326="","-",'ORDENES'!$X326))</f>
        <v/>
      </c>
      <c r="F348" s="5">
        <f>IF('ORDENES'!$A326="","",IF('ORDENES'!$AA326="","-",'ORDENES'!$AA326))</f>
        <v/>
      </c>
      <c r="G348" s="5">
        <f>IF('ORDENES'!$A326="","",IF('ORDENES'!$Y326="","-",'ORDENES'!$Y326))</f>
        <v/>
      </c>
      <c r="H348" s="5">
        <f>IF('ORDENES'!$A326="","",IF('ORDENES'!$AG326="","-",'ORDENES'!$AG326))</f>
        <v/>
      </c>
      <c r="I348" s="5">
        <f>IF('ORDENES'!$A326="","",IF('ORDENES'!$AT326="","-",'ORDENES'!$AT326))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0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IF('ORDENES'!$A326="","",'ORDENES'!$AF326)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IF('ORDENES'!$A327="","",IF('ORDENES'!$AH327="","-",'ORDENES'!$AH327))</f>
        <v/>
      </c>
      <c r="D349" s="5">
        <f>IF('ORDENES'!$A327="","",IF('ORDENES'!$Z327="","-",'ORDENES'!$Z327))</f>
        <v/>
      </c>
      <c r="E349" s="5">
        <f>IF('ORDENES'!$A327="","",IF('ORDENES'!$X327="","-",'ORDENES'!$X327))</f>
        <v/>
      </c>
      <c r="F349" s="5">
        <f>IF('ORDENES'!$A327="","",IF('ORDENES'!$AA327="","-",'ORDENES'!$AA327))</f>
        <v/>
      </c>
      <c r="G349" s="5">
        <f>IF('ORDENES'!$A327="","",IF('ORDENES'!$Y327="","-",'ORDENES'!$Y327))</f>
        <v/>
      </c>
      <c r="H349" s="5">
        <f>IF('ORDENES'!$A327="","",IF('ORDENES'!$AG327="","-",'ORDENES'!$AG327))</f>
        <v/>
      </c>
      <c r="I349" s="5">
        <f>IF('ORDENES'!$A327="","",IF('ORDENES'!$AT327="","-",'ORDENES'!$AT327))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0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IF('ORDENES'!$A327="","",'ORDENES'!$AF327)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IF('ORDENES'!$A328="","",IF('ORDENES'!$AH328="","-",'ORDENES'!$AH328))</f>
        <v/>
      </c>
      <c r="D350" s="5">
        <f>IF('ORDENES'!$A328="","",IF('ORDENES'!$Z328="","-",'ORDENES'!$Z328))</f>
        <v/>
      </c>
      <c r="E350" s="5">
        <f>IF('ORDENES'!$A328="","",IF('ORDENES'!$X328="","-",'ORDENES'!$X328))</f>
        <v/>
      </c>
      <c r="F350" s="5">
        <f>IF('ORDENES'!$A328="","",IF('ORDENES'!$AA328="","-",'ORDENES'!$AA328))</f>
        <v/>
      </c>
      <c r="G350" s="5">
        <f>IF('ORDENES'!$A328="","",IF('ORDENES'!$Y328="","-",'ORDENES'!$Y328))</f>
        <v/>
      </c>
      <c r="H350" s="5">
        <f>IF('ORDENES'!$A328="","",IF('ORDENES'!$AG328="","-",'ORDENES'!$AG328))</f>
        <v/>
      </c>
      <c r="I350" s="5">
        <f>IF('ORDENES'!$A328="","",IF('ORDENES'!$AT328="","-",'ORDENES'!$AT328))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0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IF('ORDENES'!$A328="","",'ORDENES'!$AF328)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IF('ORDENES'!$A329="","",IF('ORDENES'!$AH329="","-",'ORDENES'!$AH329))</f>
        <v/>
      </c>
      <c r="D351" s="5">
        <f>IF('ORDENES'!$A329="","",IF('ORDENES'!$Z329="","-",'ORDENES'!$Z329))</f>
        <v/>
      </c>
      <c r="E351" s="5">
        <f>IF('ORDENES'!$A329="","",IF('ORDENES'!$X329="","-",'ORDENES'!$X329))</f>
        <v/>
      </c>
      <c r="F351" s="5">
        <f>IF('ORDENES'!$A329="","",IF('ORDENES'!$AA329="","-",'ORDENES'!$AA329))</f>
        <v/>
      </c>
      <c r="G351" s="5">
        <f>IF('ORDENES'!$A329="","",IF('ORDENES'!$Y329="","-",'ORDENES'!$Y329))</f>
        <v/>
      </c>
      <c r="H351" s="5">
        <f>IF('ORDENES'!$A329="","",IF('ORDENES'!$AG329="","-",'ORDENES'!$AG329))</f>
        <v/>
      </c>
      <c r="I351" s="5">
        <f>IF('ORDENES'!$A329="","",IF('ORDENES'!$AT329="","-",'ORDENES'!$AT329))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0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IF('ORDENES'!$A329="","",'ORDENES'!$AF329)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IF('ORDENES'!$A330="","",IF('ORDENES'!$AH330="","-",'ORDENES'!$AH330))</f>
        <v/>
      </c>
      <c r="D352" s="5">
        <f>IF('ORDENES'!$A330="","",IF('ORDENES'!$Z330="","-",'ORDENES'!$Z330))</f>
        <v/>
      </c>
      <c r="E352" s="5">
        <f>IF('ORDENES'!$A330="","",IF('ORDENES'!$X330="","-",'ORDENES'!$X330))</f>
        <v/>
      </c>
      <c r="F352" s="5">
        <f>IF('ORDENES'!$A330="","",IF('ORDENES'!$AA330="","-",'ORDENES'!$AA330))</f>
        <v/>
      </c>
      <c r="G352" s="5">
        <f>IF('ORDENES'!$A330="","",IF('ORDENES'!$Y330="","-",'ORDENES'!$Y330))</f>
        <v/>
      </c>
      <c r="H352" s="5">
        <f>IF('ORDENES'!$A330="","",IF('ORDENES'!$AG330="","-",'ORDENES'!$AG330))</f>
        <v/>
      </c>
      <c r="I352" s="5">
        <f>IF('ORDENES'!$A330="","",IF('ORDENES'!$AT330="","-",'ORDENES'!$AT330))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0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IF('ORDENES'!$A330="","",'ORDENES'!$AF330)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IF('ORDENES'!$A331="","",IF('ORDENES'!$AH331="","-",'ORDENES'!$AH331))</f>
        <v/>
      </c>
      <c r="D353" s="5">
        <f>IF('ORDENES'!$A331="","",IF('ORDENES'!$Z331="","-",'ORDENES'!$Z331))</f>
        <v/>
      </c>
      <c r="E353" s="5">
        <f>IF('ORDENES'!$A331="","",IF('ORDENES'!$X331="","-",'ORDENES'!$X331))</f>
        <v/>
      </c>
      <c r="F353" s="5">
        <f>IF('ORDENES'!$A331="","",IF('ORDENES'!$AA331="","-",'ORDENES'!$AA331))</f>
        <v/>
      </c>
      <c r="G353" s="5">
        <f>IF('ORDENES'!$A331="","",IF('ORDENES'!$Y331="","-",'ORDENES'!$Y331))</f>
        <v/>
      </c>
      <c r="H353" s="5">
        <f>IF('ORDENES'!$A331="","",IF('ORDENES'!$AG331="","-",'ORDENES'!$AG331))</f>
        <v/>
      </c>
      <c r="I353" s="5">
        <f>IF('ORDENES'!$A331="","",IF('ORDENES'!$AT331="","-",'ORDENES'!$AT331))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0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IF('ORDENES'!$A331="","",'ORDENES'!$AF331)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IF('ORDENES'!$A332="","",IF('ORDENES'!$AH332="","-",'ORDENES'!$AH332))</f>
        <v/>
      </c>
      <c r="D354" s="5">
        <f>IF('ORDENES'!$A332="","",IF('ORDENES'!$Z332="","-",'ORDENES'!$Z332))</f>
        <v/>
      </c>
      <c r="E354" s="5">
        <f>IF('ORDENES'!$A332="","",IF('ORDENES'!$X332="","-",'ORDENES'!$X332))</f>
        <v/>
      </c>
      <c r="F354" s="5">
        <f>IF('ORDENES'!$A332="","",IF('ORDENES'!$AA332="","-",'ORDENES'!$AA332))</f>
        <v/>
      </c>
      <c r="G354" s="5">
        <f>IF('ORDENES'!$A332="","",IF('ORDENES'!$Y332="","-",'ORDENES'!$Y332))</f>
        <v/>
      </c>
      <c r="H354" s="5">
        <f>IF('ORDENES'!$A332="","",IF('ORDENES'!$AG332="","-",'ORDENES'!$AG332))</f>
        <v/>
      </c>
      <c r="I354" s="5">
        <f>IF('ORDENES'!$A332="","",IF('ORDENES'!$AT332="","-",'ORDENES'!$AT332))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0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IF('ORDENES'!$A332="","",'ORDENES'!$AF332)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IF('ORDENES'!$A333="","",IF('ORDENES'!$AH333="","-",'ORDENES'!$AH333))</f>
        <v/>
      </c>
      <c r="D355" s="5">
        <f>IF('ORDENES'!$A333="","",IF('ORDENES'!$Z333="","-",'ORDENES'!$Z333))</f>
        <v/>
      </c>
      <c r="E355" s="5">
        <f>IF('ORDENES'!$A333="","",IF('ORDENES'!$X333="","-",'ORDENES'!$X333))</f>
        <v/>
      </c>
      <c r="F355" s="5">
        <f>IF('ORDENES'!$A333="","",IF('ORDENES'!$AA333="","-",'ORDENES'!$AA333))</f>
        <v/>
      </c>
      <c r="G355" s="5">
        <f>IF('ORDENES'!$A333="","",IF('ORDENES'!$Y333="","-",'ORDENES'!$Y333))</f>
        <v/>
      </c>
      <c r="H355" s="5">
        <f>IF('ORDENES'!$A333="","",IF('ORDENES'!$AG333="","-",'ORDENES'!$AG333))</f>
        <v/>
      </c>
      <c r="I355" s="5">
        <f>IF('ORDENES'!$A333="","",IF('ORDENES'!$AT333="","-",'ORDENES'!$AT333))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0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IF('ORDENES'!$A333="","",'ORDENES'!$AF333)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IF('ORDENES'!$A334="","",IF('ORDENES'!$AH334="","-",'ORDENES'!$AH334))</f>
        <v/>
      </c>
      <c r="D356" s="5">
        <f>IF('ORDENES'!$A334="","",IF('ORDENES'!$Z334="","-",'ORDENES'!$Z334))</f>
        <v/>
      </c>
      <c r="E356" s="5">
        <f>IF('ORDENES'!$A334="","",IF('ORDENES'!$X334="","-",'ORDENES'!$X334))</f>
        <v/>
      </c>
      <c r="F356" s="5">
        <f>IF('ORDENES'!$A334="","",IF('ORDENES'!$AA334="","-",'ORDENES'!$AA334))</f>
        <v/>
      </c>
      <c r="G356" s="5">
        <f>IF('ORDENES'!$A334="","",IF('ORDENES'!$Y334="","-",'ORDENES'!$Y334))</f>
        <v/>
      </c>
      <c r="H356" s="5">
        <f>IF('ORDENES'!$A334="","",IF('ORDENES'!$AG334="","-",'ORDENES'!$AG334))</f>
        <v/>
      </c>
      <c r="I356" s="5">
        <f>IF('ORDENES'!$A334="","",IF('ORDENES'!$AT334="","-",'ORDENES'!$AT334))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0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IF('ORDENES'!$A334="","",'ORDENES'!$AF334)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IF('ORDENES'!$A335="","",IF('ORDENES'!$AH335="","-",'ORDENES'!$AH335))</f>
        <v/>
      </c>
      <c r="D357" s="5">
        <f>IF('ORDENES'!$A335="","",IF('ORDENES'!$Z335="","-",'ORDENES'!$Z335))</f>
        <v/>
      </c>
      <c r="E357" s="5">
        <f>IF('ORDENES'!$A335="","",IF('ORDENES'!$X335="","-",'ORDENES'!$X335))</f>
        <v/>
      </c>
      <c r="F357" s="5">
        <f>IF('ORDENES'!$A335="","",IF('ORDENES'!$AA335="","-",'ORDENES'!$AA335))</f>
        <v/>
      </c>
      <c r="G357" s="5">
        <f>IF('ORDENES'!$A335="","",IF('ORDENES'!$Y335="","-",'ORDENES'!$Y335))</f>
        <v/>
      </c>
      <c r="H357" s="5">
        <f>IF('ORDENES'!$A335="","",IF('ORDENES'!$AG335="","-",'ORDENES'!$AG335))</f>
        <v/>
      </c>
      <c r="I357" s="5">
        <f>IF('ORDENES'!$A335="","",IF('ORDENES'!$AT335="","-",'ORDENES'!$AT335))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0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IF('ORDENES'!$A335="","",'ORDENES'!$AF335)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IF('ORDENES'!$A336="","",IF('ORDENES'!$AH336="","-",'ORDENES'!$AH336))</f>
        <v/>
      </c>
      <c r="D358" s="5">
        <f>IF('ORDENES'!$A336="","",IF('ORDENES'!$Z336="","-",'ORDENES'!$Z336))</f>
        <v/>
      </c>
      <c r="E358" s="5">
        <f>IF('ORDENES'!$A336="","",IF('ORDENES'!$X336="","-",'ORDENES'!$X336))</f>
        <v/>
      </c>
      <c r="F358" s="5">
        <f>IF('ORDENES'!$A336="","",IF('ORDENES'!$AA336="","-",'ORDENES'!$AA336))</f>
        <v/>
      </c>
      <c r="G358" s="5">
        <f>IF('ORDENES'!$A336="","",IF('ORDENES'!$Y336="","-",'ORDENES'!$Y336))</f>
        <v/>
      </c>
      <c r="H358" s="5">
        <f>IF('ORDENES'!$A336="","",IF('ORDENES'!$AG336="","-",'ORDENES'!$AG336))</f>
        <v/>
      </c>
      <c r="I358" s="5">
        <f>IF('ORDENES'!$A336="","",IF('ORDENES'!$AT336="","-",'ORDENES'!$AT336))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0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IF('ORDENES'!$A336="","",'ORDENES'!$AF336)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IF('ORDENES'!$A337="","",IF('ORDENES'!$AH337="","-",'ORDENES'!$AH337))</f>
        <v/>
      </c>
      <c r="D359" s="5">
        <f>IF('ORDENES'!$A337="","",IF('ORDENES'!$Z337="","-",'ORDENES'!$Z337))</f>
        <v/>
      </c>
      <c r="E359" s="5">
        <f>IF('ORDENES'!$A337="","",IF('ORDENES'!$X337="","-",'ORDENES'!$X337))</f>
        <v/>
      </c>
      <c r="F359" s="5">
        <f>IF('ORDENES'!$A337="","",IF('ORDENES'!$AA337="","-",'ORDENES'!$AA337))</f>
        <v/>
      </c>
      <c r="G359" s="5">
        <f>IF('ORDENES'!$A337="","",IF('ORDENES'!$Y337="","-",'ORDENES'!$Y337))</f>
        <v/>
      </c>
      <c r="H359" s="5">
        <f>IF('ORDENES'!$A337="","",IF('ORDENES'!$AG337="","-",'ORDENES'!$AG337))</f>
        <v/>
      </c>
      <c r="I359" s="5">
        <f>IF('ORDENES'!$A337="","",IF('ORDENES'!$AT337="","-",'ORDENES'!$AT337))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0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IF('ORDENES'!$A337="","",'ORDENES'!$AF337)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IF('ORDENES'!$A338="","",IF('ORDENES'!$AH338="","-",'ORDENES'!$AH338))</f>
        <v/>
      </c>
      <c r="D360" s="5">
        <f>IF('ORDENES'!$A338="","",IF('ORDENES'!$Z338="","-",'ORDENES'!$Z338))</f>
        <v/>
      </c>
      <c r="E360" s="5">
        <f>IF('ORDENES'!$A338="","",IF('ORDENES'!$X338="","-",'ORDENES'!$X338))</f>
        <v/>
      </c>
      <c r="F360" s="5">
        <f>IF('ORDENES'!$A338="","",IF('ORDENES'!$AA338="","-",'ORDENES'!$AA338))</f>
        <v/>
      </c>
      <c r="G360" s="5">
        <f>IF('ORDENES'!$A338="","",IF('ORDENES'!$Y338="","-",'ORDENES'!$Y338))</f>
        <v/>
      </c>
      <c r="H360" s="5">
        <f>IF('ORDENES'!$A338="","",IF('ORDENES'!$AG338="","-",'ORDENES'!$AG338))</f>
        <v/>
      </c>
      <c r="I360" s="5">
        <f>IF('ORDENES'!$A338="","",IF('ORDENES'!$AT338="","-",'ORDENES'!$AT338))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0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IF('ORDENES'!$A338="","",'ORDENES'!$AF338)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IF('ORDENES'!$A339="","",IF('ORDENES'!$AH339="","-",'ORDENES'!$AH339))</f>
        <v/>
      </c>
      <c r="D361" s="5">
        <f>IF('ORDENES'!$A339="","",IF('ORDENES'!$Z339="","-",'ORDENES'!$Z339))</f>
        <v/>
      </c>
      <c r="E361" s="5">
        <f>IF('ORDENES'!$A339="","",IF('ORDENES'!$X339="","-",'ORDENES'!$X339))</f>
        <v/>
      </c>
      <c r="F361" s="5">
        <f>IF('ORDENES'!$A339="","",IF('ORDENES'!$AA339="","-",'ORDENES'!$AA339))</f>
        <v/>
      </c>
      <c r="G361" s="5">
        <f>IF('ORDENES'!$A339="","",IF('ORDENES'!$Y339="","-",'ORDENES'!$Y339))</f>
        <v/>
      </c>
      <c r="H361" s="5">
        <f>IF('ORDENES'!$A339="","",IF('ORDENES'!$AG339="","-",'ORDENES'!$AG339))</f>
        <v/>
      </c>
      <c r="I361" s="5">
        <f>IF('ORDENES'!$A339="","",IF('ORDENES'!$AT339="","-",'ORDENES'!$AT339))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0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IF('ORDENES'!$A339="","",'ORDENES'!$AF339)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IF('ORDENES'!$A340="","",IF('ORDENES'!$AH340="","-",'ORDENES'!$AH340))</f>
        <v/>
      </c>
      <c r="D362" s="5">
        <f>IF('ORDENES'!$A340="","",IF('ORDENES'!$Z340="","-",'ORDENES'!$Z340))</f>
        <v/>
      </c>
      <c r="E362" s="5">
        <f>IF('ORDENES'!$A340="","",IF('ORDENES'!$X340="","-",'ORDENES'!$X340))</f>
        <v/>
      </c>
      <c r="F362" s="5">
        <f>IF('ORDENES'!$A340="","",IF('ORDENES'!$AA340="","-",'ORDENES'!$AA340))</f>
        <v/>
      </c>
      <c r="G362" s="5">
        <f>IF('ORDENES'!$A340="","",IF('ORDENES'!$Y340="","-",'ORDENES'!$Y340))</f>
        <v/>
      </c>
      <c r="H362" s="5">
        <f>IF('ORDENES'!$A340="","",IF('ORDENES'!$AG340="","-",'ORDENES'!$AG340))</f>
        <v/>
      </c>
      <c r="I362" s="5">
        <f>IF('ORDENES'!$A340="","",IF('ORDENES'!$AT340="","-",'ORDENES'!$AT340))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0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IF('ORDENES'!$A340="","",'ORDENES'!$AF340)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IF('ORDENES'!$A341="","",IF('ORDENES'!$AH341="","-",'ORDENES'!$AH341))</f>
        <v/>
      </c>
      <c r="D363" s="5">
        <f>IF('ORDENES'!$A341="","",IF('ORDENES'!$Z341="","-",'ORDENES'!$Z341))</f>
        <v/>
      </c>
      <c r="E363" s="5">
        <f>IF('ORDENES'!$A341="","",IF('ORDENES'!$X341="","-",'ORDENES'!$X341))</f>
        <v/>
      </c>
      <c r="F363" s="5">
        <f>IF('ORDENES'!$A341="","",IF('ORDENES'!$AA341="","-",'ORDENES'!$AA341))</f>
        <v/>
      </c>
      <c r="G363" s="5">
        <f>IF('ORDENES'!$A341="","",IF('ORDENES'!$Y341="","-",'ORDENES'!$Y341))</f>
        <v/>
      </c>
      <c r="H363" s="5">
        <f>IF('ORDENES'!$A341="","",IF('ORDENES'!$AG341="","-",'ORDENES'!$AG341))</f>
        <v/>
      </c>
      <c r="I363" s="5">
        <f>IF('ORDENES'!$A341="","",IF('ORDENES'!$AT341="","-",'ORDENES'!$AT341))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0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IF('ORDENES'!$A341="","",'ORDENES'!$AF341)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IF('ORDENES'!$A342="","",IF('ORDENES'!$AH342="","-",'ORDENES'!$AH342))</f>
        <v/>
      </c>
      <c r="D364" s="5">
        <f>IF('ORDENES'!$A342="","",IF('ORDENES'!$Z342="","-",'ORDENES'!$Z342))</f>
        <v/>
      </c>
      <c r="E364" s="5">
        <f>IF('ORDENES'!$A342="","",IF('ORDENES'!$X342="","-",'ORDENES'!$X342))</f>
        <v/>
      </c>
      <c r="F364" s="5">
        <f>IF('ORDENES'!$A342="","",IF('ORDENES'!$AA342="","-",'ORDENES'!$AA342))</f>
        <v/>
      </c>
      <c r="G364" s="5">
        <f>IF('ORDENES'!$A342="","",IF('ORDENES'!$Y342="","-",'ORDENES'!$Y342))</f>
        <v/>
      </c>
      <c r="H364" s="5">
        <f>IF('ORDENES'!$A342="","",IF('ORDENES'!$AG342="","-",'ORDENES'!$AG342))</f>
        <v/>
      </c>
      <c r="I364" s="5">
        <f>IF('ORDENES'!$A342="","",IF('ORDENES'!$AT342="","-",'ORDENES'!$AT342))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0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IF('ORDENES'!$A342="","",'ORDENES'!$AF342)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IF('ORDENES'!$A343="","",IF('ORDENES'!$AH343="","-",'ORDENES'!$AH343))</f>
        <v/>
      </c>
      <c r="D365" s="5">
        <f>IF('ORDENES'!$A343="","",IF('ORDENES'!$Z343="","-",'ORDENES'!$Z343))</f>
        <v/>
      </c>
      <c r="E365" s="5">
        <f>IF('ORDENES'!$A343="","",IF('ORDENES'!$X343="","-",'ORDENES'!$X343))</f>
        <v/>
      </c>
      <c r="F365" s="5">
        <f>IF('ORDENES'!$A343="","",IF('ORDENES'!$AA343="","-",'ORDENES'!$AA343))</f>
        <v/>
      </c>
      <c r="G365" s="5">
        <f>IF('ORDENES'!$A343="","",IF('ORDENES'!$Y343="","-",'ORDENES'!$Y343))</f>
        <v/>
      </c>
      <c r="H365" s="5">
        <f>IF('ORDENES'!$A343="","",IF('ORDENES'!$AG343="","-",'ORDENES'!$AG343))</f>
        <v/>
      </c>
      <c r="I365" s="5">
        <f>IF('ORDENES'!$A343="","",IF('ORDENES'!$AT343="","-",'ORDENES'!$AT343))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0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IF('ORDENES'!$A343="","",'ORDENES'!$AF343)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IF('ORDENES'!$A344="","",IF('ORDENES'!$AH344="","-",'ORDENES'!$AH344))</f>
        <v/>
      </c>
      <c r="D366" s="5">
        <f>IF('ORDENES'!$A344="","",IF('ORDENES'!$Z344="","-",'ORDENES'!$Z344))</f>
        <v/>
      </c>
      <c r="E366" s="5">
        <f>IF('ORDENES'!$A344="","",IF('ORDENES'!$X344="","-",'ORDENES'!$X344))</f>
        <v/>
      </c>
      <c r="F366" s="5">
        <f>IF('ORDENES'!$A344="","",IF('ORDENES'!$AA344="","-",'ORDENES'!$AA344))</f>
        <v/>
      </c>
      <c r="G366" s="5">
        <f>IF('ORDENES'!$A344="","",IF('ORDENES'!$Y344="","-",'ORDENES'!$Y344))</f>
        <v/>
      </c>
      <c r="H366" s="5">
        <f>IF('ORDENES'!$A344="","",IF('ORDENES'!$AG344="","-",'ORDENES'!$AG344))</f>
        <v/>
      </c>
      <c r="I366" s="5">
        <f>IF('ORDENES'!$A344="","",IF('ORDENES'!$AT344="","-",'ORDENES'!$AT344))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0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IF('ORDENES'!$A344="","",'ORDENES'!$AF344)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IF('ORDENES'!$A345="","",IF('ORDENES'!$AH345="","-",'ORDENES'!$AH345))</f>
        <v/>
      </c>
      <c r="D367" s="5">
        <f>IF('ORDENES'!$A345="","",IF('ORDENES'!$Z345="","-",'ORDENES'!$Z345))</f>
        <v/>
      </c>
      <c r="E367" s="5">
        <f>IF('ORDENES'!$A345="","",IF('ORDENES'!$X345="","-",'ORDENES'!$X345))</f>
        <v/>
      </c>
      <c r="F367" s="5">
        <f>IF('ORDENES'!$A345="","",IF('ORDENES'!$AA345="","-",'ORDENES'!$AA345))</f>
        <v/>
      </c>
      <c r="G367" s="5">
        <f>IF('ORDENES'!$A345="","",IF('ORDENES'!$Y345="","-",'ORDENES'!$Y345))</f>
        <v/>
      </c>
      <c r="H367" s="5">
        <f>IF('ORDENES'!$A345="","",IF('ORDENES'!$AG345="","-",'ORDENES'!$AG345))</f>
        <v/>
      </c>
      <c r="I367" s="5">
        <f>IF('ORDENES'!$A345="","",IF('ORDENES'!$AT345="","-",'ORDENES'!$AT345))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0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IF('ORDENES'!$A345="","",'ORDENES'!$AF345)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IF('ORDENES'!$A346="","",IF('ORDENES'!$AH346="","-",'ORDENES'!$AH346))</f>
        <v/>
      </c>
      <c r="D368" s="5">
        <f>IF('ORDENES'!$A346="","",IF('ORDENES'!$Z346="","-",'ORDENES'!$Z346))</f>
        <v/>
      </c>
      <c r="E368" s="5">
        <f>IF('ORDENES'!$A346="","",IF('ORDENES'!$X346="","-",'ORDENES'!$X346))</f>
        <v/>
      </c>
      <c r="F368" s="5">
        <f>IF('ORDENES'!$A346="","",IF('ORDENES'!$AA346="","-",'ORDENES'!$AA346))</f>
        <v/>
      </c>
      <c r="G368" s="5">
        <f>IF('ORDENES'!$A346="","",IF('ORDENES'!$Y346="","-",'ORDENES'!$Y346))</f>
        <v/>
      </c>
      <c r="H368" s="5">
        <f>IF('ORDENES'!$A346="","",IF('ORDENES'!$AG346="","-",'ORDENES'!$AG346))</f>
        <v/>
      </c>
      <c r="I368" s="5">
        <f>IF('ORDENES'!$A346="","",IF('ORDENES'!$AT346="","-",'ORDENES'!$AT346))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0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IF('ORDENES'!$A346="","",'ORDENES'!$AF346)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IF('ORDENES'!$A347="","",IF('ORDENES'!$AH347="","-",'ORDENES'!$AH347))</f>
        <v/>
      </c>
      <c r="D369" s="5">
        <f>IF('ORDENES'!$A347="","",IF('ORDENES'!$Z347="","-",'ORDENES'!$Z347))</f>
        <v/>
      </c>
      <c r="E369" s="5">
        <f>IF('ORDENES'!$A347="","",IF('ORDENES'!$X347="","-",'ORDENES'!$X347))</f>
        <v/>
      </c>
      <c r="F369" s="5">
        <f>IF('ORDENES'!$A347="","",IF('ORDENES'!$AA347="","-",'ORDENES'!$AA347))</f>
        <v/>
      </c>
      <c r="G369" s="5">
        <f>IF('ORDENES'!$A347="","",IF('ORDENES'!$Y347="","-",'ORDENES'!$Y347))</f>
        <v/>
      </c>
      <c r="H369" s="5">
        <f>IF('ORDENES'!$A347="","",IF('ORDENES'!$AG347="","-",'ORDENES'!$AG347))</f>
        <v/>
      </c>
      <c r="I369" s="5">
        <f>IF('ORDENES'!$A347="","",IF('ORDENES'!$AT347="","-",'ORDENES'!$AT347))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0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IF('ORDENES'!$A347="","",'ORDENES'!$AF347)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IF('ORDENES'!$A348="","",IF('ORDENES'!$AH348="","-",'ORDENES'!$AH348))</f>
        <v/>
      </c>
      <c r="D370" s="5">
        <f>IF('ORDENES'!$A348="","",IF('ORDENES'!$Z348="","-",'ORDENES'!$Z348))</f>
        <v/>
      </c>
      <c r="E370" s="5">
        <f>IF('ORDENES'!$A348="","",IF('ORDENES'!$X348="","-",'ORDENES'!$X348))</f>
        <v/>
      </c>
      <c r="F370" s="5">
        <f>IF('ORDENES'!$A348="","",IF('ORDENES'!$AA348="","-",'ORDENES'!$AA348))</f>
        <v/>
      </c>
      <c r="G370" s="5">
        <f>IF('ORDENES'!$A348="","",IF('ORDENES'!$Y348="","-",'ORDENES'!$Y348))</f>
        <v/>
      </c>
      <c r="H370" s="5">
        <f>IF('ORDENES'!$A348="","",IF('ORDENES'!$AG348="","-",'ORDENES'!$AG348))</f>
        <v/>
      </c>
      <c r="I370" s="5">
        <f>IF('ORDENES'!$A348="","",IF('ORDENES'!$AT348="","-",'ORDENES'!$AT348))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0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IF('ORDENES'!$A348="","",'ORDENES'!$AF348)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IF('ORDENES'!$A349="","",IF('ORDENES'!$AH349="","-",'ORDENES'!$AH349))</f>
        <v/>
      </c>
      <c r="D371" s="5">
        <f>IF('ORDENES'!$A349="","",IF('ORDENES'!$Z349="","-",'ORDENES'!$Z349))</f>
        <v/>
      </c>
      <c r="E371" s="5">
        <f>IF('ORDENES'!$A349="","",IF('ORDENES'!$X349="","-",'ORDENES'!$X349))</f>
        <v/>
      </c>
      <c r="F371" s="5">
        <f>IF('ORDENES'!$A349="","",IF('ORDENES'!$AA349="","-",'ORDENES'!$AA349))</f>
        <v/>
      </c>
      <c r="G371" s="5">
        <f>IF('ORDENES'!$A349="","",IF('ORDENES'!$Y349="","-",'ORDENES'!$Y349))</f>
        <v/>
      </c>
      <c r="H371" s="5">
        <f>IF('ORDENES'!$A349="","",IF('ORDENES'!$AG349="","-",'ORDENES'!$AG349))</f>
        <v/>
      </c>
      <c r="I371" s="5">
        <f>IF('ORDENES'!$A349="","",IF('ORDENES'!$AT349="","-",'ORDENES'!$AT349))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0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IF('ORDENES'!$A349="","",'ORDENES'!$AF349)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IF('ORDENES'!$A350="","",IF('ORDENES'!$AH350="","-",'ORDENES'!$AH350))</f>
        <v/>
      </c>
      <c r="D372" s="5">
        <f>IF('ORDENES'!$A350="","",IF('ORDENES'!$Z350="","-",'ORDENES'!$Z350))</f>
        <v/>
      </c>
      <c r="E372" s="5">
        <f>IF('ORDENES'!$A350="","",IF('ORDENES'!$X350="","-",'ORDENES'!$X350))</f>
        <v/>
      </c>
      <c r="F372" s="5">
        <f>IF('ORDENES'!$A350="","",IF('ORDENES'!$AA350="","-",'ORDENES'!$AA350))</f>
        <v/>
      </c>
      <c r="G372" s="5">
        <f>IF('ORDENES'!$A350="","",IF('ORDENES'!$Y350="","-",'ORDENES'!$Y350))</f>
        <v/>
      </c>
      <c r="H372" s="5">
        <f>IF('ORDENES'!$A350="","",IF('ORDENES'!$AG350="","-",'ORDENES'!$AG350))</f>
        <v/>
      </c>
      <c r="I372" s="5">
        <f>IF('ORDENES'!$A350="","",IF('ORDENES'!$AT350="","-",'ORDENES'!$AT350))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0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IF('ORDENES'!$A350="","",'ORDENES'!$AF350)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IF('ORDENES'!$A351="","",IF('ORDENES'!$AH351="","-",'ORDENES'!$AH351))</f>
        <v/>
      </c>
      <c r="D373" s="5">
        <f>IF('ORDENES'!$A351="","",IF('ORDENES'!$Z351="","-",'ORDENES'!$Z351))</f>
        <v/>
      </c>
      <c r="E373" s="5">
        <f>IF('ORDENES'!$A351="","",IF('ORDENES'!$X351="","-",'ORDENES'!$X351))</f>
        <v/>
      </c>
      <c r="F373" s="5">
        <f>IF('ORDENES'!$A351="","",IF('ORDENES'!$AA351="","-",'ORDENES'!$AA351))</f>
        <v/>
      </c>
      <c r="G373" s="5">
        <f>IF('ORDENES'!$A351="","",IF('ORDENES'!$Y351="","-",'ORDENES'!$Y351))</f>
        <v/>
      </c>
      <c r="H373" s="5">
        <f>IF('ORDENES'!$A351="","",IF('ORDENES'!$AG351="","-",'ORDENES'!$AG351))</f>
        <v/>
      </c>
      <c r="I373" s="5">
        <f>IF('ORDENES'!$A351="","",IF('ORDENES'!$AT351="","-",'ORDENES'!$AT351))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0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IF('ORDENES'!$A351="","",'ORDENES'!$AF351)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IF('ORDENES'!$A352="","",IF('ORDENES'!$AH352="","-",'ORDENES'!$AH352))</f>
        <v/>
      </c>
      <c r="D374" s="5">
        <f>IF('ORDENES'!$A352="","",IF('ORDENES'!$Z352="","-",'ORDENES'!$Z352))</f>
        <v/>
      </c>
      <c r="E374" s="5">
        <f>IF('ORDENES'!$A352="","",IF('ORDENES'!$X352="","-",'ORDENES'!$X352))</f>
        <v/>
      </c>
      <c r="F374" s="5">
        <f>IF('ORDENES'!$A352="","",IF('ORDENES'!$AA352="","-",'ORDENES'!$AA352))</f>
        <v/>
      </c>
      <c r="G374" s="5">
        <f>IF('ORDENES'!$A352="","",IF('ORDENES'!$Y352="","-",'ORDENES'!$Y352))</f>
        <v/>
      </c>
      <c r="H374" s="5">
        <f>IF('ORDENES'!$A352="","",IF('ORDENES'!$AG352="","-",'ORDENES'!$AG352))</f>
        <v/>
      </c>
      <c r="I374" s="5">
        <f>IF('ORDENES'!$A352="","",IF('ORDENES'!$AT352="","-",'ORDENES'!$AT352))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0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IF('ORDENES'!$A352="","",'ORDENES'!$AF352)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IF('ORDENES'!$A353="","",IF('ORDENES'!$AH353="","-",'ORDENES'!$AH353))</f>
        <v/>
      </c>
      <c r="D375" s="5">
        <f>IF('ORDENES'!$A353="","",IF('ORDENES'!$Z353="","-",'ORDENES'!$Z353))</f>
        <v/>
      </c>
      <c r="E375" s="5">
        <f>IF('ORDENES'!$A353="","",IF('ORDENES'!$X353="","-",'ORDENES'!$X353))</f>
        <v/>
      </c>
      <c r="F375" s="5">
        <f>IF('ORDENES'!$A353="","",IF('ORDENES'!$AA353="","-",'ORDENES'!$AA353))</f>
        <v/>
      </c>
      <c r="G375" s="5">
        <f>IF('ORDENES'!$A353="","",IF('ORDENES'!$Y353="","-",'ORDENES'!$Y353))</f>
        <v/>
      </c>
      <c r="H375" s="5">
        <f>IF('ORDENES'!$A353="","",IF('ORDENES'!$AG353="","-",'ORDENES'!$AG353))</f>
        <v/>
      </c>
      <c r="I375" s="5">
        <f>IF('ORDENES'!$A353="","",IF('ORDENES'!$AT353="","-",'ORDENES'!$AT353))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0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IF('ORDENES'!$A353="","",'ORDENES'!$AF353)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IF('ORDENES'!$A354="","",IF('ORDENES'!$AH354="","-",'ORDENES'!$AH354))</f>
        <v/>
      </c>
      <c r="D376" s="5">
        <f>IF('ORDENES'!$A354="","",IF('ORDENES'!$Z354="","-",'ORDENES'!$Z354))</f>
        <v/>
      </c>
      <c r="E376" s="5">
        <f>IF('ORDENES'!$A354="","",IF('ORDENES'!$X354="","-",'ORDENES'!$X354))</f>
        <v/>
      </c>
      <c r="F376" s="5">
        <f>IF('ORDENES'!$A354="","",IF('ORDENES'!$AA354="","-",'ORDENES'!$AA354))</f>
        <v/>
      </c>
      <c r="G376" s="5">
        <f>IF('ORDENES'!$A354="","",IF('ORDENES'!$Y354="","-",'ORDENES'!$Y354))</f>
        <v/>
      </c>
      <c r="H376" s="5">
        <f>IF('ORDENES'!$A354="","",IF('ORDENES'!$AG354="","-",'ORDENES'!$AG354))</f>
        <v/>
      </c>
      <c r="I376" s="5">
        <f>IF('ORDENES'!$A354="","",IF('ORDENES'!$AT354="","-",'ORDENES'!$AT354))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0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IF('ORDENES'!$A354="","",'ORDENES'!$AF354)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IF('ORDENES'!$A355="","",IF('ORDENES'!$AH355="","-",'ORDENES'!$AH355))</f>
        <v/>
      </c>
      <c r="D377" s="5">
        <f>IF('ORDENES'!$A355="","",IF('ORDENES'!$Z355="","-",'ORDENES'!$Z355))</f>
        <v/>
      </c>
      <c r="E377" s="5">
        <f>IF('ORDENES'!$A355="","",IF('ORDENES'!$X355="","-",'ORDENES'!$X355))</f>
        <v/>
      </c>
      <c r="F377" s="5">
        <f>IF('ORDENES'!$A355="","",IF('ORDENES'!$AA355="","-",'ORDENES'!$AA355))</f>
        <v/>
      </c>
      <c r="G377" s="5">
        <f>IF('ORDENES'!$A355="","",IF('ORDENES'!$Y355="","-",'ORDENES'!$Y355))</f>
        <v/>
      </c>
      <c r="H377" s="5">
        <f>IF('ORDENES'!$A355="","",IF('ORDENES'!$AG355="","-",'ORDENES'!$AG355))</f>
        <v/>
      </c>
      <c r="I377" s="5">
        <f>IF('ORDENES'!$A355="","",IF('ORDENES'!$AT355="","-",'ORDENES'!$AT355))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0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IF('ORDENES'!$A355="","",'ORDENES'!$AF355)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IF('ORDENES'!$A356="","",IF('ORDENES'!$AH356="","-",'ORDENES'!$AH356))</f>
        <v/>
      </c>
      <c r="D378" s="5">
        <f>IF('ORDENES'!$A356="","",IF('ORDENES'!$Z356="","-",'ORDENES'!$Z356))</f>
        <v/>
      </c>
      <c r="E378" s="5">
        <f>IF('ORDENES'!$A356="","",IF('ORDENES'!$X356="","-",'ORDENES'!$X356))</f>
        <v/>
      </c>
      <c r="F378" s="5">
        <f>IF('ORDENES'!$A356="","",IF('ORDENES'!$AA356="","-",'ORDENES'!$AA356))</f>
        <v/>
      </c>
      <c r="G378" s="5">
        <f>IF('ORDENES'!$A356="","",IF('ORDENES'!$Y356="","-",'ORDENES'!$Y356))</f>
        <v/>
      </c>
      <c r="H378" s="5">
        <f>IF('ORDENES'!$A356="","",IF('ORDENES'!$AG356="","-",'ORDENES'!$AG356))</f>
        <v/>
      </c>
      <c r="I378" s="5">
        <f>IF('ORDENES'!$A356="","",IF('ORDENES'!$AT356="","-",'ORDENES'!$AT356))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0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IF('ORDENES'!$A356="","",'ORDENES'!$AF356)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IF('ORDENES'!$A357="","",IF('ORDENES'!$AH357="","-",'ORDENES'!$AH357))</f>
        <v/>
      </c>
      <c r="D379" s="5">
        <f>IF('ORDENES'!$A357="","",IF('ORDENES'!$Z357="","-",'ORDENES'!$Z357))</f>
        <v/>
      </c>
      <c r="E379" s="5">
        <f>IF('ORDENES'!$A357="","",IF('ORDENES'!$X357="","-",'ORDENES'!$X357))</f>
        <v/>
      </c>
      <c r="F379" s="5">
        <f>IF('ORDENES'!$A357="","",IF('ORDENES'!$AA357="","-",'ORDENES'!$AA357))</f>
        <v/>
      </c>
      <c r="G379" s="5">
        <f>IF('ORDENES'!$A357="","",IF('ORDENES'!$Y357="","-",'ORDENES'!$Y357))</f>
        <v/>
      </c>
      <c r="H379" s="5">
        <f>IF('ORDENES'!$A357="","",IF('ORDENES'!$AG357="","-",'ORDENES'!$AG357))</f>
        <v/>
      </c>
      <c r="I379" s="5">
        <f>IF('ORDENES'!$A357="","",IF('ORDENES'!$AT357="","-",'ORDENES'!$AT357))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0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IF('ORDENES'!$A357="","",'ORDENES'!$AF357)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IF('ORDENES'!$A358="","",IF('ORDENES'!$AH358="","-",'ORDENES'!$AH358))</f>
        <v/>
      </c>
      <c r="D380" s="5">
        <f>IF('ORDENES'!$A358="","",IF('ORDENES'!$Z358="","-",'ORDENES'!$Z358))</f>
        <v/>
      </c>
      <c r="E380" s="5">
        <f>IF('ORDENES'!$A358="","",IF('ORDENES'!$X358="","-",'ORDENES'!$X358))</f>
        <v/>
      </c>
      <c r="F380" s="5">
        <f>IF('ORDENES'!$A358="","",IF('ORDENES'!$AA358="","-",'ORDENES'!$AA358))</f>
        <v/>
      </c>
      <c r="G380" s="5">
        <f>IF('ORDENES'!$A358="","",IF('ORDENES'!$Y358="","-",'ORDENES'!$Y358))</f>
        <v/>
      </c>
      <c r="H380" s="5">
        <f>IF('ORDENES'!$A358="","",IF('ORDENES'!$AG358="","-",'ORDENES'!$AG358))</f>
        <v/>
      </c>
      <c r="I380" s="5">
        <f>IF('ORDENES'!$A358="","",IF('ORDENES'!$AT358="","-",'ORDENES'!$AT358))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0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IF('ORDENES'!$A358="","",'ORDENES'!$AF358)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IF('ORDENES'!$A359="","",IF('ORDENES'!$AH359="","-",'ORDENES'!$AH359))</f>
        <v/>
      </c>
      <c r="D381" s="5">
        <f>IF('ORDENES'!$A359="","",IF('ORDENES'!$Z359="","-",'ORDENES'!$Z359))</f>
        <v/>
      </c>
      <c r="E381" s="5">
        <f>IF('ORDENES'!$A359="","",IF('ORDENES'!$X359="","-",'ORDENES'!$X359))</f>
        <v/>
      </c>
      <c r="F381" s="5">
        <f>IF('ORDENES'!$A359="","",IF('ORDENES'!$AA359="","-",'ORDENES'!$AA359))</f>
        <v/>
      </c>
      <c r="G381" s="5">
        <f>IF('ORDENES'!$A359="","",IF('ORDENES'!$Y359="","-",'ORDENES'!$Y359))</f>
        <v/>
      </c>
      <c r="H381" s="5">
        <f>IF('ORDENES'!$A359="","",IF('ORDENES'!$AG359="","-",'ORDENES'!$AG359))</f>
        <v/>
      </c>
      <c r="I381" s="5">
        <f>IF('ORDENES'!$A359="","",IF('ORDENES'!$AT359="","-",'ORDENES'!$AT359))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0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IF('ORDENES'!$A359="","",'ORDENES'!$AF359)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IF('ORDENES'!$A360="","",IF('ORDENES'!$AH360="","-",'ORDENES'!$AH360))</f>
        <v/>
      </c>
      <c r="D382" s="5">
        <f>IF('ORDENES'!$A360="","",IF('ORDENES'!$Z360="","-",'ORDENES'!$Z360))</f>
        <v/>
      </c>
      <c r="E382" s="5">
        <f>IF('ORDENES'!$A360="","",IF('ORDENES'!$X360="","-",'ORDENES'!$X360))</f>
        <v/>
      </c>
      <c r="F382" s="5">
        <f>IF('ORDENES'!$A360="","",IF('ORDENES'!$AA360="","-",'ORDENES'!$AA360))</f>
        <v/>
      </c>
      <c r="G382" s="5">
        <f>IF('ORDENES'!$A360="","",IF('ORDENES'!$Y360="","-",'ORDENES'!$Y360))</f>
        <v/>
      </c>
      <c r="H382" s="5">
        <f>IF('ORDENES'!$A360="","",IF('ORDENES'!$AG360="","-",'ORDENES'!$AG360))</f>
        <v/>
      </c>
      <c r="I382" s="5">
        <f>IF('ORDENES'!$A360="","",IF('ORDENES'!$AT360="","-",'ORDENES'!$AT360))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0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IF('ORDENES'!$A360="","",'ORDENES'!$AF360)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IF('ORDENES'!$A361="","",IF('ORDENES'!$AH361="","-",'ORDENES'!$AH361))</f>
        <v/>
      </c>
      <c r="D383" s="5">
        <f>IF('ORDENES'!$A361="","",IF('ORDENES'!$Z361="","-",'ORDENES'!$Z361))</f>
        <v/>
      </c>
      <c r="E383" s="5">
        <f>IF('ORDENES'!$A361="","",IF('ORDENES'!$X361="","-",'ORDENES'!$X361))</f>
        <v/>
      </c>
      <c r="F383" s="5">
        <f>IF('ORDENES'!$A361="","",IF('ORDENES'!$AA361="","-",'ORDENES'!$AA361))</f>
        <v/>
      </c>
      <c r="G383" s="5">
        <f>IF('ORDENES'!$A361="","",IF('ORDENES'!$Y361="","-",'ORDENES'!$Y361))</f>
        <v/>
      </c>
      <c r="H383" s="5">
        <f>IF('ORDENES'!$A361="","",IF('ORDENES'!$AG361="","-",'ORDENES'!$AG361))</f>
        <v/>
      </c>
      <c r="I383" s="5">
        <f>IF('ORDENES'!$A361="","",IF('ORDENES'!$AT361="","-",'ORDENES'!$AT361))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0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IF('ORDENES'!$A361="","",'ORDENES'!$AF361)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IF('ORDENES'!$A362="","",IF('ORDENES'!$AH362="","-",'ORDENES'!$AH362))</f>
        <v/>
      </c>
      <c r="D384" s="5">
        <f>IF('ORDENES'!$A362="","",IF('ORDENES'!$Z362="","-",'ORDENES'!$Z362))</f>
        <v/>
      </c>
      <c r="E384" s="5">
        <f>IF('ORDENES'!$A362="","",IF('ORDENES'!$X362="","-",'ORDENES'!$X362))</f>
        <v/>
      </c>
      <c r="F384" s="5">
        <f>IF('ORDENES'!$A362="","",IF('ORDENES'!$AA362="","-",'ORDENES'!$AA362))</f>
        <v/>
      </c>
      <c r="G384" s="5">
        <f>IF('ORDENES'!$A362="","",IF('ORDENES'!$Y362="","-",'ORDENES'!$Y362))</f>
        <v/>
      </c>
      <c r="H384" s="5">
        <f>IF('ORDENES'!$A362="","",IF('ORDENES'!$AG362="","-",'ORDENES'!$AG362))</f>
        <v/>
      </c>
      <c r="I384" s="5">
        <f>IF('ORDENES'!$A362="","",IF('ORDENES'!$AT362="","-",'ORDENES'!$AT362))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0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IF('ORDENES'!$A362="","",'ORDENES'!$AF362)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IF('ORDENES'!$A363="","",IF('ORDENES'!$AH363="","-",'ORDENES'!$AH363))</f>
        <v/>
      </c>
      <c r="D385" s="5">
        <f>IF('ORDENES'!$A363="","",IF('ORDENES'!$Z363="","-",'ORDENES'!$Z363))</f>
        <v/>
      </c>
      <c r="E385" s="5">
        <f>IF('ORDENES'!$A363="","",IF('ORDENES'!$X363="","-",'ORDENES'!$X363))</f>
        <v/>
      </c>
      <c r="F385" s="5">
        <f>IF('ORDENES'!$A363="","",IF('ORDENES'!$AA363="","-",'ORDENES'!$AA363))</f>
        <v/>
      </c>
      <c r="G385" s="5">
        <f>IF('ORDENES'!$A363="","",IF('ORDENES'!$Y363="","-",'ORDENES'!$Y363))</f>
        <v/>
      </c>
      <c r="H385" s="5">
        <f>IF('ORDENES'!$A363="","",IF('ORDENES'!$AG363="","-",'ORDENES'!$AG363))</f>
        <v/>
      </c>
      <c r="I385" s="5">
        <f>IF('ORDENES'!$A363="","",IF('ORDENES'!$AT363="","-",'ORDENES'!$AT363))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0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IF('ORDENES'!$A363="","",'ORDENES'!$AF363)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IF('ORDENES'!$A364="","",IF('ORDENES'!$AH364="","-",'ORDENES'!$AH364))</f>
        <v/>
      </c>
      <c r="D386" s="5">
        <f>IF('ORDENES'!$A364="","",IF('ORDENES'!$Z364="","-",'ORDENES'!$Z364))</f>
        <v/>
      </c>
      <c r="E386" s="5">
        <f>IF('ORDENES'!$A364="","",IF('ORDENES'!$X364="","-",'ORDENES'!$X364))</f>
        <v/>
      </c>
      <c r="F386" s="5">
        <f>IF('ORDENES'!$A364="","",IF('ORDENES'!$AA364="","-",'ORDENES'!$AA364))</f>
        <v/>
      </c>
      <c r="G386" s="5">
        <f>IF('ORDENES'!$A364="","",IF('ORDENES'!$Y364="","-",'ORDENES'!$Y364))</f>
        <v/>
      </c>
      <c r="H386" s="5">
        <f>IF('ORDENES'!$A364="","",IF('ORDENES'!$AG364="","-",'ORDENES'!$AG364))</f>
        <v/>
      </c>
      <c r="I386" s="5">
        <f>IF('ORDENES'!$A364="","",IF('ORDENES'!$AT364="","-",'ORDENES'!$AT364))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0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IF('ORDENES'!$A364="","",'ORDENES'!$AF364)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IF('ORDENES'!$A365="","",IF('ORDENES'!$AH365="","-",'ORDENES'!$AH365))</f>
        <v/>
      </c>
      <c r="D387" s="5">
        <f>IF('ORDENES'!$A365="","",IF('ORDENES'!$Z365="","-",'ORDENES'!$Z365))</f>
        <v/>
      </c>
      <c r="E387" s="5">
        <f>IF('ORDENES'!$A365="","",IF('ORDENES'!$X365="","-",'ORDENES'!$X365))</f>
        <v/>
      </c>
      <c r="F387" s="5">
        <f>IF('ORDENES'!$A365="","",IF('ORDENES'!$AA365="","-",'ORDENES'!$AA365))</f>
        <v/>
      </c>
      <c r="G387" s="5">
        <f>IF('ORDENES'!$A365="","",IF('ORDENES'!$Y365="","-",'ORDENES'!$Y365))</f>
        <v/>
      </c>
      <c r="H387" s="5">
        <f>IF('ORDENES'!$A365="","",IF('ORDENES'!$AG365="","-",'ORDENES'!$AG365))</f>
        <v/>
      </c>
      <c r="I387" s="5">
        <f>IF('ORDENES'!$A365="","",IF('ORDENES'!$AT365="","-",'ORDENES'!$AT365))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0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IF('ORDENES'!$A365="","",'ORDENES'!$AF365)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IF('ORDENES'!$A366="","",IF('ORDENES'!$AH366="","-",'ORDENES'!$AH366))</f>
        <v/>
      </c>
      <c r="D388" s="5">
        <f>IF('ORDENES'!$A366="","",IF('ORDENES'!$Z366="","-",'ORDENES'!$Z366))</f>
        <v/>
      </c>
      <c r="E388" s="5">
        <f>IF('ORDENES'!$A366="","",IF('ORDENES'!$X366="","-",'ORDENES'!$X366))</f>
        <v/>
      </c>
      <c r="F388" s="5">
        <f>IF('ORDENES'!$A366="","",IF('ORDENES'!$AA366="","-",'ORDENES'!$AA366))</f>
        <v/>
      </c>
      <c r="G388" s="5">
        <f>IF('ORDENES'!$A366="","",IF('ORDENES'!$Y366="","-",'ORDENES'!$Y366))</f>
        <v/>
      </c>
      <c r="H388" s="5">
        <f>IF('ORDENES'!$A366="","",IF('ORDENES'!$AG366="","-",'ORDENES'!$AG366))</f>
        <v/>
      </c>
      <c r="I388" s="5">
        <f>IF('ORDENES'!$A366="","",IF('ORDENES'!$AT366="","-",'ORDENES'!$AT366))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0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IF('ORDENES'!$A366="","",'ORDENES'!$AF366)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IF('ORDENES'!$A367="","",IF('ORDENES'!$AH367="","-",'ORDENES'!$AH367))</f>
        <v/>
      </c>
      <c r="D389" s="5">
        <f>IF('ORDENES'!$A367="","",IF('ORDENES'!$Z367="","-",'ORDENES'!$Z367))</f>
        <v/>
      </c>
      <c r="E389" s="5">
        <f>IF('ORDENES'!$A367="","",IF('ORDENES'!$X367="","-",'ORDENES'!$X367))</f>
        <v/>
      </c>
      <c r="F389" s="5">
        <f>IF('ORDENES'!$A367="","",IF('ORDENES'!$AA367="","-",'ORDENES'!$AA367))</f>
        <v/>
      </c>
      <c r="G389" s="5">
        <f>IF('ORDENES'!$A367="","",IF('ORDENES'!$Y367="","-",'ORDENES'!$Y367))</f>
        <v/>
      </c>
      <c r="H389" s="5">
        <f>IF('ORDENES'!$A367="","",IF('ORDENES'!$AG367="","-",'ORDENES'!$AG367))</f>
        <v/>
      </c>
      <c r="I389" s="5">
        <f>IF('ORDENES'!$A367="","",IF('ORDENES'!$AT367="","-",'ORDENES'!$AT367))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0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IF('ORDENES'!$A367="","",'ORDENES'!$AF367)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IF('ORDENES'!$A368="","",IF('ORDENES'!$AH368="","-",'ORDENES'!$AH368))</f>
        <v/>
      </c>
      <c r="D390" s="5">
        <f>IF('ORDENES'!$A368="","",IF('ORDENES'!$Z368="","-",'ORDENES'!$Z368))</f>
        <v/>
      </c>
      <c r="E390" s="5">
        <f>IF('ORDENES'!$A368="","",IF('ORDENES'!$X368="","-",'ORDENES'!$X368))</f>
        <v/>
      </c>
      <c r="F390" s="5">
        <f>IF('ORDENES'!$A368="","",IF('ORDENES'!$AA368="","-",'ORDENES'!$AA368))</f>
        <v/>
      </c>
      <c r="G390" s="5">
        <f>IF('ORDENES'!$A368="","",IF('ORDENES'!$Y368="","-",'ORDENES'!$Y368))</f>
        <v/>
      </c>
      <c r="H390" s="5">
        <f>IF('ORDENES'!$A368="","",IF('ORDENES'!$AG368="","-",'ORDENES'!$AG368))</f>
        <v/>
      </c>
      <c r="I390" s="5">
        <f>IF('ORDENES'!$A368="","",IF('ORDENES'!$AT368="","-",'ORDENES'!$AT368))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0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IF('ORDENES'!$A368="","",'ORDENES'!$AF368)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IF('ORDENES'!$A369="","",IF('ORDENES'!$AH369="","-",'ORDENES'!$AH369))</f>
        <v/>
      </c>
      <c r="D391" s="5">
        <f>IF('ORDENES'!$A369="","",IF('ORDENES'!$Z369="","-",'ORDENES'!$Z369))</f>
        <v/>
      </c>
      <c r="E391" s="5">
        <f>IF('ORDENES'!$A369="","",IF('ORDENES'!$X369="","-",'ORDENES'!$X369))</f>
        <v/>
      </c>
      <c r="F391" s="5">
        <f>IF('ORDENES'!$A369="","",IF('ORDENES'!$AA369="","-",'ORDENES'!$AA369))</f>
        <v/>
      </c>
      <c r="G391" s="5">
        <f>IF('ORDENES'!$A369="","",IF('ORDENES'!$Y369="","-",'ORDENES'!$Y369))</f>
        <v/>
      </c>
      <c r="H391" s="5">
        <f>IF('ORDENES'!$A369="","",IF('ORDENES'!$AG369="","-",'ORDENES'!$AG369))</f>
        <v/>
      </c>
      <c r="I391" s="5">
        <f>IF('ORDENES'!$A369="","",IF('ORDENES'!$AT369="","-",'ORDENES'!$AT369))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0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IF('ORDENES'!$A369="","",'ORDENES'!$AF369)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IF('ORDENES'!$A370="","",IF('ORDENES'!$AH370="","-",'ORDENES'!$AH370))</f>
        <v/>
      </c>
      <c r="D392" s="5">
        <f>IF('ORDENES'!$A370="","",IF('ORDENES'!$Z370="","-",'ORDENES'!$Z370))</f>
        <v/>
      </c>
      <c r="E392" s="5">
        <f>IF('ORDENES'!$A370="","",IF('ORDENES'!$X370="","-",'ORDENES'!$X370))</f>
        <v/>
      </c>
      <c r="F392" s="5">
        <f>IF('ORDENES'!$A370="","",IF('ORDENES'!$AA370="","-",'ORDENES'!$AA370))</f>
        <v/>
      </c>
      <c r="G392" s="5">
        <f>IF('ORDENES'!$A370="","",IF('ORDENES'!$Y370="","-",'ORDENES'!$Y370))</f>
        <v/>
      </c>
      <c r="H392" s="5">
        <f>IF('ORDENES'!$A370="","",IF('ORDENES'!$AG370="","-",'ORDENES'!$AG370))</f>
        <v/>
      </c>
      <c r="I392" s="5">
        <f>IF('ORDENES'!$A370="","",IF('ORDENES'!$AT370="","-",'ORDENES'!$AT370))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0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IF('ORDENES'!$A370="","",'ORDENES'!$AF370)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IF('ORDENES'!$A371="","",IF('ORDENES'!$AH371="","-",'ORDENES'!$AH371))</f>
        <v/>
      </c>
      <c r="D393" s="5">
        <f>IF('ORDENES'!$A371="","",IF('ORDENES'!$Z371="","-",'ORDENES'!$Z371))</f>
        <v/>
      </c>
      <c r="E393" s="5">
        <f>IF('ORDENES'!$A371="","",IF('ORDENES'!$X371="","-",'ORDENES'!$X371))</f>
        <v/>
      </c>
      <c r="F393" s="5">
        <f>IF('ORDENES'!$A371="","",IF('ORDENES'!$AA371="","-",'ORDENES'!$AA371))</f>
        <v/>
      </c>
      <c r="G393" s="5">
        <f>IF('ORDENES'!$A371="","",IF('ORDENES'!$Y371="","-",'ORDENES'!$Y371))</f>
        <v/>
      </c>
      <c r="H393" s="5">
        <f>IF('ORDENES'!$A371="","",IF('ORDENES'!$AG371="","-",'ORDENES'!$AG371))</f>
        <v/>
      </c>
      <c r="I393" s="5">
        <f>IF('ORDENES'!$A371="","",IF('ORDENES'!$AT371="","-",'ORDENES'!$AT371))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0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IF('ORDENES'!$A371="","",'ORDENES'!$AF371)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IF('ORDENES'!$A372="","",IF('ORDENES'!$AH372="","-",'ORDENES'!$AH372))</f>
        <v/>
      </c>
      <c r="D394" s="5">
        <f>IF('ORDENES'!$A372="","",IF('ORDENES'!$Z372="","-",'ORDENES'!$Z372))</f>
        <v/>
      </c>
      <c r="E394" s="5">
        <f>IF('ORDENES'!$A372="","",IF('ORDENES'!$X372="","-",'ORDENES'!$X372))</f>
        <v/>
      </c>
      <c r="F394" s="5">
        <f>IF('ORDENES'!$A372="","",IF('ORDENES'!$AA372="","-",'ORDENES'!$AA372))</f>
        <v/>
      </c>
      <c r="G394" s="5">
        <f>IF('ORDENES'!$A372="","",IF('ORDENES'!$Y372="","-",'ORDENES'!$Y372))</f>
        <v/>
      </c>
      <c r="H394" s="5">
        <f>IF('ORDENES'!$A372="","",IF('ORDENES'!$AG372="","-",'ORDENES'!$AG372))</f>
        <v/>
      </c>
      <c r="I394" s="5">
        <f>IF('ORDENES'!$A372="","",IF('ORDENES'!$AT372="","-",'ORDENES'!$AT372))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0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IF('ORDENES'!$A372="","",'ORDENES'!$AF372)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IF('ORDENES'!$A373="","",IF('ORDENES'!$AH373="","-",'ORDENES'!$AH373))</f>
        <v/>
      </c>
      <c r="D395" s="5">
        <f>IF('ORDENES'!$A373="","",IF('ORDENES'!$Z373="","-",'ORDENES'!$Z373))</f>
        <v/>
      </c>
      <c r="E395" s="5">
        <f>IF('ORDENES'!$A373="","",IF('ORDENES'!$X373="","-",'ORDENES'!$X373))</f>
        <v/>
      </c>
      <c r="F395" s="5">
        <f>IF('ORDENES'!$A373="","",IF('ORDENES'!$AA373="","-",'ORDENES'!$AA373))</f>
        <v/>
      </c>
      <c r="G395" s="5">
        <f>IF('ORDENES'!$A373="","",IF('ORDENES'!$Y373="","-",'ORDENES'!$Y373))</f>
        <v/>
      </c>
      <c r="H395" s="5">
        <f>IF('ORDENES'!$A373="","",IF('ORDENES'!$AG373="","-",'ORDENES'!$AG373))</f>
        <v/>
      </c>
      <c r="I395" s="5">
        <f>IF('ORDENES'!$A373="","",IF('ORDENES'!$AT373="","-",'ORDENES'!$AT373))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0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IF('ORDENES'!$A373="","",'ORDENES'!$AF373)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IF('ORDENES'!$A374="","",IF('ORDENES'!$AH374="","-",'ORDENES'!$AH374))</f>
        <v/>
      </c>
      <c r="D396" s="5">
        <f>IF('ORDENES'!$A374="","",IF('ORDENES'!$Z374="","-",'ORDENES'!$Z374))</f>
        <v/>
      </c>
      <c r="E396" s="5">
        <f>IF('ORDENES'!$A374="","",IF('ORDENES'!$X374="","-",'ORDENES'!$X374))</f>
        <v/>
      </c>
      <c r="F396" s="5">
        <f>IF('ORDENES'!$A374="","",IF('ORDENES'!$AA374="","-",'ORDENES'!$AA374))</f>
        <v/>
      </c>
      <c r="G396" s="5">
        <f>IF('ORDENES'!$A374="","",IF('ORDENES'!$Y374="","-",'ORDENES'!$Y374))</f>
        <v/>
      </c>
      <c r="H396" s="5">
        <f>IF('ORDENES'!$A374="","",IF('ORDENES'!$AG374="","-",'ORDENES'!$AG374))</f>
        <v/>
      </c>
      <c r="I396" s="5">
        <f>IF('ORDENES'!$A374="","",IF('ORDENES'!$AT374="","-",'ORDENES'!$AT374))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0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IF('ORDENES'!$A374="","",'ORDENES'!$AF374)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IF('ORDENES'!$A375="","",IF('ORDENES'!$AH375="","-",'ORDENES'!$AH375))</f>
        <v/>
      </c>
      <c r="D397" s="5">
        <f>IF('ORDENES'!$A375="","",IF('ORDENES'!$Z375="","-",'ORDENES'!$Z375))</f>
        <v/>
      </c>
      <c r="E397" s="5">
        <f>IF('ORDENES'!$A375="","",IF('ORDENES'!$X375="","-",'ORDENES'!$X375))</f>
        <v/>
      </c>
      <c r="F397" s="5">
        <f>IF('ORDENES'!$A375="","",IF('ORDENES'!$AA375="","-",'ORDENES'!$AA375))</f>
        <v/>
      </c>
      <c r="G397" s="5">
        <f>IF('ORDENES'!$A375="","",IF('ORDENES'!$Y375="","-",'ORDENES'!$Y375))</f>
        <v/>
      </c>
      <c r="H397" s="5">
        <f>IF('ORDENES'!$A375="","",IF('ORDENES'!$AG375="","-",'ORDENES'!$AG375))</f>
        <v/>
      </c>
      <c r="I397" s="5">
        <f>IF('ORDENES'!$A375="","",IF('ORDENES'!$AT375="","-",'ORDENES'!$AT375))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0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IF('ORDENES'!$A375="","",'ORDENES'!$AF375)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IF('ORDENES'!$A376="","",IF('ORDENES'!$AH376="","-",'ORDENES'!$AH376))</f>
        <v/>
      </c>
      <c r="D398" s="5">
        <f>IF('ORDENES'!$A376="","",IF('ORDENES'!$Z376="","-",'ORDENES'!$Z376))</f>
        <v/>
      </c>
      <c r="E398" s="5">
        <f>IF('ORDENES'!$A376="","",IF('ORDENES'!$X376="","-",'ORDENES'!$X376))</f>
        <v/>
      </c>
      <c r="F398" s="5">
        <f>IF('ORDENES'!$A376="","",IF('ORDENES'!$AA376="","-",'ORDENES'!$AA376))</f>
        <v/>
      </c>
      <c r="G398" s="5">
        <f>IF('ORDENES'!$A376="","",IF('ORDENES'!$Y376="","-",'ORDENES'!$Y376))</f>
        <v/>
      </c>
      <c r="H398" s="5">
        <f>IF('ORDENES'!$A376="","",IF('ORDENES'!$AG376="","-",'ORDENES'!$AG376))</f>
        <v/>
      </c>
      <c r="I398" s="5">
        <f>IF('ORDENES'!$A376="","",IF('ORDENES'!$AT376="","-",'ORDENES'!$AT376))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0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IF('ORDENES'!$A376="","",'ORDENES'!$AF376)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IF('ORDENES'!$A377="","",IF('ORDENES'!$AH377="","-",'ORDENES'!$AH377))</f>
        <v/>
      </c>
      <c r="D399" s="5">
        <f>IF('ORDENES'!$A377="","",IF('ORDENES'!$Z377="","-",'ORDENES'!$Z377))</f>
        <v/>
      </c>
      <c r="E399" s="5">
        <f>IF('ORDENES'!$A377="","",IF('ORDENES'!$X377="","-",'ORDENES'!$X377))</f>
        <v/>
      </c>
      <c r="F399" s="5">
        <f>IF('ORDENES'!$A377="","",IF('ORDENES'!$AA377="","-",'ORDENES'!$AA377))</f>
        <v/>
      </c>
      <c r="G399" s="5">
        <f>IF('ORDENES'!$A377="","",IF('ORDENES'!$Y377="","-",'ORDENES'!$Y377))</f>
        <v/>
      </c>
      <c r="H399" s="5">
        <f>IF('ORDENES'!$A377="","",IF('ORDENES'!$AG377="","-",'ORDENES'!$AG377))</f>
        <v/>
      </c>
      <c r="I399" s="5">
        <f>IF('ORDENES'!$A377="","",IF('ORDENES'!$AT377="","-",'ORDENES'!$AT377))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0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IF('ORDENES'!$A377="","",'ORDENES'!$AF377)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IF('ORDENES'!$A378="","",IF('ORDENES'!$AH378="","-",'ORDENES'!$AH378))</f>
        <v/>
      </c>
      <c r="D400" s="5">
        <f>IF('ORDENES'!$A378="","",IF('ORDENES'!$Z378="","-",'ORDENES'!$Z378))</f>
        <v/>
      </c>
      <c r="E400" s="5">
        <f>IF('ORDENES'!$A378="","",IF('ORDENES'!$X378="","-",'ORDENES'!$X378))</f>
        <v/>
      </c>
      <c r="F400" s="5">
        <f>IF('ORDENES'!$A378="","",IF('ORDENES'!$AA378="","-",'ORDENES'!$AA378))</f>
        <v/>
      </c>
      <c r="G400" s="5">
        <f>IF('ORDENES'!$A378="","",IF('ORDENES'!$Y378="","-",'ORDENES'!$Y378))</f>
        <v/>
      </c>
      <c r="H400" s="5">
        <f>IF('ORDENES'!$A378="","",IF('ORDENES'!$AG378="","-",'ORDENES'!$AG378))</f>
        <v/>
      </c>
      <c r="I400" s="5">
        <f>IF('ORDENES'!$A378="","",IF('ORDENES'!$AT378="","-",'ORDENES'!$AT378))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0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IF('ORDENES'!$A378="","",'ORDENES'!$AF378)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IF('ORDENES'!$A379="","",IF('ORDENES'!$AH379="","-",'ORDENES'!$AH379))</f>
        <v/>
      </c>
      <c r="D401" s="5">
        <f>IF('ORDENES'!$A379="","",IF('ORDENES'!$Z379="","-",'ORDENES'!$Z379))</f>
        <v/>
      </c>
      <c r="E401" s="5">
        <f>IF('ORDENES'!$A379="","",IF('ORDENES'!$X379="","-",'ORDENES'!$X379))</f>
        <v/>
      </c>
      <c r="F401" s="5">
        <f>IF('ORDENES'!$A379="","",IF('ORDENES'!$AA379="","-",'ORDENES'!$AA379))</f>
        <v/>
      </c>
      <c r="G401" s="5">
        <f>IF('ORDENES'!$A379="","",IF('ORDENES'!$Y379="","-",'ORDENES'!$Y379))</f>
        <v/>
      </c>
      <c r="H401" s="5">
        <f>IF('ORDENES'!$A379="","",IF('ORDENES'!$AG379="","-",'ORDENES'!$AG379))</f>
        <v/>
      </c>
      <c r="I401" s="5">
        <f>IF('ORDENES'!$A379="","",IF('ORDENES'!$AT379="","-",'ORDENES'!$AT379))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0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IF('ORDENES'!$A379="","",'ORDENES'!$AF379)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IF('ORDENES'!$A380="","",IF('ORDENES'!$AH380="","-",'ORDENES'!$AH380))</f>
        <v/>
      </c>
      <c r="D402" s="5">
        <f>IF('ORDENES'!$A380="","",IF('ORDENES'!$Z380="","-",'ORDENES'!$Z380))</f>
        <v/>
      </c>
      <c r="E402" s="5">
        <f>IF('ORDENES'!$A380="","",IF('ORDENES'!$X380="","-",'ORDENES'!$X380))</f>
        <v/>
      </c>
      <c r="F402" s="5">
        <f>IF('ORDENES'!$A380="","",IF('ORDENES'!$AA380="","-",'ORDENES'!$AA380))</f>
        <v/>
      </c>
      <c r="G402" s="5">
        <f>IF('ORDENES'!$A380="","",IF('ORDENES'!$Y380="","-",'ORDENES'!$Y380))</f>
        <v/>
      </c>
      <c r="H402" s="5">
        <f>IF('ORDENES'!$A380="","",IF('ORDENES'!$AG380="","-",'ORDENES'!$AG380))</f>
        <v/>
      </c>
      <c r="I402" s="5">
        <f>IF('ORDENES'!$A380="","",IF('ORDENES'!$AT380="","-",'ORDENES'!$AT380))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0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IF('ORDENES'!$A380="","",'ORDENES'!$AF380)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IF('ORDENES'!$A381="","",IF('ORDENES'!$AH381="","-",'ORDENES'!$AH381))</f>
        <v/>
      </c>
      <c r="D403" s="5">
        <f>IF('ORDENES'!$A381="","",IF('ORDENES'!$Z381="","-",'ORDENES'!$Z381))</f>
        <v/>
      </c>
      <c r="E403" s="5">
        <f>IF('ORDENES'!$A381="","",IF('ORDENES'!$X381="","-",'ORDENES'!$X381))</f>
        <v/>
      </c>
      <c r="F403" s="5">
        <f>IF('ORDENES'!$A381="","",IF('ORDENES'!$AA381="","-",'ORDENES'!$AA381))</f>
        <v/>
      </c>
      <c r="G403" s="5">
        <f>IF('ORDENES'!$A381="","",IF('ORDENES'!$Y381="","-",'ORDENES'!$Y381))</f>
        <v/>
      </c>
      <c r="H403" s="5">
        <f>IF('ORDENES'!$A381="","",IF('ORDENES'!$AG381="","-",'ORDENES'!$AG381))</f>
        <v/>
      </c>
      <c r="I403" s="5">
        <f>IF('ORDENES'!$A381="","",IF('ORDENES'!$AT381="","-",'ORDENES'!$AT381))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0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IF('ORDENES'!$A381="","",'ORDENES'!$AF381)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IF('ORDENES'!$A382="","",IF('ORDENES'!$AH382="","-",'ORDENES'!$AH382))</f>
        <v/>
      </c>
      <c r="D404" s="5">
        <f>IF('ORDENES'!$A382="","",IF('ORDENES'!$Z382="","-",'ORDENES'!$Z382))</f>
        <v/>
      </c>
      <c r="E404" s="5">
        <f>IF('ORDENES'!$A382="","",IF('ORDENES'!$X382="","-",'ORDENES'!$X382))</f>
        <v/>
      </c>
      <c r="F404" s="5">
        <f>IF('ORDENES'!$A382="","",IF('ORDENES'!$AA382="","-",'ORDENES'!$AA382))</f>
        <v/>
      </c>
      <c r="G404" s="5">
        <f>IF('ORDENES'!$A382="","",IF('ORDENES'!$Y382="","-",'ORDENES'!$Y382))</f>
        <v/>
      </c>
      <c r="H404" s="5">
        <f>IF('ORDENES'!$A382="","",IF('ORDENES'!$AG382="","-",'ORDENES'!$AG382))</f>
        <v/>
      </c>
      <c r="I404" s="5">
        <f>IF('ORDENES'!$A382="","",IF('ORDENES'!$AT382="","-",'ORDENES'!$AT382))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0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IF('ORDENES'!$A382="","",'ORDENES'!$AF382)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IF('ORDENES'!$A383="","",IF('ORDENES'!$AH383="","-",'ORDENES'!$AH383))</f>
        <v/>
      </c>
      <c r="D405" s="5">
        <f>IF('ORDENES'!$A383="","",IF('ORDENES'!$Z383="","-",'ORDENES'!$Z383))</f>
        <v/>
      </c>
      <c r="E405" s="5">
        <f>IF('ORDENES'!$A383="","",IF('ORDENES'!$X383="","-",'ORDENES'!$X383))</f>
        <v/>
      </c>
      <c r="F405" s="5">
        <f>IF('ORDENES'!$A383="","",IF('ORDENES'!$AA383="","-",'ORDENES'!$AA383))</f>
        <v/>
      </c>
      <c r="G405" s="5">
        <f>IF('ORDENES'!$A383="","",IF('ORDENES'!$Y383="","-",'ORDENES'!$Y383))</f>
        <v/>
      </c>
      <c r="H405" s="5">
        <f>IF('ORDENES'!$A383="","",IF('ORDENES'!$AG383="","-",'ORDENES'!$AG383))</f>
        <v/>
      </c>
      <c r="I405" s="5">
        <f>IF('ORDENES'!$A383="","",IF('ORDENES'!$AT383="","-",'ORDENES'!$AT383))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0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IF('ORDENES'!$A383="","",'ORDENES'!$AF383)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IF('ORDENES'!$A384="","",IF('ORDENES'!$AH384="","-",'ORDENES'!$AH384))</f>
        <v/>
      </c>
      <c r="D406" s="5">
        <f>IF('ORDENES'!$A384="","",IF('ORDENES'!$Z384="","-",'ORDENES'!$Z384))</f>
        <v/>
      </c>
      <c r="E406" s="5">
        <f>IF('ORDENES'!$A384="","",IF('ORDENES'!$X384="","-",'ORDENES'!$X384))</f>
        <v/>
      </c>
      <c r="F406" s="5">
        <f>IF('ORDENES'!$A384="","",IF('ORDENES'!$AA384="","-",'ORDENES'!$AA384))</f>
        <v/>
      </c>
      <c r="G406" s="5">
        <f>IF('ORDENES'!$A384="","",IF('ORDENES'!$Y384="","-",'ORDENES'!$Y384))</f>
        <v/>
      </c>
      <c r="H406" s="5">
        <f>IF('ORDENES'!$A384="","",IF('ORDENES'!$AG384="","-",'ORDENES'!$AG384))</f>
        <v/>
      </c>
      <c r="I406" s="5">
        <f>IF('ORDENES'!$A384="","",IF('ORDENES'!$AT384="","-",'ORDENES'!$AT384))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0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IF('ORDENES'!$A384="","",'ORDENES'!$AF384)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IF('ORDENES'!$A385="","",IF('ORDENES'!$AH385="","-",'ORDENES'!$AH385))</f>
        <v/>
      </c>
      <c r="D407" s="5">
        <f>IF('ORDENES'!$A385="","",IF('ORDENES'!$Z385="","-",'ORDENES'!$Z385))</f>
        <v/>
      </c>
      <c r="E407" s="5">
        <f>IF('ORDENES'!$A385="","",IF('ORDENES'!$X385="","-",'ORDENES'!$X385))</f>
        <v/>
      </c>
      <c r="F407" s="5">
        <f>IF('ORDENES'!$A385="","",IF('ORDENES'!$AA385="","-",'ORDENES'!$AA385))</f>
        <v/>
      </c>
      <c r="G407" s="5">
        <f>IF('ORDENES'!$A385="","",IF('ORDENES'!$Y385="","-",'ORDENES'!$Y385))</f>
        <v/>
      </c>
      <c r="H407" s="5">
        <f>IF('ORDENES'!$A385="","",IF('ORDENES'!$AG385="","-",'ORDENES'!$AG385))</f>
        <v/>
      </c>
      <c r="I407" s="5">
        <f>IF('ORDENES'!$A385="","",IF('ORDENES'!$AT385="","-",'ORDENES'!$AT385))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0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IF('ORDENES'!$A385="","",'ORDENES'!$AF385)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IF('ORDENES'!$A386="","",IF('ORDENES'!$AH386="","-",'ORDENES'!$AH386))</f>
        <v/>
      </c>
      <c r="D408" s="5">
        <f>IF('ORDENES'!$A386="","",IF('ORDENES'!$Z386="","-",'ORDENES'!$Z386))</f>
        <v/>
      </c>
      <c r="E408" s="5">
        <f>IF('ORDENES'!$A386="","",IF('ORDENES'!$X386="","-",'ORDENES'!$X386))</f>
        <v/>
      </c>
      <c r="F408" s="5">
        <f>IF('ORDENES'!$A386="","",IF('ORDENES'!$AA386="","-",'ORDENES'!$AA386))</f>
        <v/>
      </c>
      <c r="G408" s="5">
        <f>IF('ORDENES'!$A386="","",IF('ORDENES'!$Y386="","-",'ORDENES'!$Y386))</f>
        <v/>
      </c>
      <c r="H408" s="5">
        <f>IF('ORDENES'!$A386="","",IF('ORDENES'!$AG386="","-",'ORDENES'!$AG386))</f>
        <v/>
      </c>
      <c r="I408" s="5">
        <f>IF('ORDENES'!$A386="","",IF('ORDENES'!$AT386="","-",'ORDENES'!$AT386))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0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IF('ORDENES'!$A386="","",'ORDENES'!$AF386)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IF('ORDENES'!$A387="","",IF('ORDENES'!$AH387="","-",'ORDENES'!$AH387))</f>
        <v/>
      </c>
      <c r="D409" s="5">
        <f>IF('ORDENES'!$A387="","",IF('ORDENES'!$Z387="","-",'ORDENES'!$Z387))</f>
        <v/>
      </c>
      <c r="E409" s="5">
        <f>IF('ORDENES'!$A387="","",IF('ORDENES'!$X387="","-",'ORDENES'!$X387))</f>
        <v/>
      </c>
      <c r="F409" s="5">
        <f>IF('ORDENES'!$A387="","",IF('ORDENES'!$AA387="","-",'ORDENES'!$AA387))</f>
        <v/>
      </c>
      <c r="G409" s="5">
        <f>IF('ORDENES'!$A387="","",IF('ORDENES'!$Y387="","-",'ORDENES'!$Y387))</f>
        <v/>
      </c>
      <c r="H409" s="5">
        <f>IF('ORDENES'!$A387="","",IF('ORDENES'!$AG387="","-",'ORDENES'!$AG387))</f>
        <v/>
      </c>
      <c r="I409" s="5">
        <f>IF('ORDENES'!$A387="","",IF('ORDENES'!$AT387="","-",'ORDENES'!$AT387))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0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IF('ORDENES'!$A387="","",'ORDENES'!$AF387)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IF('ORDENES'!$A388="","",IF('ORDENES'!$AH388="","-",'ORDENES'!$AH388))</f>
        <v/>
      </c>
      <c r="D410" s="5">
        <f>IF('ORDENES'!$A388="","",IF('ORDENES'!$Z388="","-",'ORDENES'!$Z388))</f>
        <v/>
      </c>
      <c r="E410" s="5">
        <f>IF('ORDENES'!$A388="","",IF('ORDENES'!$X388="","-",'ORDENES'!$X388))</f>
        <v/>
      </c>
      <c r="F410" s="5">
        <f>IF('ORDENES'!$A388="","",IF('ORDENES'!$AA388="","-",'ORDENES'!$AA388))</f>
        <v/>
      </c>
      <c r="G410" s="5">
        <f>IF('ORDENES'!$A388="","",IF('ORDENES'!$Y388="","-",'ORDENES'!$Y388))</f>
        <v/>
      </c>
      <c r="H410" s="5">
        <f>IF('ORDENES'!$A388="","",IF('ORDENES'!$AG388="","-",'ORDENES'!$AG388))</f>
        <v/>
      </c>
      <c r="I410" s="5">
        <f>IF('ORDENES'!$A388="","",IF('ORDENES'!$AT388="","-",'ORDENES'!$AT388))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0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IF('ORDENES'!$A388="","",'ORDENES'!$AF388)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IF('ORDENES'!$A389="","",IF('ORDENES'!$AH389="","-",'ORDENES'!$AH389))</f>
        <v/>
      </c>
      <c r="D411" s="5">
        <f>IF('ORDENES'!$A389="","",IF('ORDENES'!$Z389="","-",'ORDENES'!$Z389))</f>
        <v/>
      </c>
      <c r="E411" s="5">
        <f>IF('ORDENES'!$A389="","",IF('ORDENES'!$X389="","-",'ORDENES'!$X389))</f>
        <v/>
      </c>
      <c r="F411" s="5">
        <f>IF('ORDENES'!$A389="","",IF('ORDENES'!$AA389="","-",'ORDENES'!$AA389))</f>
        <v/>
      </c>
      <c r="G411" s="5">
        <f>IF('ORDENES'!$A389="","",IF('ORDENES'!$Y389="","-",'ORDENES'!$Y389))</f>
        <v/>
      </c>
      <c r="H411" s="5">
        <f>IF('ORDENES'!$A389="","",IF('ORDENES'!$AG389="","-",'ORDENES'!$AG389))</f>
        <v/>
      </c>
      <c r="I411" s="5">
        <f>IF('ORDENES'!$A389="","",IF('ORDENES'!$AT389="","-",'ORDENES'!$AT389))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0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IF('ORDENES'!$A389="","",'ORDENES'!$AF389)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IF('ORDENES'!$A390="","",IF('ORDENES'!$AH390="","-",'ORDENES'!$AH390))</f>
        <v/>
      </c>
      <c r="D412" s="5">
        <f>IF('ORDENES'!$A390="","",IF('ORDENES'!$Z390="","-",'ORDENES'!$Z390))</f>
        <v/>
      </c>
      <c r="E412" s="5">
        <f>IF('ORDENES'!$A390="","",IF('ORDENES'!$X390="","-",'ORDENES'!$X390))</f>
        <v/>
      </c>
      <c r="F412" s="5">
        <f>IF('ORDENES'!$A390="","",IF('ORDENES'!$AA390="","-",'ORDENES'!$AA390))</f>
        <v/>
      </c>
      <c r="G412" s="5">
        <f>IF('ORDENES'!$A390="","",IF('ORDENES'!$Y390="","-",'ORDENES'!$Y390))</f>
        <v/>
      </c>
      <c r="H412" s="5">
        <f>IF('ORDENES'!$A390="","",IF('ORDENES'!$AG390="","-",'ORDENES'!$AG390))</f>
        <v/>
      </c>
      <c r="I412" s="5">
        <f>IF('ORDENES'!$A390="","",IF('ORDENES'!$AT390="","-",'ORDENES'!$AT390))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0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IF('ORDENES'!$A390="","",'ORDENES'!$AF390)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IF('ORDENES'!$A391="","",IF('ORDENES'!$AH391="","-",'ORDENES'!$AH391))</f>
        <v/>
      </c>
      <c r="D413" s="5">
        <f>IF('ORDENES'!$A391="","",IF('ORDENES'!$Z391="","-",'ORDENES'!$Z391))</f>
        <v/>
      </c>
      <c r="E413" s="5">
        <f>IF('ORDENES'!$A391="","",IF('ORDENES'!$X391="","-",'ORDENES'!$X391))</f>
        <v/>
      </c>
      <c r="F413" s="5">
        <f>IF('ORDENES'!$A391="","",IF('ORDENES'!$AA391="","-",'ORDENES'!$AA391))</f>
        <v/>
      </c>
      <c r="G413" s="5">
        <f>IF('ORDENES'!$A391="","",IF('ORDENES'!$Y391="","-",'ORDENES'!$Y391))</f>
        <v/>
      </c>
      <c r="H413" s="5">
        <f>IF('ORDENES'!$A391="","",IF('ORDENES'!$AG391="","-",'ORDENES'!$AG391))</f>
        <v/>
      </c>
      <c r="I413" s="5">
        <f>IF('ORDENES'!$A391="","",IF('ORDENES'!$AT391="","-",'ORDENES'!$AT391))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0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IF('ORDENES'!$A391="","",'ORDENES'!$AF391)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IF('ORDENES'!$A392="","",IF('ORDENES'!$AH392="","-",'ORDENES'!$AH392))</f>
        <v/>
      </c>
      <c r="D414" s="5">
        <f>IF('ORDENES'!$A392="","",IF('ORDENES'!$Z392="","-",'ORDENES'!$Z392))</f>
        <v/>
      </c>
      <c r="E414" s="5">
        <f>IF('ORDENES'!$A392="","",IF('ORDENES'!$X392="","-",'ORDENES'!$X392))</f>
        <v/>
      </c>
      <c r="F414" s="5">
        <f>IF('ORDENES'!$A392="","",IF('ORDENES'!$AA392="","-",'ORDENES'!$AA392))</f>
        <v/>
      </c>
      <c r="G414" s="5">
        <f>IF('ORDENES'!$A392="","",IF('ORDENES'!$Y392="","-",'ORDENES'!$Y392))</f>
        <v/>
      </c>
      <c r="H414" s="5">
        <f>IF('ORDENES'!$A392="","",IF('ORDENES'!$AG392="","-",'ORDENES'!$AG392))</f>
        <v/>
      </c>
      <c r="I414" s="5">
        <f>IF('ORDENES'!$A392="","",IF('ORDENES'!$AT392="","-",'ORDENES'!$AT392))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0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IF('ORDENES'!$A392="","",'ORDENES'!$AF392)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IF('ORDENES'!$A393="","",IF('ORDENES'!$AH393="","-",'ORDENES'!$AH393))</f>
        <v/>
      </c>
      <c r="D415" s="5">
        <f>IF('ORDENES'!$A393="","",IF('ORDENES'!$Z393="","-",'ORDENES'!$Z393))</f>
        <v/>
      </c>
      <c r="E415" s="5">
        <f>IF('ORDENES'!$A393="","",IF('ORDENES'!$X393="","-",'ORDENES'!$X393))</f>
        <v/>
      </c>
      <c r="F415" s="5">
        <f>IF('ORDENES'!$A393="","",IF('ORDENES'!$AA393="","-",'ORDENES'!$AA393))</f>
        <v/>
      </c>
      <c r="G415" s="5">
        <f>IF('ORDENES'!$A393="","",IF('ORDENES'!$Y393="","-",'ORDENES'!$Y393))</f>
        <v/>
      </c>
      <c r="H415" s="5">
        <f>IF('ORDENES'!$A393="","",IF('ORDENES'!$AG393="","-",'ORDENES'!$AG393))</f>
        <v/>
      </c>
      <c r="I415" s="5">
        <f>IF('ORDENES'!$A393="","",IF('ORDENES'!$AT393="","-",'ORDENES'!$AT393))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0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IF('ORDENES'!$A393="","",'ORDENES'!$AF393)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IF('ORDENES'!$A394="","",IF('ORDENES'!$AH394="","-",'ORDENES'!$AH394))</f>
        <v/>
      </c>
      <c r="D416" s="5">
        <f>IF('ORDENES'!$A394="","",IF('ORDENES'!$Z394="","-",'ORDENES'!$Z394))</f>
        <v/>
      </c>
      <c r="E416" s="5">
        <f>IF('ORDENES'!$A394="","",IF('ORDENES'!$X394="","-",'ORDENES'!$X394))</f>
        <v/>
      </c>
      <c r="F416" s="5">
        <f>IF('ORDENES'!$A394="","",IF('ORDENES'!$AA394="","-",'ORDENES'!$AA394))</f>
        <v/>
      </c>
      <c r="G416" s="5">
        <f>IF('ORDENES'!$A394="","",IF('ORDENES'!$Y394="","-",'ORDENES'!$Y394))</f>
        <v/>
      </c>
      <c r="H416" s="5">
        <f>IF('ORDENES'!$A394="","",IF('ORDENES'!$AG394="","-",'ORDENES'!$AG394))</f>
        <v/>
      </c>
      <c r="I416" s="5">
        <f>IF('ORDENES'!$A394="","",IF('ORDENES'!$AT394="","-",'ORDENES'!$AT394))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0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IF('ORDENES'!$A394="","",'ORDENES'!$AF394)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IF('ORDENES'!$A395="","",IF('ORDENES'!$AH395="","-",'ORDENES'!$AH395))</f>
        <v/>
      </c>
      <c r="D417" s="5">
        <f>IF('ORDENES'!$A395="","",IF('ORDENES'!$Z395="","-",'ORDENES'!$Z395))</f>
        <v/>
      </c>
      <c r="E417" s="5">
        <f>IF('ORDENES'!$A395="","",IF('ORDENES'!$X395="","-",'ORDENES'!$X395))</f>
        <v/>
      </c>
      <c r="F417" s="5">
        <f>IF('ORDENES'!$A395="","",IF('ORDENES'!$AA395="","-",'ORDENES'!$AA395))</f>
        <v/>
      </c>
      <c r="G417" s="5">
        <f>IF('ORDENES'!$A395="","",IF('ORDENES'!$Y395="","-",'ORDENES'!$Y395))</f>
        <v/>
      </c>
      <c r="H417" s="5">
        <f>IF('ORDENES'!$A395="","",IF('ORDENES'!$AG395="","-",'ORDENES'!$AG395))</f>
        <v/>
      </c>
      <c r="I417" s="5">
        <f>IF('ORDENES'!$A395="","",IF('ORDENES'!$AT395="","-",'ORDENES'!$AT395))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0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IF('ORDENES'!$A395="","",'ORDENES'!$AF395)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IF('ORDENES'!$A396="","",IF('ORDENES'!$AH396="","-",'ORDENES'!$AH396))</f>
        <v/>
      </c>
      <c r="D418" s="5">
        <f>IF('ORDENES'!$A396="","",IF('ORDENES'!$Z396="","-",'ORDENES'!$Z396))</f>
        <v/>
      </c>
      <c r="E418" s="5">
        <f>IF('ORDENES'!$A396="","",IF('ORDENES'!$X396="","-",'ORDENES'!$X396))</f>
        <v/>
      </c>
      <c r="F418" s="5">
        <f>IF('ORDENES'!$A396="","",IF('ORDENES'!$AA396="","-",'ORDENES'!$AA396))</f>
        <v/>
      </c>
      <c r="G418" s="5">
        <f>IF('ORDENES'!$A396="","",IF('ORDENES'!$Y396="","-",'ORDENES'!$Y396))</f>
        <v/>
      </c>
      <c r="H418" s="5">
        <f>IF('ORDENES'!$A396="","",IF('ORDENES'!$AG396="","-",'ORDENES'!$AG396))</f>
        <v/>
      </c>
      <c r="I418" s="5">
        <f>IF('ORDENES'!$A396="","",IF('ORDENES'!$AT396="","-",'ORDENES'!$AT396))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0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IF('ORDENES'!$A396="","",'ORDENES'!$AF396)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IF('ORDENES'!$A397="","",IF('ORDENES'!$AH397="","-",'ORDENES'!$AH397))</f>
        <v/>
      </c>
      <c r="D419" s="5">
        <f>IF('ORDENES'!$A397="","",IF('ORDENES'!$Z397="","-",'ORDENES'!$Z397))</f>
        <v/>
      </c>
      <c r="E419" s="5">
        <f>IF('ORDENES'!$A397="","",IF('ORDENES'!$X397="","-",'ORDENES'!$X397))</f>
        <v/>
      </c>
      <c r="F419" s="5">
        <f>IF('ORDENES'!$A397="","",IF('ORDENES'!$AA397="","-",'ORDENES'!$AA397))</f>
        <v/>
      </c>
      <c r="G419" s="5">
        <f>IF('ORDENES'!$A397="","",IF('ORDENES'!$Y397="","-",'ORDENES'!$Y397))</f>
        <v/>
      </c>
      <c r="H419" s="5">
        <f>IF('ORDENES'!$A397="","",IF('ORDENES'!$AG397="","-",'ORDENES'!$AG397))</f>
        <v/>
      </c>
      <c r="I419" s="5">
        <f>IF('ORDENES'!$A397="","",IF('ORDENES'!$AT397="","-",'ORDENES'!$AT397))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0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IF('ORDENES'!$A397="","",'ORDENES'!$AF397)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IF('ORDENES'!$A398="","",IF('ORDENES'!$AH398="","-",'ORDENES'!$AH398))</f>
        <v/>
      </c>
      <c r="D420" s="5">
        <f>IF('ORDENES'!$A398="","",IF('ORDENES'!$Z398="","-",'ORDENES'!$Z398))</f>
        <v/>
      </c>
      <c r="E420" s="5">
        <f>IF('ORDENES'!$A398="","",IF('ORDENES'!$X398="","-",'ORDENES'!$X398))</f>
        <v/>
      </c>
      <c r="F420" s="5">
        <f>IF('ORDENES'!$A398="","",IF('ORDENES'!$AA398="","-",'ORDENES'!$AA398))</f>
        <v/>
      </c>
      <c r="G420" s="5">
        <f>IF('ORDENES'!$A398="","",IF('ORDENES'!$Y398="","-",'ORDENES'!$Y398))</f>
        <v/>
      </c>
      <c r="H420" s="5">
        <f>IF('ORDENES'!$A398="","",IF('ORDENES'!$AG398="","-",'ORDENES'!$AG398))</f>
        <v/>
      </c>
      <c r="I420" s="5">
        <f>IF('ORDENES'!$A398="","",IF('ORDENES'!$AT398="","-",'ORDENES'!$AT398))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0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IF('ORDENES'!$A398="","",'ORDENES'!$AF398)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IF('ORDENES'!$A399="","",IF('ORDENES'!$AH399="","-",'ORDENES'!$AH399))</f>
        <v/>
      </c>
      <c r="D421" s="5">
        <f>IF('ORDENES'!$A399="","",IF('ORDENES'!$Z399="","-",'ORDENES'!$Z399))</f>
        <v/>
      </c>
      <c r="E421" s="5">
        <f>IF('ORDENES'!$A399="","",IF('ORDENES'!$X399="","-",'ORDENES'!$X399))</f>
        <v/>
      </c>
      <c r="F421" s="5">
        <f>IF('ORDENES'!$A399="","",IF('ORDENES'!$AA399="","-",'ORDENES'!$AA399))</f>
        <v/>
      </c>
      <c r="G421" s="5">
        <f>IF('ORDENES'!$A399="","",IF('ORDENES'!$Y399="","-",'ORDENES'!$Y399))</f>
        <v/>
      </c>
      <c r="H421" s="5">
        <f>IF('ORDENES'!$A399="","",IF('ORDENES'!$AG399="","-",'ORDENES'!$AG399))</f>
        <v/>
      </c>
      <c r="I421" s="5">
        <f>IF('ORDENES'!$A399="","",IF('ORDENES'!$AT399="","-",'ORDENES'!$AT399))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0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IF('ORDENES'!$A399="","",'ORDENES'!$AF399)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IF('ORDENES'!$A400="","",IF('ORDENES'!$AH400="","-",'ORDENES'!$AH400))</f>
        <v/>
      </c>
      <c r="D422" s="5">
        <f>IF('ORDENES'!$A400="","",IF('ORDENES'!$Z400="","-",'ORDENES'!$Z400))</f>
        <v/>
      </c>
      <c r="E422" s="5">
        <f>IF('ORDENES'!$A400="","",IF('ORDENES'!$X400="","-",'ORDENES'!$X400))</f>
        <v/>
      </c>
      <c r="F422" s="5">
        <f>IF('ORDENES'!$A400="","",IF('ORDENES'!$AA400="","-",'ORDENES'!$AA400))</f>
        <v/>
      </c>
      <c r="G422" s="5">
        <f>IF('ORDENES'!$A400="","",IF('ORDENES'!$Y400="","-",'ORDENES'!$Y400))</f>
        <v/>
      </c>
      <c r="H422" s="5">
        <f>IF('ORDENES'!$A400="","",IF('ORDENES'!$AG400="","-",'ORDENES'!$AG400))</f>
        <v/>
      </c>
      <c r="I422" s="5">
        <f>IF('ORDENES'!$A400="","",IF('ORDENES'!$AT400="","-",'ORDENES'!$AT400))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0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IF('ORDENES'!$A400="","",'ORDENES'!$AF400)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IF('ORDENES'!$A401="","",IF('ORDENES'!$AH401="","-",'ORDENES'!$AH401))</f>
        <v/>
      </c>
      <c r="D423" s="5">
        <f>IF('ORDENES'!$A401="","",IF('ORDENES'!$Z401="","-",'ORDENES'!$Z401))</f>
        <v/>
      </c>
      <c r="E423" s="5">
        <f>IF('ORDENES'!$A401="","",IF('ORDENES'!$X401="","-",'ORDENES'!$X401))</f>
        <v/>
      </c>
      <c r="F423" s="5">
        <f>IF('ORDENES'!$A401="","",IF('ORDENES'!$AA401="","-",'ORDENES'!$AA401))</f>
        <v/>
      </c>
      <c r="G423" s="5">
        <f>IF('ORDENES'!$A401="","",IF('ORDENES'!$Y401="","-",'ORDENES'!$Y401))</f>
        <v/>
      </c>
      <c r="H423" s="5">
        <f>IF('ORDENES'!$A401="","",IF('ORDENES'!$AG401="","-",'ORDENES'!$AG401))</f>
        <v/>
      </c>
      <c r="I423" s="5">
        <f>IF('ORDENES'!$A401="","",IF('ORDENES'!$AT401="","-",'ORDENES'!$AT401))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0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IF('ORDENES'!$A401="","",'ORDENES'!$AF401)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IF('ORDENES'!$A402="","",IF('ORDENES'!$AH402="","-",'ORDENES'!$AH402))</f>
        <v/>
      </c>
      <c r="D424" s="5">
        <f>IF('ORDENES'!$A402="","",IF('ORDENES'!$Z402="","-",'ORDENES'!$Z402))</f>
        <v/>
      </c>
      <c r="E424" s="5">
        <f>IF('ORDENES'!$A402="","",IF('ORDENES'!$X402="","-",'ORDENES'!$X402))</f>
        <v/>
      </c>
      <c r="F424" s="5">
        <f>IF('ORDENES'!$A402="","",IF('ORDENES'!$AA402="","-",'ORDENES'!$AA402))</f>
        <v/>
      </c>
      <c r="G424" s="5">
        <f>IF('ORDENES'!$A402="","",IF('ORDENES'!$Y402="","-",'ORDENES'!$Y402))</f>
        <v/>
      </c>
      <c r="H424" s="5">
        <f>IF('ORDENES'!$A402="","",IF('ORDENES'!$AG402="","-",'ORDENES'!$AG402))</f>
        <v/>
      </c>
      <c r="I424" s="5">
        <f>IF('ORDENES'!$A402="","",IF('ORDENES'!$AT402="","-",'ORDENES'!$AT402))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0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IF('ORDENES'!$A402="","",'ORDENES'!$AF402)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IF('ORDENES'!$A403="","",IF('ORDENES'!$AH403="","-",'ORDENES'!$AH403))</f>
        <v/>
      </c>
      <c r="D425" s="5">
        <f>IF('ORDENES'!$A403="","",IF('ORDENES'!$Z403="","-",'ORDENES'!$Z403))</f>
        <v/>
      </c>
      <c r="E425" s="5">
        <f>IF('ORDENES'!$A403="","",IF('ORDENES'!$X403="","-",'ORDENES'!$X403))</f>
        <v/>
      </c>
      <c r="F425" s="5">
        <f>IF('ORDENES'!$A403="","",IF('ORDENES'!$AA403="","-",'ORDENES'!$AA403))</f>
        <v/>
      </c>
      <c r="G425" s="5">
        <f>IF('ORDENES'!$A403="","",IF('ORDENES'!$Y403="","-",'ORDENES'!$Y403))</f>
        <v/>
      </c>
      <c r="H425" s="5">
        <f>IF('ORDENES'!$A403="","",IF('ORDENES'!$AG403="","-",'ORDENES'!$AG403))</f>
        <v/>
      </c>
      <c r="I425" s="5">
        <f>IF('ORDENES'!$A403="","",IF('ORDENES'!$AT403="","-",'ORDENES'!$AT403))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0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IF('ORDENES'!$A403="","",'ORDENES'!$AF403)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IF('ORDENES'!$A404="","",IF('ORDENES'!$AH404="","-",'ORDENES'!$AH404))</f>
        <v/>
      </c>
      <c r="D426" s="5">
        <f>IF('ORDENES'!$A404="","",IF('ORDENES'!$Z404="","-",'ORDENES'!$Z404))</f>
        <v/>
      </c>
      <c r="E426" s="5">
        <f>IF('ORDENES'!$A404="","",IF('ORDENES'!$X404="","-",'ORDENES'!$X404))</f>
        <v/>
      </c>
      <c r="F426" s="5">
        <f>IF('ORDENES'!$A404="","",IF('ORDENES'!$AA404="","-",'ORDENES'!$AA404))</f>
        <v/>
      </c>
      <c r="G426" s="5">
        <f>IF('ORDENES'!$A404="","",IF('ORDENES'!$Y404="","-",'ORDENES'!$Y404))</f>
        <v/>
      </c>
      <c r="H426" s="5">
        <f>IF('ORDENES'!$A404="","",IF('ORDENES'!$AG404="","-",'ORDENES'!$AG404))</f>
        <v/>
      </c>
      <c r="I426" s="5">
        <f>IF('ORDENES'!$A404="","",IF('ORDENES'!$AT404="","-",'ORDENES'!$AT404))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0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IF('ORDENES'!$A404="","",'ORDENES'!$AF404)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IF('ORDENES'!$A405="","",IF('ORDENES'!$AH405="","-",'ORDENES'!$AH405))</f>
        <v/>
      </c>
      <c r="D427" s="5">
        <f>IF('ORDENES'!$A405="","",IF('ORDENES'!$Z405="","-",'ORDENES'!$Z405))</f>
        <v/>
      </c>
      <c r="E427" s="5">
        <f>IF('ORDENES'!$A405="","",IF('ORDENES'!$X405="","-",'ORDENES'!$X405))</f>
        <v/>
      </c>
      <c r="F427" s="5">
        <f>IF('ORDENES'!$A405="","",IF('ORDENES'!$AA405="","-",'ORDENES'!$AA405))</f>
        <v/>
      </c>
      <c r="G427" s="5">
        <f>IF('ORDENES'!$A405="","",IF('ORDENES'!$Y405="","-",'ORDENES'!$Y405))</f>
        <v/>
      </c>
      <c r="H427" s="5">
        <f>IF('ORDENES'!$A405="","",IF('ORDENES'!$AG405="","-",'ORDENES'!$AG405))</f>
        <v/>
      </c>
      <c r="I427" s="5">
        <f>IF('ORDENES'!$A405="","",IF('ORDENES'!$AT405="","-",'ORDENES'!$AT405))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0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IF('ORDENES'!$A405="","",'ORDENES'!$AF405)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IF('ORDENES'!$A406="","",IF('ORDENES'!$AH406="","-",'ORDENES'!$AH406))</f>
        <v/>
      </c>
      <c r="D428" s="5">
        <f>IF('ORDENES'!$A406="","",IF('ORDENES'!$Z406="","-",'ORDENES'!$Z406))</f>
        <v/>
      </c>
      <c r="E428" s="5">
        <f>IF('ORDENES'!$A406="","",IF('ORDENES'!$X406="","-",'ORDENES'!$X406))</f>
        <v/>
      </c>
      <c r="F428" s="5">
        <f>IF('ORDENES'!$A406="","",IF('ORDENES'!$AA406="","-",'ORDENES'!$AA406))</f>
        <v/>
      </c>
      <c r="G428" s="5">
        <f>IF('ORDENES'!$A406="","",IF('ORDENES'!$Y406="","-",'ORDENES'!$Y406))</f>
        <v/>
      </c>
      <c r="H428" s="5">
        <f>IF('ORDENES'!$A406="","",IF('ORDENES'!$AG406="","-",'ORDENES'!$AG406))</f>
        <v/>
      </c>
      <c r="I428" s="5">
        <f>IF('ORDENES'!$A406="","",IF('ORDENES'!$AT406="","-",'ORDENES'!$AT406))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0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IF('ORDENES'!$A406="","",'ORDENES'!$AF406)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IF('ORDENES'!$A407="","",IF('ORDENES'!$AH407="","-",'ORDENES'!$AH407))</f>
        <v/>
      </c>
      <c r="D429" s="5">
        <f>IF('ORDENES'!$A407="","",IF('ORDENES'!$Z407="","-",'ORDENES'!$Z407))</f>
        <v/>
      </c>
      <c r="E429" s="5">
        <f>IF('ORDENES'!$A407="","",IF('ORDENES'!$X407="","-",'ORDENES'!$X407))</f>
        <v/>
      </c>
      <c r="F429" s="5">
        <f>IF('ORDENES'!$A407="","",IF('ORDENES'!$AA407="","-",'ORDENES'!$AA407))</f>
        <v/>
      </c>
      <c r="G429" s="5">
        <f>IF('ORDENES'!$A407="","",IF('ORDENES'!$Y407="","-",'ORDENES'!$Y407))</f>
        <v/>
      </c>
      <c r="H429" s="5">
        <f>IF('ORDENES'!$A407="","",IF('ORDENES'!$AG407="","-",'ORDENES'!$AG407))</f>
        <v/>
      </c>
      <c r="I429" s="5">
        <f>IF('ORDENES'!$A407="","",IF('ORDENES'!$AT407="","-",'ORDENES'!$AT407))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0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IF('ORDENES'!$A407="","",'ORDENES'!$AF407)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IF('ORDENES'!$A408="","",IF('ORDENES'!$AH408="","-",'ORDENES'!$AH408))</f>
        <v/>
      </c>
      <c r="D430" s="5">
        <f>IF('ORDENES'!$A408="","",IF('ORDENES'!$Z408="","-",'ORDENES'!$Z408))</f>
        <v/>
      </c>
      <c r="E430" s="5">
        <f>IF('ORDENES'!$A408="","",IF('ORDENES'!$X408="","-",'ORDENES'!$X408))</f>
        <v/>
      </c>
      <c r="F430" s="5">
        <f>IF('ORDENES'!$A408="","",IF('ORDENES'!$AA408="","-",'ORDENES'!$AA408))</f>
        <v/>
      </c>
      <c r="G430" s="5">
        <f>IF('ORDENES'!$A408="","",IF('ORDENES'!$Y408="","-",'ORDENES'!$Y408))</f>
        <v/>
      </c>
      <c r="H430" s="5">
        <f>IF('ORDENES'!$A408="","",IF('ORDENES'!$AG408="","-",'ORDENES'!$AG408))</f>
        <v/>
      </c>
      <c r="I430" s="5">
        <f>IF('ORDENES'!$A408="","",IF('ORDENES'!$AT408="","-",'ORDENES'!$AT408))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0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IF('ORDENES'!$A408="","",'ORDENES'!$AF408)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IF('ORDENES'!$A409="","",IF('ORDENES'!$AH409="","-",'ORDENES'!$AH409))</f>
        <v/>
      </c>
      <c r="D431" s="5">
        <f>IF('ORDENES'!$A409="","",IF('ORDENES'!$Z409="","-",'ORDENES'!$Z409))</f>
        <v/>
      </c>
      <c r="E431" s="5">
        <f>IF('ORDENES'!$A409="","",IF('ORDENES'!$X409="","-",'ORDENES'!$X409))</f>
        <v/>
      </c>
      <c r="F431" s="5">
        <f>IF('ORDENES'!$A409="","",IF('ORDENES'!$AA409="","-",'ORDENES'!$AA409))</f>
        <v/>
      </c>
      <c r="G431" s="5">
        <f>IF('ORDENES'!$A409="","",IF('ORDENES'!$Y409="","-",'ORDENES'!$Y409))</f>
        <v/>
      </c>
      <c r="H431" s="5">
        <f>IF('ORDENES'!$A409="","",IF('ORDENES'!$AG409="","-",'ORDENES'!$AG409))</f>
        <v/>
      </c>
      <c r="I431" s="5">
        <f>IF('ORDENES'!$A409="","",IF('ORDENES'!$AT409="","-",'ORDENES'!$AT409))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0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IF('ORDENES'!$A409="","",'ORDENES'!$AF409)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IF('ORDENES'!$A410="","",IF('ORDENES'!$AH410="","-",'ORDENES'!$AH410))</f>
        <v/>
      </c>
      <c r="D432" s="5">
        <f>IF('ORDENES'!$A410="","",IF('ORDENES'!$Z410="","-",'ORDENES'!$Z410))</f>
        <v/>
      </c>
      <c r="E432" s="5">
        <f>IF('ORDENES'!$A410="","",IF('ORDENES'!$X410="","-",'ORDENES'!$X410))</f>
        <v/>
      </c>
      <c r="F432" s="5">
        <f>IF('ORDENES'!$A410="","",IF('ORDENES'!$AA410="","-",'ORDENES'!$AA410))</f>
        <v/>
      </c>
      <c r="G432" s="5">
        <f>IF('ORDENES'!$A410="","",IF('ORDENES'!$Y410="","-",'ORDENES'!$Y410))</f>
        <v/>
      </c>
      <c r="H432" s="5">
        <f>IF('ORDENES'!$A410="","",IF('ORDENES'!$AG410="","-",'ORDENES'!$AG410))</f>
        <v/>
      </c>
      <c r="I432" s="5">
        <f>IF('ORDENES'!$A410="","",IF('ORDENES'!$AT410="","-",'ORDENES'!$AT410))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0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IF('ORDENES'!$A410="","",'ORDENES'!$AF410)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IF('ORDENES'!$A411="","",IF('ORDENES'!$AH411="","-",'ORDENES'!$AH411))</f>
        <v/>
      </c>
      <c r="D433" s="5">
        <f>IF('ORDENES'!$A411="","",IF('ORDENES'!$Z411="","-",'ORDENES'!$Z411))</f>
        <v/>
      </c>
      <c r="E433" s="5">
        <f>IF('ORDENES'!$A411="","",IF('ORDENES'!$X411="","-",'ORDENES'!$X411))</f>
        <v/>
      </c>
      <c r="F433" s="5">
        <f>IF('ORDENES'!$A411="","",IF('ORDENES'!$AA411="","-",'ORDENES'!$AA411))</f>
        <v/>
      </c>
      <c r="G433" s="5">
        <f>IF('ORDENES'!$A411="","",IF('ORDENES'!$Y411="","-",'ORDENES'!$Y411))</f>
        <v/>
      </c>
      <c r="H433" s="5">
        <f>IF('ORDENES'!$A411="","",IF('ORDENES'!$AG411="","-",'ORDENES'!$AG411))</f>
        <v/>
      </c>
      <c r="I433" s="5">
        <f>IF('ORDENES'!$A411="","",IF('ORDENES'!$AT411="","-",'ORDENES'!$AT411))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0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IF('ORDENES'!$A411="","",'ORDENES'!$AF411)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IF('ORDENES'!$A412="","",IF('ORDENES'!$AH412="","-",'ORDENES'!$AH412))</f>
        <v/>
      </c>
      <c r="D434" s="5">
        <f>IF('ORDENES'!$A412="","",IF('ORDENES'!$Z412="","-",'ORDENES'!$Z412))</f>
        <v/>
      </c>
      <c r="E434" s="5">
        <f>IF('ORDENES'!$A412="","",IF('ORDENES'!$X412="","-",'ORDENES'!$X412))</f>
        <v/>
      </c>
      <c r="F434" s="5">
        <f>IF('ORDENES'!$A412="","",IF('ORDENES'!$AA412="","-",'ORDENES'!$AA412))</f>
        <v/>
      </c>
      <c r="G434" s="5">
        <f>IF('ORDENES'!$A412="","",IF('ORDENES'!$Y412="","-",'ORDENES'!$Y412))</f>
        <v/>
      </c>
      <c r="H434" s="5">
        <f>IF('ORDENES'!$A412="","",IF('ORDENES'!$AG412="","-",'ORDENES'!$AG412))</f>
        <v/>
      </c>
      <c r="I434" s="5">
        <f>IF('ORDENES'!$A412="","",IF('ORDENES'!$AT412="","-",'ORDENES'!$AT412))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0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IF('ORDENES'!$A412="","",'ORDENES'!$AF412)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IF('ORDENES'!$A413="","",IF('ORDENES'!$AH413="","-",'ORDENES'!$AH413))</f>
        <v/>
      </c>
      <c r="D435" s="5">
        <f>IF('ORDENES'!$A413="","",IF('ORDENES'!$Z413="","-",'ORDENES'!$Z413))</f>
        <v/>
      </c>
      <c r="E435" s="5">
        <f>IF('ORDENES'!$A413="","",IF('ORDENES'!$X413="","-",'ORDENES'!$X413))</f>
        <v/>
      </c>
      <c r="F435" s="5">
        <f>IF('ORDENES'!$A413="","",IF('ORDENES'!$AA413="","-",'ORDENES'!$AA413))</f>
        <v/>
      </c>
      <c r="G435" s="5">
        <f>IF('ORDENES'!$A413="","",IF('ORDENES'!$Y413="","-",'ORDENES'!$Y413))</f>
        <v/>
      </c>
      <c r="H435" s="5">
        <f>IF('ORDENES'!$A413="","",IF('ORDENES'!$AG413="","-",'ORDENES'!$AG413))</f>
        <v/>
      </c>
      <c r="I435" s="5">
        <f>IF('ORDENES'!$A413="","",IF('ORDENES'!$AT413="","-",'ORDENES'!$AT413))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0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IF('ORDENES'!$A413="","",'ORDENES'!$AF413)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IF('ORDENES'!$A414="","",IF('ORDENES'!$AH414="","-",'ORDENES'!$AH414))</f>
        <v/>
      </c>
      <c r="D436" s="5">
        <f>IF('ORDENES'!$A414="","",IF('ORDENES'!$Z414="","-",'ORDENES'!$Z414))</f>
        <v/>
      </c>
      <c r="E436" s="5">
        <f>IF('ORDENES'!$A414="","",IF('ORDENES'!$X414="","-",'ORDENES'!$X414))</f>
        <v/>
      </c>
      <c r="F436" s="5">
        <f>IF('ORDENES'!$A414="","",IF('ORDENES'!$AA414="","-",'ORDENES'!$AA414))</f>
        <v/>
      </c>
      <c r="G436" s="5">
        <f>IF('ORDENES'!$A414="","",IF('ORDENES'!$Y414="","-",'ORDENES'!$Y414))</f>
        <v/>
      </c>
      <c r="H436" s="5">
        <f>IF('ORDENES'!$A414="","",IF('ORDENES'!$AG414="","-",'ORDENES'!$AG414))</f>
        <v/>
      </c>
      <c r="I436" s="5">
        <f>IF('ORDENES'!$A414="","",IF('ORDENES'!$AT414="","-",'ORDENES'!$AT414))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0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IF('ORDENES'!$A414="","",'ORDENES'!$AF414)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IF('ORDENES'!$A415="","",IF('ORDENES'!$AH415="","-",'ORDENES'!$AH415))</f>
        <v/>
      </c>
      <c r="D437" s="5">
        <f>IF('ORDENES'!$A415="","",IF('ORDENES'!$Z415="","-",'ORDENES'!$Z415))</f>
        <v/>
      </c>
      <c r="E437" s="5">
        <f>IF('ORDENES'!$A415="","",IF('ORDENES'!$X415="","-",'ORDENES'!$X415))</f>
        <v/>
      </c>
      <c r="F437" s="5">
        <f>IF('ORDENES'!$A415="","",IF('ORDENES'!$AA415="","-",'ORDENES'!$AA415))</f>
        <v/>
      </c>
      <c r="G437" s="5">
        <f>IF('ORDENES'!$A415="","",IF('ORDENES'!$Y415="","-",'ORDENES'!$Y415))</f>
        <v/>
      </c>
      <c r="H437" s="5">
        <f>IF('ORDENES'!$A415="","",IF('ORDENES'!$AG415="","-",'ORDENES'!$AG415))</f>
        <v/>
      </c>
      <c r="I437" s="5">
        <f>IF('ORDENES'!$A415="","",IF('ORDENES'!$AT415="","-",'ORDENES'!$AT415))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0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IF('ORDENES'!$A415="","",'ORDENES'!$AF415)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IF('ORDENES'!$A416="","",IF('ORDENES'!$AH416="","-",'ORDENES'!$AH416))</f>
        <v/>
      </c>
      <c r="D438" s="5">
        <f>IF('ORDENES'!$A416="","",IF('ORDENES'!$Z416="","-",'ORDENES'!$Z416))</f>
        <v/>
      </c>
      <c r="E438" s="5">
        <f>IF('ORDENES'!$A416="","",IF('ORDENES'!$X416="","-",'ORDENES'!$X416))</f>
        <v/>
      </c>
      <c r="F438" s="5">
        <f>IF('ORDENES'!$A416="","",IF('ORDENES'!$AA416="","-",'ORDENES'!$AA416))</f>
        <v/>
      </c>
      <c r="G438" s="5">
        <f>IF('ORDENES'!$A416="","",IF('ORDENES'!$Y416="","-",'ORDENES'!$Y416))</f>
        <v/>
      </c>
      <c r="H438" s="5">
        <f>IF('ORDENES'!$A416="","",IF('ORDENES'!$AG416="","-",'ORDENES'!$AG416))</f>
        <v/>
      </c>
      <c r="I438" s="5">
        <f>IF('ORDENES'!$A416="","",IF('ORDENES'!$AT416="","-",'ORDENES'!$AT416))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0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IF('ORDENES'!$A416="","",'ORDENES'!$AF416)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IF('ORDENES'!$A417="","",IF('ORDENES'!$AH417="","-",'ORDENES'!$AH417))</f>
        <v/>
      </c>
      <c r="D439" s="5">
        <f>IF('ORDENES'!$A417="","",IF('ORDENES'!$Z417="","-",'ORDENES'!$Z417))</f>
        <v/>
      </c>
      <c r="E439" s="5">
        <f>IF('ORDENES'!$A417="","",IF('ORDENES'!$X417="","-",'ORDENES'!$X417))</f>
        <v/>
      </c>
      <c r="F439" s="5">
        <f>IF('ORDENES'!$A417="","",IF('ORDENES'!$AA417="","-",'ORDENES'!$AA417))</f>
        <v/>
      </c>
      <c r="G439" s="5">
        <f>IF('ORDENES'!$A417="","",IF('ORDENES'!$Y417="","-",'ORDENES'!$Y417))</f>
        <v/>
      </c>
      <c r="H439" s="5">
        <f>IF('ORDENES'!$A417="","",IF('ORDENES'!$AG417="","-",'ORDENES'!$AG417))</f>
        <v/>
      </c>
      <c r="I439" s="5">
        <f>IF('ORDENES'!$A417="","",IF('ORDENES'!$AT417="","-",'ORDENES'!$AT417))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0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IF('ORDENES'!$A417="","",'ORDENES'!$AF417)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IF('ORDENES'!$A418="","",IF('ORDENES'!$AH418="","-",'ORDENES'!$AH418))</f>
        <v/>
      </c>
      <c r="D440" s="5">
        <f>IF('ORDENES'!$A418="","",IF('ORDENES'!$Z418="","-",'ORDENES'!$Z418))</f>
        <v/>
      </c>
      <c r="E440" s="5">
        <f>IF('ORDENES'!$A418="","",IF('ORDENES'!$X418="","-",'ORDENES'!$X418))</f>
        <v/>
      </c>
      <c r="F440" s="5">
        <f>IF('ORDENES'!$A418="","",IF('ORDENES'!$AA418="","-",'ORDENES'!$AA418))</f>
        <v/>
      </c>
      <c r="G440" s="5">
        <f>IF('ORDENES'!$A418="","",IF('ORDENES'!$Y418="","-",'ORDENES'!$Y418))</f>
        <v/>
      </c>
      <c r="H440" s="5">
        <f>IF('ORDENES'!$A418="","",IF('ORDENES'!$AG418="","-",'ORDENES'!$AG418))</f>
        <v/>
      </c>
      <c r="I440" s="5">
        <f>IF('ORDENES'!$A418="","",IF('ORDENES'!$AT418="","-",'ORDENES'!$AT418))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0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IF('ORDENES'!$A418="","",'ORDENES'!$AF418)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IF('ORDENES'!$A419="","",IF('ORDENES'!$AH419="","-",'ORDENES'!$AH419))</f>
        <v/>
      </c>
      <c r="D441" s="5">
        <f>IF('ORDENES'!$A419="","",IF('ORDENES'!$Z419="","-",'ORDENES'!$Z419))</f>
        <v/>
      </c>
      <c r="E441" s="5">
        <f>IF('ORDENES'!$A419="","",IF('ORDENES'!$X419="","-",'ORDENES'!$X419))</f>
        <v/>
      </c>
      <c r="F441" s="5">
        <f>IF('ORDENES'!$A419="","",IF('ORDENES'!$AA419="","-",'ORDENES'!$AA419))</f>
        <v/>
      </c>
      <c r="G441" s="5">
        <f>IF('ORDENES'!$A419="","",IF('ORDENES'!$Y419="","-",'ORDENES'!$Y419))</f>
        <v/>
      </c>
      <c r="H441" s="5">
        <f>IF('ORDENES'!$A419="","",IF('ORDENES'!$AG419="","-",'ORDENES'!$AG419))</f>
        <v/>
      </c>
      <c r="I441" s="5">
        <f>IF('ORDENES'!$A419="","",IF('ORDENES'!$AT419="","-",'ORDENES'!$AT419))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0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IF('ORDENES'!$A419="","",'ORDENES'!$AF419)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IF('ORDENES'!$A420="","",IF('ORDENES'!$AH420="","-",'ORDENES'!$AH420))</f>
        <v/>
      </c>
      <c r="D442" s="5">
        <f>IF('ORDENES'!$A420="","",IF('ORDENES'!$Z420="","-",'ORDENES'!$Z420))</f>
        <v/>
      </c>
      <c r="E442" s="5">
        <f>IF('ORDENES'!$A420="","",IF('ORDENES'!$X420="","-",'ORDENES'!$X420))</f>
        <v/>
      </c>
      <c r="F442" s="5">
        <f>IF('ORDENES'!$A420="","",IF('ORDENES'!$AA420="","-",'ORDENES'!$AA420))</f>
        <v/>
      </c>
      <c r="G442" s="5">
        <f>IF('ORDENES'!$A420="","",IF('ORDENES'!$Y420="","-",'ORDENES'!$Y420))</f>
        <v/>
      </c>
      <c r="H442" s="5">
        <f>IF('ORDENES'!$A420="","",IF('ORDENES'!$AG420="","-",'ORDENES'!$AG420))</f>
        <v/>
      </c>
      <c r="I442" s="5">
        <f>IF('ORDENES'!$A420="","",IF('ORDENES'!$AT420="","-",'ORDENES'!$AT420))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0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IF('ORDENES'!$A420="","",'ORDENES'!$AF420)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IF('ORDENES'!$A421="","",IF('ORDENES'!$AH421="","-",'ORDENES'!$AH421))</f>
        <v/>
      </c>
      <c r="D443" s="5">
        <f>IF('ORDENES'!$A421="","",IF('ORDENES'!$Z421="","-",'ORDENES'!$Z421))</f>
        <v/>
      </c>
      <c r="E443" s="5">
        <f>IF('ORDENES'!$A421="","",IF('ORDENES'!$X421="","-",'ORDENES'!$X421))</f>
        <v/>
      </c>
      <c r="F443" s="5">
        <f>IF('ORDENES'!$A421="","",IF('ORDENES'!$AA421="","-",'ORDENES'!$AA421))</f>
        <v/>
      </c>
      <c r="G443" s="5">
        <f>IF('ORDENES'!$A421="","",IF('ORDENES'!$Y421="","-",'ORDENES'!$Y421))</f>
        <v/>
      </c>
      <c r="H443" s="5">
        <f>IF('ORDENES'!$A421="","",IF('ORDENES'!$AG421="","-",'ORDENES'!$AG421))</f>
        <v/>
      </c>
      <c r="I443" s="5">
        <f>IF('ORDENES'!$A421="","",IF('ORDENES'!$AT421="","-",'ORDENES'!$AT421))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0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IF('ORDENES'!$A421="","",'ORDENES'!$AF421)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IF('ORDENES'!$A422="","",IF('ORDENES'!$AH422="","-",'ORDENES'!$AH422))</f>
        <v/>
      </c>
      <c r="D444" s="5">
        <f>IF('ORDENES'!$A422="","",IF('ORDENES'!$Z422="","-",'ORDENES'!$Z422))</f>
        <v/>
      </c>
      <c r="E444" s="5">
        <f>IF('ORDENES'!$A422="","",IF('ORDENES'!$X422="","-",'ORDENES'!$X422))</f>
        <v/>
      </c>
      <c r="F444" s="5">
        <f>IF('ORDENES'!$A422="","",IF('ORDENES'!$AA422="","-",'ORDENES'!$AA422))</f>
        <v/>
      </c>
      <c r="G444" s="5">
        <f>IF('ORDENES'!$A422="","",IF('ORDENES'!$Y422="","-",'ORDENES'!$Y422))</f>
        <v/>
      </c>
      <c r="H444" s="5">
        <f>IF('ORDENES'!$A422="","",IF('ORDENES'!$AG422="","-",'ORDENES'!$AG422))</f>
        <v/>
      </c>
      <c r="I444" s="5">
        <f>IF('ORDENES'!$A422="","",IF('ORDENES'!$AT422="","-",'ORDENES'!$AT422))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0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IF('ORDENES'!$A422="","",'ORDENES'!$AF422)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IF('ORDENES'!$A423="","",IF('ORDENES'!$AH423="","-",'ORDENES'!$AH423))</f>
        <v/>
      </c>
      <c r="D445" s="5">
        <f>IF('ORDENES'!$A423="","",IF('ORDENES'!$Z423="","-",'ORDENES'!$Z423))</f>
        <v/>
      </c>
      <c r="E445" s="5">
        <f>IF('ORDENES'!$A423="","",IF('ORDENES'!$X423="","-",'ORDENES'!$X423))</f>
        <v/>
      </c>
      <c r="F445" s="5">
        <f>IF('ORDENES'!$A423="","",IF('ORDENES'!$AA423="","-",'ORDENES'!$AA423))</f>
        <v/>
      </c>
      <c r="G445" s="5">
        <f>IF('ORDENES'!$A423="","",IF('ORDENES'!$Y423="","-",'ORDENES'!$Y423))</f>
        <v/>
      </c>
      <c r="H445" s="5">
        <f>IF('ORDENES'!$A423="","",IF('ORDENES'!$AG423="","-",'ORDENES'!$AG423))</f>
        <v/>
      </c>
      <c r="I445" s="5">
        <f>IF('ORDENES'!$A423="","",IF('ORDENES'!$AT423="","-",'ORDENES'!$AT423))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0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IF('ORDENES'!$A423="","",'ORDENES'!$AF423)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IF('ORDENES'!$A424="","",IF('ORDENES'!$AH424="","-",'ORDENES'!$AH424))</f>
        <v/>
      </c>
      <c r="D446" s="5">
        <f>IF('ORDENES'!$A424="","",IF('ORDENES'!$Z424="","-",'ORDENES'!$Z424))</f>
        <v/>
      </c>
      <c r="E446" s="5">
        <f>IF('ORDENES'!$A424="","",IF('ORDENES'!$X424="","-",'ORDENES'!$X424))</f>
        <v/>
      </c>
      <c r="F446" s="5">
        <f>IF('ORDENES'!$A424="","",IF('ORDENES'!$AA424="","-",'ORDENES'!$AA424))</f>
        <v/>
      </c>
      <c r="G446" s="5">
        <f>IF('ORDENES'!$A424="","",IF('ORDENES'!$Y424="","-",'ORDENES'!$Y424))</f>
        <v/>
      </c>
      <c r="H446" s="5">
        <f>IF('ORDENES'!$A424="","",IF('ORDENES'!$AG424="","-",'ORDENES'!$AG424))</f>
        <v/>
      </c>
      <c r="I446" s="5">
        <f>IF('ORDENES'!$A424="","",IF('ORDENES'!$AT424="","-",'ORDENES'!$AT424))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0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IF('ORDENES'!$A424="","",'ORDENES'!$AF424)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IF('ORDENES'!$A425="","",IF('ORDENES'!$AH425="","-",'ORDENES'!$AH425))</f>
        <v/>
      </c>
      <c r="D447" s="5">
        <f>IF('ORDENES'!$A425="","",IF('ORDENES'!$Z425="","-",'ORDENES'!$Z425))</f>
        <v/>
      </c>
      <c r="E447" s="5">
        <f>IF('ORDENES'!$A425="","",IF('ORDENES'!$X425="","-",'ORDENES'!$X425))</f>
        <v/>
      </c>
      <c r="F447" s="5">
        <f>IF('ORDENES'!$A425="","",IF('ORDENES'!$AA425="","-",'ORDENES'!$AA425))</f>
        <v/>
      </c>
      <c r="G447" s="5">
        <f>IF('ORDENES'!$A425="","",IF('ORDENES'!$Y425="","-",'ORDENES'!$Y425))</f>
        <v/>
      </c>
      <c r="H447" s="5">
        <f>IF('ORDENES'!$A425="","",IF('ORDENES'!$AG425="","-",'ORDENES'!$AG425))</f>
        <v/>
      </c>
      <c r="I447" s="5">
        <f>IF('ORDENES'!$A425="","",IF('ORDENES'!$AT425="","-",'ORDENES'!$AT425))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0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IF('ORDENES'!$A425="","",'ORDENES'!$AF425)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IF('ORDENES'!$A426="","",IF('ORDENES'!$AH426="","-",'ORDENES'!$AH426))</f>
        <v/>
      </c>
      <c r="D448" s="5">
        <f>IF('ORDENES'!$A426="","",IF('ORDENES'!$Z426="","-",'ORDENES'!$Z426))</f>
        <v/>
      </c>
      <c r="E448" s="5">
        <f>IF('ORDENES'!$A426="","",IF('ORDENES'!$X426="","-",'ORDENES'!$X426))</f>
        <v/>
      </c>
      <c r="F448" s="5">
        <f>IF('ORDENES'!$A426="","",IF('ORDENES'!$AA426="","-",'ORDENES'!$AA426))</f>
        <v/>
      </c>
      <c r="G448" s="5">
        <f>IF('ORDENES'!$A426="","",IF('ORDENES'!$Y426="","-",'ORDENES'!$Y426))</f>
        <v/>
      </c>
      <c r="H448" s="5">
        <f>IF('ORDENES'!$A426="","",IF('ORDENES'!$AG426="","-",'ORDENES'!$AG426))</f>
        <v/>
      </c>
      <c r="I448" s="5">
        <f>IF('ORDENES'!$A426="","",IF('ORDENES'!$AT426="","-",'ORDENES'!$AT426))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0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IF('ORDENES'!$A426="","",'ORDENES'!$AF426)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IF('ORDENES'!$A427="","",IF('ORDENES'!$AH427="","-",'ORDENES'!$AH427))</f>
        <v/>
      </c>
      <c r="D449" s="5">
        <f>IF('ORDENES'!$A427="","",IF('ORDENES'!$Z427="","-",'ORDENES'!$Z427))</f>
        <v/>
      </c>
      <c r="E449" s="5">
        <f>IF('ORDENES'!$A427="","",IF('ORDENES'!$X427="","-",'ORDENES'!$X427))</f>
        <v/>
      </c>
      <c r="F449" s="5">
        <f>IF('ORDENES'!$A427="","",IF('ORDENES'!$AA427="","-",'ORDENES'!$AA427))</f>
        <v/>
      </c>
      <c r="G449" s="5">
        <f>IF('ORDENES'!$A427="","",IF('ORDENES'!$Y427="","-",'ORDENES'!$Y427))</f>
        <v/>
      </c>
      <c r="H449" s="5">
        <f>IF('ORDENES'!$A427="","",IF('ORDENES'!$AG427="","-",'ORDENES'!$AG427))</f>
        <v/>
      </c>
      <c r="I449" s="5">
        <f>IF('ORDENES'!$A427="","",IF('ORDENES'!$AT427="","-",'ORDENES'!$AT427))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0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IF('ORDENES'!$A427="","",'ORDENES'!$AF427)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IF('ORDENES'!$A428="","",IF('ORDENES'!$AH428="","-",'ORDENES'!$AH428))</f>
        <v/>
      </c>
      <c r="D450" s="5">
        <f>IF('ORDENES'!$A428="","",IF('ORDENES'!$Z428="","-",'ORDENES'!$Z428))</f>
        <v/>
      </c>
      <c r="E450" s="5">
        <f>IF('ORDENES'!$A428="","",IF('ORDENES'!$X428="","-",'ORDENES'!$X428))</f>
        <v/>
      </c>
      <c r="F450" s="5">
        <f>IF('ORDENES'!$A428="","",IF('ORDENES'!$AA428="","-",'ORDENES'!$AA428))</f>
        <v/>
      </c>
      <c r="G450" s="5">
        <f>IF('ORDENES'!$A428="","",IF('ORDENES'!$Y428="","-",'ORDENES'!$Y428))</f>
        <v/>
      </c>
      <c r="H450" s="5">
        <f>IF('ORDENES'!$A428="","",IF('ORDENES'!$AG428="","-",'ORDENES'!$AG428))</f>
        <v/>
      </c>
      <c r="I450" s="5">
        <f>IF('ORDENES'!$A428="","",IF('ORDENES'!$AT428="","-",'ORDENES'!$AT428))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0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IF('ORDENES'!$A428="","",'ORDENES'!$AF428)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IF('ORDENES'!$A429="","",IF('ORDENES'!$AH429="","-",'ORDENES'!$AH429))</f>
        <v/>
      </c>
      <c r="D451" s="5">
        <f>IF('ORDENES'!$A429="","",IF('ORDENES'!$Z429="","-",'ORDENES'!$Z429))</f>
        <v/>
      </c>
      <c r="E451" s="5">
        <f>IF('ORDENES'!$A429="","",IF('ORDENES'!$X429="","-",'ORDENES'!$X429))</f>
        <v/>
      </c>
      <c r="F451" s="5">
        <f>IF('ORDENES'!$A429="","",IF('ORDENES'!$AA429="","-",'ORDENES'!$AA429))</f>
        <v/>
      </c>
      <c r="G451" s="5">
        <f>IF('ORDENES'!$A429="","",IF('ORDENES'!$Y429="","-",'ORDENES'!$Y429))</f>
        <v/>
      </c>
      <c r="H451" s="5">
        <f>IF('ORDENES'!$A429="","",IF('ORDENES'!$AG429="","-",'ORDENES'!$AG429))</f>
        <v/>
      </c>
      <c r="I451" s="5">
        <f>IF('ORDENES'!$A429="","",IF('ORDENES'!$AT429="","-",'ORDENES'!$AT429))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0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IF('ORDENES'!$A429="","",'ORDENES'!$AF429)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IF('ORDENES'!$A430="","",IF('ORDENES'!$AH430="","-",'ORDENES'!$AH430))</f>
        <v/>
      </c>
      <c r="D452" s="5">
        <f>IF('ORDENES'!$A430="","",IF('ORDENES'!$Z430="","-",'ORDENES'!$Z430))</f>
        <v/>
      </c>
      <c r="E452" s="5">
        <f>IF('ORDENES'!$A430="","",IF('ORDENES'!$X430="","-",'ORDENES'!$X430))</f>
        <v/>
      </c>
      <c r="F452" s="5">
        <f>IF('ORDENES'!$A430="","",IF('ORDENES'!$AA430="","-",'ORDENES'!$AA430))</f>
        <v/>
      </c>
      <c r="G452" s="5">
        <f>IF('ORDENES'!$A430="","",IF('ORDENES'!$Y430="","-",'ORDENES'!$Y430))</f>
        <v/>
      </c>
      <c r="H452" s="5">
        <f>IF('ORDENES'!$A430="","",IF('ORDENES'!$AG430="","-",'ORDENES'!$AG430))</f>
        <v/>
      </c>
      <c r="I452" s="5">
        <f>IF('ORDENES'!$A430="","",IF('ORDENES'!$AT430="","-",'ORDENES'!$AT430))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0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IF('ORDENES'!$A430="","",'ORDENES'!$AF430)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IF('ORDENES'!$A431="","",IF('ORDENES'!$AH431="","-",'ORDENES'!$AH431))</f>
        <v/>
      </c>
      <c r="D453" s="5">
        <f>IF('ORDENES'!$A431="","",IF('ORDENES'!$Z431="","-",'ORDENES'!$Z431))</f>
        <v/>
      </c>
      <c r="E453" s="5">
        <f>IF('ORDENES'!$A431="","",IF('ORDENES'!$X431="","-",'ORDENES'!$X431))</f>
        <v/>
      </c>
      <c r="F453" s="5">
        <f>IF('ORDENES'!$A431="","",IF('ORDENES'!$AA431="","-",'ORDENES'!$AA431))</f>
        <v/>
      </c>
      <c r="G453" s="5">
        <f>IF('ORDENES'!$A431="","",IF('ORDENES'!$Y431="","-",'ORDENES'!$Y431))</f>
        <v/>
      </c>
      <c r="H453" s="5">
        <f>IF('ORDENES'!$A431="","",IF('ORDENES'!$AG431="","-",'ORDENES'!$AG431))</f>
        <v/>
      </c>
      <c r="I453" s="5">
        <f>IF('ORDENES'!$A431="","",IF('ORDENES'!$AT431="","-",'ORDENES'!$AT431))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0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IF('ORDENES'!$A431="","",'ORDENES'!$AF431)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IF('ORDENES'!$A432="","",IF('ORDENES'!$AH432="","-",'ORDENES'!$AH432))</f>
        <v/>
      </c>
      <c r="D454" s="5">
        <f>IF('ORDENES'!$A432="","",IF('ORDENES'!$Z432="","-",'ORDENES'!$Z432))</f>
        <v/>
      </c>
      <c r="E454" s="5">
        <f>IF('ORDENES'!$A432="","",IF('ORDENES'!$X432="","-",'ORDENES'!$X432))</f>
        <v/>
      </c>
      <c r="F454" s="5">
        <f>IF('ORDENES'!$A432="","",IF('ORDENES'!$AA432="","-",'ORDENES'!$AA432))</f>
        <v/>
      </c>
      <c r="G454" s="5">
        <f>IF('ORDENES'!$A432="","",IF('ORDENES'!$Y432="","-",'ORDENES'!$Y432))</f>
        <v/>
      </c>
      <c r="H454" s="5">
        <f>IF('ORDENES'!$A432="","",IF('ORDENES'!$AG432="","-",'ORDENES'!$AG432))</f>
        <v/>
      </c>
      <c r="I454" s="5">
        <f>IF('ORDENES'!$A432="","",IF('ORDENES'!$AT432="","-",'ORDENES'!$AT432))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0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IF('ORDENES'!$A432="","",'ORDENES'!$AF432)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IF('ORDENES'!$A433="","",IF('ORDENES'!$AH433="","-",'ORDENES'!$AH433))</f>
        <v/>
      </c>
      <c r="D455" s="5">
        <f>IF('ORDENES'!$A433="","",IF('ORDENES'!$Z433="","-",'ORDENES'!$Z433))</f>
        <v/>
      </c>
      <c r="E455" s="5">
        <f>IF('ORDENES'!$A433="","",IF('ORDENES'!$X433="","-",'ORDENES'!$X433))</f>
        <v/>
      </c>
      <c r="F455" s="5">
        <f>IF('ORDENES'!$A433="","",IF('ORDENES'!$AA433="","-",'ORDENES'!$AA433))</f>
        <v/>
      </c>
      <c r="G455" s="5">
        <f>IF('ORDENES'!$A433="","",IF('ORDENES'!$Y433="","-",'ORDENES'!$Y433))</f>
        <v/>
      </c>
      <c r="H455" s="5">
        <f>IF('ORDENES'!$A433="","",IF('ORDENES'!$AG433="","-",'ORDENES'!$AG433))</f>
        <v/>
      </c>
      <c r="I455" s="5">
        <f>IF('ORDENES'!$A433="","",IF('ORDENES'!$AT433="","-",'ORDENES'!$AT433))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0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IF('ORDENES'!$A433="","",'ORDENES'!$AF433)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IF('ORDENES'!$A434="","",IF('ORDENES'!$AH434="","-",'ORDENES'!$AH434))</f>
        <v/>
      </c>
      <c r="D456" s="5">
        <f>IF('ORDENES'!$A434="","",IF('ORDENES'!$Z434="","-",'ORDENES'!$Z434))</f>
        <v/>
      </c>
      <c r="E456" s="5">
        <f>IF('ORDENES'!$A434="","",IF('ORDENES'!$X434="","-",'ORDENES'!$X434))</f>
        <v/>
      </c>
      <c r="F456" s="5">
        <f>IF('ORDENES'!$A434="","",IF('ORDENES'!$AA434="","-",'ORDENES'!$AA434))</f>
        <v/>
      </c>
      <c r="G456" s="5">
        <f>IF('ORDENES'!$A434="","",IF('ORDENES'!$Y434="","-",'ORDENES'!$Y434))</f>
        <v/>
      </c>
      <c r="H456" s="5">
        <f>IF('ORDENES'!$A434="","",IF('ORDENES'!$AG434="","-",'ORDENES'!$AG434))</f>
        <v/>
      </c>
      <c r="I456" s="5">
        <f>IF('ORDENES'!$A434="","",IF('ORDENES'!$AT434="","-",'ORDENES'!$AT434))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0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IF('ORDENES'!$A434="","",'ORDENES'!$AF434)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IF('ORDENES'!$A435="","",IF('ORDENES'!$AH435="","-",'ORDENES'!$AH435))</f>
        <v/>
      </c>
      <c r="D457" s="5">
        <f>IF('ORDENES'!$A435="","",IF('ORDENES'!$Z435="","-",'ORDENES'!$Z435))</f>
        <v/>
      </c>
      <c r="E457" s="5">
        <f>IF('ORDENES'!$A435="","",IF('ORDENES'!$X435="","-",'ORDENES'!$X435))</f>
        <v/>
      </c>
      <c r="F457" s="5">
        <f>IF('ORDENES'!$A435="","",IF('ORDENES'!$AA435="","-",'ORDENES'!$AA435))</f>
        <v/>
      </c>
      <c r="G457" s="5">
        <f>IF('ORDENES'!$A435="","",IF('ORDENES'!$Y435="","-",'ORDENES'!$Y435))</f>
        <v/>
      </c>
      <c r="H457" s="5">
        <f>IF('ORDENES'!$A435="","",IF('ORDENES'!$AG435="","-",'ORDENES'!$AG435))</f>
        <v/>
      </c>
      <c r="I457" s="5">
        <f>IF('ORDENES'!$A435="","",IF('ORDENES'!$AT435="","-",'ORDENES'!$AT435))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0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IF('ORDENES'!$A435="","",'ORDENES'!$AF435)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IF('ORDENES'!$A436="","",IF('ORDENES'!$AH436="","-",'ORDENES'!$AH436))</f>
        <v/>
      </c>
      <c r="D458" s="5">
        <f>IF('ORDENES'!$A436="","",IF('ORDENES'!$Z436="","-",'ORDENES'!$Z436))</f>
        <v/>
      </c>
      <c r="E458" s="5">
        <f>IF('ORDENES'!$A436="","",IF('ORDENES'!$X436="","-",'ORDENES'!$X436))</f>
        <v/>
      </c>
      <c r="F458" s="5">
        <f>IF('ORDENES'!$A436="","",IF('ORDENES'!$AA436="","-",'ORDENES'!$AA436))</f>
        <v/>
      </c>
      <c r="G458" s="5">
        <f>IF('ORDENES'!$A436="","",IF('ORDENES'!$Y436="","-",'ORDENES'!$Y436))</f>
        <v/>
      </c>
      <c r="H458" s="5">
        <f>IF('ORDENES'!$A436="","",IF('ORDENES'!$AG436="","-",'ORDENES'!$AG436))</f>
        <v/>
      </c>
      <c r="I458" s="5">
        <f>IF('ORDENES'!$A436="","",IF('ORDENES'!$AT436="","-",'ORDENES'!$AT436))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0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IF('ORDENES'!$A436="","",'ORDENES'!$AF436)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IF('ORDENES'!$A437="","",IF('ORDENES'!$AH437="","-",'ORDENES'!$AH437))</f>
        <v/>
      </c>
      <c r="D459" s="5">
        <f>IF('ORDENES'!$A437="","",IF('ORDENES'!$Z437="","-",'ORDENES'!$Z437))</f>
        <v/>
      </c>
      <c r="E459" s="5">
        <f>IF('ORDENES'!$A437="","",IF('ORDENES'!$X437="","-",'ORDENES'!$X437))</f>
        <v/>
      </c>
      <c r="F459" s="5">
        <f>IF('ORDENES'!$A437="","",IF('ORDENES'!$AA437="","-",'ORDENES'!$AA437))</f>
        <v/>
      </c>
      <c r="G459" s="5">
        <f>IF('ORDENES'!$A437="","",IF('ORDENES'!$Y437="","-",'ORDENES'!$Y437))</f>
        <v/>
      </c>
      <c r="H459" s="5">
        <f>IF('ORDENES'!$A437="","",IF('ORDENES'!$AG437="","-",'ORDENES'!$AG437))</f>
        <v/>
      </c>
      <c r="I459" s="5">
        <f>IF('ORDENES'!$A437="","",IF('ORDENES'!$AT437="","-",'ORDENES'!$AT437))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0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IF('ORDENES'!$A437="","",'ORDENES'!$AF437)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IF('ORDENES'!$A438="","",IF('ORDENES'!$AH438="","-",'ORDENES'!$AH438))</f>
        <v/>
      </c>
      <c r="D460" s="5">
        <f>IF('ORDENES'!$A438="","",IF('ORDENES'!$Z438="","-",'ORDENES'!$Z438))</f>
        <v/>
      </c>
      <c r="E460" s="5">
        <f>IF('ORDENES'!$A438="","",IF('ORDENES'!$X438="","-",'ORDENES'!$X438))</f>
        <v/>
      </c>
      <c r="F460" s="5">
        <f>IF('ORDENES'!$A438="","",IF('ORDENES'!$AA438="","-",'ORDENES'!$AA438))</f>
        <v/>
      </c>
      <c r="G460" s="5">
        <f>IF('ORDENES'!$A438="","",IF('ORDENES'!$Y438="","-",'ORDENES'!$Y438))</f>
        <v/>
      </c>
      <c r="H460" s="5">
        <f>IF('ORDENES'!$A438="","",IF('ORDENES'!$AG438="","-",'ORDENES'!$AG438))</f>
        <v/>
      </c>
      <c r="I460" s="5">
        <f>IF('ORDENES'!$A438="","",IF('ORDENES'!$AT438="","-",'ORDENES'!$AT438))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0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IF('ORDENES'!$A438="","",'ORDENES'!$AF438)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IF('ORDENES'!$A439="","",IF('ORDENES'!$AH439="","-",'ORDENES'!$AH439))</f>
        <v/>
      </c>
      <c r="D461" s="5">
        <f>IF('ORDENES'!$A439="","",IF('ORDENES'!$Z439="","-",'ORDENES'!$Z439))</f>
        <v/>
      </c>
      <c r="E461" s="5">
        <f>IF('ORDENES'!$A439="","",IF('ORDENES'!$X439="","-",'ORDENES'!$X439))</f>
        <v/>
      </c>
      <c r="F461" s="5">
        <f>IF('ORDENES'!$A439="","",IF('ORDENES'!$AA439="","-",'ORDENES'!$AA439))</f>
        <v/>
      </c>
      <c r="G461" s="5">
        <f>IF('ORDENES'!$A439="","",IF('ORDENES'!$Y439="","-",'ORDENES'!$Y439))</f>
        <v/>
      </c>
      <c r="H461" s="5">
        <f>IF('ORDENES'!$A439="","",IF('ORDENES'!$AG439="","-",'ORDENES'!$AG439))</f>
        <v/>
      </c>
      <c r="I461" s="5">
        <f>IF('ORDENES'!$A439="","",IF('ORDENES'!$AT439="","-",'ORDENES'!$AT439))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0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IF('ORDENES'!$A439="","",'ORDENES'!$AF439)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IF('ORDENES'!$A440="","",IF('ORDENES'!$AH440="","-",'ORDENES'!$AH440))</f>
        <v/>
      </c>
      <c r="D462" s="5">
        <f>IF('ORDENES'!$A440="","",IF('ORDENES'!$Z440="","-",'ORDENES'!$Z440))</f>
        <v/>
      </c>
      <c r="E462" s="5">
        <f>IF('ORDENES'!$A440="","",IF('ORDENES'!$X440="","-",'ORDENES'!$X440))</f>
        <v/>
      </c>
      <c r="F462" s="5">
        <f>IF('ORDENES'!$A440="","",IF('ORDENES'!$AA440="","-",'ORDENES'!$AA440))</f>
        <v/>
      </c>
      <c r="G462" s="5">
        <f>IF('ORDENES'!$A440="","",IF('ORDENES'!$Y440="","-",'ORDENES'!$Y440))</f>
        <v/>
      </c>
      <c r="H462" s="5">
        <f>IF('ORDENES'!$A440="","",IF('ORDENES'!$AG440="","-",'ORDENES'!$AG440))</f>
        <v/>
      </c>
      <c r="I462" s="5">
        <f>IF('ORDENES'!$A440="","",IF('ORDENES'!$AT440="","-",'ORDENES'!$AT440))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0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IF('ORDENES'!$A440="","",'ORDENES'!$AF440)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IF('ORDENES'!$A441="","",IF('ORDENES'!$AH441="","-",'ORDENES'!$AH441))</f>
        <v/>
      </c>
      <c r="D463" s="5">
        <f>IF('ORDENES'!$A441="","",IF('ORDENES'!$Z441="","-",'ORDENES'!$Z441))</f>
        <v/>
      </c>
      <c r="E463" s="5">
        <f>IF('ORDENES'!$A441="","",IF('ORDENES'!$X441="","-",'ORDENES'!$X441))</f>
        <v/>
      </c>
      <c r="F463" s="5">
        <f>IF('ORDENES'!$A441="","",IF('ORDENES'!$AA441="","-",'ORDENES'!$AA441))</f>
        <v/>
      </c>
      <c r="G463" s="5">
        <f>IF('ORDENES'!$A441="","",IF('ORDENES'!$Y441="","-",'ORDENES'!$Y441))</f>
        <v/>
      </c>
      <c r="H463" s="5">
        <f>IF('ORDENES'!$A441="","",IF('ORDENES'!$AG441="","-",'ORDENES'!$AG441))</f>
        <v/>
      </c>
      <c r="I463" s="5">
        <f>IF('ORDENES'!$A441="","",IF('ORDENES'!$AT441="","-",'ORDENES'!$AT441))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0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IF('ORDENES'!$A441="","",'ORDENES'!$AF441)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IF('ORDENES'!$A442="","",IF('ORDENES'!$AH442="","-",'ORDENES'!$AH442))</f>
        <v/>
      </c>
      <c r="D464" s="5">
        <f>IF('ORDENES'!$A442="","",IF('ORDENES'!$Z442="","-",'ORDENES'!$Z442))</f>
        <v/>
      </c>
      <c r="E464" s="5">
        <f>IF('ORDENES'!$A442="","",IF('ORDENES'!$X442="","-",'ORDENES'!$X442))</f>
        <v/>
      </c>
      <c r="F464" s="5">
        <f>IF('ORDENES'!$A442="","",IF('ORDENES'!$AA442="","-",'ORDENES'!$AA442))</f>
        <v/>
      </c>
      <c r="G464" s="5">
        <f>IF('ORDENES'!$A442="","",IF('ORDENES'!$Y442="","-",'ORDENES'!$Y442))</f>
        <v/>
      </c>
      <c r="H464" s="5">
        <f>IF('ORDENES'!$A442="","",IF('ORDENES'!$AG442="","-",'ORDENES'!$AG442))</f>
        <v/>
      </c>
      <c r="I464" s="5">
        <f>IF('ORDENES'!$A442="","",IF('ORDENES'!$AT442="","-",'ORDENES'!$AT442))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0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IF('ORDENES'!$A442="","",'ORDENES'!$AF442)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IF('ORDENES'!$A443="","",IF('ORDENES'!$AH443="","-",'ORDENES'!$AH443))</f>
        <v/>
      </c>
      <c r="D465" s="5">
        <f>IF('ORDENES'!$A443="","",IF('ORDENES'!$Z443="","-",'ORDENES'!$Z443))</f>
        <v/>
      </c>
      <c r="E465" s="5">
        <f>IF('ORDENES'!$A443="","",IF('ORDENES'!$X443="","-",'ORDENES'!$X443))</f>
        <v/>
      </c>
      <c r="F465" s="5">
        <f>IF('ORDENES'!$A443="","",IF('ORDENES'!$AA443="","-",'ORDENES'!$AA443))</f>
        <v/>
      </c>
      <c r="G465" s="5">
        <f>IF('ORDENES'!$A443="","",IF('ORDENES'!$Y443="","-",'ORDENES'!$Y443))</f>
        <v/>
      </c>
      <c r="H465" s="5">
        <f>IF('ORDENES'!$A443="","",IF('ORDENES'!$AG443="","-",'ORDENES'!$AG443))</f>
        <v/>
      </c>
      <c r="I465" s="5">
        <f>IF('ORDENES'!$A443="","",IF('ORDENES'!$AT443="","-",'ORDENES'!$AT443))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0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IF('ORDENES'!$A443="","",'ORDENES'!$AF443)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IF('ORDENES'!$A444="","",IF('ORDENES'!$AH444="","-",'ORDENES'!$AH444))</f>
        <v/>
      </c>
      <c r="D466" s="5">
        <f>IF('ORDENES'!$A444="","",IF('ORDENES'!$Z444="","-",'ORDENES'!$Z444))</f>
        <v/>
      </c>
      <c r="E466" s="5">
        <f>IF('ORDENES'!$A444="","",IF('ORDENES'!$X444="","-",'ORDENES'!$X444))</f>
        <v/>
      </c>
      <c r="F466" s="5">
        <f>IF('ORDENES'!$A444="","",IF('ORDENES'!$AA444="","-",'ORDENES'!$AA444))</f>
        <v/>
      </c>
      <c r="G466" s="5">
        <f>IF('ORDENES'!$A444="","",IF('ORDENES'!$Y444="","-",'ORDENES'!$Y444))</f>
        <v/>
      </c>
      <c r="H466" s="5">
        <f>IF('ORDENES'!$A444="","",IF('ORDENES'!$AG444="","-",'ORDENES'!$AG444))</f>
        <v/>
      </c>
      <c r="I466" s="5">
        <f>IF('ORDENES'!$A444="","",IF('ORDENES'!$AT444="","-",'ORDENES'!$AT444))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0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IF('ORDENES'!$A444="","",'ORDENES'!$AF444)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IF('ORDENES'!$A445="","",IF('ORDENES'!$AH445="","-",'ORDENES'!$AH445))</f>
        <v/>
      </c>
      <c r="D467" s="5">
        <f>IF('ORDENES'!$A445="","",IF('ORDENES'!$Z445="","-",'ORDENES'!$Z445))</f>
        <v/>
      </c>
      <c r="E467" s="5">
        <f>IF('ORDENES'!$A445="","",IF('ORDENES'!$X445="","-",'ORDENES'!$X445))</f>
        <v/>
      </c>
      <c r="F467" s="5">
        <f>IF('ORDENES'!$A445="","",IF('ORDENES'!$AA445="","-",'ORDENES'!$AA445))</f>
        <v/>
      </c>
      <c r="G467" s="5">
        <f>IF('ORDENES'!$A445="","",IF('ORDENES'!$Y445="","-",'ORDENES'!$Y445))</f>
        <v/>
      </c>
      <c r="H467" s="5">
        <f>IF('ORDENES'!$A445="","",IF('ORDENES'!$AG445="","-",'ORDENES'!$AG445))</f>
        <v/>
      </c>
      <c r="I467" s="5">
        <f>IF('ORDENES'!$A445="","",IF('ORDENES'!$AT445="","-",'ORDENES'!$AT445))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0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IF('ORDENES'!$A445="","",'ORDENES'!$AF445)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IF('ORDENES'!$A446="","",IF('ORDENES'!$AH446="","-",'ORDENES'!$AH446))</f>
        <v/>
      </c>
      <c r="D468" s="5">
        <f>IF('ORDENES'!$A446="","",IF('ORDENES'!$Z446="","-",'ORDENES'!$Z446))</f>
        <v/>
      </c>
      <c r="E468" s="5">
        <f>IF('ORDENES'!$A446="","",IF('ORDENES'!$X446="","-",'ORDENES'!$X446))</f>
        <v/>
      </c>
      <c r="F468" s="5">
        <f>IF('ORDENES'!$A446="","",IF('ORDENES'!$AA446="","-",'ORDENES'!$AA446))</f>
        <v/>
      </c>
      <c r="G468" s="5">
        <f>IF('ORDENES'!$A446="","",IF('ORDENES'!$Y446="","-",'ORDENES'!$Y446))</f>
        <v/>
      </c>
      <c r="H468" s="5">
        <f>IF('ORDENES'!$A446="","",IF('ORDENES'!$AG446="","-",'ORDENES'!$AG446))</f>
        <v/>
      </c>
      <c r="I468" s="5">
        <f>IF('ORDENES'!$A446="","",IF('ORDENES'!$AT446="","-",'ORDENES'!$AT446))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0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IF('ORDENES'!$A446="","",'ORDENES'!$AF446)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IF('ORDENES'!$A447="","",IF('ORDENES'!$AH447="","-",'ORDENES'!$AH447))</f>
        <v/>
      </c>
      <c r="D469" s="5">
        <f>IF('ORDENES'!$A447="","",IF('ORDENES'!$Z447="","-",'ORDENES'!$Z447))</f>
        <v/>
      </c>
      <c r="E469" s="5">
        <f>IF('ORDENES'!$A447="","",IF('ORDENES'!$X447="","-",'ORDENES'!$X447))</f>
        <v/>
      </c>
      <c r="F469" s="5">
        <f>IF('ORDENES'!$A447="","",IF('ORDENES'!$AA447="","-",'ORDENES'!$AA447))</f>
        <v/>
      </c>
      <c r="G469" s="5">
        <f>IF('ORDENES'!$A447="","",IF('ORDENES'!$Y447="","-",'ORDENES'!$Y447))</f>
        <v/>
      </c>
      <c r="H469" s="5">
        <f>IF('ORDENES'!$A447="","",IF('ORDENES'!$AG447="","-",'ORDENES'!$AG447))</f>
        <v/>
      </c>
      <c r="I469" s="5">
        <f>IF('ORDENES'!$A447="","",IF('ORDENES'!$AT447="","-",'ORDENES'!$AT447))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0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IF('ORDENES'!$A447="","",'ORDENES'!$AF447)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IF('ORDENES'!$A448="","",IF('ORDENES'!$AH448="","-",'ORDENES'!$AH448))</f>
        <v/>
      </c>
      <c r="D470" s="5">
        <f>IF('ORDENES'!$A448="","",IF('ORDENES'!$Z448="","-",'ORDENES'!$Z448))</f>
        <v/>
      </c>
      <c r="E470" s="5">
        <f>IF('ORDENES'!$A448="","",IF('ORDENES'!$X448="","-",'ORDENES'!$X448))</f>
        <v/>
      </c>
      <c r="F470" s="5">
        <f>IF('ORDENES'!$A448="","",IF('ORDENES'!$AA448="","-",'ORDENES'!$AA448))</f>
        <v/>
      </c>
      <c r="G470" s="5">
        <f>IF('ORDENES'!$A448="","",IF('ORDENES'!$Y448="","-",'ORDENES'!$Y448))</f>
        <v/>
      </c>
      <c r="H470" s="5">
        <f>IF('ORDENES'!$A448="","",IF('ORDENES'!$AG448="","-",'ORDENES'!$AG448))</f>
        <v/>
      </c>
      <c r="I470" s="5">
        <f>IF('ORDENES'!$A448="","",IF('ORDENES'!$AT448="","-",'ORDENES'!$AT448))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0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IF('ORDENES'!$A448="","",'ORDENES'!$AF448)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IF('ORDENES'!$A449="","",IF('ORDENES'!$AH449="","-",'ORDENES'!$AH449))</f>
        <v/>
      </c>
      <c r="D471" s="5">
        <f>IF('ORDENES'!$A449="","",IF('ORDENES'!$Z449="","-",'ORDENES'!$Z449))</f>
        <v/>
      </c>
      <c r="E471" s="5">
        <f>IF('ORDENES'!$A449="","",IF('ORDENES'!$X449="","-",'ORDENES'!$X449))</f>
        <v/>
      </c>
      <c r="F471" s="5">
        <f>IF('ORDENES'!$A449="","",IF('ORDENES'!$AA449="","-",'ORDENES'!$AA449))</f>
        <v/>
      </c>
      <c r="G471" s="5">
        <f>IF('ORDENES'!$A449="","",IF('ORDENES'!$Y449="","-",'ORDENES'!$Y449))</f>
        <v/>
      </c>
      <c r="H471" s="5">
        <f>IF('ORDENES'!$A449="","",IF('ORDENES'!$AG449="","-",'ORDENES'!$AG449))</f>
        <v/>
      </c>
      <c r="I471" s="5">
        <f>IF('ORDENES'!$A449="","",IF('ORDENES'!$AT449="","-",'ORDENES'!$AT449))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0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IF('ORDENES'!$A449="","",'ORDENES'!$AF449)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IF('ORDENES'!$A450="","",IF('ORDENES'!$AH450="","-",'ORDENES'!$AH450))</f>
        <v/>
      </c>
      <c r="D472" s="5">
        <f>IF('ORDENES'!$A450="","",IF('ORDENES'!$Z450="","-",'ORDENES'!$Z450))</f>
        <v/>
      </c>
      <c r="E472" s="5">
        <f>IF('ORDENES'!$A450="","",IF('ORDENES'!$X450="","-",'ORDENES'!$X450))</f>
        <v/>
      </c>
      <c r="F472" s="5">
        <f>IF('ORDENES'!$A450="","",IF('ORDENES'!$AA450="","-",'ORDENES'!$AA450))</f>
        <v/>
      </c>
      <c r="G472" s="5">
        <f>IF('ORDENES'!$A450="","",IF('ORDENES'!$Y450="","-",'ORDENES'!$Y450))</f>
        <v/>
      </c>
      <c r="H472" s="5">
        <f>IF('ORDENES'!$A450="","",IF('ORDENES'!$AG450="","-",'ORDENES'!$AG450))</f>
        <v/>
      </c>
      <c r="I472" s="5">
        <f>IF('ORDENES'!$A450="","",IF('ORDENES'!$AT450="","-",'ORDENES'!$AT450))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0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IF('ORDENES'!$A450="","",'ORDENES'!$AF450)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IF('ORDENES'!$A451="","",IF('ORDENES'!$AH451="","-",'ORDENES'!$AH451))</f>
        <v/>
      </c>
      <c r="D473" s="5">
        <f>IF('ORDENES'!$A451="","",IF('ORDENES'!$Z451="","-",'ORDENES'!$Z451))</f>
        <v/>
      </c>
      <c r="E473" s="5">
        <f>IF('ORDENES'!$A451="","",IF('ORDENES'!$X451="","-",'ORDENES'!$X451))</f>
        <v/>
      </c>
      <c r="F473" s="5">
        <f>IF('ORDENES'!$A451="","",IF('ORDENES'!$AA451="","-",'ORDENES'!$AA451))</f>
        <v/>
      </c>
      <c r="G473" s="5">
        <f>IF('ORDENES'!$A451="","",IF('ORDENES'!$Y451="","-",'ORDENES'!$Y451))</f>
        <v/>
      </c>
      <c r="H473" s="5">
        <f>IF('ORDENES'!$A451="","",IF('ORDENES'!$AG451="","-",'ORDENES'!$AG451))</f>
        <v/>
      </c>
      <c r="I473" s="5">
        <f>IF('ORDENES'!$A451="","",IF('ORDENES'!$AT451="","-",'ORDENES'!$AT451))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0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IF('ORDENES'!$A451="","",'ORDENES'!$AF451)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IF('ORDENES'!$A452="","",IF('ORDENES'!$AH452="","-",'ORDENES'!$AH452))</f>
        <v/>
      </c>
      <c r="D474" s="5">
        <f>IF('ORDENES'!$A452="","",IF('ORDENES'!$Z452="","-",'ORDENES'!$Z452))</f>
        <v/>
      </c>
      <c r="E474" s="5">
        <f>IF('ORDENES'!$A452="","",IF('ORDENES'!$X452="","-",'ORDENES'!$X452))</f>
        <v/>
      </c>
      <c r="F474" s="5">
        <f>IF('ORDENES'!$A452="","",IF('ORDENES'!$AA452="","-",'ORDENES'!$AA452))</f>
        <v/>
      </c>
      <c r="G474" s="5">
        <f>IF('ORDENES'!$A452="","",IF('ORDENES'!$Y452="","-",'ORDENES'!$Y452))</f>
        <v/>
      </c>
      <c r="H474" s="5">
        <f>IF('ORDENES'!$A452="","",IF('ORDENES'!$AG452="","-",'ORDENES'!$AG452))</f>
        <v/>
      </c>
      <c r="I474" s="5">
        <f>IF('ORDENES'!$A452="","",IF('ORDENES'!$AT452="","-",'ORDENES'!$AT452))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0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IF('ORDENES'!$A452="","",'ORDENES'!$AF452)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IF('ORDENES'!$A453="","",IF('ORDENES'!$AH453="","-",'ORDENES'!$AH453))</f>
        <v/>
      </c>
      <c r="D475" s="5">
        <f>IF('ORDENES'!$A453="","",IF('ORDENES'!$Z453="","-",'ORDENES'!$Z453))</f>
        <v/>
      </c>
      <c r="E475" s="5">
        <f>IF('ORDENES'!$A453="","",IF('ORDENES'!$X453="","-",'ORDENES'!$X453))</f>
        <v/>
      </c>
      <c r="F475" s="5">
        <f>IF('ORDENES'!$A453="","",IF('ORDENES'!$AA453="","-",'ORDENES'!$AA453))</f>
        <v/>
      </c>
      <c r="G475" s="5">
        <f>IF('ORDENES'!$A453="","",IF('ORDENES'!$Y453="","-",'ORDENES'!$Y453))</f>
        <v/>
      </c>
      <c r="H475" s="5">
        <f>IF('ORDENES'!$A453="","",IF('ORDENES'!$AG453="","-",'ORDENES'!$AG453))</f>
        <v/>
      </c>
      <c r="I475" s="5">
        <f>IF('ORDENES'!$A453="","",IF('ORDENES'!$AT453="","-",'ORDENES'!$AT453))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0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IF('ORDENES'!$A453="","",'ORDENES'!$AF453)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IF('ORDENES'!$A454="","",IF('ORDENES'!$AH454="","-",'ORDENES'!$AH454))</f>
        <v/>
      </c>
      <c r="D476" s="5">
        <f>IF('ORDENES'!$A454="","",IF('ORDENES'!$Z454="","-",'ORDENES'!$Z454))</f>
        <v/>
      </c>
      <c r="E476" s="5">
        <f>IF('ORDENES'!$A454="","",IF('ORDENES'!$X454="","-",'ORDENES'!$X454))</f>
        <v/>
      </c>
      <c r="F476" s="5">
        <f>IF('ORDENES'!$A454="","",IF('ORDENES'!$AA454="","-",'ORDENES'!$AA454))</f>
        <v/>
      </c>
      <c r="G476" s="5">
        <f>IF('ORDENES'!$A454="","",IF('ORDENES'!$Y454="","-",'ORDENES'!$Y454))</f>
        <v/>
      </c>
      <c r="H476" s="5">
        <f>IF('ORDENES'!$A454="","",IF('ORDENES'!$AG454="","-",'ORDENES'!$AG454))</f>
        <v/>
      </c>
      <c r="I476" s="5">
        <f>IF('ORDENES'!$A454="","",IF('ORDENES'!$AT454="","-",'ORDENES'!$AT454))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0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IF('ORDENES'!$A454="","",'ORDENES'!$AF454)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IF('ORDENES'!$A455="","",IF('ORDENES'!$AH455="","-",'ORDENES'!$AH455))</f>
        <v/>
      </c>
      <c r="D477" s="5">
        <f>IF('ORDENES'!$A455="","",IF('ORDENES'!$Z455="","-",'ORDENES'!$Z455))</f>
        <v/>
      </c>
      <c r="E477" s="5">
        <f>IF('ORDENES'!$A455="","",IF('ORDENES'!$X455="","-",'ORDENES'!$X455))</f>
        <v/>
      </c>
      <c r="F477" s="5">
        <f>IF('ORDENES'!$A455="","",IF('ORDENES'!$AA455="","-",'ORDENES'!$AA455))</f>
        <v/>
      </c>
      <c r="G477" s="5">
        <f>IF('ORDENES'!$A455="","",IF('ORDENES'!$Y455="","-",'ORDENES'!$Y455))</f>
        <v/>
      </c>
      <c r="H477" s="5">
        <f>IF('ORDENES'!$A455="","",IF('ORDENES'!$AG455="","-",'ORDENES'!$AG455))</f>
        <v/>
      </c>
      <c r="I477" s="5">
        <f>IF('ORDENES'!$A455="","",IF('ORDENES'!$AT455="","-",'ORDENES'!$AT455))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0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IF('ORDENES'!$A455="","",'ORDENES'!$AF455)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IF('ORDENES'!$A456="","",IF('ORDENES'!$AH456="","-",'ORDENES'!$AH456))</f>
        <v/>
      </c>
      <c r="D478" s="5">
        <f>IF('ORDENES'!$A456="","",IF('ORDENES'!$Z456="","-",'ORDENES'!$Z456))</f>
        <v/>
      </c>
      <c r="E478" s="5">
        <f>IF('ORDENES'!$A456="","",IF('ORDENES'!$X456="","-",'ORDENES'!$X456))</f>
        <v/>
      </c>
      <c r="F478" s="5">
        <f>IF('ORDENES'!$A456="","",IF('ORDENES'!$AA456="","-",'ORDENES'!$AA456))</f>
        <v/>
      </c>
      <c r="G478" s="5">
        <f>IF('ORDENES'!$A456="","",IF('ORDENES'!$Y456="","-",'ORDENES'!$Y456))</f>
        <v/>
      </c>
      <c r="H478" s="5">
        <f>IF('ORDENES'!$A456="","",IF('ORDENES'!$AG456="","-",'ORDENES'!$AG456))</f>
        <v/>
      </c>
      <c r="I478" s="5">
        <f>IF('ORDENES'!$A456="","",IF('ORDENES'!$AT456="","-",'ORDENES'!$AT456))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0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IF('ORDENES'!$A456="","",'ORDENES'!$AF456)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IF('ORDENES'!$A457="","",IF('ORDENES'!$AH457="","-",'ORDENES'!$AH457))</f>
        <v/>
      </c>
      <c r="D479" s="5">
        <f>IF('ORDENES'!$A457="","",IF('ORDENES'!$Z457="","-",'ORDENES'!$Z457))</f>
        <v/>
      </c>
      <c r="E479" s="5">
        <f>IF('ORDENES'!$A457="","",IF('ORDENES'!$X457="","-",'ORDENES'!$X457))</f>
        <v/>
      </c>
      <c r="F479" s="5">
        <f>IF('ORDENES'!$A457="","",IF('ORDENES'!$AA457="","-",'ORDENES'!$AA457))</f>
        <v/>
      </c>
      <c r="G479" s="5">
        <f>IF('ORDENES'!$A457="","",IF('ORDENES'!$Y457="","-",'ORDENES'!$Y457))</f>
        <v/>
      </c>
      <c r="H479" s="5">
        <f>IF('ORDENES'!$A457="","",IF('ORDENES'!$AG457="","-",'ORDENES'!$AG457))</f>
        <v/>
      </c>
      <c r="I479" s="5">
        <f>IF('ORDENES'!$A457="","",IF('ORDENES'!$AT457="","-",'ORDENES'!$AT457))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0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IF('ORDENES'!$A457="","",'ORDENES'!$AF457)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IF('ORDENES'!$A458="","",IF('ORDENES'!$AH458="","-",'ORDENES'!$AH458))</f>
        <v/>
      </c>
      <c r="D480" s="5">
        <f>IF('ORDENES'!$A458="","",IF('ORDENES'!$Z458="","-",'ORDENES'!$Z458))</f>
        <v/>
      </c>
      <c r="E480" s="5">
        <f>IF('ORDENES'!$A458="","",IF('ORDENES'!$X458="","-",'ORDENES'!$X458))</f>
        <v/>
      </c>
      <c r="F480" s="5">
        <f>IF('ORDENES'!$A458="","",IF('ORDENES'!$AA458="","-",'ORDENES'!$AA458))</f>
        <v/>
      </c>
      <c r="G480" s="5">
        <f>IF('ORDENES'!$A458="","",IF('ORDENES'!$Y458="","-",'ORDENES'!$Y458))</f>
        <v/>
      </c>
      <c r="H480" s="5">
        <f>IF('ORDENES'!$A458="","",IF('ORDENES'!$AG458="","-",'ORDENES'!$AG458))</f>
        <v/>
      </c>
      <c r="I480" s="5">
        <f>IF('ORDENES'!$A458="","",IF('ORDENES'!$AT458="","-",'ORDENES'!$AT458))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0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IF('ORDENES'!$A458="","",'ORDENES'!$AF458)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IF('ORDENES'!$A459="","",IF('ORDENES'!$AH459="","-",'ORDENES'!$AH459))</f>
        <v/>
      </c>
      <c r="D481" s="5">
        <f>IF('ORDENES'!$A459="","",IF('ORDENES'!$Z459="","-",'ORDENES'!$Z459))</f>
        <v/>
      </c>
      <c r="E481" s="5">
        <f>IF('ORDENES'!$A459="","",IF('ORDENES'!$X459="","-",'ORDENES'!$X459))</f>
        <v/>
      </c>
      <c r="F481" s="5">
        <f>IF('ORDENES'!$A459="","",IF('ORDENES'!$AA459="","-",'ORDENES'!$AA459))</f>
        <v/>
      </c>
      <c r="G481" s="5">
        <f>IF('ORDENES'!$A459="","",IF('ORDENES'!$Y459="","-",'ORDENES'!$Y459))</f>
        <v/>
      </c>
      <c r="H481" s="5">
        <f>IF('ORDENES'!$A459="","",IF('ORDENES'!$AG459="","-",'ORDENES'!$AG459))</f>
        <v/>
      </c>
      <c r="I481" s="5">
        <f>IF('ORDENES'!$A459="","",IF('ORDENES'!$AT459="","-",'ORDENES'!$AT459))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0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IF('ORDENES'!$A459="","",'ORDENES'!$AF459)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IF('ORDENES'!$A460="","",IF('ORDENES'!$AH460="","-",'ORDENES'!$AH460))</f>
        <v/>
      </c>
      <c r="D482" s="5">
        <f>IF('ORDENES'!$A460="","",IF('ORDENES'!$Z460="","-",'ORDENES'!$Z460))</f>
        <v/>
      </c>
      <c r="E482" s="5">
        <f>IF('ORDENES'!$A460="","",IF('ORDENES'!$X460="","-",'ORDENES'!$X460))</f>
        <v/>
      </c>
      <c r="F482" s="5">
        <f>IF('ORDENES'!$A460="","",IF('ORDENES'!$AA460="","-",'ORDENES'!$AA460))</f>
        <v/>
      </c>
      <c r="G482" s="5">
        <f>IF('ORDENES'!$A460="","",IF('ORDENES'!$Y460="","-",'ORDENES'!$Y460))</f>
        <v/>
      </c>
      <c r="H482" s="5">
        <f>IF('ORDENES'!$A460="","",IF('ORDENES'!$AG460="","-",'ORDENES'!$AG460))</f>
        <v/>
      </c>
      <c r="I482" s="5">
        <f>IF('ORDENES'!$A460="","",IF('ORDENES'!$AT460="","-",'ORDENES'!$AT460))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0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IF('ORDENES'!$A460="","",'ORDENES'!$AF460)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IF('ORDENES'!$A461="","",IF('ORDENES'!$AH461="","-",'ORDENES'!$AH461))</f>
        <v/>
      </c>
      <c r="D483" s="5">
        <f>IF('ORDENES'!$A461="","",IF('ORDENES'!$Z461="","-",'ORDENES'!$Z461))</f>
        <v/>
      </c>
      <c r="E483" s="5">
        <f>IF('ORDENES'!$A461="","",IF('ORDENES'!$X461="","-",'ORDENES'!$X461))</f>
        <v/>
      </c>
      <c r="F483" s="5">
        <f>IF('ORDENES'!$A461="","",IF('ORDENES'!$AA461="","-",'ORDENES'!$AA461))</f>
        <v/>
      </c>
      <c r="G483" s="5">
        <f>IF('ORDENES'!$A461="","",IF('ORDENES'!$Y461="","-",'ORDENES'!$Y461))</f>
        <v/>
      </c>
      <c r="H483" s="5">
        <f>IF('ORDENES'!$A461="","",IF('ORDENES'!$AG461="","-",'ORDENES'!$AG461))</f>
        <v/>
      </c>
      <c r="I483" s="5">
        <f>IF('ORDENES'!$A461="","",IF('ORDENES'!$AT461="","-",'ORDENES'!$AT461))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0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IF('ORDENES'!$A461="","",'ORDENES'!$AF461)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IF('ORDENES'!$A462="","",IF('ORDENES'!$AH462="","-",'ORDENES'!$AH462))</f>
        <v/>
      </c>
      <c r="D484" s="5">
        <f>IF('ORDENES'!$A462="","",IF('ORDENES'!$Z462="","-",'ORDENES'!$Z462))</f>
        <v/>
      </c>
      <c r="E484" s="5">
        <f>IF('ORDENES'!$A462="","",IF('ORDENES'!$X462="","-",'ORDENES'!$X462))</f>
        <v/>
      </c>
      <c r="F484" s="5">
        <f>IF('ORDENES'!$A462="","",IF('ORDENES'!$AA462="","-",'ORDENES'!$AA462))</f>
        <v/>
      </c>
      <c r="G484" s="5">
        <f>IF('ORDENES'!$A462="","",IF('ORDENES'!$Y462="","-",'ORDENES'!$Y462))</f>
        <v/>
      </c>
      <c r="H484" s="5">
        <f>IF('ORDENES'!$A462="","",IF('ORDENES'!$AG462="","-",'ORDENES'!$AG462))</f>
        <v/>
      </c>
      <c r="I484" s="5">
        <f>IF('ORDENES'!$A462="","",IF('ORDENES'!$AT462="","-",'ORDENES'!$AT462))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0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IF('ORDENES'!$A462="","",'ORDENES'!$AF462)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IF('ORDENES'!$A463="","",IF('ORDENES'!$AH463="","-",'ORDENES'!$AH463))</f>
        <v/>
      </c>
      <c r="D485" s="5">
        <f>IF('ORDENES'!$A463="","",IF('ORDENES'!$Z463="","-",'ORDENES'!$Z463))</f>
        <v/>
      </c>
      <c r="E485" s="5">
        <f>IF('ORDENES'!$A463="","",IF('ORDENES'!$X463="","-",'ORDENES'!$X463))</f>
        <v/>
      </c>
      <c r="F485" s="5">
        <f>IF('ORDENES'!$A463="","",IF('ORDENES'!$AA463="","-",'ORDENES'!$AA463))</f>
        <v/>
      </c>
      <c r="G485" s="5">
        <f>IF('ORDENES'!$A463="","",IF('ORDENES'!$Y463="","-",'ORDENES'!$Y463))</f>
        <v/>
      </c>
      <c r="H485" s="5">
        <f>IF('ORDENES'!$A463="","",IF('ORDENES'!$AG463="","-",'ORDENES'!$AG463))</f>
        <v/>
      </c>
      <c r="I485" s="5">
        <f>IF('ORDENES'!$A463="","",IF('ORDENES'!$AT463="","-",'ORDENES'!$AT463))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0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IF('ORDENES'!$A463="","",'ORDENES'!$AF463)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IF('ORDENES'!$A464="","",IF('ORDENES'!$AH464="","-",'ORDENES'!$AH464))</f>
        <v/>
      </c>
      <c r="D486" s="5">
        <f>IF('ORDENES'!$A464="","",IF('ORDENES'!$Z464="","-",'ORDENES'!$Z464))</f>
        <v/>
      </c>
      <c r="E486" s="5">
        <f>IF('ORDENES'!$A464="","",IF('ORDENES'!$X464="","-",'ORDENES'!$X464))</f>
        <v/>
      </c>
      <c r="F486" s="5">
        <f>IF('ORDENES'!$A464="","",IF('ORDENES'!$AA464="","-",'ORDENES'!$AA464))</f>
        <v/>
      </c>
      <c r="G486" s="5">
        <f>IF('ORDENES'!$A464="","",IF('ORDENES'!$Y464="","-",'ORDENES'!$Y464))</f>
        <v/>
      </c>
      <c r="H486" s="5">
        <f>IF('ORDENES'!$A464="","",IF('ORDENES'!$AG464="","-",'ORDENES'!$AG464))</f>
        <v/>
      </c>
      <c r="I486" s="5">
        <f>IF('ORDENES'!$A464="","",IF('ORDENES'!$AT464="","-",'ORDENES'!$AT464))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0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IF('ORDENES'!$A464="","",'ORDENES'!$AF464)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IF('ORDENES'!$A465="","",IF('ORDENES'!$AH465="","-",'ORDENES'!$AH465))</f>
        <v/>
      </c>
      <c r="D487" s="5">
        <f>IF('ORDENES'!$A465="","",IF('ORDENES'!$Z465="","-",'ORDENES'!$Z465))</f>
        <v/>
      </c>
      <c r="E487" s="5">
        <f>IF('ORDENES'!$A465="","",IF('ORDENES'!$X465="","-",'ORDENES'!$X465))</f>
        <v/>
      </c>
      <c r="F487" s="5">
        <f>IF('ORDENES'!$A465="","",IF('ORDENES'!$AA465="","-",'ORDENES'!$AA465))</f>
        <v/>
      </c>
      <c r="G487" s="5">
        <f>IF('ORDENES'!$A465="","",IF('ORDENES'!$Y465="","-",'ORDENES'!$Y465))</f>
        <v/>
      </c>
      <c r="H487" s="5">
        <f>IF('ORDENES'!$A465="","",IF('ORDENES'!$AG465="","-",'ORDENES'!$AG465))</f>
        <v/>
      </c>
      <c r="I487" s="5">
        <f>IF('ORDENES'!$A465="","",IF('ORDENES'!$AT465="","-",'ORDENES'!$AT465))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0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IF('ORDENES'!$A465="","",'ORDENES'!$AF465)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IF('ORDENES'!$A466="","",IF('ORDENES'!$AH466="","-",'ORDENES'!$AH466))</f>
        <v/>
      </c>
      <c r="D488" s="5">
        <f>IF('ORDENES'!$A466="","",IF('ORDENES'!$Z466="","-",'ORDENES'!$Z466))</f>
        <v/>
      </c>
      <c r="E488" s="5">
        <f>IF('ORDENES'!$A466="","",IF('ORDENES'!$X466="","-",'ORDENES'!$X466))</f>
        <v/>
      </c>
      <c r="F488" s="5">
        <f>IF('ORDENES'!$A466="","",IF('ORDENES'!$AA466="","-",'ORDENES'!$AA466))</f>
        <v/>
      </c>
      <c r="G488" s="5">
        <f>IF('ORDENES'!$A466="","",IF('ORDENES'!$Y466="","-",'ORDENES'!$Y466))</f>
        <v/>
      </c>
      <c r="H488" s="5">
        <f>IF('ORDENES'!$A466="","",IF('ORDENES'!$AG466="","-",'ORDENES'!$AG466))</f>
        <v/>
      </c>
      <c r="I488" s="5">
        <f>IF('ORDENES'!$A466="","",IF('ORDENES'!$AT466="","-",'ORDENES'!$AT466))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0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IF('ORDENES'!$A466="","",'ORDENES'!$AF466)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IF('ORDENES'!$A467="","",IF('ORDENES'!$AH467="","-",'ORDENES'!$AH467))</f>
        <v/>
      </c>
      <c r="D489" s="5">
        <f>IF('ORDENES'!$A467="","",IF('ORDENES'!$Z467="","-",'ORDENES'!$Z467))</f>
        <v/>
      </c>
      <c r="E489" s="5">
        <f>IF('ORDENES'!$A467="","",IF('ORDENES'!$X467="","-",'ORDENES'!$X467))</f>
        <v/>
      </c>
      <c r="F489" s="5">
        <f>IF('ORDENES'!$A467="","",IF('ORDENES'!$AA467="","-",'ORDENES'!$AA467))</f>
        <v/>
      </c>
      <c r="G489" s="5">
        <f>IF('ORDENES'!$A467="","",IF('ORDENES'!$Y467="","-",'ORDENES'!$Y467))</f>
        <v/>
      </c>
      <c r="H489" s="5">
        <f>IF('ORDENES'!$A467="","",IF('ORDENES'!$AG467="","-",'ORDENES'!$AG467))</f>
        <v/>
      </c>
      <c r="I489" s="5">
        <f>IF('ORDENES'!$A467="","",IF('ORDENES'!$AT467="","-",'ORDENES'!$AT467))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0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IF('ORDENES'!$A467="","",'ORDENES'!$AF467)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IF('ORDENES'!$A468="","",IF('ORDENES'!$AH468="","-",'ORDENES'!$AH468))</f>
        <v/>
      </c>
      <c r="D490" s="5">
        <f>IF('ORDENES'!$A468="","",IF('ORDENES'!$Z468="","-",'ORDENES'!$Z468))</f>
        <v/>
      </c>
      <c r="E490" s="5">
        <f>IF('ORDENES'!$A468="","",IF('ORDENES'!$X468="","-",'ORDENES'!$X468))</f>
        <v/>
      </c>
      <c r="F490" s="5">
        <f>IF('ORDENES'!$A468="","",IF('ORDENES'!$AA468="","-",'ORDENES'!$AA468))</f>
        <v/>
      </c>
      <c r="G490" s="5">
        <f>IF('ORDENES'!$A468="","",IF('ORDENES'!$Y468="","-",'ORDENES'!$Y468))</f>
        <v/>
      </c>
      <c r="H490" s="5">
        <f>IF('ORDENES'!$A468="","",IF('ORDENES'!$AG468="","-",'ORDENES'!$AG468))</f>
        <v/>
      </c>
      <c r="I490" s="5">
        <f>IF('ORDENES'!$A468="","",IF('ORDENES'!$AT468="","-",'ORDENES'!$AT468))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0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IF('ORDENES'!$A468="","",'ORDENES'!$AF468)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IF('ORDENES'!$A469="","",IF('ORDENES'!$AH469="","-",'ORDENES'!$AH469))</f>
        <v/>
      </c>
      <c r="D491" s="5">
        <f>IF('ORDENES'!$A469="","",IF('ORDENES'!$Z469="","-",'ORDENES'!$Z469))</f>
        <v/>
      </c>
      <c r="E491" s="5">
        <f>IF('ORDENES'!$A469="","",IF('ORDENES'!$X469="","-",'ORDENES'!$X469))</f>
        <v/>
      </c>
      <c r="F491" s="5">
        <f>IF('ORDENES'!$A469="","",IF('ORDENES'!$AA469="","-",'ORDENES'!$AA469))</f>
        <v/>
      </c>
      <c r="G491" s="5">
        <f>IF('ORDENES'!$A469="","",IF('ORDENES'!$Y469="","-",'ORDENES'!$Y469))</f>
        <v/>
      </c>
      <c r="H491" s="5">
        <f>IF('ORDENES'!$A469="","",IF('ORDENES'!$AG469="","-",'ORDENES'!$AG469))</f>
        <v/>
      </c>
      <c r="I491" s="5">
        <f>IF('ORDENES'!$A469="","",IF('ORDENES'!$AT469="","-",'ORDENES'!$AT469))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0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IF('ORDENES'!$A469="","",'ORDENES'!$AF469)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IF('ORDENES'!$A470="","",IF('ORDENES'!$AH470="","-",'ORDENES'!$AH470))</f>
        <v/>
      </c>
      <c r="D492" s="5">
        <f>IF('ORDENES'!$A470="","",IF('ORDENES'!$Z470="","-",'ORDENES'!$Z470))</f>
        <v/>
      </c>
      <c r="E492" s="5">
        <f>IF('ORDENES'!$A470="","",IF('ORDENES'!$X470="","-",'ORDENES'!$X470))</f>
        <v/>
      </c>
      <c r="F492" s="5">
        <f>IF('ORDENES'!$A470="","",IF('ORDENES'!$AA470="","-",'ORDENES'!$AA470))</f>
        <v/>
      </c>
      <c r="G492" s="5">
        <f>IF('ORDENES'!$A470="","",IF('ORDENES'!$Y470="","-",'ORDENES'!$Y470))</f>
        <v/>
      </c>
      <c r="H492" s="5">
        <f>IF('ORDENES'!$A470="","",IF('ORDENES'!$AG470="","-",'ORDENES'!$AG470))</f>
        <v/>
      </c>
      <c r="I492" s="5">
        <f>IF('ORDENES'!$A470="","",IF('ORDENES'!$AT470="","-",'ORDENES'!$AT470))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0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IF('ORDENES'!$A470="","",'ORDENES'!$AF470)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IF('ORDENES'!$A471="","",IF('ORDENES'!$AH471="","-",'ORDENES'!$AH471))</f>
        <v/>
      </c>
      <c r="D493" s="5">
        <f>IF('ORDENES'!$A471="","",IF('ORDENES'!$Z471="","-",'ORDENES'!$Z471))</f>
        <v/>
      </c>
      <c r="E493" s="5">
        <f>IF('ORDENES'!$A471="","",IF('ORDENES'!$X471="","-",'ORDENES'!$X471))</f>
        <v/>
      </c>
      <c r="F493" s="5">
        <f>IF('ORDENES'!$A471="","",IF('ORDENES'!$AA471="","-",'ORDENES'!$AA471))</f>
        <v/>
      </c>
      <c r="G493" s="5">
        <f>IF('ORDENES'!$A471="","",IF('ORDENES'!$Y471="","-",'ORDENES'!$Y471))</f>
        <v/>
      </c>
      <c r="H493" s="5">
        <f>IF('ORDENES'!$A471="","",IF('ORDENES'!$AG471="","-",'ORDENES'!$AG471))</f>
        <v/>
      </c>
      <c r="I493" s="5">
        <f>IF('ORDENES'!$A471="","",IF('ORDENES'!$AT471="","-",'ORDENES'!$AT471))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0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IF('ORDENES'!$A471="","",'ORDENES'!$AF471)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IF('ORDENES'!$A472="","",IF('ORDENES'!$AH472="","-",'ORDENES'!$AH472))</f>
        <v/>
      </c>
      <c r="D494" s="5">
        <f>IF('ORDENES'!$A472="","",IF('ORDENES'!$Z472="","-",'ORDENES'!$Z472))</f>
        <v/>
      </c>
      <c r="E494" s="5">
        <f>IF('ORDENES'!$A472="","",IF('ORDENES'!$X472="","-",'ORDENES'!$X472))</f>
        <v/>
      </c>
      <c r="F494" s="5">
        <f>IF('ORDENES'!$A472="","",IF('ORDENES'!$AA472="","-",'ORDENES'!$AA472))</f>
        <v/>
      </c>
      <c r="G494" s="5">
        <f>IF('ORDENES'!$A472="","",IF('ORDENES'!$Y472="","-",'ORDENES'!$Y472))</f>
        <v/>
      </c>
      <c r="H494" s="5">
        <f>IF('ORDENES'!$A472="","",IF('ORDENES'!$AG472="","-",'ORDENES'!$AG472))</f>
        <v/>
      </c>
      <c r="I494" s="5">
        <f>IF('ORDENES'!$A472="","",IF('ORDENES'!$AT472="","-",'ORDENES'!$AT472))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0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IF('ORDENES'!$A472="","",'ORDENES'!$AF472)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IF('ORDENES'!$A473="","",IF('ORDENES'!$AH473="","-",'ORDENES'!$AH473))</f>
        <v/>
      </c>
      <c r="D495" s="5">
        <f>IF('ORDENES'!$A473="","",IF('ORDENES'!$Z473="","-",'ORDENES'!$Z473))</f>
        <v/>
      </c>
      <c r="E495" s="5">
        <f>IF('ORDENES'!$A473="","",IF('ORDENES'!$X473="","-",'ORDENES'!$X473))</f>
        <v/>
      </c>
      <c r="F495" s="5">
        <f>IF('ORDENES'!$A473="","",IF('ORDENES'!$AA473="","-",'ORDENES'!$AA473))</f>
        <v/>
      </c>
      <c r="G495" s="5">
        <f>IF('ORDENES'!$A473="","",IF('ORDENES'!$Y473="","-",'ORDENES'!$Y473))</f>
        <v/>
      </c>
      <c r="H495" s="5">
        <f>IF('ORDENES'!$A473="","",IF('ORDENES'!$AG473="","-",'ORDENES'!$AG473))</f>
        <v/>
      </c>
      <c r="I495" s="5">
        <f>IF('ORDENES'!$A473="","",IF('ORDENES'!$AT473="","-",'ORDENES'!$AT473))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0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IF('ORDENES'!$A473="","",'ORDENES'!$AF473)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IF('ORDENES'!$A474="","",IF('ORDENES'!$AH474="","-",'ORDENES'!$AH474))</f>
        <v/>
      </c>
      <c r="D496" s="5">
        <f>IF('ORDENES'!$A474="","",IF('ORDENES'!$Z474="","-",'ORDENES'!$Z474))</f>
        <v/>
      </c>
      <c r="E496" s="5">
        <f>IF('ORDENES'!$A474="","",IF('ORDENES'!$X474="","-",'ORDENES'!$X474))</f>
        <v/>
      </c>
      <c r="F496" s="5">
        <f>IF('ORDENES'!$A474="","",IF('ORDENES'!$AA474="","-",'ORDENES'!$AA474))</f>
        <v/>
      </c>
      <c r="G496" s="5">
        <f>IF('ORDENES'!$A474="","",IF('ORDENES'!$Y474="","-",'ORDENES'!$Y474))</f>
        <v/>
      </c>
      <c r="H496" s="5">
        <f>IF('ORDENES'!$A474="","",IF('ORDENES'!$AG474="","-",'ORDENES'!$AG474))</f>
        <v/>
      </c>
      <c r="I496" s="5">
        <f>IF('ORDENES'!$A474="","",IF('ORDENES'!$AT474="","-",'ORDENES'!$AT474))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0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IF('ORDENES'!$A474="","",'ORDENES'!$AF474)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IF('ORDENES'!$A475="","",IF('ORDENES'!$AH475="","-",'ORDENES'!$AH475))</f>
        <v/>
      </c>
      <c r="D497" s="5">
        <f>IF('ORDENES'!$A475="","",IF('ORDENES'!$Z475="","-",'ORDENES'!$Z475))</f>
        <v/>
      </c>
      <c r="E497" s="5">
        <f>IF('ORDENES'!$A475="","",IF('ORDENES'!$X475="","-",'ORDENES'!$X475))</f>
        <v/>
      </c>
      <c r="F497" s="5">
        <f>IF('ORDENES'!$A475="","",IF('ORDENES'!$AA475="","-",'ORDENES'!$AA475))</f>
        <v/>
      </c>
      <c r="G497" s="5">
        <f>IF('ORDENES'!$A475="","",IF('ORDENES'!$Y475="","-",'ORDENES'!$Y475))</f>
        <v/>
      </c>
      <c r="H497" s="5">
        <f>IF('ORDENES'!$A475="","",IF('ORDENES'!$AG475="","-",'ORDENES'!$AG475))</f>
        <v/>
      </c>
      <c r="I497" s="5">
        <f>IF('ORDENES'!$A475="","",IF('ORDENES'!$AT475="","-",'ORDENES'!$AT475))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0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IF('ORDENES'!$A475="","",'ORDENES'!$AF475)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IF('ORDENES'!$A476="","",IF('ORDENES'!$AH476="","-",'ORDENES'!$AH476))</f>
        <v/>
      </c>
      <c r="D498" s="5">
        <f>IF('ORDENES'!$A476="","",IF('ORDENES'!$Z476="","-",'ORDENES'!$Z476))</f>
        <v/>
      </c>
      <c r="E498" s="5">
        <f>IF('ORDENES'!$A476="","",IF('ORDENES'!$X476="","-",'ORDENES'!$X476))</f>
        <v/>
      </c>
      <c r="F498" s="5">
        <f>IF('ORDENES'!$A476="","",IF('ORDENES'!$AA476="","-",'ORDENES'!$AA476))</f>
        <v/>
      </c>
      <c r="G498" s="5">
        <f>IF('ORDENES'!$A476="","",IF('ORDENES'!$Y476="","-",'ORDENES'!$Y476))</f>
        <v/>
      </c>
      <c r="H498" s="5">
        <f>IF('ORDENES'!$A476="","",IF('ORDENES'!$AG476="","-",'ORDENES'!$AG476))</f>
        <v/>
      </c>
      <c r="I498" s="5">
        <f>IF('ORDENES'!$A476="","",IF('ORDENES'!$AT476="","-",'ORDENES'!$AT476))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0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IF('ORDENES'!$A476="","",'ORDENES'!$AF476)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IF('ORDENES'!$A477="","",IF('ORDENES'!$AH477="","-",'ORDENES'!$AH477))</f>
        <v/>
      </c>
      <c r="D499" s="5">
        <f>IF('ORDENES'!$A477="","",IF('ORDENES'!$Z477="","-",'ORDENES'!$Z477))</f>
        <v/>
      </c>
      <c r="E499" s="5">
        <f>IF('ORDENES'!$A477="","",IF('ORDENES'!$X477="","-",'ORDENES'!$X477))</f>
        <v/>
      </c>
      <c r="F499" s="5">
        <f>IF('ORDENES'!$A477="","",IF('ORDENES'!$AA477="","-",'ORDENES'!$AA477))</f>
        <v/>
      </c>
      <c r="G499" s="5">
        <f>IF('ORDENES'!$A477="","",IF('ORDENES'!$Y477="","-",'ORDENES'!$Y477))</f>
        <v/>
      </c>
      <c r="H499" s="5">
        <f>IF('ORDENES'!$A477="","",IF('ORDENES'!$AG477="","-",'ORDENES'!$AG477))</f>
        <v/>
      </c>
      <c r="I499" s="5">
        <f>IF('ORDENES'!$A477="","",IF('ORDENES'!$AT477="","-",'ORDENES'!$AT477))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0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IF('ORDENES'!$A477="","",'ORDENES'!$AF477)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IF('ORDENES'!$A478="","",IF('ORDENES'!$AH478="","-",'ORDENES'!$AH478))</f>
        <v/>
      </c>
      <c r="D500" s="5">
        <f>IF('ORDENES'!$A478="","",IF('ORDENES'!$Z478="","-",'ORDENES'!$Z478))</f>
        <v/>
      </c>
      <c r="E500" s="5">
        <f>IF('ORDENES'!$A478="","",IF('ORDENES'!$X478="","-",'ORDENES'!$X478))</f>
        <v/>
      </c>
      <c r="F500" s="5">
        <f>IF('ORDENES'!$A478="","",IF('ORDENES'!$AA478="","-",'ORDENES'!$AA478))</f>
        <v/>
      </c>
      <c r="G500" s="5">
        <f>IF('ORDENES'!$A478="","",IF('ORDENES'!$Y478="","-",'ORDENES'!$Y478))</f>
        <v/>
      </c>
      <c r="H500" s="5">
        <f>IF('ORDENES'!$A478="","",IF('ORDENES'!$AG478="","-",'ORDENES'!$AG478))</f>
        <v/>
      </c>
      <c r="I500" s="5">
        <f>IF('ORDENES'!$A478="","",IF('ORDENES'!$AT478="","-",'ORDENES'!$AT478))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0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IF('ORDENES'!$A478="","",'ORDENES'!$AF478)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IF('ORDENES'!$A479="","",IF('ORDENES'!$AH479="","-",'ORDENES'!$AH479))</f>
        <v/>
      </c>
      <c r="D501" s="5">
        <f>IF('ORDENES'!$A479="","",IF('ORDENES'!$Z479="","-",'ORDENES'!$Z479))</f>
        <v/>
      </c>
      <c r="E501" s="5">
        <f>IF('ORDENES'!$A479="","",IF('ORDENES'!$X479="","-",'ORDENES'!$X479))</f>
        <v/>
      </c>
      <c r="F501" s="5">
        <f>IF('ORDENES'!$A479="","",IF('ORDENES'!$AA479="","-",'ORDENES'!$AA479))</f>
        <v/>
      </c>
      <c r="G501" s="5">
        <f>IF('ORDENES'!$A479="","",IF('ORDENES'!$Y479="","-",'ORDENES'!$Y479))</f>
        <v/>
      </c>
      <c r="H501" s="5">
        <f>IF('ORDENES'!$A479="","",IF('ORDENES'!$AG479="","-",'ORDENES'!$AG479))</f>
        <v/>
      </c>
      <c r="I501" s="5">
        <f>IF('ORDENES'!$A479="","",IF('ORDENES'!$AT479="","-",'ORDENES'!$AT479))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0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IF('ORDENES'!$A479="","",'ORDENES'!$AF479)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IF('ORDENES'!$A480="","",IF('ORDENES'!$AH480="","-",'ORDENES'!$AH480))</f>
        <v/>
      </c>
      <c r="D502" s="5">
        <f>IF('ORDENES'!$A480="","",IF('ORDENES'!$Z480="","-",'ORDENES'!$Z480))</f>
        <v/>
      </c>
      <c r="E502" s="5">
        <f>IF('ORDENES'!$A480="","",IF('ORDENES'!$X480="","-",'ORDENES'!$X480))</f>
        <v/>
      </c>
      <c r="F502" s="5">
        <f>IF('ORDENES'!$A480="","",IF('ORDENES'!$AA480="","-",'ORDENES'!$AA480))</f>
        <v/>
      </c>
      <c r="G502" s="5">
        <f>IF('ORDENES'!$A480="","",IF('ORDENES'!$Y480="","-",'ORDENES'!$Y480))</f>
        <v/>
      </c>
      <c r="H502" s="5">
        <f>IF('ORDENES'!$A480="","",IF('ORDENES'!$AG480="","-",'ORDENES'!$AG480))</f>
        <v/>
      </c>
      <c r="I502" s="5">
        <f>IF('ORDENES'!$A480="","",IF('ORDENES'!$AT480="","-",'ORDENES'!$AT480))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0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IF('ORDENES'!$A480="","",'ORDENES'!$AF480)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IF('ORDENES'!$A481="","",IF('ORDENES'!$AH481="","-",'ORDENES'!$AH481))</f>
        <v/>
      </c>
      <c r="D503" s="5">
        <f>IF('ORDENES'!$A481="","",IF('ORDENES'!$Z481="","-",'ORDENES'!$Z481))</f>
        <v/>
      </c>
      <c r="E503" s="5">
        <f>IF('ORDENES'!$A481="","",IF('ORDENES'!$X481="","-",'ORDENES'!$X481))</f>
        <v/>
      </c>
      <c r="F503" s="5">
        <f>IF('ORDENES'!$A481="","",IF('ORDENES'!$AA481="","-",'ORDENES'!$AA481))</f>
        <v/>
      </c>
      <c r="G503" s="5">
        <f>IF('ORDENES'!$A481="","",IF('ORDENES'!$Y481="","-",'ORDENES'!$Y481))</f>
        <v/>
      </c>
      <c r="H503" s="5">
        <f>IF('ORDENES'!$A481="","",IF('ORDENES'!$AG481="","-",'ORDENES'!$AG481))</f>
        <v/>
      </c>
      <c r="I503" s="5">
        <f>IF('ORDENES'!$A481="","",IF('ORDENES'!$AT481="","-",'ORDENES'!$AT481))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0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IF('ORDENES'!$A481="","",'ORDENES'!$AF481)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IF('ORDENES'!$A482="","",IF('ORDENES'!$AH482="","-",'ORDENES'!$AH482))</f>
        <v/>
      </c>
      <c r="D504" s="5">
        <f>IF('ORDENES'!$A482="","",IF('ORDENES'!$Z482="","-",'ORDENES'!$Z482))</f>
        <v/>
      </c>
      <c r="E504" s="5">
        <f>IF('ORDENES'!$A482="","",IF('ORDENES'!$X482="","-",'ORDENES'!$X482))</f>
        <v/>
      </c>
      <c r="F504" s="5">
        <f>IF('ORDENES'!$A482="","",IF('ORDENES'!$AA482="","-",'ORDENES'!$AA482))</f>
        <v/>
      </c>
      <c r="G504" s="5">
        <f>IF('ORDENES'!$A482="","",IF('ORDENES'!$Y482="","-",'ORDENES'!$Y482))</f>
        <v/>
      </c>
      <c r="H504" s="5">
        <f>IF('ORDENES'!$A482="","",IF('ORDENES'!$AG482="","-",'ORDENES'!$AG482))</f>
        <v/>
      </c>
      <c r="I504" s="5">
        <f>IF('ORDENES'!$A482="","",IF('ORDENES'!$AT482="","-",'ORDENES'!$AT482))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0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IF('ORDENES'!$A482="","",'ORDENES'!$AF482)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IF('ORDENES'!$A483="","",IF('ORDENES'!$AH483="","-",'ORDENES'!$AH483))</f>
        <v/>
      </c>
      <c r="D505" s="5">
        <f>IF('ORDENES'!$A483="","",IF('ORDENES'!$Z483="","-",'ORDENES'!$Z483))</f>
        <v/>
      </c>
      <c r="E505" s="5">
        <f>IF('ORDENES'!$A483="","",IF('ORDENES'!$X483="","-",'ORDENES'!$X483))</f>
        <v/>
      </c>
      <c r="F505" s="5">
        <f>IF('ORDENES'!$A483="","",IF('ORDENES'!$AA483="","-",'ORDENES'!$AA483))</f>
        <v/>
      </c>
      <c r="G505" s="5">
        <f>IF('ORDENES'!$A483="","",IF('ORDENES'!$Y483="","-",'ORDENES'!$Y483))</f>
        <v/>
      </c>
      <c r="H505" s="5">
        <f>IF('ORDENES'!$A483="","",IF('ORDENES'!$AG483="","-",'ORDENES'!$AG483))</f>
        <v/>
      </c>
      <c r="I505" s="5">
        <f>IF('ORDENES'!$A483="","",IF('ORDENES'!$AT483="","-",'ORDENES'!$AT483))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0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IF('ORDENES'!$A483="","",'ORDENES'!$AF483)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IF('ORDENES'!$A484="","",IF('ORDENES'!$AH484="","-",'ORDENES'!$AH484))</f>
        <v/>
      </c>
      <c r="D506" s="5">
        <f>IF('ORDENES'!$A484="","",IF('ORDENES'!$Z484="","-",'ORDENES'!$Z484))</f>
        <v/>
      </c>
      <c r="E506" s="5">
        <f>IF('ORDENES'!$A484="","",IF('ORDENES'!$X484="","-",'ORDENES'!$X484))</f>
        <v/>
      </c>
      <c r="F506" s="5">
        <f>IF('ORDENES'!$A484="","",IF('ORDENES'!$AA484="","-",'ORDENES'!$AA484))</f>
        <v/>
      </c>
      <c r="G506" s="5">
        <f>IF('ORDENES'!$A484="","",IF('ORDENES'!$Y484="","-",'ORDENES'!$Y484))</f>
        <v/>
      </c>
      <c r="H506" s="5">
        <f>IF('ORDENES'!$A484="","",IF('ORDENES'!$AG484="","-",'ORDENES'!$AG484))</f>
        <v/>
      </c>
      <c r="I506" s="5">
        <f>IF('ORDENES'!$A484="","",IF('ORDENES'!$AT484="","-",'ORDENES'!$AT484))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0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IF('ORDENES'!$A484="","",'ORDENES'!$AF484)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IF('ORDENES'!$A485="","",IF('ORDENES'!$AH485="","-",'ORDENES'!$AH485))</f>
        <v/>
      </c>
      <c r="D507" s="5">
        <f>IF('ORDENES'!$A485="","",IF('ORDENES'!$Z485="","-",'ORDENES'!$Z485))</f>
        <v/>
      </c>
      <c r="E507" s="5">
        <f>IF('ORDENES'!$A485="","",IF('ORDENES'!$X485="","-",'ORDENES'!$X485))</f>
        <v/>
      </c>
      <c r="F507" s="5">
        <f>IF('ORDENES'!$A485="","",IF('ORDENES'!$AA485="","-",'ORDENES'!$AA485))</f>
        <v/>
      </c>
      <c r="G507" s="5">
        <f>IF('ORDENES'!$A485="","",IF('ORDENES'!$Y485="","-",'ORDENES'!$Y485))</f>
        <v/>
      </c>
      <c r="H507" s="5">
        <f>IF('ORDENES'!$A485="","",IF('ORDENES'!$AG485="","-",'ORDENES'!$AG485))</f>
        <v/>
      </c>
      <c r="I507" s="5">
        <f>IF('ORDENES'!$A485="","",IF('ORDENES'!$AT485="","-",'ORDENES'!$AT485))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0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IF('ORDENES'!$A485="","",'ORDENES'!$AF485)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IF('ORDENES'!$A486="","",IF('ORDENES'!$AH486="","-",'ORDENES'!$AH486))</f>
        <v/>
      </c>
      <c r="D508" s="5">
        <f>IF('ORDENES'!$A486="","",IF('ORDENES'!$Z486="","-",'ORDENES'!$Z486))</f>
        <v/>
      </c>
      <c r="E508" s="5">
        <f>IF('ORDENES'!$A486="","",IF('ORDENES'!$X486="","-",'ORDENES'!$X486))</f>
        <v/>
      </c>
      <c r="F508" s="5">
        <f>IF('ORDENES'!$A486="","",IF('ORDENES'!$AA486="","-",'ORDENES'!$AA486))</f>
        <v/>
      </c>
      <c r="G508" s="5">
        <f>IF('ORDENES'!$A486="","",IF('ORDENES'!$Y486="","-",'ORDENES'!$Y486))</f>
        <v/>
      </c>
      <c r="H508" s="5">
        <f>IF('ORDENES'!$A486="","",IF('ORDENES'!$AG486="","-",'ORDENES'!$AG486))</f>
        <v/>
      </c>
      <c r="I508" s="5">
        <f>IF('ORDENES'!$A486="","",IF('ORDENES'!$AT486="","-",'ORDENES'!$AT486))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0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IF('ORDENES'!$A486="","",'ORDENES'!$AF486)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IF('ORDENES'!$A487="","",IF('ORDENES'!$AH487="","-",'ORDENES'!$AH487))</f>
        <v/>
      </c>
      <c r="D509" s="5">
        <f>IF('ORDENES'!$A487="","",IF('ORDENES'!$Z487="","-",'ORDENES'!$Z487))</f>
        <v/>
      </c>
      <c r="E509" s="5">
        <f>IF('ORDENES'!$A487="","",IF('ORDENES'!$X487="","-",'ORDENES'!$X487))</f>
        <v/>
      </c>
      <c r="F509" s="5">
        <f>IF('ORDENES'!$A487="","",IF('ORDENES'!$AA487="","-",'ORDENES'!$AA487))</f>
        <v/>
      </c>
      <c r="G509" s="5">
        <f>IF('ORDENES'!$A487="","",IF('ORDENES'!$Y487="","-",'ORDENES'!$Y487))</f>
        <v/>
      </c>
      <c r="H509" s="5">
        <f>IF('ORDENES'!$A487="","",IF('ORDENES'!$AG487="","-",'ORDENES'!$AG487))</f>
        <v/>
      </c>
      <c r="I509" s="5">
        <f>IF('ORDENES'!$A487="","",IF('ORDENES'!$AT487="","-",'ORDENES'!$AT487))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0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IF('ORDENES'!$A487="","",'ORDENES'!$AF487)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IF('ORDENES'!$A488="","",IF('ORDENES'!$AH488="","-",'ORDENES'!$AH488))</f>
        <v/>
      </c>
      <c r="D510" s="5">
        <f>IF('ORDENES'!$A488="","",IF('ORDENES'!$Z488="","-",'ORDENES'!$Z488))</f>
        <v/>
      </c>
      <c r="E510" s="5">
        <f>IF('ORDENES'!$A488="","",IF('ORDENES'!$X488="","-",'ORDENES'!$X488))</f>
        <v/>
      </c>
      <c r="F510" s="5">
        <f>IF('ORDENES'!$A488="","",IF('ORDENES'!$AA488="","-",'ORDENES'!$AA488))</f>
        <v/>
      </c>
      <c r="G510" s="5">
        <f>IF('ORDENES'!$A488="","",IF('ORDENES'!$Y488="","-",'ORDENES'!$Y488))</f>
        <v/>
      </c>
      <c r="H510" s="5">
        <f>IF('ORDENES'!$A488="","",IF('ORDENES'!$AG488="","-",'ORDENES'!$AG488))</f>
        <v/>
      </c>
      <c r="I510" s="5">
        <f>IF('ORDENES'!$A488="","",IF('ORDENES'!$AT488="","-",'ORDENES'!$AT488))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0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IF('ORDENES'!$A488="","",'ORDENES'!$AF488)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IF('ORDENES'!$A489="","",IF('ORDENES'!$AH489="","-",'ORDENES'!$AH489))</f>
        <v/>
      </c>
      <c r="D511" s="5">
        <f>IF('ORDENES'!$A489="","",IF('ORDENES'!$Z489="","-",'ORDENES'!$Z489))</f>
        <v/>
      </c>
      <c r="E511" s="5">
        <f>IF('ORDENES'!$A489="","",IF('ORDENES'!$X489="","-",'ORDENES'!$X489))</f>
        <v/>
      </c>
      <c r="F511" s="5">
        <f>IF('ORDENES'!$A489="","",IF('ORDENES'!$AA489="","-",'ORDENES'!$AA489))</f>
        <v/>
      </c>
      <c r="G511" s="5">
        <f>IF('ORDENES'!$A489="","",IF('ORDENES'!$Y489="","-",'ORDENES'!$Y489))</f>
        <v/>
      </c>
      <c r="H511" s="5">
        <f>IF('ORDENES'!$A489="","",IF('ORDENES'!$AG489="","-",'ORDENES'!$AG489))</f>
        <v/>
      </c>
      <c r="I511" s="5">
        <f>IF('ORDENES'!$A489="","",IF('ORDENES'!$AT489="","-",'ORDENES'!$AT489))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0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IF('ORDENES'!$A489="","",'ORDENES'!$AF489)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IF('ORDENES'!$A490="","",IF('ORDENES'!$AH490="","-",'ORDENES'!$AH490))</f>
        <v/>
      </c>
      <c r="D512" s="5">
        <f>IF('ORDENES'!$A490="","",IF('ORDENES'!$Z490="","-",'ORDENES'!$Z490))</f>
        <v/>
      </c>
      <c r="E512" s="5">
        <f>IF('ORDENES'!$A490="","",IF('ORDENES'!$X490="","-",'ORDENES'!$X490))</f>
        <v/>
      </c>
      <c r="F512" s="5">
        <f>IF('ORDENES'!$A490="","",IF('ORDENES'!$AA490="","-",'ORDENES'!$AA490))</f>
        <v/>
      </c>
      <c r="G512" s="5">
        <f>IF('ORDENES'!$A490="","",IF('ORDENES'!$Y490="","-",'ORDENES'!$Y490))</f>
        <v/>
      </c>
      <c r="H512" s="5">
        <f>IF('ORDENES'!$A490="","",IF('ORDENES'!$AG490="","-",'ORDENES'!$AG490))</f>
        <v/>
      </c>
      <c r="I512" s="5">
        <f>IF('ORDENES'!$A490="","",IF('ORDENES'!$AT490="","-",'ORDENES'!$AT490))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0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IF('ORDENES'!$A490="","",'ORDENES'!$AF490)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IF('ORDENES'!$A491="","",IF('ORDENES'!$AH491="","-",'ORDENES'!$AH491))</f>
        <v/>
      </c>
      <c r="D513" s="5">
        <f>IF('ORDENES'!$A491="","",IF('ORDENES'!$Z491="","-",'ORDENES'!$Z491))</f>
        <v/>
      </c>
      <c r="E513" s="5">
        <f>IF('ORDENES'!$A491="","",IF('ORDENES'!$X491="","-",'ORDENES'!$X491))</f>
        <v/>
      </c>
      <c r="F513" s="5">
        <f>IF('ORDENES'!$A491="","",IF('ORDENES'!$AA491="","-",'ORDENES'!$AA491))</f>
        <v/>
      </c>
      <c r="G513" s="5">
        <f>IF('ORDENES'!$A491="","",IF('ORDENES'!$Y491="","-",'ORDENES'!$Y491))</f>
        <v/>
      </c>
      <c r="H513" s="5">
        <f>IF('ORDENES'!$A491="","",IF('ORDENES'!$AG491="","-",'ORDENES'!$AG491))</f>
        <v/>
      </c>
      <c r="I513" s="5">
        <f>IF('ORDENES'!$A491="","",IF('ORDENES'!$AT491="","-",'ORDENES'!$AT491))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0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IF('ORDENES'!$A491="","",'ORDENES'!$AF491)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IF('ORDENES'!$A492="","",IF('ORDENES'!$AH492="","-",'ORDENES'!$AH492))</f>
        <v/>
      </c>
      <c r="D514" s="5">
        <f>IF('ORDENES'!$A492="","",IF('ORDENES'!$Z492="","-",'ORDENES'!$Z492))</f>
        <v/>
      </c>
      <c r="E514" s="5">
        <f>IF('ORDENES'!$A492="","",IF('ORDENES'!$X492="","-",'ORDENES'!$X492))</f>
        <v/>
      </c>
      <c r="F514" s="5">
        <f>IF('ORDENES'!$A492="","",IF('ORDENES'!$AA492="","-",'ORDENES'!$AA492))</f>
        <v/>
      </c>
      <c r="G514" s="5">
        <f>IF('ORDENES'!$A492="","",IF('ORDENES'!$Y492="","-",'ORDENES'!$Y492))</f>
        <v/>
      </c>
      <c r="H514" s="5">
        <f>IF('ORDENES'!$A492="","",IF('ORDENES'!$AG492="","-",'ORDENES'!$AG492))</f>
        <v/>
      </c>
      <c r="I514" s="5">
        <f>IF('ORDENES'!$A492="","",IF('ORDENES'!$AT492="","-",'ORDENES'!$AT492))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0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IF('ORDENES'!$A492="","",'ORDENES'!$AF492)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IF('ORDENES'!$A493="","",IF('ORDENES'!$AH493="","-",'ORDENES'!$AH493))</f>
        <v/>
      </c>
      <c r="D515" s="5">
        <f>IF('ORDENES'!$A493="","",IF('ORDENES'!$Z493="","-",'ORDENES'!$Z493))</f>
        <v/>
      </c>
      <c r="E515" s="5">
        <f>IF('ORDENES'!$A493="","",IF('ORDENES'!$X493="","-",'ORDENES'!$X493))</f>
        <v/>
      </c>
      <c r="F515" s="5">
        <f>IF('ORDENES'!$A493="","",IF('ORDENES'!$AA493="","-",'ORDENES'!$AA493))</f>
        <v/>
      </c>
      <c r="G515" s="5">
        <f>IF('ORDENES'!$A493="","",IF('ORDENES'!$Y493="","-",'ORDENES'!$Y493))</f>
        <v/>
      </c>
      <c r="H515" s="5">
        <f>IF('ORDENES'!$A493="","",IF('ORDENES'!$AG493="","-",'ORDENES'!$AG493))</f>
        <v/>
      </c>
      <c r="I515" s="5">
        <f>IF('ORDENES'!$A493="","",IF('ORDENES'!$AT493="","-",'ORDENES'!$AT493))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0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IF('ORDENES'!$A493="","",'ORDENES'!$AF493)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IF('ORDENES'!$A494="","",IF('ORDENES'!$AH494="","-",'ORDENES'!$AH494))</f>
        <v/>
      </c>
      <c r="D516" s="5">
        <f>IF('ORDENES'!$A494="","",IF('ORDENES'!$Z494="","-",'ORDENES'!$Z494))</f>
        <v/>
      </c>
      <c r="E516" s="5">
        <f>IF('ORDENES'!$A494="","",IF('ORDENES'!$X494="","-",'ORDENES'!$X494))</f>
        <v/>
      </c>
      <c r="F516" s="5">
        <f>IF('ORDENES'!$A494="","",IF('ORDENES'!$AA494="","-",'ORDENES'!$AA494))</f>
        <v/>
      </c>
      <c r="G516" s="5">
        <f>IF('ORDENES'!$A494="","",IF('ORDENES'!$Y494="","-",'ORDENES'!$Y494))</f>
        <v/>
      </c>
      <c r="H516" s="5">
        <f>IF('ORDENES'!$A494="","",IF('ORDENES'!$AG494="","-",'ORDENES'!$AG494))</f>
        <v/>
      </c>
      <c r="I516" s="5">
        <f>IF('ORDENES'!$A494="","",IF('ORDENES'!$AT494="","-",'ORDENES'!$AT494))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0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IF('ORDENES'!$A494="","",'ORDENES'!$AF494)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IF('ORDENES'!$A495="","",IF('ORDENES'!$AH495="","-",'ORDENES'!$AH495))</f>
        <v/>
      </c>
      <c r="D517" s="5">
        <f>IF('ORDENES'!$A495="","",IF('ORDENES'!$Z495="","-",'ORDENES'!$Z495))</f>
        <v/>
      </c>
      <c r="E517" s="5">
        <f>IF('ORDENES'!$A495="","",IF('ORDENES'!$X495="","-",'ORDENES'!$X495))</f>
        <v/>
      </c>
      <c r="F517" s="5">
        <f>IF('ORDENES'!$A495="","",IF('ORDENES'!$AA495="","-",'ORDENES'!$AA495))</f>
        <v/>
      </c>
      <c r="G517" s="5">
        <f>IF('ORDENES'!$A495="","",IF('ORDENES'!$Y495="","-",'ORDENES'!$Y495))</f>
        <v/>
      </c>
      <c r="H517" s="5">
        <f>IF('ORDENES'!$A495="","",IF('ORDENES'!$AG495="","-",'ORDENES'!$AG495))</f>
        <v/>
      </c>
      <c r="I517" s="5">
        <f>IF('ORDENES'!$A495="","",IF('ORDENES'!$AT495="","-",'ORDENES'!$AT495))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0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IF('ORDENES'!$A495="","",'ORDENES'!$AF495)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IF('ORDENES'!$A496="","",IF('ORDENES'!$AH496="","-",'ORDENES'!$AH496))</f>
        <v/>
      </c>
      <c r="D518" s="5">
        <f>IF('ORDENES'!$A496="","",IF('ORDENES'!$Z496="","-",'ORDENES'!$Z496))</f>
        <v/>
      </c>
      <c r="E518" s="5">
        <f>IF('ORDENES'!$A496="","",IF('ORDENES'!$X496="","-",'ORDENES'!$X496))</f>
        <v/>
      </c>
      <c r="F518" s="5">
        <f>IF('ORDENES'!$A496="","",IF('ORDENES'!$AA496="","-",'ORDENES'!$AA496))</f>
        <v/>
      </c>
      <c r="G518" s="5">
        <f>IF('ORDENES'!$A496="","",IF('ORDENES'!$Y496="","-",'ORDENES'!$Y496))</f>
        <v/>
      </c>
      <c r="H518" s="5">
        <f>IF('ORDENES'!$A496="","",IF('ORDENES'!$AG496="","-",'ORDENES'!$AG496))</f>
        <v/>
      </c>
      <c r="I518" s="5">
        <f>IF('ORDENES'!$A496="","",IF('ORDENES'!$AT496="","-",'ORDENES'!$AT496))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0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IF('ORDENES'!$A496="","",'ORDENES'!$AF496)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IF('ORDENES'!$A497="","",IF('ORDENES'!$AH497="","-",'ORDENES'!$AH497))</f>
        <v/>
      </c>
      <c r="D519" s="5">
        <f>IF('ORDENES'!$A497="","",IF('ORDENES'!$Z497="","-",'ORDENES'!$Z497))</f>
        <v/>
      </c>
      <c r="E519" s="5">
        <f>IF('ORDENES'!$A497="","",IF('ORDENES'!$X497="","-",'ORDENES'!$X497))</f>
        <v/>
      </c>
      <c r="F519" s="5">
        <f>IF('ORDENES'!$A497="","",IF('ORDENES'!$AA497="","-",'ORDENES'!$AA497))</f>
        <v/>
      </c>
      <c r="G519" s="5">
        <f>IF('ORDENES'!$A497="","",IF('ORDENES'!$Y497="","-",'ORDENES'!$Y497))</f>
        <v/>
      </c>
      <c r="H519" s="5">
        <f>IF('ORDENES'!$A497="","",IF('ORDENES'!$AG497="","-",'ORDENES'!$AG497))</f>
        <v/>
      </c>
      <c r="I519" s="5">
        <f>IF('ORDENES'!$A497="","",IF('ORDENES'!$AT497="","-",'ORDENES'!$AT497))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0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IF('ORDENES'!$A497="","",'ORDENES'!$AF497)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IF('ORDENES'!$A498="","",IF('ORDENES'!$AH498="","-",'ORDENES'!$AH498))</f>
        <v/>
      </c>
      <c r="D520" s="5">
        <f>IF('ORDENES'!$A498="","",IF('ORDENES'!$Z498="","-",'ORDENES'!$Z498))</f>
        <v/>
      </c>
      <c r="E520" s="5">
        <f>IF('ORDENES'!$A498="","",IF('ORDENES'!$X498="","-",'ORDENES'!$X498))</f>
        <v/>
      </c>
      <c r="F520" s="5">
        <f>IF('ORDENES'!$A498="","",IF('ORDENES'!$AA498="","-",'ORDENES'!$AA498))</f>
        <v/>
      </c>
      <c r="G520" s="5">
        <f>IF('ORDENES'!$A498="","",IF('ORDENES'!$Y498="","-",'ORDENES'!$Y498))</f>
        <v/>
      </c>
      <c r="H520" s="5">
        <f>IF('ORDENES'!$A498="","",IF('ORDENES'!$AG498="","-",'ORDENES'!$AG498))</f>
        <v/>
      </c>
      <c r="I520" s="5">
        <f>IF('ORDENES'!$A498="","",IF('ORDENES'!$AT498="","-",'ORDENES'!$AT498))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0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IF('ORDENES'!$A498="","",'ORDENES'!$AF498)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IF('ORDENES'!$A499="","",IF('ORDENES'!$AH499="","-",'ORDENES'!$AH499))</f>
        <v/>
      </c>
      <c r="D521" s="5">
        <f>IF('ORDENES'!$A499="","",IF('ORDENES'!$Z499="","-",'ORDENES'!$Z499))</f>
        <v/>
      </c>
      <c r="E521" s="5">
        <f>IF('ORDENES'!$A499="","",IF('ORDENES'!$X499="","-",'ORDENES'!$X499))</f>
        <v/>
      </c>
      <c r="F521" s="5">
        <f>IF('ORDENES'!$A499="","",IF('ORDENES'!$AA499="","-",'ORDENES'!$AA499))</f>
        <v/>
      </c>
      <c r="G521" s="5">
        <f>IF('ORDENES'!$A499="","",IF('ORDENES'!$Y499="","-",'ORDENES'!$Y499))</f>
        <v/>
      </c>
      <c r="H521" s="5">
        <f>IF('ORDENES'!$A499="","",IF('ORDENES'!$AG499="","-",'ORDENES'!$AG499))</f>
        <v/>
      </c>
      <c r="I521" s="5">
        <f>IF('ORDENES'!$A499="","",IF('ORDENES'!$AT499="","-",'ORDENES'!$AT499))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0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IF('ORDENES'!$A499="","",'ORDENES'!$AF499)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IF('ORDENES'!$A500="","",IF('ORDENES'!$AH500="","-",'ORDENES'!$AH500))</f>
        <v/>
      </c>
      <c r="D522" s="5">
        <f>IF('ORDENES'!$A500="","",IF('ORDENES'!$Z500="","-",'ORDENES'!$Z500))</f>
        <v/>
      </c>
      <c r="E522" s="5">
        <f>IF('ORDENES'!$A500="","",IF('ORDENES'!$X500="","-",'ORDENES'!$X500))</f>
        <v/>
      </c>
      <c r="F522" s="5">
        <f>IF('ORDENES'!$A500="","",IF('ORDENES'!$AA500="","-",'ORDENES'!$AA500))</f>
        <v/>
      </c>
      <c r="G522" s="5">
        <f>IF('ORDENES'!$A500="","",IF('ORDENES'!$Y500="","-",'ORDENES'!$Y500))</f>
        <v/>
      </c>
      <c r="H522" s="5">
        <f>IF('ORDENES'!$A500="","",IF('ORDENES'!$AG500="","-",'ORDENES'!$AG500))</f>
        <v/>
      </c>
      <c r="I522" s="5">
        <f>IF('ORDENES'!$A500="","",IF('ORDENES'!$AT500="","-",'ORDENES'!$AT500))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0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IF('ORDENES'!$A500="","",'ORDENES'!$AF500)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IF('ORDENES'!$A501="","",IF('ORDENES'!$AH501="","-",'ORDENES'!$AH501))</f>
        <v/>
      </c>
      <c r="D523" s="5">
        <f>IF('ORDENES'!$A501="","",IF('ORDENES'!$Z501="","-",'ORDENES'!$Z501))</f>
        <v/>
      </c>
      <c r="E523" s="5">
        <f>IF('ORDENES'!$A501="","",IF('ORDENES'!$X501="","-",'ORDENES'!$X501))</f>
        <v/>
      </c>
      <c r="F523" s="5">
        <f>IF('ORDENES'!$A501="","",IF('ORDENES'!$AA501="","-",'ORDENES'!$AA501))</f>
        <v/>
      </c>
      <c r="G523" s="5">
        <f>IF('ORDENES'!$A501="","",IF('ORDENES'!$Y501="","-",'ORDENES'!$Y501))</f>
        <v/>
      </c>
      <c r="H523" s="5">
        <f>IF('ORDENES'!$A501="","",IF('ORDENES'!$AG501="","-",'ORDENES'!$AG501))</f>
        <v/>
      </c>
      <c r="I523" s="5">
        <f>IF('ORDENES'!$A501="","",IF('ORDENES'!$AT501="","-",'ORDENES'!$AT501))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0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IF('ORDENES'!$A501="","",'ORDENES'!$AF501)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IF('ORDENES'!$A502="","",IF('ORDENES'!$AH502="","-",'ORDENES'!$AH502))</f>
        <v/>
      </c>
      <c r="D524" s="5">
        <f>IF('ORDENES'!$A502="","",IF('ORDENES'!$Z502="","-",'ORDENES'!$Z502))</f>
        <v/>
      </c>
      <c r="E524" s="5">
        <f>IF('ORDENES'!$A502="","",IF('ORDENES'!$X502="","-",'ORDENES'!$X502))</f>
        <v/>
      </c>
      <c r="F524" s="5">
        <f>IF('ORDENES'!$A502="","",IF('ORDENES'!$AA502="","-",'ORDENES'!$AA502))</f>
        <v/>
      </c>
      <c r="G524" s="5">
        <f>IF('ORDENES'!$A502="","",IF('ORDENES'!$Y502="","-",'ORDENES'!$Y502))</f>
        <v/>
      </c>
      <c r="H524" s="5">
        <f>IF('ORDENES'!$A502="","",IF('ORDENES'!$AG502="","-",'ORDENES'!$AG502))</f>
        <v/>
      </c>
      <c r="I524" s="5">
        <f>IF('ORDENES'!$A502="","",IF('ORDENES'!$AT502="","-",'ORDENES'!$AT502))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0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IF('ORDENES'!$A502="","",'ORDENES'!$AF502)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IF('ORDENES'!$A503="","",IF('ORDENES'!$AH503="","-",'ORDENES'!$AH503))</f>
        <v/>
      </c>
      <c r="D525" s="5">
        <f>IF('ORDENES'!$A503="","",IF('ORDENES'!$Z503="","-",'ORDENES'!$Z503))</f>
        <v/>
      </c>
      <c r="E525" s="5">
        <f>IF('ORDENES'!$A503="","",IF('ORDENES'!$X503="","-",'ORDENES'!$X503))</f>
        <v/>
      </c>
      <c r="F525" s="5">
        <f>IF('ORDENES'!$A503="","",IF('ORDENES'!$AA503="","-",'ORDENES'!$AA503))</f>
        <v/>
      </c>
      <c r="G525" s="5">
        <f>IF('ORDENES'!$A503="","",IF('ORDENES'!$Y503="","-",'ORDENES'!$Y503))</f>
        <v/>
      </c>
      <c r="H525" s="5">
        <f>IF('ORDENES'!$A503="","",IF('ORDENES'!$AG503="","-",'ORDENES'!$AG503))</f>
        <v/>
      </c>
      <c r="I525" s="5">
        <f>IF('ORDENES'!$A503="","",IF('ORDENES'!$AT503="","-",'ORDENES'!$AT503))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0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IF('ORDENES'!$A503="","",'ORDENES'!$AF503)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IF('ORDENES'!$A504="","",IF('ORDENES'!$AH504="","-",'ORDENES'!$AH504))</f>
        <v/>
      </c>
      <c r="D526" s="5">
        <f>IF('ORDENES'!$A504="","",IF('ORDENES'!$Z504="","-",'ORDENES'!$Z504))</f>
        <v/>
      </c>
      <c r="E526" s="5">
        <f>IF('ORDENES'!$A504="","",IF('ORDENES'!$X504="","-",'ORDENES'!$X504))</f>
        <v/>
      </c>
      <c r="F526" s="5">
        <f>IF('ORDENES'!$A504="","",IF('ORDENES'!$AA504="","-",'ORDENES'!$AA504))</f>
        <v/>
      </c>
      <c r="G526" s="5">
        <f>IF('ORDENES'!$A504="","",IF('ORDENES'!$Y504="","-",'ORDENES'!$Y504))</f>
        <v/>
      </c>
      <c r="H526" s="5">
        <f>IF('ORDENES'!$A504="","",IF('ORDENES'!$AG504="","-",'ORDENES'!$AG504))</f>
        <v/>
      </c>
      <c r="I526" s="5">
        <f>IF('ORDENES'!$A504="","",IF('ORDENES'!$AT504="","-",'ORDENES'!$AT504))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0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IF('ORDENES'!$A504="","",'ORDENES'!$AF504)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IF('ORDENES'!$A505="","",IF('ORDENES'!$AH505="","-",'ORDENES'!$AH505))</f>
        <v/>
      </c>
      <c r="D527" s="5">
        <f>IF('ORDENES'!$A505="","",IF('ORDENES'!$Z505="","-",'ORDENES'!$Z505))</f>
        <v/>
      </c>
      <c r="E527" s="5">
        <f>IF('ORDENES'!$A505="","",IF('ORDENES'!$X505="","-",'ORDENES'!$X505))</f>
        <v/>
      </c>
      <c r="F527" s="5">
        <f>IF('ORDENES'!$A505="","",IF('ORDENES'!$AA505="","-",'ORDENES'!$AA505))</f>
        <v/>
      </c>
      <c r="G527" s="5">
        <f>IF('ORDENES'!$A505="","",IF('ORDENES'!$Y505="","-",'ORDENES'!$Y505))</f>
        <v/>
      </c>
      <c r="H527" s="5">
        <f>IF('ORDENES'!$A505="","",IF('ORDENES'!$AG505="","-",'ORDENES'!$AG505))</f>
        <v/>
      </c>
      <c r="I527" s="5">
        <f>IF('ORDENES'!$A505="","",IF('ORDENES'!$AT505="","-",'ORDENES'!$AT505))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0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IF('ORDENES'!$A505="","",'ORDENES'!$AF505)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IF('ORDENES'!$A506="","",IF('ORDENES'!$AH506="","-",'ORDENES'!$AH506))</f>
        <v/>
      </c>
      <c r="D528" s="5">
        <f>IF('ORDENES'!$A506="","",IF('ORDENES'!$Z506="","-",'ORDENES'!$Z506))</f>
        <v/>
      </c>
      <c r="E528" s="5">
        <f>IF('ORDENES'!$A506="","",IF('ORDENES'!$X506="","-",'ORDENES'!$X506))</f>
        <v/>
      </c>
      <c r="F528" s="5">
        <f>IF('ORDENES'!$A506="","",IF('ORDENES'!$AA506="","-",'ORDENES'!$AA506))</f>
        <v/>
      </c>
      <c r="G528" s="5">
        <f>IF('ORDENES'!$A506="","",IF('ORDENES'!$Y506="","-",'ORDENES'!$Y506))</f>
        <v/>
      </c>
      <c r="H528" s="5">
        <f>IF('ORDENES'!$A506="","",IF('ORDENES'!$AG506="","-",'ORDENES'!$AG506))</f>
        <v/>
      </c>
      <c r="I528" s="5">
        <f>IF('ORDENES'!$A506="","",IF('ORDENES'!$AT506="","-",'ORDENES'!$AT506))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0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IF('ORDENES'!$A506="","",'ORDENES'!$AF506)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IF('ORDENES'!$A507="","",IF('ORDENES'!$AH507="","-",'ORDENES'!$AH507))</f>
        <v/>
      </c>
      <c r="D529" s="5">
        <f>IF('ORDENES'!$A507="","",IF('ORDENES'!$Z507="","-",'ORDENES'!$Z507))</f>
        <v/>
      </c>
      <c r="E529" s="5">
        <f>IF('ORDENES'!$A507="","",IF('ORDENES'!$X507="","-",'ORDENES'!$X507))</f>
        <v/>
      </c>
      <c r="F529" s="5">
        <f>IF('ORDENES'!$A507="","",IF('ORDENES'!$AA507="","-",'ORDENES'!$AA507))</f>
        <v/>
      </c>
      <c r="G529" s="5">
        <f>IF('ORDENES'!$A507="","",IF('ORDENES'!$Y507="","-",'ORDENES'!$Y507))</f>
        <v/>
      </c>
      <c r="H529" s="5">
        <f>IF('ORDENES'!$A507="","",IF('ORDENES'!$AG507="","-",'ORDENES'!$AG507))</f>
        <v/>
      </c>
      <c r="I529" s="5">
        <f>IF('ORDENES'!$A507="","",IF('ORDENES'!$AT507="","-",'ORDENES'!$AT507))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0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IF('ORDENES'!$A507="","",'ORDENES'!$AF507)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IF('ORDENES'!$A508="","",IF('ORDENES'!$AH508="","-",'ORDENES'!$AH508))</f>
        <v/>
      </c>
      <c r="D530" s="5">
        <f>IF('ORDENES'!$A508="","",IF('ORDENES'!$Z508="","-",'ORDENES'!$Z508))</f>
        <v/>
      </c>
      <c r="E530" s="5">
        <f>IF('ORDENES'!$A508="","",IF('ORDENES'!$X508="","-",'ORDENES'!$X508))</f>
        <v/>
      </c>
      <c r="F530" s="5">
        <f>IF('ORDENES'!$A508="","",IF('ORDENES'!$AA508="","-",'ORDENES'!$AA508))</f>
        <v/>
      </c>
      <c r="G530" s="5">
        <f>IF('ORDENES'!$A508="","",IF('ORDENES'!$Y508="","-",'ORDENES'!$Y508))</f>
        <v/>
      </c>
      <c r="H530" s="5">
        <f>IF('ORDENES'!$A508="","",IF('ORDENES'!$AG508="","-",'ORDENES'!$AG508))</f>
        <v/>
      </c>
      <c r="I530" s="5">
        <f>IF('ORDENES'!$A508="","",IF('ORDENES'!$AT508="","-",'ORDENES'!$AT508))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0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IF('ORDENES'!$A508="","",'ORDENES'!$AF508)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IF('ORDENES'!$A509="","",IF('ORDENES'!$AH509="","-",'ORDENES'!$AH509))</f>
        <v/>
      </c>
      <c r="D531" s="5">
        <f>IF('ORDENES'!$A509="","",IF('ORDENES'!$Z509="","-",'ORDENES'!$Z509))</f>
        <v/>
      </c>
      <c r="E531" s="5">
        <f>IF('ORDENES'!$A509="","",IF('ORDENES'!$X509="","-",'ORDENES'!$X509))</f>
        <v/>
      </c>
      <c r="F531" s="5">
        <f>IF('ORDENES'!$A509="","",IF('ORDENES'!$AA509="","-",'ORDENES'!$AA509))</f>
        <v/>
      </c>
      <c r="G531" s="5">
        <f>IF('ORDENES'!$A509="","",IF('ORDENES'!$Y509="","-",'ORDENES'!$Y509))</f>
        <v/>
      </c>
      <c r="H531" s="5">
        <f>IF('ORDENES'!$A509="","",IF('ORDENES'!$AG509="","-",'ORDENES'!$AG509))</f>
        <v/>
      </c>
      <c r="I531" s="5">
        <f>IF('ORDENES'!$A509="","",IF('ORDENES'!$AT509="","-",'ORDENES'!$AT509))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0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IF('ORDENES'!$A509="","",'ORDENES'!$AF509)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IF('ORDENES'!$A510="","",IF('ORDENES'!$AH510="","-",'ORDENES'!$AH510))</f>
        <v/>
      </c>
      <c r="D532" s="5">
        <f>IF('ORDENES'!$A510="","",IF('ORDENES'!$Z510="","-",'ORDENES'!$Z510))</f>
        <v/>
      </c>
      <c r="E532" s="5">
        <f>IF('ORDENES'!$A510="","",IF('ORDENES'!$X510="","-",'ORDENES'!$X510))</f>
        <v/>
      </c>
      <c r="F532" s="5">
        <f>IF('ORDENES'!$A510="","",IF('ORDENES'!$AA510="","-",'ORDENES'!$AA510))</f>
        <v/>
      </c>
      <c r="G532" s="5">
        <f>IF('ORDENES'!$A510="","",IF('ORDENES'!$Y510="","-",'ORDENES'!$Y510))</f>
        <v/>
      </c>
      <c r="H532" s="5">
        <f>IF('ORDENES'!$A510="","",IF('ORDENES'!$AG510="","-",'ORDENES'!$AG510))</f>
        <v/>
      </c>
      <c r="I532" s="5">
        <f>IF('ORDENES'!$A510="","",IF('ORDENES'!$AT510="","-",'ORDENES'!$AT510))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0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IF('ORDENES'!$A510="","",'ORDENES'!$AF510)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IF('ORDENES'!$A511="","",IF('ORDENES'!$AH511="","-",'ORDENES'!$AH511))</f>
        <v/>
      </c>
      <c r="D533" s="5">
        <f>IF('ORDENES'!$A511="","",IF('ORDENES'!$Z511="","-",'ORDENES'!$Z511))</f>
        <v/>
      </c>
      <c r="E533" s="5">
        <f>IF('ORDENES'!$A511="","",IF('ORDENES'!$X511="","-",'ORDENES'!$X511))</f>
        <v/>
      </c>
      <c r="F533" s="5">
        <f>IF('ORDENES'!$A511="","",IF('ORDENES'!$AA511="","-",'ORDENES'!$AA511))</f>
        <v/>
      </c>
      <c r="G533" s="5">
        <f>IF('ORDENES'!$A511="","",IF('ORDENES'!$Y511="","-",'ORDENES'!$Y511))</f>
        <v/>
      </c>
      <c r="H533" s="5">
        <f>IF('ORDENES'!$A511="","",IF('ORDENES'!$AG511="","-",'ORDENES'!$AG511))</f>
        <v/>
      </c>
      <c r="I533" s="5">
        <f>IF('ORDENES'!$A511="","",IF('ORDENES'!$AT511="","-",'ORDENES'!$AT511))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0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IF('ORDENES'!$A511="","",'ORDENES'!$AF511)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IF('ORDENES'!$A512="","",IF('ORDENES'!$AH512="","-",'ORDENES'!$AH512))</f>
        <v/>
      </c>
      <c r="D534" s="5">
        <f>IF('ORDENES'!$A512="","",IF('ORDENES'!$Z512="","-",'ORDENES'!$Z512))</f>
        <v/>
      </c>
      <c r="E534" s="5">
        <f>IF('ORDENES'!$A512="","",IF('ORDENES'!$X512="","-",'ORDENES'!$X512))</f>
        <v/>
      </c>
      <c r="F534" s="5">
        <f>IF('ORDENES'!$A512="","",IF('ORDENES'!$AA512="","-",'ORDENES'!$AA512))</f>
        <v/>
      </c>
      <c r="G534" s="5">
        <f>IF('ORDENES'!$A512="","",IF('ORDENES'!$Y512="","-",'ORDENES'!$Y512))</f>
        <v/>
      </c>
      <c r="H534" s="5">
        <f>IF('ORDENES'!$A512="","",IF('ORDENES'!$AG512="","-",'ORDENES'!$AG512))</f>
        <v/>
      </c>
      <c r="I534" s="5">
        <f>IF('ORDENES'!$A512="","",IF('ORDENES'!$AT512="","-",'ORDENES'!$AT512))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0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IF('ORDENES'!$A512="","",'ORDENES'!$AF512)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IF('ORDENES'!$A513="","",IF('ORDENES'!$AH513="","-",'ORDENES'!$AH513))</f>
        <v/>
      </c>
      <c r="D535" s="5">
        <f>IF('ORDENES'!$A513="","",IF('ORDENES'!$Z513="","-",'ORDENES'!$Z513))</f>
        <v/>
      </c>
      <c r="E535" s="5">
        <f>IF('ORDENES'!$A513="","",IF('ORDENES'!$X513="","-",'ORDENES'!$X513))</f>
        <v/>
      </c>
      <c r="F535" s="5">
        <f>IF('ORDENES'!$A513="","",IF('ORDENES'!$AA513="","-",'ORDENES'!$AA513))</f>
        <v/>
      </c>
      <c r="G535" s="5">
        <f>IF('ORDENES'!$A513="","",IF('ORDENES'!$Y513="","-",'ORDENES'!$Y513))</f>
        <v/>
      </c>
      <c r="H535" s="5">
        <f>IF('ORDENES'!$A513="","",IF('ORDENES'!$AG513="","-",'ORDENES'!$AG513))</f>
        <v/>
      </c>
      <c r="I535" s="5">
        <f>IF('ORDENES'!$A513="","",IF('ORDENES'!$AT513="","-",'ORDENES'!$AT513))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0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IF('ORDENES'!$A513="","",'ORDENES'!$AF513)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IF('ORDENES'!$A514="","",IF('ORDENES'!$AH514="","-",'ORDENES'!$AH514))</f>
        <v/>
      </c>
      <c r="D536" s="5">
        <f>IF('ORDENES'!$A514="","",IF('ORDENES'!$Z514="","-",'ORDENES'!$Z514))</f>
        <v/>
      </c>
      <c r="E536" s="5">
        <f>IF('ORDENES'!$A514="","",IF('ORDENES'!$X514="","-",'ORDENES'!$X514))</f>
        <v/>
      </c>
      <c r="F536" s="5">
        <f>IF('ORDENES'!$A514="","",IF('ORDENES'!$AA514="","-",'ORDENES'!$AA514))</f>
        <v/>
      </c>
      <c r="G536" s="5">
        <f>IF('ORDENES'!$A514="","",IF('ORDENES'!$Y514="","-",'ORDENES'!$Y514))</f>
        <v/>
      </c>
      <c r="H536" s="5">
        <f>IF('ORDENES'!$A514="","",IF('ORDENES'!$AG514="","-",'ORDENES'!$AG514))</f>
        <v/>
      </c>
      <c r="I536" s="5">
        <f>IF('ORDENES'!$A514="","",IF('ORDENES'!$AT514="","-",'ORDENES'!$AT514))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0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IF('ORDENES'!$A514="","",'ORDENES'!$AF514)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IF('ORDENES'!$A515="","",IF('ORDENES'!$AH515="","-",'ORDENES'!$AH515))</f>
        <v/>
      </c>
      <c r="D537" s="5">
        <f>IF('ORDENES'!$A515="","",IF('ORDENES'!$Z515="","-",'ORDENES'!$Z515))</f>
        <v/>
      </c>
      <c r="E537" s="5">
        <f>IF('ORDENES'!$A515="","",IF('ORDENES'!$X515="","-",'ORDENES'!$X515))</f>
        <v/>
      </c>
      <c r="F537" s="5">
        <f>IF('ORDENES'!$A515="","",IF('ORDENES'!$AA515="","-",'ORDENES'!$AA515))</f>
        <v/>
      </c>
      <c r="G537" s="5">
        <f>IF('ORDENES'!$A515="","",IF('ORDENES'!$Y515="","-",'ORDENES'!$Y515))</f>
        <v/>
      </c>
      <c r="H537" s="5">
        <f>IF('ORDENES'!$A515="","",IF('ORDENES'!$AG515="","-",'ORDENES'!$AG515))</f>
        <v/>
      </c>
      <c r="I537" s="5">
        <f>IF('ORDENES'!$A515="","",IF('ORDENES'!$AT515="","-",'ORDENES'!$AT515))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0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IF('ORDENES'!$A515="","",'ORDENES'!$AF515)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IF('ORDENES'!$A516="","",IF('ORDENES'!$AH516="","-",'ORDENES'!$AH516))</f>
        <v/>
      </c>
      <c r="D538" s="5">
        <f>IF('ORDENES'!$A516="","",IF('ORDENES'!$Z516="","-",'ORDENES'!$Z516))</f>
        <v/>
      </c>
      <c r="E538" s="5">
        <f>IF('ORDENES'!$A516="","",IF('ORDENES'!$X516="","-",'ORDENES'!$X516))</f>
        <v/>
      </c>
      <c r="F538" s="5">
        <f>IF('ORDENES'!$A516="","",IF('ORDENES'!$AA516="","-",'ORDENES'!$AA516))</f>
        <v/>
      </c>
      <c r="G538" s="5">
        <f>IF('ORDENES'!$A516="","",IF('ORDENES'!$Y516="","-",'ORDENES'!$Y516))</f>
        <v/>
      </c>
      <c r="H538" s="5">
        <f>IF('ORDENES'!$A516="","",IF('ORDENES'!$AG516="","-",'ORDENES'!$AG516))</f>
        <v/>
      </c>
      <c r="I538" s="5">
        <f>IF('ORDENES'!$A516="","",IF('ORDENES'!$AT516="","-",'ORDENES'!$AT516))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0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IF('ORDENES'!$A516="","",'ORDENES'!$AF516)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IF('ORDENES'!$A517="","",IF('ORDENES'!$AH517="","-",'ORDENES'!$AH517))</f>
        <v/>
      </c>
      <c r="D539" s="5">
        <f>IF('ORDENES'!$A517="","",IF('ORDENES'!$Z517="","-",'ORDENES'!$Z517))</f>
        <v/>
      </c>
      <c r="E539" s="5">
        <f>IF('ORDENES'!$A517="","",IF('ORDENES'!$X517="","-",'ORDENES'!$X517))</f>
        <v/>
      </c>
      <c r="F539" s="5">
        <f>IF('ORDENES'!$A517="","",IF('ORDENES'!$AA517="","-",'ORDENES'!$AA517))</f>
        <v/>
      </c>
      <c r="G539" s="5">
        <f>IF('ORDENES'!$A517="","",IF('ORDENES'!$Y517="","-",'ORDENES'!$Y517))</f>
        <v/>
      </c>
      <c r="H539" s="5">
        <f>IF('ORDENES'!$A517="","",IF('ORDENES'!$AG517="","-",'ORDENES'!$AG517))</f>
        <v/>
      </c>
      <c r="I539" s="5">
        <f>IF('ORDENES'!$A517="","",IF('ORDENES'!$AT517="","-",'ORDENES'!$AT517))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0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IF('ORDENES'!$A517="","",'ORDENES'!$AF517)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IF('ORDENES'!$A518="","",IF('ORDENES'!$AH518="","-",'ORDENES'!$AH518))</f>
        <v/>
      </c>
      <c r="D540" s="5">
        <f>IF('ORDENES'!$A518="","",IF('ORDENES'!$Z518="","-",'ORDENES'!$Z518))</f>
        <v/>
      </c>
      <c r="E540" s="5">
        <f>IF('ORDENES'!$A518="","",IF('ORDENES'!$X518="","-",'ORDENES'!$X518))</f>
        <v/>
      </c>
      <c r="F540" s="5">
        <f>IF('ORDENES'!$A518="","",IF('ORDENES'!$AA518="","-",'ORDENES'!$AA518))</f>
        <v/>
      </c>
      <c r="G540" s="5">
        <f>IF('ORDENES'!$A518="","",IF('ORDENES'!$Y518="","-",'ORDENES'!$Y518))</f>
        <v/>
      </c>
      <c r="H540" s="5">
        <f>IF('ORDENES'!$A518="","",IF('ORDENES'!$AG518="","-",'ORDENES'!$AG518))</f>
        <v/>
      </c>
      <c r="I540" s="5">
        <f>IF('ORDENES'!$A518="","",IF('ORDENES'!$AT518="","-",'ORDENES'!$AT518))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0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IF('ORDENES'!$A518="","",'ORDENES'!$AF518)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IF('ORDENES'!$A519="","",IF('ORDENES'!$AH519="","-",'ORDENES'!$AH519))</f>
        <v/>
      </c>
      <c r="D541" s="5">
        <f>IF('ORDENES'!$A519="","",IF('ORDENES'!$Z519="","-",'ORDENES'!$Z519))</f>
        <v/>
      </c>
      <c r="E541" s="5">
        <f>IF('ORDENES'!$A519="","",IF('ORDENES'!$X519="","-",'ORDENES'!$X519))</f>
        <v/>
      </c>
      <c r="F541" s="5">
        <f>IF('ORDENES'!$A519="","",IF('ORDENES'!$AA519="","-",'ORDENES'!$AA519))</f>
        <v/>
      </c>
      <c r="G541" s="5">
        <f>IF('ORDENES'!$A519="","",IF('ORDENES'!$Y519="","-",'ORDENES'!$Y519))</f>
        <v/>
      </c>
      <c r="H541" s="5">
        <f>IF('ORDENES'!$A519="","",IF('ORDENES'!$AG519="","-",'ORDENES'!$AG519))</f>
        <v/>
      </c>
      <c r="I541" s="5">
        <f>IF('ORDENES'!$A519="","",IF('ORDENES'!$AT519="","-",'ORDENES'!$AT519))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0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IF('ORDENES'!$A519="","",'ORDENES'!$AF519)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IF('ORDENES'!$A520="","",IF('ORDENES'!$AH520="","-",'ORDENES'!$AH520))</f>
        <v/>
      </c>
      <c r="D542" s="5">
        <f>IF('ORDENES'!$A520="","",IF('ORDENES'!$Z520="","-",'ORDENES'!$Z520))</f>
        <v/>
      </c>
      <c r="E542" s="5">
        <f>IF('ORDENES'!$A520="","",IF('ORDENES'!$X520="","-",'ORDENES'!$X520))</f>
        <v/>
      </c>
      <c r="F542" s="5">
        <f>IF('ORDENES'!$A520="","",IF('ORDENES'!$AA520="","-",'ORDENES'!$AA520))</f>
        <v/>
      </c>
      <c r="G542" s="5">
        <f>IF('ORDENES'!$A520="","",IF('ORDENES'!$Y520="","-",'ORDENES'!$Y520))</f>
        <v/>
      </c>
      <c r="H542" s="5">
        <f>IF('ORDENES'!$A520="","",IF('ORDENES'!$AG520="","-",'ORDENES'!$AG520))</f>
        <v/>
      </c>
      <c r="I542" s="5">
        <f>IF('ORDENES'!$A520="","",IF('ORDENES'!$AT520="","-",'ORDENES'!$AT520))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0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IF('ORDENES'!$A520="","",'ORDENES'!$AF520)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IF('ORDENES'!$A521="","",IF('ORDENES'!$AH521="","-",'ORDENES'!$AH521))</f>
        <v/>
      </c>
      <c r="D543" s="5">
        <f>IF('ORDENES'!$A521="","",IF('ORDENES'!$Z521="","-",'ORDENES'!$Z521))</f>
        <v/>
      </c>
      <c r="E543" s="5">
        <f>IF('ORDENES'!$A521="","",IF('ORDENES'!$X521="","-",'ORDENES'!$X521))</f>
        <v/>
      </c>
      <c r="F543" s="5">
        <f>IF('ORDENES'!$A521="","",IF('ORDENES'!$AA521="","-",'ORDENES'!$AA521))</f>
        <v/>
      </c>
      <c r="G543" s="5">
        <f>IF('ORDENES'!$A521="","",IF('ORDENES'!$Y521="","-",'ORDENES'!$Y521))</f>
        <v/>
      </c>
      <c r="H543" s="5">
        <f>IF('ORDENES'!$A521="","",IF('ORDENES'!$AG521="","-",'ORDENES'!$AG521))</f>
        <v/>
      </c>
      <c r="I543" s="5">
        <f>IF('ORDENES'!$A521="","",IF('ORDENES'!$AT521="","-",'ORDENES'!$AT521))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0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IF('ORDENES'!$A521="","",'ORDENES'!$AF521)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IF('ORDENES'!$A522="","",IF('ORDENES'!$AH522="","-",'ORDENES'!$AH522))</f>
        <v/>
      </c>
      <c r="D544" s="5">
        <f>IF('ORDENES'!$A522="","",IF('ORDENES'!$Z522="","-",'ORDENES'!$Z522))</f>
        <v/>
      </c>
      <c r="E544" s="5">
        <f>IF('ORDENES'!$A522="","",IF('ORDENES'!$X522="","-",'ORDENES'!$X522))</f>
        <v/>
      </c>
      <c r="F544" s="5">
        <f>IF('ORDENES'!$A522="","",IF('ORDENES'!$AA522="","-",'ORDENES'!$AA522))</f>
        <v/>
      </c>
      <c r="G544" s="5">
        <f>IF('ORDENES'!$A522="","",IF('ORDENES'!$Y522="","-",'ORDENES'!$Y522))</f>
        <v/>
      </c>
      <c r="H544" s="5">
        <f>IF('ORDENES'!$A522="","",IF('ORDENES'!$AG522="","-",'ORDENES'!$AG522))</f>
        <v/>
      </c>
      <c r="I544" s="5">
        <f>IF('ORDENES'!$A522="","",IF('ORDENES'!$AT522="","-",'ORDENES'!$AT522))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0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IF('ORDENES'!$A522="","",'ORDENES'!$AF522)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IF('ORDENES'!$A523="","",IF('ORDENES'!$AH523="","-",'ORDENES'!$AH523))</f>
        <v/>
      </c>
      <c r="D545" s="5">
        <f>IF('ORDENES'!$A523="","",IF('ORDENES'!$Z523="","-",'ORDENES'!$Z523))</f>
        <v/>
      </c>
      <c r="E545" s="5">
        <f>IF('ORDENES'!$A523="","",IF('ORDENES'!$X523="","-",'ORDENES'!$X523))</f>
        <v/>
      </c>
      <c r="F545" s="5">
        <f>IF('ORDENES'!$A523="","",IF('ORDENES'!$AA523="","-",'ORDENES'!$AA523))</f>
        <v/>
      </c>
      <c r="G545" s="5">
        <f>IF('ORDENES'!$A523="","",IF('ORDENES'!$Y523="","-",'ORDENES'!$Y523))</f>
        <v/>
      </c>
      <c r="H545" s="5">
        <f>IF('ORDENES'!$A523="","",IF('ORDENES'!$AG523="","-",'ORDENES'!$AG523))</f>
        <v/>
      </c>
      <c r="I545" s="5">
        <f>IF('ORDENES'!$A523="","",IF('ORDENES'!$AT523="","-",'ORDENES'!$AT523))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0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IF('ORDENES'!$A523="","",'ORDENES'!$AF523)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IF('ORDENES'!$A524="","",IF('ORDENES'!$AH524="","-",'ORDENES'!$AH524))</f>
        <v/>
      </c>
      <c r="D546" s="5">
        <f>IF('ORDENES'!$A524="","",IF('ORDENES'!$Z524="","-",'ORDENES'!$Z524))</f>
        <v/>
      </c>
      <c r="E546" s="5">
        <f>IF('ORDENES'!$A524="","",IF('ORDENES'!$X524="","-",'ORDENES'!$X524))</f>
        <v/>
      </c>
      <c r="F546" s="5">
        <f>IF('ORDENES'!$A524="","",IF('ORDENES'!$AA524="","-",'ORDENES'!$AA524))</f>
        <v/>
      </c>
      <c r="G546" s="5">
        <f>IF('ORDENES'!$A524="","",IF('ORDENES'!$Y524="","-",'ORDENES'!$Y524))</f>
        <v/>
      </c>
      <c r="H546" s="5">
        <f>IF('ORDENES'!$A524="","",IF('ORDENES'!$AG524="","-",'ORDENES'!$AG524))</f>
        <v/>
      </c>
      <c r="I546" s="5">
        <f>IF('ORDENES'!$A524="","",IF('ORDENES'!$AT524="","-",'ORDENES'!$AT524))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0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IF('ORDENES'!$A524="","",'ORDENES'!$AF524)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IF('ORDENES'!$A525="","",IF('ORDENES'!$AH525="","-",'ORDENES'!$AH525))</f>
        <v/>
      </c>
      <c r="D547" s="5">
        <f>IF('ORDENES'!$A525="","",IF('ORDENES'!$Z525="","-",'ORDENES'!$Z525))</f>
        <v/>
      </c>
      <c r="E547" s="5">
        <f>IF('ORDENES'!$A525="","",IF('ORDENES'!$X525="","-",'ORDENES'!$X525))</f>
        <v/>
      </c>
      <c r="F547" s="5">
        <f>IF('ORDENES'!$A525="","",IF('ORDENES'!$AA525="","-",'ORDENES'!$AA525))</f>
        <v/>
      </c>
      <c r="G547" s="5">
        <f>IF('ORDENES'!$A525="","",IF('ORDENES'!$Y525="","-",'ORDENES'!$Y525))</f>
        <v/>
      </c>
      <c r="H547" s="5">
        <f>IF('ORDENES'!$A525="","",IF('ORDENES'!$AG525="","-",'ORDENES'!$AG525))</f>
        <v/>
      </c>
      <c r="I547" s="5">
        <f>IF('ORDENES'!$A525="","",IF('ORDENES'!$AT525="","-",'ORDENES'!$AT525))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0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IF('ORDENES'!$A525="","",'ORDENES'!$AF525)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IF('ORDENES'!$A526="","",IF('ORDENES'!$AH526="","-",'ORDENES'!$AH526))</f>
        <v/>
      </c>
      <c r="D548" s="5">
        <f>IF('ORDENES'!$A526="","",IF('ORDENES'!$Z526="","-",'ORDENES'!$Z526))</f>
        <v/>
      </c>
      <c r="E548" s="5">
        <f>IF('ORDENES'!$A526="","",IF('ORDENES'!$X526="","-",'ORDENES'!$X526))</f>
        <v/>
      </c>
      <c r="F548" s="5">
        <f>IF('ORDENES'!$A526="","",IF('ORDENES'!$AA526="","-",'ORDENES'!$AA526))</f>
        <v/>
      </c>
      <c r="G548" s="5">
        <f>IF('ORDENES'!$A526="","",IF('ORDENES'!$Y526="","-",'ORDENES'!$Y526))</f>
        <v/>
      </c>
      <c r="H548" s="5">
        <f>IF('ORDENES'!$A526="","",IF('ORDENES'!$AG526="","-",'ORDENES'!$AG526))</f>
        <v/>
      </c>
      <c r="I548" s="5">
        <f>IF('ORDENES'!$A526="","",IF('ORDENES'!$AT526="","-",'ORDENES'!$AT526))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0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IF('ORDENES'!$A526="","",'ORDENES'!$AF526)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IF('ORDENES'!$A527="","",IF('ORDENES'!$AH527="","-",'ORDENES'!$AH527))</f>
        <v/>
      </c>
      <c r="D549" s="5">
        <f>IF('ORDENES'!$A527="","",IF('ORDENES'!$Z527="","-",'ORDENES'!$Z527))</f>
        <v/>
      </c>
      <c r="E549" s="5">
        <f>IF('ORDENES'!$A527="","",IF('ORDENES'!$X527="","-",'ORDENES'!$X527))</f>
        <v/>
      </c>
      <c r="F549" s="5">
        <f>IF('ORDENES'!$A527="","",IF('ORDENES'!$AA527="","-",'ORDENES'!$AA527))</f>
        <v/>
      </c>
      <c r="G549" s="5">
        <f>IF('ORDENES'!$A527="","",IF('ORDENES'!$Y527="","-",'ORDENES'!$Y527))</f>
        <v/>
      </c>
      <c r="H549" s="5">
        <f>IF('ORDENES'!$A527="","",IF('ORDENES'!$AG527="","-",'ORDENES'!$AG527))</f>
        <v/>
      </c>
      <c r="I549" s="5">
        <f>IF('ORDENES'!$A527="","",IF('ORDENES'!$AT527="","-",'ORDENES'!$AT527))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0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IF('ORDENES'!$A527="","",'ORDENES'!$AF527)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IF('ORDENES'!$A528="","",IF('ORDENES'!$AH528="","-",'ORDENES'!$AH528))</f>
        <v/>
      </c>
      <c r="D550" s="5">
        <f>IF('ORDENES'!$A528="","",IF('ORDENES'!$Z528="","-",'ORDENES'!$Z528))</f>
        <v/>
      </c>
      <c r="E550" s="5">
        <f>IF('ORDENES'!$A528="","",IF('ORDENES'!$X528="","-",'ORDENES'!$X528))</f>
        <v/>
      </c>
      <c r="F550" s="5">
        <f>IF('ORDENES'!$A528="","",IF('ORDENES'!$AA528="","-",'ORDENES'!$AA528))</f>
        <v/>
      </c>
      <c r="G550" s="5">
        <f>IF('ORDENES'!$A528="","",IF('ORDENES'!$Y528="","-",'ORDENES'!$Y528))</f>
        <v/>
      </c>
      <c r="H550" s="5">
        <f>IF('ORDENES'!$A528="","",IF('ORDENES'!$AG528="","-",'ORDENES'!$AG528))</f>
        <v/>
      </c>
      <c r="I550" s="5">
        <f>IF('ORDENES'!$A528="","",IF('ORDENES'!$AT528="","-",'ORDENES'!$AT528))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0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IF('ORDENES'!$A528="","",'ORDENES'!$AF528)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IF('ORDENES'!$A529="","",IF('ORDENES'!$AH529="","-",'ORDENES'!$AH529))</f>
        <v/>
      </c>
      <c r="D551" s="5">
        <f>IF('ORDENES'!$A529="","",IF('ORDENES'!$Z529="","-",'ORDENES'!$Z529))</f>
        <v/>
      </c>
      <c r="E551" s="5">
        <f>IF('ORDENES'!$A529="","",IF('ORDENES'!$X529="","-",'ORDENES'!$X529))</f>
        <v/>
      </c>
      <c r="F551" s="5">
        <f>IF('ORDENES'!$A529="","",IF('ORDENES'!$AA529="","-",'ORDENES'!$AA529))</f>
        <v/>
      </c>
      <c r="G551" s="5">
        <f>IF('ORDENES'!$A529="","",IF('ORDENES'!$Y529="","-",'ORDENES'!$Y529))</f>
        <v/>
      </c>
      <c r="H551" s="5">
        <f>IF('ORDENES'!$A529="","",IF('ORDENES'!$AG529="","-",'ORDENES'!$AG529))</f>
        <v/>
      </c>
      <c r="I551" s="5">
        <f>IF('ORDENES'!$A529="","",IF('ORDENES'!$AT529="","-",'ORDENES'!$AT529))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0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IF('ORDENES'!$A529="","",'ORDENES'!$AF529)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IF('ORDENES'!$A530="","",IF('ORDENES'!$AH530="","-",'ORDENES'!$AH530))</f>
        <v/>
      </c>
      <c r="D552" s="5">
        <f>IF('ORDENES'!$A530="","",IF('ORDENES'!$Z530="","-",'ORDENES'!$Z530))</f>
        <v/>
      </c>
      <c r="E552" s="5">
        <f>IF('ORDENES'!$A530="","",IF('ORDENES'!$X530="","-",'ORDENES'!$X530))</f>
        <v/>
      </c>
      <c r="F552" s="5">
        <f>IF('ORDENES'!$A530="","",IF('ORDENES'!$AA530="","-",'ORDENES'!$AA530))</f>
        <v/>
      </c>
      <c r="G552" s="5">
        <f>IF('ORDENES'!$A530="","",IF('ORDENES'!$Y530="","-",'ORDENES'!$Y530))</f>
        <v/>
      </c>
      <c r="H552" s="5">
        <f>IF('ORDENES'!$A530="","",IF('ORDENES'!$AG530="","-",'ORDENES'!$AG530))</f>
        <v/>
      </c>
      <c r="I552" s="5">
        <f>IF('ORDENES'!$A530="","",IF('ORDENES'!$AT530="","-",'ORDENES'!$AT530))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0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IF('ORDENES'!$A530="","",'ORDENES'!$AF530)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IF('ORDENES'!$A531="","",IF('ORDENES'!$AH531="","-",'ORDENES'!$AH531))</f>
        <v/>
      </c>
      <c r="D553" s="5">
        <f>IF('ORDENES'!$A531="","",IF('ORDENES'!$Z531="","-",'ORDENES'!$Z531))</f>
        <v/>
      </c>
      <c r="E553" s="5">
        <f>IF('ORDENES'!$A531="","",IF('ORDENES'!$X531="","-",'ORDENES'!$X531))</f>
        <v/>
      </c>
      <c r="F553" s="5">
        <f>IF('ORDENES'!$A531="","",IF('ORDENES'!$AA531="","-",'ORDENES'!$AA531))</f>
        <v/>
      </c>
      <c r="G553" s="5">
        <f>IF('ORDENES'!$A531="","",IF('ORDENES'!$Y531="","-",'ORDENES'!$Y531))</f>
        <v/>
      </c>
      <c r="H553" s="5">
        <f>IF('ORDENES'!$A531="","",IF('ORDENES'!$AG531="","-",'ORDENES'!$AG531))</f>
        <v/>
      </c>
      <c r="I553" s="5">
        <f>IF('ORDENES'!$A531="","",IF('ORDENES'!$AT531="","-",'ORDENES'!$AT531))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0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IF('ORDENES'!$A531="","",'ORDENES'!$AF531)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IF('ORDENES'!$A532="","",IF('ORDENES'!$AH532="","-",'ORDENES'!$AH532))</f>
        <v/>
      </c>
      <c r="D554" s="5">
        <f>IF('ORDENES'!$A532="","",IF('ORDENES'!$Z532="","-",'ORDENES'!$Z532))</f>
        <v/>
      </c>
      <c r="E554" s="5">
        <f>IF('ORDENES'!$A532="","",IF('ORDENES'!$X532="","-",'ORDENES'!$X532))</f>
        <v/>
      </c>
      <c r="F554" s="5">
        <f>IF('ORDENES'!$A532="","",IF('ORDENES'!$AA532="","-",'ORDENES'!$AA532))</f>
        <v/>
      </c>
      <c r="G554" s="5">
        <f>IF('ORDENES'!$A532="","",IF('ORDENES'!$Y532="","-",'ORDENES'!$Y532))</f>
        <v/>
      </c>
      <c r="H554" s="5">
        <f>IF('ORDENES'!$A532="","",IF('ORDENES'!$AG532="","-",'ORDENES'!$AG532))</f>
        <v/>
      </c>
      <c r="I554" s="5">
        <f>IF('ORDENES'!$A532="","",IF('ORDENES'!$AT532="","-",'ORDENES'!$AT532))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0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IF('ORDENES'!$A532="","",'ORDENES'!$AF532)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IF('ORDENES'!$A533="","",IF('ORDENES'!$AH533="","-",'ORDENES'!$AH533))</f>
        <v/>
      </c>
      <c r="D555" s="5">
        <f>IF('ORDENES'!$A533="","",IF('ORDENES'!$Z533="","-",'ORDENES'!$Z533))</f>
        <v/>
      </c>
      <c r="E555" s="5">
        <f>IF('ORDENES'!$A533="","",IF('ORDENES'!$X533="","-",'ORDENES'!$X533))</f>
        <v/>
      </c>
      <c r="F555" s="5">
        <f>IF('ORDENES'!$A533="","",IF('ORDENES'!$AA533="","-",'ORDENES'!$AA533))</f>
        <v/>
      </c>
      <c r="G555" s="5">
        <f>IF('ORDENES'!$A533="","",IF('ORDENES'!$Y533="","-",'ORDENES'!$Y533))</f>
        <v/>
      </c>
      <c r="H555" s="5">
        <f>IF('ORDENES'!$A533="","",IF('ORDENES'!$AG533="","-",'ORDENES'!$AG533))</f>
        <v/>
      </c>
      <c r="I555" s="5">
        <f>IF('ORDENES'!$A533="","",IF('ORDENES'!$AT533="","-",'ORDENES'!$AT533))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0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IF('ORDENES'!$A533="","",'ORDENES'!$AF533)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IF('ORDENES'!$A534="","",IF('ORDENES'!$AH534="","-",'ORDENES'!$AH534))</f>
        <v/>
      </c>
      <c r="D556" s="5">
        <f>IF('ORDENES'!$A534="","",IF('ORDENES'!$Z534="","-",'ORDENES'!$Z534))</f>
        <v/>
      </c>
      <c r="E556" s="5">
        <f>IF('ORDENES'!$A534="","",IF('ORDENES'!$X534="","-",'ORDENES'!$X534))</f>
        <v/>
      </c>
      <c r="F556" s="5">
        <f>IF('ORDENES'!$A534="","",IF('ORDENES'!$AA534="","-",'ORDENES'!$AA534))</f>
        <v/>
      </c>
      <c r="G556" s="5">
        <f>IF('ORDENES'!$A534="","",IF('ORDENES'!$Y534="","-",'ORDENES'!$Y534))</f>
        <v/>
      </c>
      <c r="H556" s="5">
        <f>IF('ORDENES'!$A534="","",IF('ORDENES'!$AG534="","-",'ORDENES'!$AG534))</f>
        <v/>
      </c>
      <c r="I556" s="5">
        <f>IF('ORDENES'!$A534="","",IF('ORDENES'!$AT534="","-",'ORDENES'!$AT534))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0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IF('ORDENES'!$A534="","",'ORDENES'!$AF534)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IF('ORDENES'!$A535="","",IF('ORDENES'!$AH535="","-",'ORDENES'!$AH535))</f>
        <v/>
      </c>
      <c r="D557" s="5">
        <f>IF('ORDENES'!$A535="","",IF('ORDENES'!$Z535="","-",'ORDENES'!$Z535))</f>
        <v/>
      </c>
      <c r="E557" s="5">
        <f>IF('ORDENES'!$A535="","",IF('ORDENES'!$X535="","-",'ORDENES'!$X535))</f>
        <v/>
      </c>
      <c r="F557" s="5">
        <f>IF('ORDENES'!$A535="","",IF('ORDENES'!$AA535="","-",'ORDENES'!$AA535))</f>
        <v/>
      </c>
      <c r="G557" s="5">
        <f>IF('ORDENES'!$A535="","",IF('ORDENES'!$Y535="","-",'ORDENES'!$Y535))</f>
        <v/>
      </c>
      <c r="H557" s="5">
        <f>IF('ORDENES'!$A535="","",IF('ORDENES'!$AG535="","-",'ORDENES'!$AG535))</f>
        <v/>
      </c>
      <c r="I557" s="5">
        <f>IF('ORDENES'!$A535="","",IF('ORDENES'!$AT535="","-",'ORDENES'!$AT535))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0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IF('ORDENES'!$A535="","",'ORDENES'!$AF535)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IF('ORDENES'!$A536="","",IF('ORDENES'!$AH536="","-",'ORDENES'!$AH536))</f>
        <v/>
      </c>
      <c r="D558" s="5">
        <f>IF('ORDENES'!$A536="","",IF('ORDENES'!$Z536="","-",'ORDENES'!$Z536))</f>
        <v/>
      </c>
      <c r="E558" s="5">
        <f>IF('ORDENES'!$A536="","",IF('ORDENES'!$X536="","-",'ORDENES'!$X536))</f>
        <v/>
      </c>
      <c r="F558" s="5">
        <f>IF('ORDENES'!$A536="","",IF('ORDENES'!$AA536="","-",'ORDENES'!$AA536))</f>
        <v/>
      </c>
      <c r="G558" s="5">
        <f>IF('ORDENES'!$A536="","",IF('ORDENES'!$Y536="","-",'ORDENES'!$Y536))</f>
        <v/>
      </c>
      <c r="H558" s="5">
        <f>IF('ORDENES'!$A536="","",IF('ORDENES'!$AG536="","-",'ORDENES'!$AG536))</f>
        <v/>
      </c>
      <c r="I558" s="5">
        <f>IF('ORDENES'!$A536="","",IF('ORDENES'!$AT536="","-",'ORDENES'!$AT536))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0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IF('ORDENES'!$A536="","",'ORDENES'!$AF536)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IF('ORDENES'!$A537="","",IF('ORDENES'!$AH537="","-",'ORDENES'!$AH537))</f>
        <v/>
      </c>
      <c r="D559" s="5">
        <f>IF('ORDENES'!$A537="","",IF('ORDENES'!$Z537="","-",'ORDENES'!$Z537))</f>
        <v/>
      </c>
      <c r="E559" s="5">
        <f>IF('ORDENES'!$A537="","",IF('ORDENES'!$X537="","-",'ORDENES'!$X537))</f>
        <v/>
      </c>
      <c r="F559" s="5">
        <f>IF('ORDENES'!$A537="","",IF('ORDENES'!$AA537="","-",'ORDENES'!$AA537))</f>
        <v/>
      </c>
      <c r="G559" s="5">
        <f>IF('ORDENES'!$A537="","",IF('ORDENES'!$Y537="","-",'ORDENES'!$Y537))</f>
        <v/>
      </c>
      <c r="H559" s="5">
        <f>IF('ORDENES'!$A537="","",IF('ORDENES'!$AG537="","-",'ORDENES'!$AG537))</f>
        <v/>
      </c>
      <c r="I559" s="5">
        <f>IF('ORDENES'!$A537="","",IF('ORDENES'!$AT537="","-",'ORDENES'!$AT537))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0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IF('ORDENES'!$A537="","",'ORDENES'!$AF537)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IF('ORDENES'!$A538="","",IF('ORDENES'!$AH538="","-",'ORDENES'!$AH538))</f>
        <v/>
      </c>
      <c r="D560" s="5">
        <f>IF('ORDENES'!$A538="","",IF('ORDENES'!$Z538="","-",'ORDENES'!$Z538))</f>
        <v/>
      </c>
      <c r="E560" s="5">
        <f>IF('ORDENES'!$A538="","",IF('ORDENES'!$X538="","-",'ORDENES'!$X538))</f>
        <v/>
      </c>
      <c r="F560" s="5">
        <f>IF('ORDENES'!$A538="","",IF('ORDENES'!$AA538="","-",'ORDENES'!$AA538))</f>
        <v/>
      </c>
      <c r="G560" s="5">
        <f>IF('ORDENES'!$A538="","",IF('ORDENES'!$Y538="","-",'ORDENES'!$Y538))</f>
        <v/>
      </c>
      <c r="H560" s="5">
        <f>IF('ORDENES'!$A538="","",IF('ORDENES'!$AG538="","-",'ORDENES'!$AG538))</f>
        <v/>
      </c>
      <c r="I560" s="5">
        <f>IF('ORDENES'!$A538="","",IF('ORDENES'!$AT538="","-",'ORDENES'!$AT538))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0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IF('ORDENES'!$A538="","",'ORDENES'!$AF538)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IF('ORDENES'!$A539="","",IF('ORDENES'!$AH539="","-",'ORDENES'!$AH539))</f>
        <v/>
      </c>
      <c r="D561" s="5">
        <f>IF('ORDENES'!$A539="","",IF('ORDENES'!$Z539="","-",'ORDENES'!$Z539))</f>
        <v/>
      </c>
      <c r="E561" s="5">
        <f>IF('ORDENES'!$A539="","",IF('ORDENES'!$X539="","-",'ORDENES'!$X539))</f>
        <v/>
      </c>
      <c r="F561" s="5">
        <f>IF('ORDENES'!$A539="","",IF('ORDENES'!$AA539="","-",'ORDENES'!$AA539))</f>
        <v/>
      </c>
      <c r="G561" s="5">
        <f>IF('ORDENES'!$A539="","",IF('ORDENES'!$Y539="","-",'ORDENES'!$Y539))</f>
        <v/>
      </c>
      <c r="H561" s="5">
        <f>IF('ORDENES'!$A539="","",IF('ORDENES'!$AG539="","-",'ORDENES'!$AG539))</f>
        <v/>
      </c>
      <c r="I561" s="5">
        <f>IF('ORDENES'!$A539="","",IF('ORDENES'!$AT539="","-",'ORDENES'!$AT539))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0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IF('ORDENES'!$A539="","",'ORDENES'!$AF539)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IF('ORDENES'!$A540="","",IF('ORDENES'!$AH540="","-",'ORDENES'!$AH540))</f>
        <v/>
      </c>
      <c r="D562" s="5">
        <f>IF('ORDENES'!$A540="","",IF('ORDENES'!$Z540="","-",'ORDENES'!$Z540))</f>
        <v/>
      </c>
      <c r="E562" s="5">
        <f>IF('ORDENES'!$A540="","",IF('ORDENES'!$X540="","-",'ORDENES'!$X540))</f>
        <v/>
      </c>
      <c r="F562" s="5">
        <f>IF('ORDENES'!$A540="","",IF('ORDENES'!$AA540="","-",'ORDENES'!$AA540))</f>
        <v/>
      </c>
      <c r="G562" s="5">
        <f>IF('ORDENES'!$A540="","",IF('ORDENES'!$Y540="","-",'ORDENES'!$Y540))</f>
        <v/>
      </c>
      <c r="H562" s="5">
        <f>IF('ORDENES'!$A540="","",IF('ORDENES'!$AG540="","-",'ORDENES'!$AG540))</f>
        <v/>
      </c>
      <c r="I562" s="5">
        <f>IF('ORDENES'!$A540="","",IF('ORDENES'!$AT540="","-",'ORDENES'!$AT540))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0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IF('ORDENES'!$A540="","",'ORDENES'!$AF540)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IF('ORDENES'!$A541="","",IF('ORDENES'!$AH541="","-",'ORDENES'!$AH541))</f>
        <v/>
      </c>
      <c r="D563" s="5">
        <f>IF('ORDENES'!$A541="","",IF('ORDENES'!$Z541="","-",'ORDENES'!$Z541))</f>
        <v/>
      </c>
      <c r="E563" s="5">
        <f>IF('ORDENES'!$A541="","",IF('ORDENES'!$X541="","-",'ORDENES'!$X541))</f>
        <v/>
      </c>
      <c r="F563" s="5">
        <f>IF('ORDENES'!$A541="","",IF('ORDENES'!$AA541="","-",'ORDENES'!$AA541))</f>
        <v/>
      </c>
      <c r="G563" s="5">
        <f>IF('ORDENES'!$A541="","",IF('ORDENES'!$Y541="","-",'ORDENES'!$Y541))</f>
        <v/>
      </c>
      <c r="H563" s="5">
        <f>IF('ORDENES'!$A541="","",IF('ORDENES'!$AG541="","-",'ORDENES'!$AG541))</f>
        <v/>
      </c>
      <c r="I563" s="5">
        <f>IF('ORDENES'!$A541="","",IF('ORDENES'!$AT541="","-",'ORDENES'!$AT541))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0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IF('ORDENES'!$A541="","",'ORDENES'!$AF541)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IF('ORDENES'!$A542="","",IF('ORDENES'!$AH542="","-",'ORDENES'!$AH542))</f>
        <v/>
      </c>
      <c r="D564" s="5">
        <f>IF('ORDENES'!$A542="","",IF('ORDENES'!$Z542="","-",'ORDENES'!$Z542))</f>
        <v/>
      </c>
      <c r="E564" s="5">
        <f>IF('ORDENES'!$A542="","",IF('ORDENES'!$X542="","-",'ORDENES'!$X542))</f>
        <v/>
      </c>
      <c r="F564" s="5">
        <f>IF('ORDENES'!$A542="","",IF('ORDENES'!$AA542="","-",'ORDENES'!$AA542))</f>
        <v/>
      </c>
      <c r="G564" s="5">
        <f>IF('ORDENES'!$A542="","",IF('ORDENES'!$Y542="","-",'ORDENES'!$Y542))</f>
        <v/>
      </c>
      <c r="H564" s="5">
        <f>IF('ORDENES'!$A542="","",IF('ORDENES'!$AG542="","-",'ORDENES'!$AG542))</f>
        <v/>
      </c>
      <c r="I564" s="5">
        <f>IF('ORDENES'!$A542="","",IF('ORDENES'!$AT542="","-",'ORDENES'!$AT542))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0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IF('ORDENES'!$A542="","",'ORDENES'!$AF542)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IF('ORDENES'!$A543="","",IF('ORDENES'!$AH543="","-",'ORDENES'!$AH543))</f>
        <v/>
      </c>
      <c r="D565" s="5">
        <f>IF('ORDENES'!$A543="","",IF('ORDENES'!$Z543="","-",'ORDENES'!$Z543))</f>
        <v/>
      </c>
      <c r="E565" s="5">
        <f>IF('ORDENES'!$A543="","",IF('ORDENES'!$X543="","-",'ORDENES'!$X543))</f>
        <v/>
      </c>
      <c r="F565" s="5">
        <f>IF('ORDENES'!$A543="","",IF('ORDENES'!$AA543="","-",'ORDENES'!$AA543))</f>
        <v/>
      </c>
      <c r="G565" s="5">
        <f>IF('ORDENES'!$A543="","",IF('ORDENES'!$Y543="","-",'ORDENES'!$Y543))</f>
        <v/>
      </c>
      <c r="H565" s="5">
        <f>IF('ORDENES'!$A543="","",IF('ORDENES'!$AG543="","-",'ORDENES'!$AG543))</f>
        <v/>
      </c>
      <c r="I565" s="5">
        <f>IF('ORDENES'!$A543="","",IF('ORDENES'!$AT543="","-",'ORDENES'!$AT543))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0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IF('ORDENES'!$A543="","",'ORDENES'!$AF543)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IF('ORDENES'!$A544="","",IF('ORDENES'!$AH544="","-",'ORDENES'!$AH544))</f>
        <v/>
      </c>
      <c r="D566" s="5">
        <f>IF('ORDENES'!$A544="","",IF('ORDENES'!$Z544="","-",'ORDENES'!$Z544))</f>
        <v/>
      </c>
      <c r="E566" s="5">
        <f>IF('ORDENES'!$A544="","",IF('ORDENES'!$X544="","-",'ORDENES'!$X544))</f>
        <v/>
      </c>
      <c r="F566" s="5">
        <f>IF('ORDENES'!$A544="","",IF('ORDENES'!$AA544="","-",'ORDENES'!$AA544))</f>
        <v/>
      </c>
      <c r="G566" s="5">
        <f>IF('ORDENES'!$A544="","",IF('ORDENES'!$Y544="","-",'ORDENES'!$Y544))</f>
        <v/>
      </c>
      <c r="H566" s="5">
        <f>IF('ORDENES'!$A544="","",IF('ORDENES'!$AG544="","-",'ORDENES'!$AG544))</f>
        <v/>
      </c>
      <c r="I566" s="5">
        <f>IF('ORDENES'!$A544="","",IF('ORDENES'!$AT544="","-",'ORDENES'!$AT544))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0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IF('ORDENES'!$A544="","",'ORDENES'!$AF544)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IF('ORDENES'!$A545="","",IF('ORDENES'!$AH545="","-",'ORDENES'!$AH545))</f>
        <v/>
      </c>
      <c r="D567" s="5">
        <f>IF('ORDENES'!$A545="","",IF('ORDENES'!$Z545="","-",'ORDENES'!$Z545))</f>
        <v/>
      </c>
      <c r="E567" s="5">
        <f>IF('ORDENES'!$A545="","",IF('ORDENES'!$X545="","-",'ORDENES'!$X545))</f>
        <v/>
      </c>
      <c r="F567" s="5">
        <f>IF('ORDENES'!$A545="","",IF('ORDENES'!$AA545="","-",'ORDENES'!$AA545))</f>
        <v/>
      </c>
      <c r="G567" s="5">
        <f>IF('ORDENES'!$A545="","",IF('ORDENES'!$Y545="","-",'ORDENES'!$Y545))</f>
        <v/>
      </c>
      <c r="H567" s="5">
        <f>IF('ORDENES'!$A545="","",IF('ORDENES'!$AG545="","-",'ORDENES'!$AG545))</f>
        <v/>
      </c>
      <c r="I567" s="5">
        <f>IF('ORDENES'!$A545="","",IF('ORDENES'!$AT545="","-",'ORDENES'!$AT545))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0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IF('ORDENES'!$A545="","",'ORDENES'!$AF545)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IF('ORDENES'!$A546="","",IF('ORDENES'!$AH546="","-",'ORDENES'!$AH546))</f>
        <v/>
      </c>
      <c r="D568" s="5">
        <f>IF('ORDENES'!$A546="","",IF('ORDENES'!$Z546="","-",'ORDENES'!$Z546))</f>
        <v/>
      </c>
      <c r="E568" s="5">
        <f>IF('ORDENES'!$A546="","",IF('ORDENES'!$X546="","-",'ORDENES'!$X546))</f>
        <v/>
      </c>
      <c r="F568" s="5">
        <f>IF('ORDENES'!$A546="","",IF('ORDENES'!$AA546="","-",'ORDENES'!$AA546))</f>
        <v/>
      </c>
      <c r="G568" s="5">
        <f>IF('ORDENES'!$A546="","",IF('ORDENES'!$Y546="","-",'ORDENES'!$Y546))</f>
        <v/>
      </c>
      <c r="H568" s="5">
        <f>IF('ORDENES'!$A546="","",IF('ORDENES'!$AG546="","-",'ORDENES'!$AG546))</f>
        <v/>
      </c>
      <c r="I568" s="5">
        <f>IF('ORDENES'!$A546="","",IF('ORDENES'!$AT546="","-",'ORDENES'!$AT546))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0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IF('ORDENES'!$A546="","",'ORDENES'!$AF546)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IF('ORDENES'!$A547="","",IF('ORDENES'!$AH547="","-",'ORDENES'!$AH547))</f>
        <v/>
      </c>
      <c r="D569" s="5">
        <f>IF('ORDENES'!$A547="","",IF('ORDENES'!$Z547="","-",'ORDENES'!$Z547))</f>
        <v/>
      </c>
      <c r="E569" s="5">
        <f>IF('ORDENES'!$A547="","",IF('ORDENES'!$X547="","-",'ORDENES'!$X547))</f>
        <v/>
      </c>
      <c r="F569" s="5">
        <f>IF('ORDENES'!$A547="","",IF('ORDENES'!$AA547="","-",'ORDENES'!$AA547))</f>
        <v/>
      </c>
      <c r="G569" s="5">
        <f>IF('ORDENES'!$A547="","",IF('ORDENES'!$Y547="","-",'ORDENES'!$Y547))</f>
        <v/>
      </c>
      <c r="H569" s="5">
        <f>IF('ORDENES'!$A547="","",IF('ORDENES'!$AG547="","-",'ORDENES'!$AG547))</f>
        <v/>
      </c>
      <c r="I569" s="5">
        <f>IF('ORDENES'!$A547="","",IF('ORDENES'!$AT547="","-",'ORDENES'!$AT547))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0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IF('ORDENES'!$A547="","",'ORDENES'!$AF547)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IF('ORDENES'!$A548="","",IF('ORDENES'!$AH548="","-",'ORDENES'!$AH548))</f>
        <v/>
      </c>
      <c r="D570" s="5">
        <f>IF('ORDENES'!$A548="","",IF('ORDENES'!$Z548="","-",'ORDENES'!$Z548))</f>
        <v/>
      </c>
      <c r="E570" s="5">
        <f>IF('ORDENES'!$A548="","",IF('ORDENES'!$X548="","-",'ORDENES'!$X548))</f>
        <v/>
      </c>
      <c r="F570" s="5">
        <f>IF('ORDENES'!$A548="","",IF('ORDENES'!$AA548="","-",'ORDENES'!$AA548))</f>
        <v/>
      </c>
      <c r="G570" s="5">
        <f>IF('ORDENES'!$A548="","",IF('ORDENES'!$Y548="","-",'ORDENES'!$Y548))</f>
        <v/>
      </c>
      <c r="H570" s="5">
        <f>IF('ORDENES'!$A548="","",IF('ORDENES'!$AG548="","-",'ORDENES'!$AG548))</f>
        <v/>
      </c>
      <c r="I570" s="5">
        <f>IF('ORDENES'!$A548="","",IF('ORDENES'!$AT548="","-",'ORDENES'!$AT548))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0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IF('ORDENES'!$A548="","",'ORDENES'!$AF548)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IF('ORDENES'!$A549="","",IF('ORDENES'!$AH549="","-",'ORDENES'!$AH549))</f>
        <v/>
      </c>
      <c r="D571" s="5">
        <f>IF('ORDENES'!$A549="","",IF('ORDENES'!$Z549="","-",'ORDENES'!$Z549))</f>
        <v/>
      </c>
      <c r="E571" s="5">
        <f>IF('ORDENES'!$A549="","",IF('ORDENES'!$X549="","-",'ORDENES'!$X549))</f>
        <v/>
      </c>
      <c r="F571" s="5">
        <f>IF('ORDENES'!$A549="","",IF('ORDENES'!$AA549="","-",'ORDENES'!$AA549))</f>
        <v/>
      </c>
      <c r="G571" s="5">
        <f>IF('ORDENES'!$A549="","",IF('ORDENES'!$Y549="","-",'ORDENES'!$Y549))</f>
        <v/>
      </c>
      <c r="H571" s="5">
        <f>IF('ORDENES'!$A549="","",IF('ORDENES'!$AG549="","-",'ORDENES'!$AG549))</f>
        <v/>
      </c>
      <c r="I571" s="5">
        <f>IF('ORDENES'!$A549="","",IF('ORDENES'!$AT549="","-",'ORDENES'!$AT549))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0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IF('ORDENES'!$A549="","",'ORDENES'!$AF549)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IF('ORDENES'!$A550="","",IF('ORDENES'!$AH550="","-",'ORDENES'!$AH550))</f>
        <v/>
      </c>
      <c r="D572" s="5">
        <f>IF('ORDENES'!$A550="","",IF('ORDENES'!$Z550="","-",'ORDENES'!$Z550))</f>
        <v/>
      </c>
      <c r="E572" s="5">
        <f>IF('ORDENES'!$A550="","",IF('ORDENES'!$X550="","-",'ORDENES'!$X550))</f>
        <v/>
      </c>
      <c r="F572" s="5">
        <f>IF('ORDENES'!$A550="","",IF('ORDENES'!$AA550="","-",'ORDENES'!$AA550))</f>
        <v/>
      </c>
      <c r="G572" s="5">
        <f>IF('ORDENES'!$A550="","",IF('ORDENES'!$Y550="","-",'ORDENES'!$Y550))</f>
        <v/>
      </c>
      <c r="H572" s="5">
        <f>IF('ORDENES'!$A550="","",IF('ORDENES'!$AG550="","-",'ORDENES'!$AG550))</f>
        <v/>
      </c>
      <c r="I572" s="5">
        <f>IF('ORDENES'!$A550="","",IF('ORDENES'!$AT550="","-",'ORDENES'!$AT550))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0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IF('ORDENES'!$A550="","",'ORDENES'!$AF550)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IF('ORDENES'!$A551="","",IF('ORDENES'!$AH551="","-",'ORDENES'!$AH551))</f>
        <v/>
      </c>
      <c r="D573" s="5">
        <f>IF('ORDENES'!$A551="","",IF('ORDENES'!$Z551="","-",'ORDENES'!$Z551))</f>
        <v/>
      </c>
      <c r="E573" s="5">
        <f>IF('ORDENES'!$A551="","",IF('ORDENES'!$X551="","-",'ORDENES'!$X551))</f>
        <v/>
      </c>
      <c r="F573" s="5">
        <f>IF('ORDENES'!$A551="","",IF('ORDENES'!$AA551="","-",'ORDENES'!$AA551))</f>
        <v/>
      </c>
      <c r="G573" s="5">
        <f>IF('ORDENES'!$A551="","",IF('ORDENES'!$Y551="","-",'ORDENES'!$Y551))</f>
        <v/>
      </c>
      <c r="H573" s="5">
        <f>IF('ORDENES'!$A551="","",IF('ORDENES'!$AG551="","-",'ORDENES'!$AG551))</f>
        <v/>
      </c>
      <c r="I573" s="5">
        <f>IF('ORDENES'!$A551="","",IF('ORDENES'!$AT551="","-",'ORDENES'!$AT551))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0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IF('ORDENES'!$A551="","",'ORDENES'!$AF551)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IF('ORDENES'!$A552="","",IF('ORDENES'!$AH552="","-",'ORDENES'!$AH552))</f>
        <v/>
      </c>
      <c r="D574" s="5">
        <f>IF('ORDENES'!$A552="","",IF('ORDENES'!$Z552="","-",'ORDENES'!$Z552))</f>
        <v/>
      </c>
      <c r="E574" s="5">
        <f>IF('ORDENES'!$A552="","",IF('ORDENES'!$X552="","-",'ORDENES'!$X552))</f>
        <v/>
      </c>
      <c r="F574" s="5">
        <f>IF('ORDENES'!$A552="","",IF('ORDENES'!$AA552="","-",'ORDENES'!$AA552))</f>
        <v/>
      </c>
      <c r="G574" s="5">
        <f>IF('ORDENES'!$A552="","",IF('ORDENES'!$Y552="","-",'ORDENES'!$Y552))</f>
        <v/>
      </c>
      <c r="H574" s="5">
        <f>IF('ORDENES'!$A552="","",IF('ORDENES'!$AG552="","-",'ORDENES'!$AG552))</f>
        <v/>
      </c>
      <c r="I574" s="5">
        <f>IF('ORDENES'!$A552="","",IF('ORDENES'!$AT552="","-",'ORDENES'!$AT552))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0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IF('ORDENES'!$A552="","",'ORDENES'!$AF552)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IF('ORDENES'!$A553="","",IF('ORDENES'!$AH553="","-",'ORDENES'!$AH553))</f>
        <v/>
      </c>
      <c r="D575" s="5">
        <f>IF('ORDENES'!$A553="","",IF('ORDENES'!$Z553="","-",'ORDENES'!$Z553))</f>
        <v/>
      </c>
      <c r="E575" s="5">
        <f>IF('ORDENES'!$A553="","",IF('ORDENES'!$X553="","-",'ORDENES'!$X553))</f>
        <v/>
      </c>
      <c r="F575" s="5">
        <f>IF('ORDENES'!$A553="","",IF('ORDENES'!$AA553="","-",'ORDENES'!$AA553))</f>
        <v/>
      </c>
      <c r="G575" s="5">
        <f>IF('ORDENES'!$A553="","",IF('ORDENES'!$Y553="","-",'ORDENES'!$Y553))</f>
        <v/>
      </c>
      <c r="H575" s="5">
        <f>IF('ORDENES'!$A553="","",IF('ORDENES'!$AG553="","-",'ORDENES'!$AG553))</f>
        <v/>
      </c>
      <c r="I575" s="5">
        <f>IF('ORDENES'!$A553="","",IF('ORDENES'!$AT553="","-",'ORDENES'!$AT553))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0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IF('ORDENES'!$A553="","",'ORDENES'!$AF553)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IF('ORDENES'!$A554="","",IF('ORDENES'!$AH554="","-",'ORDENES'!$AH554))</f>
        <v/>
      </c>
      <c r="D576" s="5">
        <f>IF('ORDENES'!$A554="","",IF('ORDENES'!$Z554="","-",'ORDENES'!$Z554))</f>
        <v/>
      </c>
      <c r="E576" s="5">
        <f>IF('ORDENES'!$A554="","",IF('ORDENES'!$X554="","-",'ORDENES'!$X554))</f>
        <v/>
      </c>
      <c r="F576" s="5">
        <f>IF('ORDENES'!$A554="","",IF('ORDENES'!$AA554="","-",'ORDENES'!$AA554))</f>
        <v/>
      </c>
      <c r="G576" s="5">
        <f>IF('ORDENES'!$A554="","",IF('ORDENES'!$Y554="","-",'ORDENES'!$Y554))</f>
        <v/>
      </c>
      <c r="H576" s="5">
        <f>IF('ORDENES'!$A554="","",IF('ORDENES'!$AG554="","-",'ORDENES'!$AG554))</f>
        <v/>
      </c>
      <c r="I576" s="5">
        <f>IF('ORDENES'!$A554="","",IF('ORDENES'!$AT554="","-",'ORDENES'!$AT554))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0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IF('ORDENES'!$A554="","",'ORDENES'!$AF554)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IF('ORDENES'!$A555="","",IF('ORDENES'!$AH555="","-",'ORDENES'!$AH555))</f>
        <v/>
      </c>
      <c r="D577" s="5">
        <f>IF('ORDENES'!$A555="","",IF('ORDENES'!$Z555="","-",'ORDENES'!$Z555))</f>
        <v/>
      </c>
      <c r="E577" s="5">
        <f>IF('ORDENES'!$A555="","",IF('ORDENES'!$X555="","-",'ORDENES'!$X555))</f>
        <v/>
      </c>
      <c r="F577" s="5">
        <f>IF('ORDENES'!$A555="","",IF('ORDENES'!$AA555="","-",'ORDENES'!$AA555))</f>
        <v/>
      </c>
      <c r="G577" s="5">
        <f>IF('ORDENES'!$A555="","",IF('ORDENES'!$Y555="","-",'ORDENES'!$Y555))</f>
        <v/>
      </c>
      <c r="H577" s="5">
        <f>IF('ORDENES'!$A555="","",IF('ORDENES'!$AG555="","-",'ORDENES'!$AG555))</f>
        <v/>
      </c>
      <c r="I577" s="5">
        <f>IF('ORDENES'!$A555="","",IF('ORDENES'!$AT555="","-",'ORDENES'!$AT555))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0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IF('ORDENES'!$A555="","",'ORDENES'!$AF555)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IF('ORDENES'!$A556="","",IF('ORDENES'!$AH556="","-",'ORDENES'!$AH556))</f>
        <v/>
      </c>
      <c r="D578" s="5">
        <f>IF('ORDENES'!$A556="","",IF('ORDENES'!$Z556="","-",'ORDENES'!$Z556))</f>
        <v/>
      </c>
      <c r="E578" s="5">
        <f>IF('ORDENES'!$A556="","",IF('ORDENES'!$X556="","-",'ORDENES'!$X556))</f>
        <v/>
      </c>
      <c r="F578" s="5">
        <f>IF('ORDENES'!$A556="","",IF('ORDENES'!$AA556="","-",'ORDENES'!$AA556))</f>
        <v/>
      </c>
      <c r="G578" s="5">
        <f>IF('ORDENES'!$A556="","",IF('ORDENES'!$Y556="","-",'ORDENES'!$Y556))</f>
        <v/>
      </c>
      <c r="H578" s="5">
        <f>IF('ORDENES'!$A556="","",IF('ORDENES'!$AG556="","-",'ORDENES'!$AG556))</f>
        <v/>
      </c>
      <c r="I578" s="5">
        <f>IF('ORDENES'!$A556="","",IF('ORDENES'!$AT556="","-",'ORDENES'!$AT556))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0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IF('ORDENES'!$A556="","",'ORDENES'!$AF556)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IF('ORDENES'!$A557="","",IF('ORDENES'!$AH557="","-",'ORDENES'!$AH557))</f>
        <v/>
      </c>
      <c r="D579" s="5">
        <f>IF('ORDENES'!$A557="","",IF('ORDENES'!$Z557="","-",'ORDENES'!$Z557))</f>
        <v/>
      </c>
      <c r="E579" s="5">
        <f>IF('ORDENES'!$A557="","",IF('ORDENES'!$X557="","-",'ORDENES'!$X557))</f>
        <v/>
      </c>
      <c r="F579" s="5">
        <f>IF('ORDENES'!$A557="","",IF('ORDENES'!$AA557="","-",'ORDENES'!$AA557))</f>
        <v/>
      </c>
      <c r="G579" s="5">
        <f>IF('ORDENES'!$A557="","",IF('ORDENES'!$Y557="","-",'ORDENES'!$Y557))</f>
        <v/>
      </c>
      <c r="H579" s="5">
        <f>IF('ORDENES'!$A557="","",IF('ORDENES'!$AG557="","-",'ORDENES'!$AG557))</f>
        <v/>
      </c>
      <c r="I579" s="5">
        <f>IF('ORDENES'!$A557="","",IF('ORDENES'!$AT557="","-",'ORDENES'!$AT557))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0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IF('ORDENES'!$A557="","",'ORDENES'!$AF557)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IF('ORDENES'!$A558="","",IF('ORDENES'!$AH558="","-",'ORDENES'!$AH558))</f>
        <v/>
      </c>
      <c r="D580" s="5">
        <f>IF('ORDENES'!$A558="","",IF('ORDENES'!$Z558="","-",'ORDENES'!$Z558))</f>
        <v/>
      </c>
      <c r="E580" s="5">
        <f>IF('ORDENES'!$A558="","",IF('ORDENES'!$X558="","-",'ORDENES'!$X558))</f>
        <v/>
      </c>
      <c r="F580" s="5">
        <f>IF('ORDENES'!$A558="","",IF('ORDENES'!$AA558="","-",'ORDENES'!$AA558))</f>
        <v/>
      </c>
      <c r="G580" s="5">
        <f>IF('ORDENES'!$A558="","",IF('ORDENES'!$Y558="","-",'ORDENES'!$Y558))</f>
        <v/>
      </c>
      <c r="H580" s="5">
        <f>IF('ORDENES'!$A558="","",IF('ORDENES'!$AG558="","-",'ORDENES'!$AG558))</f>
        <v/>
      </c>
      <c r="I580" s="5">
        <f>IF('ORDENES'!$A558="","",IF('ORDENES'!$AT558="","-",'ORDENES'!$AT558))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0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IF('ORDENES'!$A558="","",'ORDENES'!$AF558)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IF('ORDENES'!$A559="","",IF('ORDENES'!$AH559="","-",'ORDENES'!$AH559))</f>
        <v/>
      </c>
      <c r="D581" s="5">
        <f>IF('ORDENES'!$A559="","",IF('ORDENES'!$Z559="","-",'ORDENES'!$Z559))</f>
        <v/>
      </c>
      <c r="E581" s="5">
        <f>IF('ORDENES'!$A559="","",IF('ORDENES'!$X559="","-",'ORDENES'!$X559))</f>
        <v/>
      </c>
      <c r="F581" s="5">
        <f>IF('ORDENES'!$A559="","",IF('ORDENES'!$AA559="","-",'ORDENES'!$AA559))</f>
        <v/>
      </c>
      <c r="G581" s="5">
        <f>IF('ORDENES'!$A559="","",IF('ORDENES'!$Y559="","-",'ORDENES'!$Y559))</f>
        <v/>
      </c>
      <c r="H581" s="5">
        <f>IF('ORDENES'!$A559="","",IF('ORDENES'!$AG559="","-",'ORDENES'!$AG559))</f>
        <v/>
      </c>
      <c r="I581" s="5">
        <f>IF('ORDENES'!$A559="","",IF('ORDENES'!$AT559="","-",'ORDENES'!$AT559))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0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IF('ORDENES'!$A559="","",'ORDENES'!$AF559)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IF('ORDENES'!$A560="","",IF('ORDENES'!$AH560="","-",'ORDENES'!$AH560))</f>
        <v/>
      </c>
      <c r="D582" s="5">
        <f>IF('ORDENES'!$A560="","",IF('ORDENES'!$Z560="","-",'ORDENES'!$Z560))</f>
        <v/>
      </c>
      <c r="E582" s="5">
        <f>IF('ORDENES'!$A560="","",IF('ORDENES'!$X560="","-",'ORDENES'!$X560))</f>
        <v/>
      </c>
      <c r="F582" s="5">
        <f>IF('ORDENES'!$A560="","",IF('ORDENES'!$AA560="","-",'ORDENES'!$AA560))</f>
        <v/>
      </c>
      <c r="G582" s="5">
        <f>IF('ORDENES'!$A560="","",IF('ORDENES'!$Y560="","-",'ORDENES'!$Y560))</f>
        <v/>
      </c>
      <c r="H582" s="5">
        <f>IF('ORDENES'!$A560="","",IF('ORDENES'!$AG560="","-",'ORDENES'!$AG560))</f>
        <v/>
      </c>
      <c r="I582" s="5">
        <f>IF('ORDENES'!$A560="","",IF('ORDENES'!$AT560="","-",'ORDENES'!$AT560))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0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IF('ORDENES'!$A560="","",'ORDENES'!$AF560)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IF('ORDENES'!$A561="","",IF('ORDENES'!$AH561="","-",'ORDENES'!$AH561))</f>
        <v/>
      </c>
      <c r="D583" s="5">
        <f>IF('ORDENES'!$A561="","",IF('ORDENES'!$Z561="","-",'ORDENES'!$Z561))</f>
        <v/>
      </c>
      <c r="E583" s="5">
        <f>IF('ORDENES'!$A561="","",IF('ORDENES'!$X561="","-",'ORDENES'!$X561))</f>
        <v/>
      </c>
      <c r="F583" s="5">
        <f>IF('ORDENES'!$A561="","",IF('ORDENES'!$AA561="","-",'ORDENES'!$AA561))</f>
        <v/>
      </c>
      <c r="G583" s="5">
        <f>IF('ORDENES'!$A561="","",IF('ORDENES'!$Y561="","-",'ORDENES'!$Y561))</f>
        <v/>
      </c>
      <c r="H583" s="5">
        <f>IF('ORDENES'!$A561="","",IF('ORDENES'!$AG561="","-",'ORDENES'!$AG561))</f>
        <v/>
      </c>
      <c r="I583" s="5">
        <f>IF('ORDENES'!$A561="","",IF('ORDENES'!$AT561="","-",'ORDENES'!$AT561))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0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IF('ORDENES'!$A561="","",'ORDENES'!$AF561)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IF('ORDENES'!$A562="","",IF('ORDENES'!$AH562="","-",'ORDENES'!$AH562))</f>
        <v/>
      </c>
      <c r="D584" s="5">
        <f>IF('ORDENES'!$A562="","",IF('ORDENES'!$Z562="","-",'ORDENES'!$Z562))</f>
        <v/>
      </c>
      <c r="E584" s="5">
        <f>IF('ORDENES'!$A562="","",IF('ORDENES'!$X562="","-",'ORDENES'!$X562))</f>
        <v/>
      </c>
      <c r="F584" s="5">
        <f>IF('ORDENES'!$A562="","",IF('ORDENES'!$AA562="","-",'ORDENES'!$AA562))</f>
        <v/>
      </c>
      <c r="G584" s="5">
        <f>IF('ORDENES'!$A562="","",IF('ORDENES'!$Y562="","-",'ORDENES'!$Y562))</f>
        <v/>
      </c>
      <c r="H584" s="5">
        <f>IF('ORDENES'!$A562="","",IF('ORDENES'!$AG562="","-",'ORDENES'!$AG562))</f>
        <v/>
      </c>
      <c r="I584" s="5">
        <f>IF('ORDENES'!$A562="","",IF('ORDENES'!$AT562="","-",'ORDENES'!$AT562))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0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IF('ORDENES'!$A562="","",'ORDENES'!$AF562)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IF('ORDENES'!$A563="","",IF('ORDENES'!$AH563="","-",'ORDENES'!$AH563))</f>
        <v/>
      </c>
      <c r="D585" s="5">
        <f>IF('ORDENES'!$A563="","",IF('ORDENES'!$Z563="","-",'ORDENES'!$Z563))</f>
        <v/>
      </c>
      <c r="E585" s="5">
        <f>IF('ORDENES'!$A563="","",IF('ORDENES'!$X563="","-",'ORDENES'!$X563))</f>
        <v/>
      </c>
      <c r="F585" s="5">
        <f>IF('ORDENES'!$A563="","",IF('ORDENES'!$AA563="","-",'ORDENES'!$AA563))</f>
        <v/>
      </c>
      <c r="G585" s="5">
        <f>IF('ORDENES'!$A563="","",IF('ORDENES'!$Y563="","-",'ORDENES'!$Y563))</f>
        <v/>
      </c>
      <c r="H585" s="5">
        <f>IF('ORDENES'!$A563="","",IF('ORDENES'!$AG563="","-",'ORDENES'!$AG563))</f>
        <v/>
      </c>
      <c r="I585" s="5">
        <f>IF('ORDENES'!$A563="","",IF('ORDENES'!$AT563="","-",'ORDENES'!$AT563))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0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IF('ORDENES'!$A563="","",'ORDENES'!$AF563)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IF('ORDENES'!$A564="","",IF('ORDENES'!$AH564="","-",'ORDENES'!$AH564))</f>
        <v/>
      </c>
      <c r="D586" s="5">
        <f>IF('ORDENES'!$A564="","",IF('ORDENES'!$Z564="","-",'ORDENES'!$Z564))</f>
        <v/>
      </c>
      <c r="E586" s="5">
        <f>IF('ORDENES'!$A564="","",IF('ORDENES'!$X564="","-",'ORDENES'!$X564))</f>
        <v/>
      </c>
      <c r="F586" s="5">
        <f>IF('ORDENES'!$A564="","",IF('ORDENES'!$AA564="","-",'ORDENES'!$AA564))</f>
        <v/>
      </c>
      <c r="G586" s="5">
        <f>IF('ORDENES'!$A564="","",IF('ORDENES'!$Y564="","-",'ORDENES'!$Y564))</f>
        <v/>
      </c>
      <c r="H586" s="5">
        <f>IF('ORDENES'!$A564="","",IF('ORDENES'!$AG564="","-",'ORDENES'!$AG564))</f>
        <v/>
      </c>
      <c r="I586" s="5">
        <f>IF('ORDENES'!$A564="","",IF('ORDENES'!$AT564="","-",'ORDENES'!$AT564))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0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IF('ORDENES'!$A564="","",'ORDENES'!$AF564)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IF('ORDENES'!$A565="","",IF('ORDENES'!$AH565="","-",'ORDENES'!$AH565))</f>
        <v/>
      </c>
      <c r="D587" s="5">
        <f>IF('ORDENES'!$A565="","",IF('ORDENES'!$Z565="","-",'ORDENES'!$Z565))</f>
        <v/>
      </c>
      <c r="E587" s="5">
        <f>IF('ORDENES'!$A565="","",IF('ORDENES'!$X565="","-",'ORDENES'!$X565))</f>
        <v/>
      </c>
      <c r="F587" s="5">
        <f>IF('ORDENES'!$A565="","",IF('ORDENES'!$AA565="","-",'ORDENES'!$AA565))</f>
        <v/>
      </c>
      <c r="G587" s="5">
        <f>IF('ORDENES'!$A565="","",IF('ORDENES'!$Y565="","-",'ORDENES'!$Y565))</f>
        <v/>
      </c>
      <c r="H587" s="5">
        <f>IF('ORDENES'!$A565="","",IF('ORDENES'!$AG565="","-",'ORDENES'!$AG565))</f>
        <v/>
      </c>
      <c r="I587" s="5">
        <f>IF('ORDENES'!$A565="","",IF('ORDENES'!$AT565="","-",'ORDENES'!$AT565))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0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IF('ORDENES'!$A565="","",'ORDENES'!$AF565)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IF('ORDENES'!$A566="","",IF('ORDENES'!$AH566="","-",'ORDENES'!$AH566))</f>
        <v/>
      </c>
      <c r="D588" s="5">
        <f>IF('ORDENES'!$A566="","",IF('ORDENES'!$Z566="","-",'ORDENES'!$Z566))</f>
        <v/>
      </c>
      <c r="E588" s="5">
        <f>IF('ORDENES'!$A566="","",IF('ORDENES'!$X566="","-",'ORDENES'!$X566))</f>
        <v/>
      </c>
      <c r="F588" s="5">
        <f>IF('ORDENES'!$A566="","",IF('ORDENES'!$AA566="","-",'ORDENES'!$AA566))</f>
        <v/>
      </c>
      <c r="G588" s="5">
        <f>IF('ORDENES'!$A566="","",IF('ORDENES'!$Y566="","-",'ORDENES'!$Y566))</f>
        <v/>
      </c>
      <c r="H588" s="5">
        <f>IF('ORDENES'!$A566="","",IF('ORDENES'!$AG566="","-",'ORDENES'!$AG566))</f>
        <v/>
      </c>
      <c r="I588" s="5">
        <f>IF('ORDENES'!$A566="","",IF('ORDENES'!$AT566="","-",'ORDENES'!$AT566))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0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IF('ORDENES'!$A566="","",'ORDENES'!$AF566)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IF('ORDENES'!$A567="","",IF('ORDENES'!$AH567="","-",'ORDENES'!$AH567))</f>
        <v/>
      </c>
      <c r="D589" s="5">
        <f>IF('ORDENES'!$A567="","",IF('ORDENES'!$Z567="","-",'ORDENES'!$Z567))</f>
        <v/>
      </c>
      <c r="E589" s="5">
        <f>IF('ORDENES'!$A567="","",IF('ORDENES'!$X567="","-",'ORDENES'!$X567))</f>
        <v/>
      </c>
      <c r="F589" s="5">
        <f>IF('ORDENES'!$A567="","",IF('ORDENES'!$AA567="","-",'ORDENES'!$AA567))</f>
        <v/>
      </c>
      <c r="G589" s="5">
        <f>IF('ORDENES'!$A567="","",IF('ORDENES'!$Y567="","-",'ORDENES'!$Y567))</f>
        <v/>
      </c>
      <c r="H589" s="5">
        <f>IF('ORDENES'!$A567="","",IF('ORDENES'!$AG567="","-",'ORDENES'!$AG567))</f>
        <v/>
      </c>
      <c r="I589" s="5">
        <f>IF('ORDENES'!$A567="","",IF('ORDENES'!$AT567="","-",'ORDENES'!$AT567))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0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IF('ORDENES'!$A567="","",'ORDENES'!$AF567)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IF('ORDENES'!$A568="","",IF('ORDENES'!$AH568="","-",'ORDENES'!$AH568))</f>
        <v/>
      </c>
      <c r="D590" s="5">
        <f>IF('ORDENES'!$A568="","",IF('ORDENES'!$Z568="","-",'ORDENES'!$Z568))</f>
        <v/>
      </c>
      <c r="E590" s="5">
        <f>IF('ORDENES'!$A568="","",IF('ORDENES'!$X568="","-",'ORDENES'!$X568))</f>
        <v/>
      </c>
      <c r="F590" s="5">
        <f>IF('ORDENES'!$A568="","",IF('ORDENES'!$AA568="","-",'ORDENES'!$AA568))</f>
        <v/>
      </c>
      <c r="G590" s="5">
        <f>IF('ORDENES'!$A568="","",IF('ORDENES'!$Y568="","-",'ORDENES'!$Y568))</f>
        <v/>
      </c>
      <c r="H590" s="5">
        <f>IF('ORDENES'!$A568="","",IF('ORDENES'!$AG568="","-",'ORDENES'!$AG568))</f>
        <v/>
      </c>
      <c r="I590" s="5">
        <f>IF('ORDENES'!$A568="","",IF('ORDENES'!$AT568="","-",'ORDENES'!$AT568))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0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IF('ORDENES'!$A568="","",'ORDENES'!$AF568)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IF('ORDENES'!$A569="","",IF('ORDENES'!$AH569="","-",'ORDENES'!$AH569))</f>
        <v/>
      </c>
      <c r="D591" s="5">
        <f>IF('ORDENES'!$A569="","",IF('ORDENES'!$Z569="","-",'ORDENES'!$Z569))</f>
        <v/>
      </c>
      <c r="E591" s="5">
        <f>IF('ORDENES'!$A569="","",IF('ORDENES'!$X569="","-",'ORDENES'!$X569))</f>
        <v/>
      </c>
      <c r="F591" s="5">
        <f>IF('ORDENES'!$A569="","",IF('ORDENES'!$AA569="","-",'ORDENES'!$AA569))</f>
        <v/>
      </c>
      <c r="G591" s="5">
        <f>IF('ORDENES'!$A569="","",IF('ORDENES'!$Y569="","-",'ORDENES'!$Y569))</f>
        <v/>
      </c>
      <c r="H591" s="5">
        <f>IF('ORDENES'!$A569="","",IF('ORDENES'!$AG569="","-",'ORDENES'!$AG569))</f>
        <v/>
      </c>
      <c r="I591" s="5">
        <f>IF('ORDENES'!$A569="","",IF('ORDENES'!$AT569="","-",'ORDENES'!$AT569))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0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IF('ORDENES'!$A569="","",'ORDENES'!$AF569)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IF('ORDENES'!$A570="","",IF('ORDENES'!$AH570="","-",'ORDENES'!$AH570))</f>
        <v/>
      </c>
      <c r="D592" s="5">
        <f>IF('ORDENES'!$A570="","",IF('ORDENES'!$Z570="","-",'ORDENES'!$Z570))</f>
        <v/>
      </c>
      <c r="E592" s="5">
        <f>IF('ORDENES'!$A570="","",IF('ORDENES'!$X570="","-",'ORDENES'!$X570))</f>
        <v/>
      </c>
      <c r="F592" s="5">
        <f>IF('ORDENES'!$A570="","",IF('ORDENES'!$AA570="","-",'ORDENES'!$AA570))</f>
        <v/>
      </c>
      <c r="G592" s="5">
        <f>IF('ORDENES'!$A570="","",IF('ORDENES'!$Y570="","-",'ORDENES'!$Y570))</f>
        <v/>
      </c>
      <c r="H592" s="5">
        <f>IF('ORDENES'!$A570="","",IF('ORDENES'!$AG570="","-",'ORDENES'!$AG570))</f>
        <v/>
      </c>
      <c r="I592" s="5">
        <f>IF('ORDENES'!$A570="","",IF('ORDENES'!$AT570="","-",'ORDENES'!$AT570))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0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IF('ORDENES'!$A570="","",'ORDENES'!$AF570)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IF('ORDENES'!$A571="","",IF('ORDENES'!$AH571="","-",'ORDENES'!$AH571))</f>
        <v/>
      </c>
      <c r="D593" s="5">
        <f>IF('ORDENES'!$A571="","",IF('ORDENES'!$Z571="","-",'ORDENES'!$Z571))</f>
        <v/>
      </c>
      <c r="E593" s="5">
        <f>IF('ORDENES'!$A571="","",IF('ORDENES'!$X571="","-",'ORDENES'!$X571))</f>
        <v/>
      </c>
      <c r="F593" s="5">
        <f>IF('ORDENES'!$A571="","",IF('ORDENES'!$AA571="","-",'ORDENES'!$AA571))</f>
        <v/>
      </c>
      <c r="G593" s="5">
        <f>IF('ORDENES'!$A571="","",IF('ORDENES'!$Y571="","-",'ORDENES'!$Y571))</f>
        <v/>
      </c>
      <c r="H593" s="5">
        <f>IF('ORDENES'!$A571="","",IF('ORDENES'!$AG571="","-",'ORDENES'!$AG571))</f>
        <v/>
      </c>
      <c r="I593" s="5">
        <f>IF('ORDENES'!$A571="","",IF('ORDENES'!$AT571="","-",'ORDENES'!$AT571))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0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IF('ORDENES'!$A571="","",'ORDENES'!$AF571)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IF('ORDENES'!$A572="","",IF('ORDENES'!$AH572="","-",'ORDENES'!$AH572))</f>
        <v/>
      </c>
      <c r="D594" s="5">
        <f>IF('ORDENES'!$A572="","",IF('ORDENES'!$Z572="","-",'ORDENES'!$Z572))</f>
        <v/>
      </c>
      <c r="E594" s="5">
        <f>IF('ORDENES'!$A572="","",IF('ORDENES'!$X572="","-",'ORDENES'!$X572))</f>
        <v/>
      </c>
      <c r="F594" s="5">
        <f>IF('ORDENES'!$A572="","",IF('ORDENES'!$AA572="","-",'ORDENES'!$AA572))</f>
        <v/>
      </c>
      <c r="G594" s="5">
        <f>IF('ORDENES'!$A572="","",IF('ORDENES'!$Y572="","-",'ORDENES'!$Y572))</f>
        <v/>
      </c>
      <c r="H594" s="5">
        <f>IF('ORDENES'!$A572="","",IF('ORDENES'!$AG572="","-",'ORDENES'!$AG572))</f>
        <v/>
      </c>
      <c r="I594" s="5">
        <f>IF('ORDENES'!$A572="","",IF('ORDENES'!$AT572="","-",'ORDENES'!$AT572))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0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IF('ORDENES'!$A572="","",'ORDENES'!$AF572)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IF('ORDENES'!$A573="","",IF('ORDENES'!$AH573="","-",'ORDENES'!$AH573))</f>
        <v/>
      </c>
      <c r="D595" s="5">
        <f>IF('ORDENES'!$A573="","",IF('ORDENES'!$Z573="","-",'ORDENES'!$Z573))</f>
        <v/>
      </c>
      <c r="E595" s="5">
        <f>IF('ORDENES'!$A573="","",IF('ORDENES'!$X573="","-",'ORDENES'!$X573))</f>
        <v/>
      </c>
      <c r="F595" s="5">
        <f>IF('ORDENES'!$A573="","",IF('ORDENES'!$AA573="","-",'ORDENES'!$AA573))</f>
        <v/>
      </c>
      <c r="G595" s="5">
        <f>IF('ORDENES'!$A573="","",IF('ORDENES'!$Y573="","-",'ORDENES'!$Y573))</f>
        <v/>
      </c>
      <c r="H595" s="5">
        <f>IF('ORDENES'!$A573="","",IF('ORDENES'!$AG573="","-",'ORDENES'!$AG573))</f>
        <v/>
      </c>
      <c r="I595" s="5">
        <f>IF('ORDENES'!$A573="","",IF('ORDENES'!$AT573="","-",'ORDENES'!$AT573))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0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IF('ORDENES'!$A573="","",'ORDENES'!$AF573)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IF('ORDENES'!$A574="","",IF('ORDENES'!$AH574="","-",'ORDENES'!$AH574))</f>
        <v/>
      </c>
      <c r="D596" s="5">
        <f>IF('ORDENES'!$A574="","",IF('ORDENES'!$Z574="","-",'ORDENES'!$Z574))</f>
        <v/>
      </c>
      <c r="E596" s="5">
        <f>IF('ORDENES'!$A574="","",IF('ORDENES'!$X574="","-",'ORDENES'!$X574))</f>
        <v/>
      </c>
      <c r="F596" s="5">
        <f>IF('ORDENES'!$A574="","",IF('ORDENES'!$AA574="","-",'ORDENES'!$AA574))</f>
        <v/>
      </c>
      <c r="G596" s="5">
        <f>IF('ORDENES'!$A574="","",IF('ORDENES'!$Y574="","-",'ORDENES'!$Y574))</f>
        <v/>
      </c>
      <c r="H596" s="5">
        <f>IF('ORDENES'!$A574="","",IF('ORDENES'!$AG574="","-",'ORDENES'!$AG574))</f>
        <v/>
      </c>
      <c r="I596" s="5">
        <f>IF('ORDENES'!$A574="","",IF('ORDENES'!$AT574="","-",'ORDENES'!$AT574))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0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IF('ORDENES'!$A574="","",'ORDENES'!$AF574)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IF('ORDENES'!$A575="","",IF('ORDENES'!$AH575="","-",'ORDENES'!$AH575))</f>
        <v/>
      </c>
      <c r="D597" s="5">
        <f>IF('ORDENES'!$A575="","",IF('ORDENES'!$Z575="","-",'ORDENES'!$Z575))</f>
        <v/>
      </c>
      <c r="E597" s="5">
        <f>IF('ORDENES'!$A575="","",IF('ORDENES'!$X575="","-",'ORDENES'!$X575))</f>
        <v/>
      </c>
      <c r="F597" s="5">
        <f>IF('ORDENES'!$A575="","",IF('ORDENES'!$AA575="","-",'ORDENES'!$AA575))</f>
        <v/>
      </c>
      <c r="G597" s="5">
        <f>IF('ORDENES'!$A575="","",IF('ORDENES'!$Y575="","-",'ORDENES'!$Y575))</f>
        <v/>
      </c>
      <c r="H597" s="5">
        <f>IF('ORDENES'!$A575="","",IF('ORDENES'!$AG575="","-",'ORDENES'!$AG575))</f>
        <v/>
      </c>
      <c r="I597" s="5">
        <f>IF('ORDENES'!$A575="","",IF('ORDENES'!$AT575="","-",'ORDENES'!$AT575))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0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IF('ORDENES'!$A575="","",'ORDENES'!$AF575)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IF('ORDENES'!$A576="","",IF('ORDENES'!$AH576="","-",'ORDENES'!$AH576))</f>
        <v/>
      </c>
      <c r="D598" s="5">
        <f>IF('ORDENES'!$A576="","",IF('ORDENES'!$Z576="","-",'ORDENES'!$Z576))</f>
        <v/>
      </c>
      <c r="E598" s="5">
        <f>IF('ORDENES'!$A576="","",IF('ORDENES'!$X576="","-",'ORDENES'!$X576))</f>
        <v/>
      </c>
      <c r="F598" s="5">
        <f>IF('ORDENES'!$A576="","",IF('ORDENES'!$AA576="","-",'ORDENES'!$AA576))</f>
        <v/>
      </c>
      <c r="G598" s="5">
        <f>IF('ORDENES'!$A576="","",IF('ORDENES'!$Y576="","-",'ORDENES'!$Y576))</f>
        <v/>
      </c>
      <c r="H598" s="5">
        <f>IF('ORDENES'!$A576="","",IF('ORDENES'!$AG576="","-",'ORDENES'!$AG576))</f>
        <v/>
      </c>
      <c r="I598" s="5">
        <f>IF('ORDENES'!$A576="","",IF('ORDENES'!$AT576="","-",'ORDENES'!$AT576))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0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IF('ORDENES'!$A576="","",'ORDENES'!$AF576)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IF('ORDENES'!$A577="","",IF('ORDENES'!$AH577="","-",'ORDENES'!$AH577))</f>
        <v/>
      </c>
      <c r="D599" s="5">
        <f>IF('ORDENES'!$A577="","",IF('ORDENES'!$Z577="","-",'ORDENES'!$Z577))</f>
        <v/>
      </c>
      <c r="E599" s="5">
        <f>IF('ORDENES'!$A577="","",IF('ORDENES'!$X577="","-",'ORDENES'!$X577))</f>
        <v/>
      </c>
      <c r="F599" s="5">
        <f>IF('ORDENES'!$A577="","",IF('ORDENES'!$AA577="","-",'ORDENES'!$AA577))</f>
        <v/>
      </c>
      <c r="G599" s="5">
        <f>IF('ORDENES'!$A577="","",IF('ORDENES'!$Y577="","-",'ORDENES'!$Y577))</f>
        <v/>
      </c>
      <c r="H599" s="5">
        <f>IF('ORDENES'!$A577="","",IF('ORDENES'!$AG577="","-",'ORDENES'!$AG577))</f>
        <v/>
      </c>
      <c r="I599" s="5">
        <f>IF('ORDENES'!$A577="","",IF('ORDENES'!$AT577="","-",'ORDENES'!$AT577))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0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IF('ORDENES'!$A577="","",'ORDENES'!$AF577)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IF('ORDENES'!$A578="","",IF('ORDENES'!$AH578="","-",'ORDENES'!$AH578))</f>
        <v/>
      </c>
      <c r="D600" s="5">
        <f>IF('ORDENES'!$A578="","",IF('ORDENES'!$Z578="","-",'ORDENES'!$Z578))</f>
        <v/>
      </c>
      <c r="E600" s="5">
        <f>IF('ORDENES'!$A578="","",IF('ORDENES'!$X578="","-",'ORDENES'!$X578))</f>
        <v/>
      </c>
      <c r="F600" s="5">
        <f>IF('ORDENES'!$A578="","",IF('ORDENES'!$AA578="","-",'ORDENES'!$AA578))</f>
        <v/>
      </c>
      <c r="G600" s="5">
        <f>IF('ORDENES'!$A578="","",IF('ORDENES'!$Y578="","-",'ORDENES'!$Y578))</f>
        <v/>
      </c>
      <c r="H600" s="5">
        <f>IF('ORDENES'!$A578="","",IF('ORDENES'!$AG578="","-",'ORDENES'!$AG578))</f>
        <v/>
      </c>
      <c r="I600" s="5">
        <f>IF('ORDENES'!$A578="","",IF('ORDENES'!$AT578="","-",'ORDENES'!$AT578))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0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IF('ORDENES'!$A578="","",'ORDENES'!$AF578)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IF('ORDENES'!$A579="","",IF('ORDENES'!$AH579="","-",'ORDENES'!$AH579))</f>
        <v/>
      </c>
      <c r="D601" s="5">
        <f>IF('ORDENES'!$A579="","",IF('ORDENES'!$Z579="","-",'ORDENES'!$Z579))</f>
        <v/>
      </c>
      <c r="E601" s="5">
        <f>IF('ORDENES'!$A579="","",IF('ORDENES'!$X579="","-",'ORDENES'!$X579))</f>
        <v/>
      </c>
      <c r="F601" s="5">
        <f>IF('ORDENES'!$A579="","",IF('ORDENES'!$AA579="","-",'ORDENES'!$AA579))</f>
        <v/>
      </c>
      <c r="G601" s="5">
        <f>IF('ORDENES'!$A579="","",IF('ORDENES'!$Y579="","-",'ORDENES'!$Y579))</f>
        <v/>
      </c>
      <c r="H601" s="5">
        <f>IF('ORDENES'!$A579="","",IF('ORDENES'!$AG579="","-",'ORDENES'!$AG579))</f>
        <v/>
      </c>
      <c r="I601" s="5">
        <f>IF('ORDENES'!$A579="","",IF('ORDENES'!$AT579="","-",'ORDENES'!$AT579))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0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IF('ORDENES'!$A579="","",'ORDENES'!$AF579)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IF('ORDENES'!$A580="","",IF('ORDENES'!$AH580="","-",'ORDENES'!$AH580))</f>
        <v/>
      </c>
      <c r="D602" s="5">
        <f>IF('ORDENES'!$A580="","",IF('ORDENES'!$Z580="","-",'ORDENES'!$Z580))</f>
        <v/>
      </c>
      <c r="E602" s="5">
        <f>IF('ORDENES'!$A580="","",IF('ORDENES'!$X580="","-",'ORDENES'!$X580))</f>
        <v/>
      </c>
      <c r="F602" s="5">
        <f>IF('ORDENES'!$A580="","",IF('ORDENES'!$AA580="","-",'ORDENES'!$AA580))</f>
        <v/>
      </c>
      <c r="G602" s="5">
        <f>IF('ORDENES'!$A580="","",IF('ORDENES'!$Y580="","-",'ORDENES'!$Y580))</f>
        <v/>
      </c>
      <c r="H602" s="5">
        <f>IF('ORDENES'!$A580="","",IF('ORDENES'!$AG580="","-",'ORDENES'!$AG580))</f>
        <v/>
      </c>
      <c r="I602" s="5">
        <f>IF('ORDENES'!$A580="","",IF('ORDENES'!$AT580="","-",'ORDENES'!$AT580))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0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IF('ORDENES'!$A580="","",'ORDENES'!$AF580)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IF('ORDENES'!$A581="","",IF('ORDENES'!$AH581="","-",'ORDENES'!$AH581))</f>
        <v/>
      </c>
      <c r="D603" s="5">
        <f>IF('ORDENES'!$A581="","",IF('ORDENES'!$Z581="","-",'ORDENES'!$Z581))</f>
        <v/>
      </c>
      <c r="E603" s="5">
        <f>IF('ORDENES'!$A581="","",IF('ORDENES'!$X581="","-",'ORDENES'!$X581))</f>
        <v/>
      </c>
      <c r="F603" s="5">
        <f>IF('ORDENES'!$A581="","",IF('ORDENES'!$AA581="","-",'ORDENES'!$AA581))</f>
        <v/>
      </c>
      <c r="G603" s="5">
        <f>IF('ORDENES'!$A581="","",IF('ORDENES'!$Y581="","-",'ORDENES'!$Y581))</f>
        <v/>
      </c>
      <c r="H603" s="5">
        <f>IF('ORDENES'!$A581="","",IF('ORDENES'!$AG581="","-",'ORDENES'!$AG581))</f>
        <v/>
      </c>
      <c r="I603" s="5">
        <f>IF('ORDENES'!$A581="","",IF('ORDENES'!$AT581="","-",'ORDENES'!$AT581))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0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IF('ORDENES'!$A581="","",'ORDENES'!$AF581)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IF('ORDENES'!$A582="","",IF('ORDENES'!$AH582="","-",'ORDENES'!$AH582))</f>
        <v/>
      </c>
      <c r="D604" s="5">
        <f>IF('ORDENES'!$A582="","",IF('ORDENES'!$Z582="","-",'ORDENES'!$Z582))</f>
        <v/>
      </c>
      <c r="E604" s="5">
        <f>IF('ORDENES'!$A582="","",IF('ORDENES'!$X582="","-",'ORDENES'!$X582))</f>
        <v/>
      </c>
      <c r="F604" s="5">
        <f>IF('ORDENES'!$A582="","",IF('ORDENES'!$AA582="","-",'ORDENES'!$AA582))</f>
        <v/>
      </c>
      <c r="G604" s="5">
        <f>IF('ORDENES'!$A582="","",IF('ORDENES'!$Y582="","-",'ORDENES'!$Y582))</f>
        <v/>
      </c>
      <c r="H604" s="5">
        <f>IF('ORDENES'!$A582="","",IF('ORDENES'!$AG582="","-",'ORDENES'!$AG582))</f>
        <v/>
      </c>
      <c r="I604" s="5">
        <f>IF('ORDENES'!$A582="","",IF('ORDENES'!$AT582="","-",'ORDENES'!$AT582))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0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IF('ORDENES'!$A582="","",'ORDENES'!$AF582)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IF('ORDENES'!$A583="","",IF('ORDENES'!$AH583="","-",'ORDENES'!$AH583))</f>
        <v/>
      </c>
      <c r="D605" s="5">
        <f>IF('ORDENES'!$A583="","",IF('ORDENES'!$Z583="","-",'ORDENES'!$Z583))</f>
        <v/>
      </c>
      <c r="E605" s="5">
        <f>IF('ORDENES'!$A583="","",IF('ORDENES'!$X583="","-",'ORDENES'!$X583))</f>
        <v/>
      </c>
      <c r="F605" s="5">
        <f>IF('ORDENES'!$A583="","",IF('ORDENES'!$AA583="","-",'ORDENES'!$AA583))</f>
        <v/>
      </c>
      <c r="G605" s="5">
        <f>IF('ORDENES'!$A583="","",IF('ORDENES'!$Y583="","-",'ORDENES'!$Y583))</f>
        <v/>
      </c>
      <c r="H605" s="5">
        <f>IF('ORDENES'!$A583="","",IF('ORDENES'!$AG583="","-",'ORDENES'!$AG583))</f>
        <v/>
      </c>
      <c r="I605" s="5">
        <f>IF('ORDENES'!$A583="","",IF('ORDENES'!$AT583="","-",'ORDENES'!$AT583))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0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IF('ORDENES'!$A583="","",'ORDENES'!$AF583)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IF('ORDENES'!$A584="","",IF('ORDENES'!$AH584="","-",'ORDENES'!$AH584))</f>
        <v/>
      </c>
      <c r="D606" s="5">
        <f>IF('ORDENES'!$A584="","",IF('ORDENES'!$Z584="","-",'ORDENES'!$Z584))</f>
        <v/>
      </c>
      <c r="E606" s="5">
        <f>IF('ORDENES'!$A584="","",IF('ORDENES'!$X584="","-",'ORDENES'!$X584))</f>
        <v/>
      </c>
      <c r="F606" s="5">
        <f>IF('ORDENES'!$A584="","",IF('ORDENES'!$AA584="","-",'ORDENES'!$AA584))</f>
        <v/>
      </c>
      <c r="G606" s="5">
        <f>IF('ORDENES'!$A584="","",IF('ORDENES'!$Y584="","-",'ORDENES'!$Y584))</f>
        <v/>
      </c>
      <c r="H606" s="5">
        <f>IF('ORDENES'!$A584="","",IF('ORDENES'!$AG584="","-",'ORDENES'!$AG584))</f>
        <v/>
      </c>
      <c r="I606" s="5">
        <f>IF('ORDENES'!$A584="","",IF('ORDENES'!$AT584="","-",'ORDENES'!$AT584))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0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IF('ORDENES'!$A584="","",'ORDENES'!$AF584)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IF('ORDENES'!$A585="","",IF('ORDENES'!$AH585="","-",'ORDENES'!$AH585))</f>
        <v/>
      </c>
      <c r="D607" s="5">
        <f>IF('ORDENES'!$A585="","",IF('ORDENES'!$Z585="","-",'ORDENES'!$Z585))</f>
        <v/>
      </c>
      <c r="E607" s="5">
        <f>IF('ORDENES'!$A585="","",IF('ORDENES'!$X585="","-",'ORDENES'!$X585))</f>
        <v/>
      </c>
      <c r="F607" s="5">
        <f>IF('ORDENES'!$A585="","",IF('ORDENES'!$AA585="","-",'ORDENES'!$AA585))</f>
        <v/>
      </c>
      <c r="G607" s="5">
        <f>IF('ORDENES'!$A585="","",IF('ORDENES'!$Y585="","-",'ORDENES'!$Y585))</f>
        <v/>
      </c>
      <c r="H607" s="5">
        <f>IF('ORDENES'!$A585="","",IF('ORDENES'!$AG585="","-",'ORDENES'!$AG585))</f>
        <v/>
      </c>
      <c r="I607" s="5">
        <f>IF('ORDENES'!$A585="","",IF('ORDENES'!$AT585="","-",'ORDENES'!$AT585))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0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IF('ORDENES'!$A585="","",'ORDENES'!$AF585)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IF('ORDENES'!$A586="","",IF('ORDENES'!$AH586="","-",'ORDENES'!$AH586))</f>
        <v/>
      </c>
      <c r="D608" s="5">
        <f>IF('ORDENES'!$A586="","",IF('ORDENES'!$Z586="","-",'ORDENES'!$Z586))</f>
        <v/>
      </c>
      <c r="E608" s="5">
        <f>IF('ORDENES'!$A586="","",IF('ORDENES'!$X586="","-",'ORDENES'!$X586))</f>
        <v/>
      </c>
      <c r="F608" s="5">
        <f>IF('ORDENES'!$A586="","",IF('ORDENES'!$AA586="","-",'ORDENES'!$AA586))</f>
        <v/>
      </c>
      <c r="G608" s="5">
        <f>IF('ORDENES'!$A586="","",IF('ORDENES'!$Y586="","-",'ORDENES'!$Y586))</f>
        <v/>
      </c>
      <c r="H608" s="5">
        <f>IF('ORDENES'!$A586="","",IF('ORDENES'!$AG586="","-",'ORDENES'!$AG586))</f>
        <v/>
      </c>
      <c r="I608" s="5">
        <f>IF('ORDENES'!$A586="","",IF('ORDENES'!$AT586="","-",'ORDENES'!$AT586))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0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IF('ORDENES'!$A586="","",'ORDENES'!$AF586)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IF('ORDENES'!$A587="","",IF('ORDENES'!$AH587="","-",'ORDENES'!$AH587))</f>
        <v/>
      </c>
      <c r="D609" s="5">
        <f>IF('ORDENES'!$A587="","",IF('ORDENES'!$Z587="","-",'ORDENES'!$Z587))</f>
        <v/>
      </c>
      <c r="E609" s="5">
        <f>IF('ORDENES'!$A587="","",IF('ORDENES'!$X587="","-",'ORDENES'!$X587))</f>
        <v/>
      </c>
      <c r="F609" s="5">
        <f>IF('ORDENES'!$A587="","",IF('ORDENES'!$AA587="","-",'ORDENES'!$AA587))</f>
        <v/>
      </c>
      <c r="G609" s="5">
        <f>IF('ORDENES'!$A587="","",IF('ORDENES'!$Y587="","-",'ORDENES'!$Y587))</f>
        <v/>
      </c>
      <c r="H609" s="5">
        <f>IF('ORDENES'!$A587="","",IF('ORDENES'!$AG587="","-",'ORDENES'!$AG587))</f>
        <v/>
      </c>
      <c r="I609" s="5">
        <f>IF('ORDENES'!$A587="","",IF('ORDENES'!$AT587="","-",'ORDENES'!$AT587))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0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IF('ORDENES'!$A587="","",'ORDENES'!$AF587)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IF('ORDENES'!$A588="","",IF('ORDENES'!$AH588="","-",'ORDENES'!$AH588))</f>
        <v/>
      </c>
      <c r="D610" s="5">
        <f>IF('ORDENES'!$A588="","",IF('ORDENES'!$Z588="","-",'ORDENES'!$Z588))</f>
        <v/>
      </c>
      <c r="E610" s="5">
        <f>IF('ORDENES'!$A588="","",IF('ORDENES'!$X588="","-",'ORDENES'!$X588))</f>
        <v/>
      </c>
      <c r="F610" s="5">
        <f>IF('ORDENES'!$A588="","",IF('ORDENES'!$AA588="","-",'ORDENES'!$AA588))</f>
        <v/>
      </c>
      <c r="G610" s="5">
        <f>IF('ORDENES'!$A588="","",IF('ORDENES'!$Y588="","-",'ORDENES'!$Y588))</f>
        <v/>
      </c>
      <c r="H610" s="5">
        <f>IF('ORDENES'!$A588="","",IF('ORDENES'!$AG588="","-",'ORDENES'!$AG588))</f>
        <v/>
      </c>
      <c r="I610" s="5">
        <f>IF('ORDENES'!$A588="","",IF('ORDENES'!$AT588="","-",'ORDENES'!$AT588))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0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IF('ORDENES'!$A588="","",'ORDENES'!$AF588)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IF('ORDENES'!$A589="","",IF('ORDENES'!$AH589="","-",'ORDENES'!$AH589))</f>
        <v/>
      </c>
      <c r="D611" s="5">
        <f>IF('ORDENES'!$A589="","",IF('ORDENES'!$Z589="","-",'ORDENES'!$Z589))</f>
        <v/>
      </c>
      <c r="E611" s="5">
        <f>IF('ORDENES'!$A589="","",IF('ORDENES'!$X589="","-",'ORDENES'!$X589))</f>
        <v/>
      </c>
      <c r="F611" s="5">
        <f>IF('ORDENES'!$A589="","",IF('ORDENES'!$AA589="","-",'ORDENES'!$AA589))</f>
        <v/>
      </c>
      <c r="G611" s="5">
        <f>IF('ORDENES'!$A589="","",IF('ORDENES'!$Y589="","-",'ORDENES'!$Y589))</f>
        <v/>
      </c>
      <c r="H611" s="5">
        <f>IF('ORDENES'!$A589="","",IF('ORDENES'!$AG589="","-",'ORDENES'!$AG589))</f>
        <v/>
      </c>
      <c r="I611" s="5">
        <f>IF('ORDENES'!$A589="","",IF('ORDENES'!$AT589="","-",'ORDENES'!$AT589))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0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IF('ORDENES'!$A589="","",'ORDENES'!$AF589)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IF('ORDENES'!$A590="","",IF('ORDENES'!$AH590="","-",'ORDENES'!$AH590))</f>
        <v/>
      </c>
      <c r="D612" s="5">
        <f>IF('ORDENES'!$A590="","",IF('ORDENES'!$Z590="","-",'ORDENES'!$Z590))</f>
        <v/>
      </c>
      <c r="E612" s="5">
        <f>IF('ORDENES'!$A590="","",IF('ORDENES'!$X590="","-",'ORDENES'!$X590))</f>
        <v/>
      </c>
      <c r="F612" s="5">
        <f>IF('ORDENES'!$A590="","",IF('ORDENES'!$AA590="","-",'ORDENES'!$AA590))</f>
        <v/>
      </c>
      <c r="G612" s="5">
        <f>IF('ORDENES'!$A590="","",IF('ORDENES'!$Y590="","-",'ORDENES'!$Y590))</f>
        <v/>
      </c>
      <c r="H612" s="5">
        <f>IF('ORDENES'!$A590="","",IF('ORDENES'!$AG590="","-",'ORDENES'!$AG590))</f>
        <v/>
      </c>
      <c r="I612" s="5">
        <f>IF('ORDENES'!$A590="","",IF('ORDENES'!$AT590="","-",'ORDENES'!$AT590))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0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IF('ORDENES'!$A590="","",'ORDENES'!$AF590)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IF('ORDENES'!$A591="","",IF('ORDENES'!$AH591="","-",'ORDENES'!$AH591))</f>
        <v/>
      </c>
      <c r="D613" s="5">
        <f>IF('ORDENES'!$A591="","",IF('ORDENES'!$Z591="","-",'ORDENES'!$Z591))</f>
        <v/>
      </c>
      <c r="E613" s="5">
        <f>IF('ORDENES'!$A591="","",IF('ORDENES'!$X591="","-",'ORDENES'!$X591))</f>
        <v/>
      </c>
      <c r="F613" s="5">
        <f>IF('ORDENES'!$A591="","",IF('ORDENES'!$AA591="","-",'ORDENES'!$AA591))</f>
        <v/>
      </c>
      <c r="G613" s="5">
        <f>IF('ORDENES'!$A591="","",IF('ORDENES'!$Y591="","-",'ORDENES'!$Y591))</f>
        <v/>
      </c>
      <c r="H613" s="5">
        <f>IF('ORDENES'!$A591="","",IF('ORDENES'!$AG591="","-",'ORDENES'!$AG591))</f>
        <v/>
      </c>
      <c r="I613" s="5">
        <f>IF('ORDENES'!$A591="","",IF('ORDENES'!$AT591="","-",'ORDENES'!$AT591))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0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IF('ORDENES'!$A591="","",'ORDENES'!$AF591)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IF('ORDENES'!$A592="","",IF('ORDENES'!$AH592="","-",'ORDENES'!$AH592))</f>
        <v/>
      </c>
      <c r="D614" s="5">
        <f>IF('ORDENES'!$A592="","",IF('ORDENES'!$Z592="","-",'ORDENES'!$Z592))</f>
        <v/>
      </c>
      <c r="E614" s="5">
        <f>IF('ORDENES'!$A592="","",IF('ORDENES'!$X592="","-",'ORDENES'!$X592))</f>
        <v/>
      </c>
      <c r="F614" s="5">
        <f>IF('ORDENES'!$A592="","",IF('ORDENES'!$AA592="","-",'ORDENES'!$AA592))</f>
        <v/>
      </c>
      <c r="G614" s="5">
        <f>IF('ORDENES'!$A592="","",IF('ORDENES'!$Y592="","-",'ORDENES'!$Y592))</f>
        <v/>
      </c>
      <c r="H614" s="5">
        <f>IF('ORDENES'!$A592="","",IF('ORDENES'!$AG592="","-",'ORDENES'!$AG592))</f>
        <v/>
      </c>
      <c r="I614" s="5">
        <f>IF('ORDENES'!$A592="","",IF('ORDENES'!$AT592="","-",'ORDENES'!$AT592))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0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IF('ORDENES'!$A592="","",'ORDENES'!$AF592)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IF('ORDENES'!$A593="","",IF('ORDENES'!$AH593="","-",'ORDENES'!$AH593))</f>
        <v/>
      </c>
      <c r="D615" s="5">
        <f>IF('ORDENES'!$A593="","",IF('ORDENES'!$Z593="","-",'ORDENES'!$Z593))</f>
        <v/>
      </c>
      <c r="E615" s="5">
        <f>IF('ORDENES'!$A593="","",IF('ORDENES'!$X593="","-",'ORDENES'!$X593))</f>
        <v/>
      </c>
      <c r="F615" s="5">
        <f>IF('ORDENES'!$A593="","",IF('ORDENES'!$AA593="","-",'ORDENES'!$AA593))</f>
        <v/>
      </c>
      <c r="G615" s="5">
        <f>IF('ORDENES'!$A593="","",IF('ORDENES'!$Y593="","-",'ORDENES'!$Y593))</f>
        <v/>
      </c>
      <c r="H615" s="5">
        <f>IF('ORDENES'!$A593="","",IF('ORDENES'!$AG593="","-",'ORDENES'!$AG593))</f>
        <v/>
      </c>
      <c r="I615" s="5">
        <f>IF('ORDENES'!$A593="","",IF('ORDENES'!$AT593="","-",'ORDENES'!$AT593))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0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IF('ORDENES'!$A593="","",'ORDENES'!$AF593)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IF('ORDENES'!$A594="","",IF('ORDENES'!$AH594="","-",'ORDENES'!$AH594))</f>
        <v/>
      </c>
      <c r="D616" s="5">
        <f>IF('ORDENES'!$A594="","",IF('ORDENES'!$Z594="","-",'ORDENES'!$Z594))</f>
        <v/>
      </c>
      <c r="E616" s="5">
        <f>IF('ORDENES'!$A594="","",IF('ORDENES'!$X594="","-",'ORDENES'!$X594))</f>
        <v/>
      </c>
      <c r="F616" s="5">
        <f>IF('ORDENES'!$A594="","",IF('ORDENES'!$AA594="","-",'ORDENES'!$AA594))</f>
        <v/>
      </c>
      <c r="G616" s="5">
        <f>IF('ORDENES'!$A594="","",IF('ORDENES'!$Y594="","-",'ORDENES'!$Y594))</f>
        <v/>
      </c>
      <c r="H616" s="5">
        <f>IF('ORDENES'!$A594="","",IF('ORDENES'!$AG594="","-",'ORDENES'!$AG594))</f>
        <v/>
      </c>
      <c r="I616" s="5">
        <f>IF('ORDENES'!$A594="","",IF('ORDENES'!$AT594="","-",'ORDENES'!$AT594))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0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IF('ORDENES'!$A594="","",'ORDENES'!$AF594)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IF('ORDENES'!$A595="","",IF('ORDENES'!$AH595="","-",'ORDENES'!$AH595))</f>
        <v/>
      </c>
      <c r="D617" s="5">
        <f>IF('ORDENES'!$A595="","",IF('ORDENES'!$Z595="","-",'ORDENES'!$Z595))</f>
        <v/>
      </c>
      <c r="E617" s="5">
        <f>IF('ORDENES'!$A595="","",IF('ORDENES'!$X595="","-",'ORDENES'!$X595))</f>
        <v/>
      </c>
      <c r="F617" s="5">
        <f>IF('ORDENES'!$A595="","",IF('ORDENES'!$AA595="","-",'ORDENES'!$AA595))</f>
        <v/>
      </c>
      <c r="G617" s="5">
        <f>IF('ORDENES'!$A595="","",IF('ORDENES'!$Y595="","-",'ORDENES'!$Y595))</f>
        <v/>
      </c>
      <c r="H617" s="5">
        <f>IF('ORDENES'!$A595="","",IF('ORDENES'!$AG595="","-",'ORDENES'!$AG595))</f>
        <v/>
      </c>
      <c r="I617" s="5">
        <f>IF('ORDENES'!$A595="","",IF('ORDENES'!$AT595="","-",'ORDENES'!$AT595))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0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IF('ORDENES'!$A595="","",'ORDENES'!$AF595)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IF('ORDENES'!$A596="","",IF('ORDENES'!$AH596="","-",'ORDENES'!$AH596))</f>
        <v/>
      </c>
      <c r="D618" s="5">
        <f>IF('ORDENES'!$A596="","",IF('ORDENES'!$Z596="","-",'ORDENES'!$Z596))</f>
        <v/>
      </c>
      <c r="E618" s="5">
        <f>IF('ORDENES'!$A596="","",IF('ORDENES'!$X596="","-",'ORDENES'!$X596))</f>
        <v/>
      </c>
      <c r="F618" s="5">
        <f>IF('ORDENES'!$A596="","",IF('ORDENES'!$AA596="","-",'ORDENES'!$AA596))</f>
        <v/>
      </c>
      <c r="G618" s="5">
        <f>IF('ORDENES'!$A596="","",IF('ORDENES'!$Y596="","-",'ORDENES'!$Y596))</f>
        <v/>
      </c>
      <c r="H618" s="5">
        <f>IF('ORDENES'!$A596="","",IF('ORDENES'!$AG596="","-",'ORDENES'!$AG596))</f>
        <v/>
      </c>
      <c r="I618" s="5">
        <f>IF('ORDENES'!$A596="","",IF('ORDENES'!$AT596="","-",'ORDENES'!$AT596))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0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IF('ORDENES'!$A596="","",'ORDENES'!$AF596)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IF('ORDENES'!$A597="","",IF('ORDENES'!$AH597="","-",'ORDENES'!$AH597))</f>
        <v/>
      </c>
      <c r="D619" s="5">
        <f>IF('ORDENES'!$A597="","",IF('ORDENES'!$Z597="","-",'ORDENES'!$Z597))</f>
        <v/>
      </c>
      <c r="E619" s="5">
        <f>IF('ORDENES'!$A597="","",IF('ORDENES'!$X597="","-",'ORDENES'!$X597))</f>
        <v/>
      </c>
      <c r="F619" s="5">
        <f>IF('ORDENES'!$A597="","",IF('ORDENES'!$AA597="","-",'ORDENES'!$AA597))</f>
        <v/>
      </c>
      <c r="G619" s="5">
        <f>IF('ORDENES'!$A597="","",IF('ORDENES'!$Y597="","-",'ORDENES'!$Y597))</f>
        <v/>
      </c>
      <c r="H619" s="5">
        <f>IF('ORDENES'!$A597="","",IF('ORDENES'!$AG597="","-",'ORDENES'!$AG597))</f>
        <v/>
      </c>
      <c r="I619" s="5">
        <f>IF('ORDENES'!$A597="","",IF('ORDENES'!$AT597="","-",'ORDENES'!$AT597))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0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IF('ORDENES'!$A597="","",'ORDENES'!$AF597)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IF('ORDENES'!$A598="","",IF('ORDENES'!$AH598="","-",'ORDENES'!$AH598))</f>
        <v/>
      </c>
      <c r="D620" s="5">
        <f>IF('ORDENES'!$A598="","",IF('ORDENES'!$Z598="","-",'ORDENES'!$Z598))</f>
        <v/>
      </c>
      <c r="E620" s="5">
        <f>IF('ORDENES'!$A598="","",IF('ORDENES'!$X598="","-",'ORDENES'!$X598))</f>
        <v/>
      </c>
      <c r="F620" s="5">
        <f>IF('ORDENES'!$A598="","",IF('ORDENES'!$AA598="","-",'ORDENES'!$AA598))</f>
        <v/>
      </c>
      <c r="G620" s="5">
        <f>IF('ORDENES'!$A598="","",IF('ORDENES'!$Y598="","-",'ORDENES'!$Y598))</f>
        <v/>
      </c>
      <c r="H620" s="5">
        <f>IF('ORDENES'!$A598="","",IF('ORDENES'!$AG598="","-",'ORDENES'!$AG598))</f>
        <v/>
      </c>
      <c r="I620" s="5">
        <f>IF('ORDENES'!$A598="","",IF('ORDENES'!$AT598="","-",'ORDENES'!$AT598))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0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IF('ORDENES'!$A598="","",'ORDENES'!$AF598)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IF('ORDENES'!$A599="","",IF('ORDENES'!$AH599="","-",'ORDENES'!$AH599))</f>
        <v/>
      </c>
      <c r="D621" s="5">
        <f>IF('ORDENES'!$A599="","",IF('ORDENES'!$Z599="","-",'ORDENES'!$Z599))</f>
        <v/>
      </c>
      <c r="E621" s="5">
        <f>IF('ORDENES'!$A599="","",IF('ORDENES'!$X599="","-",'ORDENES'!$X599))</f>
        <v/>
      </c>
      <c r="F621" s="5">
        <f>IF('ORDENES'!$A599="","",IF('ORDENES'!$AA599="","-",'ORDENES'!$AA599))</f>
        <v/>
      </c>
      <c r="G621" s="5">
        <f>IF('ORDENES'!$A599="","",IF('ORDENES'!$Y599="","-",'ORDENES'!$Y599))</f>
        <v/>
      </c>
      <c r="H621" s="5">
        <f>IF('ORDENES'!$A599="","",IF('ORDENES'!$AG599="","-",'ORDENES'!$AG599))</f>
        <v/>
      </c>
      <c r="I621" s="5">
        <f>IF('ORDENES'!$A599="","",IF('ORDENES'!$AT599="","-",'ORDENES'!$AT599))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0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IF('ORDENES'!$A599="","",'ORDENES'!$AF599)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IF('ORDENES'!$A600="","",IF('ORDENES'!$AH600="","-",'ORDENES'!$AH600))</f>
        <v/>
      </c>
      <c r="D622" s="5">
        <f>IF('ORDENES'!$A600="","",IF('ORDENES'!$Z600="","-",'ORDENES'!$Z600))</f>
        <v/>
      </c>
      <c r="E622" s="5">
        <f>IF('ORDENES'!$A600="","",IF('ORDENES'!$X600="","-",'ORDENES'!$X600))</f>
        <v/>
      </c>
      <c r="F622" s="5">
        <f>IF('ORDENES'!$A600="","",IF('ORDENES'!$AA600="","-",'ORDENES'!$AA600))</f>
        <v/>
      </c>
      <c r="G622" s="5">
        <f>IF('ORDENES'!$A600="","",IF('ORDENES'!$Y600="","-",'ORDENES'!$Y600))</f>
        <v/>
      </c>
      <c r="H622" s="5">
        <f>IF('ORDENES'!$A600="","",IF('ORDENES'!$AG600="","-",'ORDENES'!$AG600))</f>
        <v/>
      </c>
      <c r="I622" s="5">
        <f>IF('ORDENES'!$A600="","",IF('ORDENES'!$AT600="","-",'ORDENES'!$AT600))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0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IF('ORDENES'!$A600="","",'ORDENES'!$AF600)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IF('ORDENES'!$A601="","",IF('ORDENES'!$AH601="","-",'ORDENES'!$AH601))</f>
        <v/>
      </c>
      <c r="D623" s="5">
        <f>IF('ORDENES'!$A601="","",IF('ORDENES'!$Z601="","-",'ORDENES'!$Z601))</f>
        <v/>
      </c>
      <c r="E623" s="5">
        <f>IF('ORDENES'!$A601="","",IF('ORDENES'!$X601="","-",'ORDENES'!$X601))</f>
        <v/>
      </c>
      <c r="F623" s="5">
        <f>IF('ORDENES'!$A601="","",IF('ORDENES'!$AA601="","-",'ORDENES'!$AA601))</f>
        <v/>
      </c>
      <c r="G623" s="5">
        <f>IF('ORDENES'!$A601="","",IF('ORDENES'!$Y601="","-",'ORDENES'!$Y601))</f>
        <v/>
      </c>
      <c r="H623" s="5">
        <f>IF('ORDENES'!$A601="","",IF('ORDENES'!$AG601="","-",'ORDENES'!$AG601))</f>
        <v/>
      </c>
      <c r="I623" s="5">
        <f>IF('ORDENES'!$A601="","",IF('ORDENES'!$AT601="","-",'ORDENES'!$AT601))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0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IF('ORDENES'!$A601="","",'ORDENES'!$AF601)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IF('ORDENES'!$A602="","",IF('ORDENES'!$AH602="","-",'ORDENES'!$AH602))</f>
        <v/>
      </c>
      <c r="D624" s="5">
        <f>IF('ORDENES'!$A602="","",IF('ORDENES'!$Z602="","-",'ORDENES'!$Z602))</f>
        <v/>
      </c>
      <c r="E624" s="5">
        <f>IF('ORDENES'!$A602="","",IF('ORDENES'!$X602="","-",'ORDENES'!$X602))</f>
        <v/>
      </c>
      <c r="F624" s="5">
        <f>IF('ORDENES'!$A602="","",IF('ORDENES'!$AA602="","-",'ORDENES'!$AA602))</f>
        <v/>
      </c>
      <c r="G624" s="5">
        <f>IF('ORDENES'!$A602="","",IF('ORDENES'!$Y602="","-",'ORDENES'!$Y602))</f>
        <v/>
      </c>
      <c r="H624" s="5">
        <f>IF('ORDENES'!$A602="","",IF('ORDENES'!$AG602="","-",'ORDENES'!$AG602))</f>
        <v/>
      </c>
      <c r="I624" s="5">
        <f>IF('ORDENES'!$A602="","",IF('ORDENES'!$AT602="","-",'ORDENES'!$AT602))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0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IF('ORDENES'!$A602="","",'ORDENES'!$AF602)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IF('ORDENES'!$A603="","",IF('ORDENES'!$AH603="","-",'ORDENES'!$AH603))</f>
        <v/>
      </c>
      <c r="D625" s="5">
        <f>IF('ORDENES'!$A603="","",IF('ORDENES'!$Z603="","-",'ORDENES'!$Z603))</f>
        <v/>
      </c>
      <c r="E625" s="5">
        <f>IF('ORDENES'!$A603="","",IF('ORDENES'!$X603="","-",'ORDENES'!$X603))</f>
        <v/>
      </c>
      <c r="F625" s="5">
        <f>IF('ORDENES'!$A603="","",IF('ORDENES'!$AA603="","-",'ORDENES'!$AA603))</f>
        <v/>
      </c>
      <c r="G625" s="5">
        <f>IF('ORDENES'!$A603="","",IF('ORDENES'!$Y603="","-",'ORDENES'!$Y603))</f>
        <v/>
      </c>
      <c r="H625" s="5">
        <f>IF('ORDENES'!$A603="","",IF('ORDENES'!$AG603="","-",'ORDENES'!$AG603))</f>
        <v/>
      </c>
      <c r="I625" s="5">
        <f>IF('ORDENES'!$A603="","",IF('ORDENES'!$AT603="","-",'ORDENES'!$AT603))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0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IF('ORDENES'!$A603="","",'ORDENES'!$AF603)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IF('ORDENES'!$A604="","",IF('ORDENES'!$AH604="","-",'ORDENES'!$AH604))</f>
        <v/>
      </c>
      <c r="D626" s="5">
        <f>IF('ORDENES'!$A604="","",IF('ORDENES'!$Z604="","-",'ORDENES'!$Z604))</f>
        <v/>
      </c>
      <c r="E626" s="5">
        <f>IF('ORDENES'!$A604="","",IF('ORDENES'!$X604="","-",'ORDENES'!$X604))</f>
        <v/>
      </c>
      <c r="F626" s="5">
        <f>IF('ORDENES'!$A604="","",IF('ORDENES'!$AA604="","-",'ORDENES'!$AA604))</f>
        <v/>
      </c>
      <c r="G626" s="5">
        <f>IF('ORDENES'!$A604="","",IF('ORDENES'!$Y604="","-",'ORDENES'!$Y604))</f>
        <v/>
      </c>
      <c r="H626" s="5">
        <f>IF('ORDENES'!$A604="","",IF('ORDENES'!$AG604="","-",'ORDENES'!$AG604))</f>
        <v/>
      </c>
      <c r="I626" s="5">
        <f>IF('ORDENES'!$A604="","",IF('ORDENES'!$AT604="","-",'ORDENES'!$AT604))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0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IF('ORDENES'!$A604="","",'ORDENES'!$AF604)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IF('ORDENES'!$A605="","",IF('ORDENES'!$AH605="","-",'ORDENES'!$AH605))</f>
        <v/>
      </c>
      <c r="D627" s="5">
        <f>IF('ORDENES'!$A605="","",IF('ORDENES'!$Z605="","-",'ORDENES'!$Z605))</f>
        <v/>
      </c>
      <c r="E627" s="5">
        <f>IF('ORDENES'!$A605="","",IF('ORDENES'!$X605="","-",'ORDENES'!$X605))</f>
        <v/>
      </c>
      <c r="F627" s="5">
        <f>IF('ORDENES'!$A605="","",IF('ORDENES'!$AA605="","-",'ORDENES'!$AA605))</f>
        <v/>
      </c>
      <c r="G627" s="5">
        <f>IF('ORDENES'!$A605="","",IF('ORDENES'!$Y605="","-",'ORDENES'!$Y605))</f>
        <v/>
      </c>
      <c r="H627" s="5">
        <f>IF('ORDENES'!$A605="","",IF('ORDENES'!$AG605="","-",'ORDENES'!$AG605))</f>
        <v/>
      </c>
      <c r="I627" s="5">
        <f>IF('ORDENES'!$A605="","",IF('ORDENES'!$AT605="","-",'ORDENES'!$AT605))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0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IF('ORDENES'!$A605="","",'ORDENES'!$AF605)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IF('ORDENES'!$A606="","",IF('ORDENES'!$AH606="","-",'ORDENES'!$AH606))</f>
        <v/>
      </c>
      <c r="D628" s="5">
        <f>IF('ORDENES'!$A606="","",IF('ORDENES'!$Z606="","-",'ORDENES'!$Z606))</f>
        <v/>
      </c>
      <c r="E628" s="5">
        <f>IF('ORDENES'!$A606="","",IF('ORDENES'!$X606="","-",'ORDENES'!$X606))</f>
        <v/>
      </c>
      <c r="F628" s="5">
        <f>IF('ORDENES'!$A606="","",IF('ORDENES'!$AA606="","-",'ORDENES'!$AA606))</f>
        <v/>
      </c>
      <c r="G628" s="5">
        <f>IF('ORDENES'!$A606="","",IF('ORDENES'!$Y606="","-",'ORDENES'!$Y606))</f>
        <v/>
      </c>
      <c r="H628" s="5">
        <f>IF('ORDENES'!$A606="","",IF('ORDENES'!$AG606="","-",'ORDENES'!$AG606))</f>
        <v/>
      </c>
      <c r="I628" s="5">
        <f>IF('ORDENES'!$A606="","",IF('ORDENES'!$AT606="","-",'ORDENES'!$AT606))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0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IF('ORDENES'!$A606="","",'ORDENES'!$AF606)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IF('ORDENES'!$A607="","",IF('ORDENES'!$AH607="","-",'ORDENES'!$AH607))</f>
        <v/>
      </c>
      <c r="D629" s="5">
        <f>IF('ORDENES'!$A607="","",IF('ORDENES'!$Z607="","-",'ORDENES'!$Z607))</f>
        <v/>
      </c>
      <c r="E629" s="5">
        <f>IF('ORDENES'!$A607="","",IF('ORDENES'!$X607="","-",'ORDENES'!$X607))</f>
        <v/>
      </c>
      <c r="F629" s="5">
        <f>IF('ORDENES'!$A607="","",IF('ORDENES'!$AA607="","-",'ORDENES'!$AA607))</f>
        <v/>
      </c>
      <c r="G629" s="5">
        <f>IF('ORDENES'!$A607="","",IF('ORDENES'!$Y607="","-",'ORDENES'!$Y607))</f>
        <v/>
      </c>
      <c r="H629" s="5">
        <f>IF('ORDENES'!$A607="","",IF('ORDENES'!$AG607="","-",'ORDENES'!$AG607))</f>
        <v/>
      </c>
      <c r="I629" s="5">
        <f>IF('ORDENES'!$A607="","",IF('ORDENES'!$AT607="","-",'ORDENES'!$AT607))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0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IF('ORDENES'!$A607="","",'ORDENES'!$AF607)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IF('ORDENES'!$A608="","",IF('ORDENES'!$AH608="","-",'ORDENES'!$AH608))</f>
        <v/>
      </c>
      <c r="D630" s="5">
        <f>IF('ORDENES'!$A608="","",IF('ORDENES'!$Z608="","-",'ORDENES'!$Z608))</f>
        <v/>
      </c>
      <c r="E630" s="5">
        <f>IF('ORDENES'!$A608="","",IF('ORDENES'!$X608="","-",'ORDENES'!$X608))</f>
        <v/>
      </c>
      <c r="F630" s="5">
        <f>IF('ORDENES'!$A608="","",IF('ORDENES'!$AA608="","-",'ORDENES'!$AA608))</f>
        <v/>
      </c>
      <c r="G630" s="5">
        <f>IF('ORDENES'!$A608="","",IF('ORDENES'!$Y608="","-",'ORDENES'!$Y608))</f>
        <v/>
      </c>
      <c r="H630" s="5">
        <f>IF('ORDENES'!$A608="","",IF('ORDENES'!$AG608="","-",'ORDENES'!$AG608))</f>
        <v/>
      </c>
      <c r="I630" s="5">
        <f>IF('ORDENES'!$A608="","",IF('ORDENES'!$AT608="","-",'ORDENES'!$AT608))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0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IF('ORDENES'!$A608="","",'ORDENES'!$AF608)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IF('ORDENES'!$A609="","",IF('ORDENES'!$AH609="","-",'ORDENES'!$AH609))</f>
        <v/>
      </c>
      <c r="D631" s="5">
        <f>IF('ORDENES'!$A609="","",IF('ORDENES'!$Z609="","-",'ORDENES'!$Z609))</f>
        <v/>
      </c>
      <c r="E631" s="5">
        <f>IF('ORDENES'!$A609="","",IF('ORDENES'!$X609="","-",'ORDENES'!$X609))</f>
        <v/>
      </c>
      <c r="F631" s="5">
        <f>IF('ORDENES'!$A609="","",IF('ORDENES'!$AA609="","-",'ORDENES'!$AA609))</f>
        <v/>
      </c>
      <c r="G631" s="5">
        <f>IF('ORDENES'!$A609="","",IF('ORDENES'!$Y609="","-",'ORDENES'!$Y609))</f>
        <v/>
      </c>
      <c r="H631" s="5">
        <f>IF('ORDENES'!$A609="","",IF('ORDENES'!$AG609="","-",'ORDENES'!$AG609))</f>
        <v/>
      </c>
      <c r="I631" s="5">
        <f>IF('ORDENES'!$A609="","",IF('ORDENES'!$AT609="","-",'ORDENES'!$AT609))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0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IF('ORDENES'!$A609="","",'ORDENES'!$AF609)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IF('ORDENES'!$A610="","",IF('ORDENES'!$AH610="","-",'ORDENES'!$AH610))</f>
        <v/>
      </c>
      <c r="D632" s="5">
        <f>IF('ORDENES'!$A610="","",IF('ORDENES'!$Z610="","-",'ORDENES'!$Z610))</f>
        <v/>
      </c>
      <c r="E632" s="5">
        <f>IF('ORDENES'!$A610="","",IF('ORDENES'!$X610="","-",'ORDENES'!$X610))</f>
        <v/>
      </c>
      <c r="F632" s="5">
        <f>IF('ORDENES'!$A610="","",IF('ORDENES'!$AA610="","-",'ORDENES'!$AA610))</f>
        <v/>
      </c>
      <c r="G632" s="5">
        <f>IF('ORDENES'!$A610="","",IF('ORDENES'!$Y610="","-",'ORDENES'!$Y610))</f>
        <v/>
      </c>
      <c r="H632" s="5">
        <f>IF('ORDENES'!$A610="","",IF('ORDENES'!$AG610="","-",'ORDENES'!$AG610))</f>
        <v/>
      </c>
      <c r="I632" s="5">
        <f>IF('ORDENES'!$A610="","",IF('ORDENES'!$AT610="","-",'ORDENES'!$AT610))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0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IF('ORDENES'!$A610="","",'ORDENES'!$AF610)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IF('ORDENES'!$A611="","",IF('ORDENES'!$AH611="","-",'ORDENES'!$AH611))</f>
        <v/>
      </c>
      <c r="D633" s="5">
        <f>IF('ORDENES'!$A611="","",IF('ORDENES'!$Z611="","-",'ORDENES'!$Z611))</f>
        <v/>
      </c>
      <c r="E633" s="5">
        <f>IF('ORDENES'!$A611="","",IF('ORDENES'!$X611="","-",'ORDENES'!$X611))</f>
        <v/>
      </c>
      <c r="F633" s="5">
        <f>IF('ORDENES'!$A611="","",IF('ORDENES'!$AA611="","-",'ORDENES'!$AA611))</f>
        <v/>
      </c>
      <c r="G633" s="5">
        <f>IF('ORDENES'!$A611="","",IF('ORDENES'!$Y611="","-",'ORDENES'!$Y611))</f>
        <v/>
      </c>
      <c r="H633" s="5">
        <f>IF('ORDENES'!$A611="","",IF('ORDENES'!$AG611="","-",'ORDENES'!$AG611))</f>
        <v/>
      </c>
      <c r="I633" s="5">
        <f>IF('ORDENES'!$A611="","",IF('ORDENES'!$AT611="","-",'ORDENES'!$AT611))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0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IF('ORDENES'!$A611="","",'ORDENES'!$AF611)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IF('ORDENES'!$A612="","",IF('ORDENES'!$AH612="","-",'ORDENES'!$AH612))</f>
        <v/>
      </c>
      <c r="D634" s="5">
        <f>IF('ORDENES'!$A612="","",IF('ORDENES'!$Z612="","-",'ORDENES'!$Z612))</f>
        <v/>
      </c>
      <c r="E634" s="5">
        <f>IF('ORDENES'!$A612="","",IF('ORDENES'!$X612="","-",'ORDENES'!$X612))</f>
        <v/>
      </c>
      <c r="F634" s="5">
        <f>IF('ORDENES'!$A612="","",IF('ORDENES'!$AA612="","-",'ORDENES'!$AA612))</f>
        <v/>
      </c>
      <c r="G634" s="5">
        <f>IF('ORDENES'!$A612="","",IF('ORDENES'!$Y612="","-",'ORDENES'!$Y612))</f>
        <v/>
      </c>
      <c r="H634" s="5">
        <f>IF('ORDENES'!$A612="","",IF('ORDENES'!$AG612="","-",'ORDENES'!$AG612))</f>
        <v/>
      </c>
      <c r="I634" s="5">
        <f>IF('ORDENES'!$A612="","",IF('ORDENES'!$AT612="","-",'ORDENES'!$AT612))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0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IF('ORDENES'!$A612="","",'ORDENES'!$AF612)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IF('ORDENES'!$A613="","",IF('ORDENES'!$AH613="","-",'ORDENES'!$AH613))</f>
        <v/>
      </c>
      <c r="D635" s="5">
        <f>IF('ORDENES'!$A613="","",IF('ORDENES'!$Z613="","-",'ORDENES'!$Z613))</f>
        <v/>
      </c>
      <c r="E635" s="5">
        <f>IF('ORDENES'!$A613="","",IF('ORDENES'!$X613="","-",'ORDENES'!$X613))</f>
        <v/>
      </c>
      <c r="F635" s="5">
        <f>IF('ORDENES'!$A613="","",IF('ORDENES'!$AA613="","-",'ORDENES'!$AA613))</f>
        <v/>
      </c>
      <c r="G635" s="5">
        <f>IF('ORDENES'!$A613="","",IF('ORDENES'!$Y613="","-",'ORDENES'!$Y613))</f>
        <v/>
      </c>
      <c r="H635" s="5">
        <f>IF('ORDENES'!$A613="","",IF('ORDENES'!$AG613="","-",'ORDENES'!$AG613))</f>
        <v/>
      </c>
      <c r="I635" s="5">
        <f>IF('ORDENES'!$A613="","",IF('ORDENES'!$AT613="","-",'ORDENES'!$AT613))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0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IF('ORDENES'!$A613="","",'ORDENES'!$AF613)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IF('ORDENES'!$A614="","",IF('ORDENES'!$AH614="","-",'ORDENES'!$AH614))</f>
        <v/>
      </c>
      <c r="D636" s="5">
        <f>IF('ORDENES'!$A614="","",IF('ORDENES'!$Z614="","-",'ORDENES'!$Z614))</f>
        <v/>
      </c>
      <c r="E636" s="5">
        <f>IF('ORDENES'!$A614="","",IF('ORDENES'!$X614="","-",'ORDENES'!$X614))</f>
        <v/>
      </c>
      <c r="F636" s="5">
        <f>IF('ORDENES'!$A614="","",IF('ORDENES'!$AA614="","-",'ORDENES'!$AA614))</f>
        <v/>
      </c>
      <c r="G636" s="5">
        <f>IF('ORDENES'!$A614="","",IF('ORDENES'!$Y614="","-",'ORDENES'!$Y614))</f>
        <v/>
      </c>
      <c r="H636" s="5">
        <f>IF('ORDENES'!$A614="","",IF('ORDENES'!$AG614="","-",'ORDENES'!$AG614))</f>
        <v/>
      </c>
      <c r="I636" s="5">
        <f>IF('ORDENES'!$A614="","",IF('ORDENES'!$AT614="","-",'ORDENES'!$AT614))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0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IF('ORDENES'!$A614="","",'ORDENES'!$AF614)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IF('ORDENES'!$A615="","",IF('ORDENES'!$AH615="","-",'ORDENES'!$AH615))</f>
        <v/>
      </c>
      <c r="D637" s="5">
        <f>IF('ORDENES'!$A615="","",IF('ORDENES'!$Z615="","-",'ORDENES'!$Z615))</f>
        <v/>
      </c>
      <c r="E637" s="5">
        <f>IF('ORDENES'!$A615="","",IF('ORDENES'!$X615="","-",'ORDENES'!$X615))</f>
        <v/>
      </c>
      <c r="F637" s="5">
        <f>IF('ORDENES'!$A615="","",IF('ORDENES'!$AA615="","-",'ORDENES'!$AA615))</f>
        <v/>
      </c>
      <c r="G637" s="5">
        <f>IF('ORDENES'!$A615="","",IF('ORDENES'!$Y615="","-",'ORDENES'!$Y615))</f>
        <v/>
      </c>
      <c r="H637" s="5">
        <f>IF('ORDENES'!$A615="","",IF('ORDENES'!$AG615="","-",'ORDENES'!$AG615))</f>
        <v/>
      </c>
      <c r="I637" s="5">
        <f>IF('ORDENES'!$A615="","",IF('ORDENES'!$AT615="","-",'ORDENES'!$AT615))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0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IF('ORDENES'!$A615="","",'ORDENES'!$AF615)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IF('ORDENES'!$A616="","",IF('ORDENES'!$AH616="","-",'ORDENES'!$AH616))</f>
        <v/>
      </c>
      <c r="D638" s="5">
        <f>IF('ORDENES'!$A616="","",IF('ORDENES'!$Z616="","-",'ORDENES'!$Z616))</f>
        <v/>
      </c>
      <c r="E638" s="5">
        <f>IF('ORDENES'!$A616="","",IF('ORDENES'!$X616="","-",'ORDENES'!$X616))</f>
        <v/>
      </c>
      <c r="F638" s="5">
        <f>IF('ORDENES'!$A616="","",IF('ORDENES'!$AA616="","-",'ORDENES'!$AA616))</f>
        <v/>
      </c>
      <c r="G638" s="5">
        <f>IF('ORDENES'!$A616="","",IF('ORDENES'!$Y616="","-",'ORDENES'!$Y616))</f>
        <v/>
      </c>
      <c r="H638" s="5">
        <f>IF('ORDENES'!$A616="","",IF('ORDENES'!$AG616="","-",'ORDENES'!$AG616))</f>
        <v/>
      </c>
      <c r="I638" s="5">
        <f>IF('ORDENES'!$A616="","",IF('ORDENES'!$AT616="","-",'ORDENES'!$AT616))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0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IF('ORDENES'!$A616="","",'ORDENES'!$AF616)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IF('ORDENES'!$A617="","",IF('ORDENES'!$AH617="","-",'ORDENES'!$AH617))</f>
        <v/>
      </c>
      <c r="D639" s="5">
        <f>IF('ORDENES'!$A617="","",IF('ORDENES'!$Z617="","-",'ORDENES'!$Z617))</f>
        <v/>
      </c>
      <c r="E639" s="5">
        <f>IF('ORDENES'!$A617="","",IF('ORDENES'!$X617="","-",'ORDENES'!$X617))</f>
        <v/>
      </c>
      <c r="F639" s="5">
        <f>IF('ORDENES'!$A617="","",IF('ORDENES'!$AA617="","-",'ORDENES'!$AA617))</f>
        <v/>
      </c>
      <c r="G639" s="5">
        <f>IF('ORDENES'!$A617="","",IF('ORDENES'!$Y617="","-",'ORDENES'!$Y617))</f>
        <v/>
      </c>
      <c r="H639" s="5">
        <f>IF('ORDENES'!$A617="","",IF('ORDENES'!$AG617="","-",'ORDENES'!$AG617))</f>
        <v/>
      </c>
      <c r="I639" s="5">
        <f>IF('ORDENES'!$A617="","",IF('ORDENES'!$AT617="","-",'ORDENES'!$AT617))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0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IF('ORDENES'!$A617="","",'ORDENES'!$AF617)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IF('ORDENES'!$A618="","",IF('ORDENES'!$AH618="","-",'ORDENES'!$AH618))</f>
        <v/>
      </c>
      <c r="D640" s="5">
        <f>IF('ORDENES'!$A618="","",IF('ORDENES'!$Z618="","-",'ORDENES'!$Z618))</f>
        <v/>
      </c>
      <c r="E640" s="5">
        <f>IF('ORDENES'!$A618="","",IF('ORDENES'!$X618="","-",'ORDENES'!$X618))</f>
        <v/>
      </c>
      <c r="F640" s="5">
        <f>IF('ORDENES'!$A618="","",IF('ORDENES'!$AA618="","-",'ORDENES'!$AA618))</f>
        <v/>
      </c>
      <c r="G640" s="5">
        <f>IF('ORDENES'!$A618="","",IF('ORDENES'!$Y618="","-",'ORDENES'!$Y618))</f>
        <v/>
      </c>
      <c r="H640" s="5">
        <f>IF('ORDENES'!$A618="","",IF('ORDENES'!$AG618="","-",'ORDENES'!$AG618))</f>
        <v/>
      </c>
      <c r="I640" s="5">
        <f>IF('ORDENES'!$A618="","",IF('ORDENES'!$AT618="","-",'ORDENES'!$AT618))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0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IF('ORDENES'!$A618="","",'ORDENES'!$AF618)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IF('ORDENES'!$A619="","",IF('ORDENES'!$AH619="","-",'ORDENES'!$AH619))</f>
        <v/>
      </c>
      <c r="D641" s="5">
        <f>IF('ORDENES'!$A619="","",IF('ORDENES'!$Z619="","-",'ORDENES'!$Z619))</f>
        <v/>
      </c>
      <c r="E641" s="5">
        <f>IF('ORDENES'!$A619="","",IF('ORDENES'!$X619="","-",'ORDENES'!$X619))</f>
        <v/>
      </c>
      <c r="F641" s="5">
        <f>IF('ORDENES'!$A619="","",IF('ORDENES'!$AA619="","-",'ORDENES'!$AA619))</f>
        <v/>
      </c>
      <c r="G641" s="5">
        <f>IF('ORDENES'!$A619="","",IF('ORDENES'!$Y619="","-",'ORDENES'!$Y619))</f>
        <v/>
      </c>
      <c r="H641" s="5">
        <f>IF('ORDENES'!$A619="","",IF('ORDENES'!$AG619="","-",'ORDENES'!$AG619))</f>
        <v/>
      </c>
      <c r="I641" s="5">
        <f>IF('ORDENES'!$A619="","",IF('ORDENES'!$AT619="","-",'ORDENES'!$AT619))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0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IF('ORDENES'!$A619="","",'ORDENES'!$AF619)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IF('ORDENES'!$A620="","",IF('ORDENES'!$AH620="","-",'ORDENES'!$AH620))</f>
        <v/>
      </c>
      <c r="D642" s="5">
        <f>IF('ORDENES'!$A620="","",IF('ORDENES'!$Z620="","-",'ORDENES'!$Z620))</f>
        <v/>
      </c>
      <c r="E642" s="5">
        <f>IF('ORDENES'!$A620="","",IF('ORDENES'!$X620="","-",'ORDENES'!$X620))</f>
        <v/>
      </c>
      <c r="F642" s="5">
        <f>IF('ORDENES'!$A620="","",IF('ORDENES'!$AA620="","-",'ORDENES'!$AA620))</f>
        <v/>
      </c>
      <c r="G642" s="5">
        <f>IF('ORDENES'!$A620="","",IF('ORDENES'!$Y620="","-",'ORDENES'!$Y620))</f>
        <v/>
      </c>
      <c r="H642" s="5">
        <f>IF('ORDENES'!$A620="","",IF('ORDENES'!$AG620="","-",'ORDENES'!$AG620))</f>
        <v/>
      </c>
      <c r="I642" s="5">
        <f>IF('ORDENES'!$A620="","",IF('ORDENES'!$AT620="","-",'ORDENES'!$AT620))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0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IF('ORDENES'!$A620="","",'ORDENES'!$AF620)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IF('ORDENES'!$A621="","",IF('ORDENES'!$AH621="","-",'ORDENES'!$AH621))</f>
        <v/>
      </c>
      <c r="D643" s="5">
        <f>IF('ORDENES'!$A621="","",IF('ORDENES'!$Z621="","-",'ORDENES'!$Z621))</f>
        <v/>
      </c>
      <c r="E643" s="5">
        <f>IF('ORDENES'!$A621="","",IF('ORDENES'!$X621="","-",'ORDENES'!$X621))</f>
        <v/>
      </c>
      <c r="F643" s="5">
        <f>IF('ORDENES'!$A621="","",IF('ORDENES'!$AA621="","-",'ORDENES'!$AA621))</f>
        <v/>
      </c>
      <c r="G643" s="5">
        <f>IF('ORDENES'!$A621="","",IF('ORDENES'!$Y621="","-",'ORDENES'!$Y621))</f>
        <v/>
      </c>
      <c r="H643" s="5">
        <f>IF('ORDENES'!$A621="","",IF('ORDENES'!$AG621="","-",'ORDENES'!$AG621))</f>
        <v/>
      </c>
      <c r="I643" s="5">
        <f>IF('ORDENES'!$A621="","",IF('ORDENES'!$AT621="","-",'ORDENES'!$AT621))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0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IF('ORDENES'!$A621="","",'ORDENES'!$AF621)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IF('ORDENES'!$A622="","",IF('ORDENES'!$AH622="","-",'ORDENES'!$AH622))</f>
        <v/>
      </c>
      <c r="D644" s="5">
        <f>IF('ORDENES'!$A622="","",IF('ORDENES'!$Z622="","-",'ORDENES'!$Z622))</f>
        <v/>
      </c>
      <c r="E644" s="5">
        <f>IF('ORDENES'!$A622="","",IF('ORDENES'!$X622="","-",'ORDENES'!$X622))</f>
        <v/>
      </c>
      <c r="F644" s="5">
        <f>IF('ORDENES'!$A622="","",IF('ORDENES'!$AA622="","-",'ORDENES'!$AA622))</f>
        <v/>
      </c>
      <c r="G644" s="5">
        <f>IF('ORDENES'!$A622="","",IF('ORDENES'!$Y622="","-",'ORDENES'!$Y622))</f>
        <v/>
      </c>
      <c r="H644" s="5">
        <f>IF('ORDENES'!$A622="","",IF('ORDENES'!$AG622="","-",'ORDENES'!$AG622))</f>
        <v/>
      </c>
      <c r="I644" s="5">
        <f>IF('ORDENES'!$A622="","",IF('ORDENES'!$AT622="","-",'ORDENES'!$AT622))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0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IF('ORDENES'!$A622="","",'ORDENES'!$AF622)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IF('ORDENES'!$A623="","",IF('ORDENES'!$AH623="","-",'ORDENES'!$AH623))</f>
        <v/>
      </c>
      <c r="D645" s="5">
        <f>IF('ORDENES'!$A623="","",IF('ORDENES'!$Z623="","-",'ORDENES'!$Z623))</f>
        <v/>
      </c>
      <c r="E645" s="5">
        <f>IF('ORDENES'!$A623="","",IF('ORDENES'!$X623="","-",'ORDENES'!$X623))</f>
        <v/>
      </c>
      <c r="F645" s="5">
        <f>IF('ORDENES'!$A623="","",IF('ORDENES'!$AA623="","-",'ORDENES'!$AA623))</f>
        <v/>
      </c>
      <c r="G645" s="5">
        <f>IF('ORDENES'!$A623="","",IF('ORDENES'!$Y623="","-",'ORDENES'!$Y623))</f>
        <v/>
      </c>
      <c r="H645" s="5">
        <f>IF('ORDENES'!$A623="","",IF('ORDENES'!$AG623="","-",'ORDENES'!$AG623))</f>
        <v/>
      </c>
      <c r="I645" s="5">
        <f>IF('ORDENES'!$A623="","",IF('ORDENES'!$AT623="","-",'ORDENES'!$AT623))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0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IF('ORDENES'!$A623="","",'ORDENES'!$AF623)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IF('ORDENES'!$A624="","",IF('ORDENES'!$AH624="","-",'ORDENES'!$AH624))</f>
        <v/>
      </c>
      <c r="D646" s="5">
        <f>IF('ORDENES'!$A624="","",IF('ORDENES'!$Z624="","-",'ORDENES'!$Z624))</f>
        <v/>
      </c>
      <c r="E646" s="5">
        <f>IF('ORDENES'!$A624="","",IF('ORDENES'!$X624="","-",'ORDENES'!$X624))</f>
        <v/>
      </c>
      <c r="F646" s="5">
        <f>IF('ORDENES'!$A624="","",IF('ORDENES'!$AA624="","-",'ORDENES'!$AA624))</f>
        <v/>
      </c>
      <c r="G646" s="5">
        <f>IF('ORDENES'!$A624="","",IF('ORDENES'!$Y624="","-",'ORDENES'!$Y624))</f>
        <v/>
      </c>
      <c r="H646" s="5">
        <f>IF('ORDENES'!$A624="","",IF('ORDENES'!$AG624="","-",'ORDENES'!$AG624))</f>
        <v/>
      </c>
      <c r="I646" s="5">
        <f>IF('ORDENES'!$A624="","",IF('ORDENES'!$AT624="","-",'ORDENES'!$AT624))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0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IF('ORDENES'!$A624="","",'ORDENES'!$AF624)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IF('ORDENES'!$A625="","",IF('ORDENES'!$AH625="","-",'ORDENES'!$AH625))</f>
        <v/>
      </c>
      <c r="D647" s="5">
        <f>IF('ORDENES'!$A625="","",IF('ORDENES'!$Z625="","-",'ORDENES'!$Z625))</f>
        <v/>
      </c>
      <c r="E647" s="5">
        <f>IF('ORDENES'!$A625="","",IF('ORDENES'!$X625="","-",'ORDENES'!$X625))</f>
        <v/>
      </c>
      <c r="F647" s="5">
        <f>IF('ORDENES'!$A625="","",IF('ORDENES'!$AA625="","-",'ORDENES'!$AA625))</f>
        <v/>
      </c>
      <c r="G647" s="5">
        <f>IF('ORDENES'!$A625="","",IF('ORDENES'!$Y625="","-",'ORDENES'!$Y625))</f>
        <v/>
      </c>
      <c r="H647" s="5">
        <f>IF('ORDENES'!$A625="","",IF('ORDENES'!$AG625="","-",'ORDENES'!$AG625))</f>
        <v/>
      </c>
      <c r="I647" s="5">
        <f>IF('ORDENES'!$A625="","",IF('ORDENES'!$AT625="","-",'ORDENES'!$AT625))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0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IF('ORDENES'!$A625="","",'ORDENES'!$AF625)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IF('ORDENES'!$A626="","",IF('ORDENES'!$AH626="","-",'ORDENES'!$AH626))</f>
        <v/>
      </c>
      <c r="D648" s="5">
        <f>IF('ORDENES'!$A626="","",IF('ORDENES'!$Z626="","-",'ORDENES'!$Z626))</f>
        <v/>
      </c>
      <c r="E648" s="5">
        <f>IF('ORDENES'!$A626="","",IF('ORDENES'!$X626="","-",'ORDENES'!$X626))</f>
        <v/>
      </c>
      <c r="F648" s="5">
        <f>IF('ORDENES'!$A626="","",IF('ORDENES'!$AA626="","-",'ORDENES'!$AA626))</f>
        <v/>
      </c>
      <c r="G648" s="5">
        <f>IF('ORDENES'!$A626="","",IF('ORDENES'!$Y626="","-",'ORDENES'!$Y626))</f>
        <v/>
      </c>
      <c r="H648" s="5">
        <f>IF('ORDENES'!$A626="","",IF('ORDENES'!$AG626="","-",'ORDENES'!$AG626))</f>
        <v/>
      </c>
      <c r="I648" s="5">
        <f>IF('ORDENES'!$A626="","",IF('ORDENES'!$AT626="","-",'ORDENES'!$AT626))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0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IF('ORDENES'!$A626="","",'ORDENES'!$AF626)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IF('ORDENES'!$A627="","",IF('ORDENES'!$AH627="","-",'ORDENES'!$AH627))</f>
        <v/>
      </c>
      <c r="D649" s="5">
        <f>IF('ORDENES'!$A627="","",IF('ORDENES'!$Z627="","-",'ORDENES'!$Z627))</f>
        <v/>
      </c>
      <c r="E649" s="5">
        <f>IF('ORDENES'!$A627="","",IF('ORDENES'!$X627="","-",'ORDENES'!$X627))</f>
        <v/>
      </c>
      <c r="F649" s="5">
        <f>IF('ORDENES'!$A627="","",IF('ORDENES'!$AA627="","-",'ORDENES'!$AA627))</f>
        <v/>
      </c>
      <c r="G649" s="5">
        <f>IF('ORDENES'!$A627="","",IF('ORDENES'!$Y627="","-",'ORDENES'!$Y627))</f>
        <v/>
      </c>
      <c r="H649" s="5">
        <f>IF('ORDENES'!$A627="","",IF('ORDENES'!$AG627="","-",'ORDENES'!$AG627))</f>
        <v/>
      </c>
      <c r="I649" s="5">
        <f>IF('ORDENES'!$A627="","",IF('ORDENES'!$AT627="","-",'ORDENES'!$AT627))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0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IF('ORDENES'!$A627="","",'ORDENES'!$AF627)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IF('ORDENES'!$A628="","",IF('ORDENES'!$AH628="","-",'ORDENES'!$AH628))</f>
        <v/>
      </c>
      <c r="D650" s="5">
        <f>IF('ORDENES'!$A628="","",IF('ORDENES'!$Z628="","-",'ORDENES'!$Z628))</f>
        <v/>
      </c>
      <c r="E650" s="5">
        <f>IF('ORDENES'!$A628="","",IF('ORDENES'!$X628="","-",'ORDENES'!$X628))</f>
        <v/>
      </c>
      <c r="F650" s="5">
        <f>IF('ORDENES'!$A628="","",IF('ORDENES'!$AA628="","-",'ORDENES'!$AA628))</f>
        <v/>
      </c>
      <c r="G650" s="5">
        <f>IF('ORDENES'!$A628="","",IF('ORDENES'!$Y628="","-",'ORDENES'!$Y628))</f>
        <v/>
      </c>
      <c r="H650" s="5">
        <f>IF('ORDENES'!$A628="","",IF('ORDENES'!$AG628="","-",'ORDENES'!$AG628))</f>
        <v/>
      </c>
      <c r="I650" s="5">
        <f>IF('ORDENES'!$A628="","",IF('ORDENES'!$AT628="","-",'ORDENES'!$AT628))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0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IF('ORDENES'!$A628="","",'ORDENES'!$AF628)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IF('ORDENES'!$A629="","",IF('ORDENES'!$AH629="","-",'ORDENES'!$AH629))</f>
        <v/>
      </c>
      <c r="D651" s="5">
        <f>IF('ORDENES'!$A629="","",IF('ORDENES'!$Z629="","-",'ORDENES'!$Z629))</f>
        <v/>
      </c>
      <c r="E651" s="5">
        <f>IF('ORDENES'!$A629="","",IF('ORDENES'!$X629="","-",'ORDENES'!$X629))</f>
        <v/>
      </c>
      <c r="F651" s="5">
        <f>IF('ORDENES'!$A629="","",IF('ORDENES'!$AA629="","-",'ORDENES'!$AA629))</f>
        <v/>
      </c>
      <c r="G651" s="5">
        <f>IF('ORDENES'!$A629="","",IF('ORDENES'!$Y629="","-",'ORDENES'!$Y629))</f>
        <v/>
      </c>
      <c r="H651" s="5">
        <f>IF('ORDENES'!$A629="","",IF('ORDENES'!$AG629="","-",'ORDENES'!$AG629))</f>
        <v/>
      </c>
      <c r="I651" s="5">
        <f>IF('ORDENES'!$A629="","",IF('ORDENES'!$AT629="","-",'ORDENES'!$AT629))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0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IF('ORDENES'!$A629="","",'ORDENES'!$AF629)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IF('ORDENES'!$A630="","",IF('ORDENES'!$AH630="","-",'ORDENES'!$AH630))</f>
        <v/>
      </c>
      <c r="D652" s="5">
        <f>IF('ORDENES'!$A630="","",IF('ORDENES'!$Z630="","-",'ORDENES'!$Z630))</f>
        <v/>
      </c>
      <c r="E652" s="5">
        <f>IF('ORDENES'!$A630="","",IF('ORDENES'!$X630="","-",'ORDENES'!$X630))</f>
        <v/>
      </c>
      <c r="F652" s="5">
        <f>IF('ORDENES'!$A630="","",IF('ORDENES'!$AA630="","-",'ORDENES'!$AA630))</f>
        <v/>
      </c>
      <c r="G652" s="5">
        <f>IF('ORDENES'!$A630="","",IF('ORDENES'!$Y630="","-",'ORDENES'!$Y630))</f>
        <v/>
      </c>
      <c r="H652" s="5">
        <f>IF('ORDENES'!$A630="","",IF('ORDENES'!$AG630="","-",'ORDENES'!$AG630))</f>
        <v/>
      </c>
      <c r="I652" s="5">
        <f>IF('ORDENES'!$A630="","",IF('ORDENES'!$AT630="","-",'ORDENES'!$AT630))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0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IF('ORDENES'!$A630="","",'ORDENES'!$AF630)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IF('ORDENES'!$A631="","",IF('ORDENES'!$AH631="","-",'ORDENES'!$AH631))</f>
        <v/>
      </c>
      <c r="D653" s="5">
        <f>IF('ORDENES'!$A631="","",IF('ORDENES'!$Z631="","-",'ORDENES'!$Z631))</f>
        <v/>
      </c>
      <c r="E653" s="5">
        <f>IF('ORDENES'!$A631="","",IF('ORDENES'!$X631="","-",'ORDENES'!$X631))</f>
        <v/>
      </c>
      <c r="F653" s="5">
        <f>IF('ORDENES'!$A631="","",IF('ORDENES'!$AA631="","-",'ORDENES'!$AA631))</f>
        <v/>
      </c>
      <c r="G653" s="5">
        <f>IF('ORDENES'!$A631="","",IF('ORDENES'!$Y631="","-",'ORDENES'!$Y631))</f>
        <v/>
      </c>
      <c r="H653" s="5">
        <f>IF('ORDENES'!$A631="","",IF('ORDENES'!$AG631="","-",'ORDENES'!$AG631))</f>
        <v/>
      </c>
      <c r="I653" s="5">
        <f>IF('ORDENES'!$A631="","",IF('ORDENES'!$AT631="","-",'ORDENES'!$AT631))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0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IF('ORDENES'!$A631="","",'ORDENES'!$AF631)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IF('ORDENES'!$A632="","",IF('ORDENES'!$AH632="","-",'ORDENES'!$AH632))</f>
        <v/>
      </c>
      <c r="D654" s="5">
        <f>IF('ORDENES'!$A632="","",IF('ORDENES'!$Z632="","-",'ORDENES'!$Z632))</f>
        <v/>
      </c>
      <c r="E654" s="5">
        <f>IF('ORDENES'!$A632="","",IF('ORDENES'!$X632="","-",'ORDENES'!$X632))</f>
        <v/>
      </c>
      <c r="F654" s="5">
        <f>IF('ORDENES'!$A632="","",IF('ORDENES'!$AA632="","-",'ORDENES'!$AA632))</f>
        <v/>
      </c>
      <c r="G654" s="5">
        <f>IF('ORDENES'!$A632="","",IF('ORDENES'!$Y632="","-",'ORDENES'!$Y632))</f>
        <v/>
      </c>
      <c r="H654" s="5">
        <f>IF('ORDENES'!$A632="","",IF('ORDENES'!$AG632="","-",'ORDENES'!$AG632))</f>
        <v/>
      </c>
      <c r="I654" s="5">
        <f>IF('ORDENES'!$A632="","",IF('ORDENES'!$AT632="","-",'ORDENES'!$AT632))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0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IF('ORDENES'!$A632="","",'ORDENES'!$AF632)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IF('ORDENES'!$A633="","",IF('ORDENES'!$AH633="","-",'ORDENES'!$AH633))</f>
        <v/>
      </c>
      <c r="D655" s="5">
        <f>IF('ORDENES'!$A633="","",IF('ORDENES'!$Z633="","-",'ORDENES'!$Z633))</f>
        <v/>
      </c>
      <c r="E655" s="5">
        <f>IF('ORDENES'!$A633="","",IF('ORDENES'!$X633="","-",'ORDENES'!$X633))</f>
        <v/>
      </c>
      <c r="F655" s="5">
        <f>IF('ORDENES'!$A633="","",IF('ORDENES'!$AA633="","-",'ORDENES'!$AA633))</f>
        <v/>
      </c>
      <c r="G655" s="5">
        <f>IF('ORDENES'!$A633="","",IF('ORDENES'!$Y633="","-",'ORDENES'!$Y633))</f>
        <v/>
      </c>
      <c r="H655" s="5">
        <f>IF('ORDENES'!$A633="","",IF('ORDENES'!$AG633="","-",'ORDENES'!$AG633))</f>
        <v/>
      </c>
      <c r="I655" s="5">
        <f>IF('ORDENES'!$A633="","",IF('ORDENES'!$AT633="","-",'ORDENES'!$AT633))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0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IF('ORDENES'!$A633="","",'ORDENES'!$AF633)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IF('ORDENES'!$A634="","",IF('ORDENES'!$AH634="","-",'ORDENES'!$AH634))</f>
        <v/>
      </c>
      <c r="D656" s="5">
        <f>IF('ORDENES'!$A634="","",IF('ORDENES'!$Z634="","-",'ORDENES'!$Z634))</f>
        <v/>
      </c>
      <c r="E656" s="5">
        <f>IF('ORDENES'!$A634="","",IF('ORDENES'!$X634="","-",'ORDENES'!$X634))</f>
        <v/>
      </c>
      <c r="F656" s="5">
        <f>IF('ORDENES'!$A634="","",IF('ORDENES'!$AA634="","-",'ORDENES'!$AA634))</f>
        <v/>
      </c>
      <c r="G656" s="5">
        <f>IF('ORDENES'!$A634="","",IF('ORDENES'!$Y634="","-",'ORDENES'!$Y634))</f>
        <v/>
      </c>
      <c r="H656" s="5">
        <f>IF('ORDENES'!$A634="","",IF('ORDENES'!$AG634="","-",'ORDENES'!$AG634))</f>
        <v/>
      </c>
      <c r="I656" s="5">
        <f>IF('ORDENES'!$A634="","",IF('ORDENES'!$AT634="","-",'ORDENES'!$AT634))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0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IF('ORDENES'!$A634="","",'ORDENES'!$AF634)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IF('ORDENES'!$A635="","",IF('ORDENES'!$AH635="","-",'ORDENES'!$AH635))</f>
        <v/>
      </c>
      <c r="D657" s="5">
        <f>IF('ORDENES'!$A635="","",IF('ORDENES'!$Z635="","-",'ORDENES'!$Z635))</f>
        <v/>
      </c>
      <c r="E657" s="5">
        <f>IF('ORDENES'!$A635="","",IF('ORDENES'!$X635="","-",'ORDENES'!$X635))</f>
        <v/>
      </c>
      <c r="F657" s="5">
        <f>IF('ORDENES'!$A635="","",IF('ORDENES'!$AA635="","-",'ORDENES'!$AA635))</f>
        <v/>
      </c>
      <c r="G657" s="5">
        <f>IF('ORDENES'!$A635="","",IF('ORDENES'!$Y635="","-",'ORDENES'!$Y635))</f>
        <v/>
      </c>
      <c r="H657" s="5">
        <f>IF('ORDENES'!$A635="","",IF('ORDENES'!$AG635="","-",'ORDENES'!$AG635))</f>
        <v/>
      </c>
      <c r="I657" s="5">
        <f>IF('ORDENES'!$A635="","",IF('ORDENES'!$AT635="","-",'ORDENES'!$AT635))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0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IF('ORDENES'!$A635="","",'ORDENES'!$AF635)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IF('ORDENES'!$A636="","",IF('ORDENES'!$AH636="","-",'ORDENES'!$AH636))</f>
        <v/>
      </c>
      <c r="D658" s="5">
        <f>IF('ORDENES'!$A636="","",IF('ORDENES'!$Z636="","-",'ORDENES'!$Z636))</f>
        <v/>
      </c>
      <c r="E658" s="5">
        <f>IF('ORDENES'!$A636="","",IF('ORDENES'!$X636="","-",'ORDENES'!$X636))</f>
        <v/>
      </c>
      <c r="F658" s="5">
        <f>IF('ORDENES'!$A636="","",IF('ORDENES'!$AA636="","-",'ORDENES'!$AA636))</f>
        <v/>
      </c>
      <c r="G658" s="5">
        <f>IF('ORDENES'!$A636="","",IF('ORDENES'!$Y636="","-",'ORDENES'!$Y636))</f>
        <v/>
      </c>
      <c r="H658" s="5">
        <f>IF('ORDENES'!$A636="","",IF('ORDENES'!$AG636="","-",'ORDENES'!$AG636))</f>
        <v/>
      </c>
      <c r="I658" s="5">
        <f>IF('ORDENES'!$A636="","",IF('ORDENES'!$AT636="","-",'ORDENES'!$AT636))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0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IF('ORDENES'!$A636="","",'ORDENES'!$AF636)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IF('ORDENES'!$A637="","",IF('ORDENES'!$AH637="","-",'ORDENES'!$AH637))</f>
        <v/>
      </c>
      <c r="D659" s="5">
        <f>IF('ORDENES'!$A637="","",IF('ORDENES'!$Z637="","-",'ORDENES'!$Z637))</f>
        <v/>
      </c>
      <c r="E659" s="5">
        <f>IF('ORDENES'!$A637="","",IF('ORDENES'!$X637="","-",'ORDENES'!$X637))</f>
        <v/>
      </c>
      <c r="F659" s="5">
        <f>IF('ORDENES'!$A637="","",IF('ORDENES'!$AA637="","-",'ORDENES'!$AA637))</f>
        <v/>
      </c>
      <c r="G659" s="5">
        <f>IF('ORDENES'!$A637="","",IF('ORDENES'!$Y637="","-",'ORDENES'!$Y637))</f>
        <v/>
      </c>
      <c r="H659" s="5">
        <f>IF('ORDENES'!$A637="","",IF('ORDENES'!$AG637="","-",'ORDENES'!$AG637))</f>
        <v/>
      </c>
      <c r="I659" s="5">
        <f>IF('ORDENES'!$A637="","",IF('ORDENES'!$AT637="","-",'ORDENES'!$AT637))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0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IF('ORDENES'!$A637="","",'ORDENES'!$AF637)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IF('ORDENES'!$A638="","",IF('ORDENES'!$AH638="","-",'ORDENES'!$AH638))</f>
        <v/>
      </c>
      <c r="D660" s="5">
        <f>IF('ORDENES'!$A638="","",IF('ORDENES'!$Z638="","-",'ORDENES'!$Z638))</f>
        <v/>
      </c>
      <c r="E660" s="5">
        <f>IF('ORDENES'!$A638="","",IF('ORDENES'!$X638="","-",'ORDENES'!$X638))</f>
        <v/>
      </c>
      <c r="F660" s="5">
        <f>IF('ORDENES'!$A638="","",IF('ORDENES'!$AA638="","-",'ORDENES'!$AA638))</f>
        <v/>
      </c>
      <c r="G660" s="5">
        <f>IF('ORDENES'!$A638="","",IF('ORDENES'!$Y638="","-",'ORDENES'!$Y638))</f>
        <v/>
      </c>
      <c r="H660" s="5">
        <f>IF('ORDENES'!$A638="","",IF('ORDENES'!$AG638="","-",'ORDENES'!$AG638))</f>
        <v/>
      </c>
      <c r="I660" s="5">
        <f>IF('ORDENES'!$A638="","",IF('ORDENES'!$AT638="","-",'ORDENES'!$AT638))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0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IF('ORDENES'!$A638="","",'ORDENES'!$AF638)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IF('ORDENES'!$A639="","",IF('ORDENES'!$AH639="","-",'ORDENES'!$AH639))</f>
        <v/>
      </c>
      <c r="D661" s="5">
        <f>IF('ORDENES'!$A639="","",IF('ORDENES'!$Z639="","-",'ORDENES'!$Z639))</f>
        <v/>
      </c>
      <c r="E661" s="5">
        <f>IF('ORDENES'!$A639="","",IF('ORDENES'!$X639="","-",'ORDENES'!$X639))</f>
        <v/>
      </c>
      <c r="F661" s="5">
        <f>IF('ORDENES'!$A639="","",IF('ORDENES'!$AA639="","-",'ORDENES'!$AA639))</f>
        <v/>
      </c>
      <c r="G661" s="5">
        <f>IF('ORDENES'!$A639="","",IF('ORDENES'!$Y639="","-",'ORDENES'!$Y639))</f>
        <v/>
      </c>
      <c r="H661" s="5">
        <f>IF('ORDENES'!$A639="","",IF('ORDENES'!$AG639="","-",'ORDENES'!$AG639))</f>
        <v/>
      </c>
      <c r="I661" s="5">
        <f>IF('ORDENES'!$A639="","",IF('ORDENES'!$AT639="","-",'ORDENES'!$AT639))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0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IF('ORDENES'!$A639="","",'ORDENES'!$AF639)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IF('ORDENES'!$A640="","",IF('ORDENES'!$AH640="","-",'ORDENES'!$AH640))</f>
        <v/>
      </c>
      <c r="D662" s="5">
        <f>IF('ORDENES'!$A640="","",IF('ORDENES'!$Z640="","-",'ORDENES'!$Z640))</f>
        <v/>
      </c>
      <c r="E662" s="5">
        <f>IF('ORDENES'!$A640="","",IF('ORDENES'!$X640="","-",'ORDENES'!$X640))</f>
        <v/>
      </c>
      <c r="F662" s="5">
        <f>IF('ORDENES'!$A640="","",IF('ORDENES'!$AA640="","-",'ORDENES'!$AA640))</f>
        <v/>
      </c>
      <c r="G662" s="5">
        <f>IF('ORDENES'!$A640="","",IF('ORDENES'!$Y640="","-",'ORDENES'!$Y640))</f>
        <v/>
      </c>
      <c r="H662" s="5">
        <f>IF('ORDENES'!$A640="","",IF('ORDENES'!$AG640="","-",'ORDENES'!$AG640))</f>
        <v/>
      </c>
      <c r="I662" s="5">
        <f>IF('ORDENES'!$A640="","",IF('ORDENES'!$AT640="","-",'ORDENES'!$AT640))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0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IF('ORDENES'!$A640="","",'ORDENES'!$AF640)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IF('ORDENES'!$A641="","",IF('ORDENES'!$AH641="","-",'ORDENES'!$AH641))</f>
        <v/>
      </c>
      <c r="D663" s="5">
        <f>IF('ORDENES'!$A641="","",IF('ORDENES'!$Z641="","-",'ORDENES'!$Z641))</f>
        <v/>
      </c>
      <c r="E663" s="5">
        <f>IF('ORDENES'!$A641="","",IF('ORDENES'!$X641="","-",'ORDENES'!$X641))</f>
        <v/>
      </c>
      <c r="F663" s="5">
        <f>IF('ORDENES'!$A641="","",IF('ORDENES'!$AA641="","-",'ORDENES'!$AA641))</f>
        <v/>
      </c>
      <c r="G663" s="5">
        <f>IF('ORDENES'!$A641="","",IF('ORDENES'!$Y641="","-",'ORDENES'!$Y641))</f>
        <v/>
      </c>
      <c r="H663" s="5">
        <f>IF('ORDENES'!$A641="","",IF('ORDENES'!$AG641="","-",'ORDENES'!$AG641))</f>
        <v/>
      </c>
      <c r="I663" s="5">
        <f>IF('ORDENES'!$A641="","",IF('ORDENES'!$AT641="","-",'ORDENES'!$AT641))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0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IF('ORDENES'!$A641="","",'ORDENES'!$AF641)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IF('ORDENES'!$A642="","",IF('ORDENES'!$AH642="","-",'ORDENES'!$AH642))</f>
        <v/>
      </c>
      <c r="D664" s="5">
        <f>IF('ORDENES'!$A642="","",IF('ORDENES'!$Z642="","-",'ORDENES'!$Z642))</f>
        <v/>
      </c>
      <c r="E664" s="5">
        <f>IF('ORDENES'!$A642="","",IF('ORDENES'!$X642="","-",'ORDENES'!$X642))</f>
        <v/>
      </c>
      <c r="F664" s="5">
        <f>IF('ORDENES'!$A642="","",IF('ORDENES'!$AA642="","-",'ORDENES'!$AA642))</f>
        <v/>
      </c>
      <c r="G664" s="5">
        <f>IF('ORDENES'!$A642="","",IF('ORDENES'!$Y642="","-",'ORDENES'!$Y642))</f>
        <v/>
      </c>
      <c r="H664" s="5">
        <f>IF('ORDENES'!$A642="","",IF('ORDENES'!$AG642="","-",'ORDENES'!$AG642))</f>
        <v/>
      </c>
      <c r="I664" s="5">
        <f>IF('ORDENES'!$A642="","",IF('ORDENES'!$AT642="","-",'ORDENES'!$AT642))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0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IF('ORDENES'!$A642="","",'ORDENES'!$AF642)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IF('ORDENES'!$A643="","",IF('ORDENES'!$AH643="","-",'ORDENES'!$AH643))</f>
        <v/>
      </c>
      <c r="D665" s="5">
        <f>IF('ORDENES'!$A643="","",IF('ORDENES'!$Z643="","-",'ORDENES'!$Z643))</f>
        <v/>
      </c>
      <c r="E665" s="5">
        <f>IF('ORDENES'!$A643="","",IF('ORDENES'!$X643="","-",'ORDENES'!$X643))</f>
        <v/>
      </c>
      <c r="F665" s="5">
        <f>IF('ORDENES'!$A643="","",IF('ORDENES'!$AA643="","-",'ORDENES'!$AA643))</f>
        <v/>
      </c>
      <c r="G665" s="5">
        <f>IF('ORDENES'!$A643="","",IF('ORDENES'!$Y643="","-",'ORDENES'!$Y643))</f>
        <v/>
      </c>
      <c r="H665" s="5">
        <f>IF('ORDENES'!$A643="","",IF('ORDENES'!$AG643="","-",'ORDENES'!$AG643))</f>
        <v/>
      </c>
      <c r="I665" s="5">
        <f>IF('ORDENES'!$A643="","",IF('ORDENES'!$AT643="","-",'ORDENES'!$AT643))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0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IF('ORDENES'!$A643="","",'ORDENES'!$AF643)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IF('ORDENES'!$A644="","",IF('ORDENES'!$AH644="","-",'ORDENES'!$AH644))</f>
        <v/>
      </c>
      <c r="D666" s="5">
        <f>IF('ORDENES'!$A644="","",IF('ORDENES'!$Z644="","-",'ORDENES'!$Z644))</f>
        <v/>
      </c>
      <c r="E666" s="5">
        <f>IF('ORDENES'!$A644="","",IF('ORDENES'!$X644="","-",'ORDENES'!$X644))</f>
        <v/>
      </c>
      <c r="F666" s="5">
        <f>IF('ORDENES'!$A644="","",IF('ORDENES'!$AA644="","-",'ORDENES'!$AA644))</f>
        <v/>
      </c>
      <c r="G666" s="5">
        <f>IF('ORDENES'!$A644="","",IF('ORDENES'!$Y644="","-",'ORDENES'!$Y644))</f>
        <v/>
      </c>
      <c r="H666" s="5">
        <f>IF('ORDENES'!$A644="","",IF('ORDENES'!$AG644="","-",'ORDENES'!$AG644))</f>
        <v/>
      </c>
      <c r="I666" s="5">
        <f>IF('ORDENES'!$A644="","",IF('ORDENES'!$AT644="","-",'ORDENES'!$AT644))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0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IF('ORDENES'!$A644="","",'ORDENES'!$AF644)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IF('ORDENES'!$A645="","",IF('ORDENES'!$AH645="","-",'ORDENES'!$AH645))</f>
        <v/>
      </c>
      <c r="D667" s="5">
        <f>IF('ORDENES'!$A645="","",IF('ORDENES'!$Z645="","-",'ORDENES'!$Z645))</f>
        <v/>
      </c>
      <c r="E667" s="5">
        <f>IF('ORDENES'!$A645="","",IF('ORDENES'!$X645="","-",'ORDENES'!$X645))</f>
        <v/>
      </c>
      <c r="F667" s="5">
        <f>IF('ORDENES'!$A645="","",IF('ORDENES'!$AA645="","-",'ORDENES'!$AA645))</f>
        <v/>
      </c>
      <c r="G667" s="5">
        <f>IF('ORDENES'!$A645="","",IF('ORDENES'!$Y645="","-",'ORDENES'!$Y645))</f>
        <v/>
      </c>
      <c r="H667" s="5">
        <f>IF('ORDENES'!$A645="","",IF('ORDENES'!$AG645="","-",'ORDENES'!$AG645))</f>
        <v/>
      </c>
      <c r="I667" s="5">
        <f>IF('ORDENES'!$A645="","",IF('ORDENES'!$AT645="","-",'ORDENES'!$AT645))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0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IF('ORDENES'!$A645="","",'ORDENES'!$AF645)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IF('ORDENES'!$A646="","",IF('ORDENES'!$AH646="","-",'ORDENES'!$AH646))</f>
        <v/>
      </c>
      <c r="D668" s="5">
        <f>IF('ORDENES'!$A646="","",IF('ORDENES'!$Z646="","-",'ORDENES'!$Z646))</f>
        <v/>
      </c>
      <c r="E668" s="5">
        <f>IF('ORDENES'!$A646="","",IF('ORDENES'!$X646="","-",'ORDENES'!$X646))</f>
        <v/>
      </c>
      <c r="F668" s="5">
        <f>IF('ORDENES'!$A646="","",IF('ORDENES'!$AA646="","-",'ORDENES'!$AA646))</f>
        <v/>
      </c>
      <c r="G668" s="5">
        <f>IF('ORDENES'!$A646="","",IF('ORDENES'!$Y646="","-",'ORDENES'!$Y646))</f>
        <v/>
      </c>
      <c r="H668" s="5">
        <f>IF('ORDENES'!$A646="","",IF('ORDENES'!$AG646="","-",'ORDENES'!$AG646))</f>
        <v/>
      </c>
      <c r="I668" s="5">
        <f>IF('ORDENES'!$A646="","",IF('ORDENES'!$AT646="","-",'ORDENES'!$AT646))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0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IF('ORDENES'!$A646="","",'ORDENES'!$AF646)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IF('ORDENES'!$A647="","",IF('ORDENES'!$AH647="","-",'ORDENES'!$AH647))</f>
        <v/>
      </c>
      <c r="D669" s="5">
        <f>IF('ORDENES'!$A647="","",IF('ORDENES'!$Z647="","-",'ORDENES'!$Z647))</f>
        <v/>
      </c>
      <c r="E669" s="5">
        <f>IF('ORDENES'!$A647="","",IF('ORDENES'!$X647="","-",'ORDENES'!$X647))</f>
        <v/>
      </c>
      <c r="F669" s="5">
        <f>IF('ORDENES'!$A647="","",IF('ORDENES'!$AA647="","-",'ORDENES'!$AA647))</f>
        <v/>
      </c>
      <c r="G669" s="5">
        <f>IF('ORDENES'!$A647="","",IF('ORDENES'!$Y647="","-",'ORDENES'!$Y647))</f>
        <v/>
      </c>
      <c r="H669" s="5">
        <f>IF('ORDENES'!$A647="","",IF('ORDENES'!$AG647="","-",'ORDENES'!$AG647))</f>
        <v/>
      </c>
      <c r="I669" s="5">
        <f>IF('ORDENES'!$A647="","",IF('ORDENES'!$AT647="","-",'ORDENES'!$AT647))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0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IF('ORDENES'!$A647="","",'ORDENES'!$AF647)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IF('ORDENES'!$A648="","",IF('ORDENES'!$AH648="","-",'ORDENES'!$AH648))</f>
        <v/>
      </c>
      <c r="D670" s="5">
        <f>IF('ORDENES'!$A648="","",IF('ORDENES'!$Z648="","-",'ORDENES'!$Z648))</f>
        <v/>
      </c>
      <c r="E670" s="5">
        <f>IF('ORDENES'!$A648="","",IF('ORDENES'!$X648="","-",'ORDENES'!$X648))</f>
        <v/>
      </c>
      <c r="F670" s="5">
        <f>IF('ORDENES'!$A648="","",IF('ORDENES'!$AA648="","-",'ORDENES'!$AA648))</f>
        <v/>
      </c>
      <c r="G670" s="5">
        <f>IF('ORDENES'!$A648="","",IF('ORDENES'!$Y648="","-",'ORDENES'!$Y648))</f>
        <v/>
      </c>
      <c r="H670" s="5">
        <f>IF('ORDENES'!$A648="","",IF('ORDENES'!$AG648="","-",'ORDENES'!$AG648))</f>
        <v/>
      </c>
      <c r="I670" s="5">
        <f>IF('ORDENES'!$A648="","",IF('ORDENES'!$AT648="","-",'ORDENES'!$AT648))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0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IF('ORDENES'!$A648="","",'ORDENES'!$AF648)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IF('ORDENES'!$A649="","",IF('ORDENES'!$AH649="","-",'ORDENES'!$AH649))</f>
        <v/>
      </c>
      <c r="D671" s="5">
        <f>IF('ORDENES'!$A649="","",IF('ORDENES'!$Z649="","-",'ORDENES'!$Z649))</f>
        <v/>
      </c>
      <c r="E671" s="5">
        <f>IF('ORDENES'!$A649="","",IF('ORDENES'!$X649="","-",'ORDENES'!$X649))</f>
        <v/>
      </c>
      <c r="F671" s="5">
        <f>IF('ORDENES'!$A649="","",IF('ORDENES'!$AA649="","-",'ORDENES'!$AA649))</f>
        <v/>
      </c>
      <c r="G671" s="5">
        <f>IF('ORDENES'!$A649="","",IF('ORDENES'!$Y649="","-",'ORDENES'!$Y649))</f>
        <v/>
      </c>
      <c r="H671" s="5">
        <f>IF('ORDENES'!$A649="","",IF('ORDENES'!$AG649="","-",'ORDENES'!$AG649))</f>
        <v/>
      </c>
      <c r="I671" s="5">
        <f>IF('ORDENES'!$A649="","",IF('ORDENES'!$AT649="","-",'ORDENES'!$AT649))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0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IF('ORDENES'!$A649="","",'ORDENES'!$AF649)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IF('ORDENES'!$A650="","",IF('ORDENES'!$AH650="","-",'ORDENES'!$AH650))</f>
        <v/>
      </c>
      <c r="D672" s="5">
        <f>IF('ORDENES'!$A650="","",IF('ORDENES'!$Z650="","-",'ORDENES'!$Z650))</f>
        <v/>
      </c>
      <c r="E672" s="5">
        <f>IF('ORDENES'!$A650="","",IF('ORDENES'!$X650="","-",'ORDENES'!$X650))</f>
        <v/>
      </c>
      <c r="F672" s="5">
        <f>IF('ORDENES'!$A650="","",IF('ORDENES'!$AA650="","-",'ORDENES'!$AA650))</f>
        <v/>
      </c>
      <c r="G672" s="5">
        <f>IF('ORDENES'!$A650="","",IF('ORDENES'!$Y650="","-",'ORDENES'!$Y650))</f>
        <v/>
      </c>
      <c r="H672" s="5">
        <f>IF('ORDENES'!$A650="","",IF('ORDENES'!$AG650="","-",'ORDENES'!$AG650))</f>
        <v/>
      </c>
      <c r="I672" s="5">
        <f>IF('ORDENES'!$A650="","",IF('ORDENES'!$AT650="","-",'ORDENES'!$AT650))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0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IF('ORDENES'!$A650="","",'ORDENES'!$AF650)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IF('ORDENES'!$A651="","",IF('ORDENES'!$AH651="","-",'ORDENES'!$AH651))</f>
        <v/>
      </c>
      <c r="D673" s="5">
        <f>IF('ORDENES'!$A651="","",IF('ORDENES'!$Z651="","-",'ORDENES'!$Z651))</f>
        <v/>
      </c>
      <c r="E673" s="5">
        <f>IF('ORDENES'!$A651="","",IF('ORDENES'!$X651="","-",'ORDENES'!$X651))</f>
        <v/>
      </c>
      <c r="F673" s="5">
        <f>IF('ORDENES'!$A651="","",IF('ORDENES'!$AA651="","-",'ORDENES'!$AA651))</f>
        <v/>
      </c>
      <c r="G673" s="5">
        <f>IF('ORDENES'!$A651="","",IF('ORDENES'!$Y651="","-",'ORDENES'!$Y651))</f>
        <v/>
      </c>
      <c r="H673" s="5">
        <f>IF('ORDENES'!$A651="","",IF('ORDENES'!$AG651="","-",'ORDENES'!$AG651))</f>
        <v/>
      </c>
      <c r="I673" s="5">
        <f>IF('ORDENES'!$A651="","",IF('ORDENES'!$AT651="","-",'ORDENES'!$AT651))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0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IF('ORDENES'!$A651="","",'ORDENES'!$AF651)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IF('ORDENES'!$A652="","",IF('ORDENES'!$AH652="","-",'ORDENES'!$AH652))</f>
        <v/>
      </c>
      <c r="D674" s="5">
        <f>IF('ORDENES'!$A652="","",IF('ORDENES'!$Z652="","-",'ORDENES'!$Z652))</f>
        <v/>
      </c>
      <c r="E674" s="5">
        <f>IF('ORDENES'!$A652="","",IF('ORDENES'!$X652="","-",'ORDENES'!$X652))</f>
        <v/>
      </c>
      <c r="F674" s="5">
        <f>IF('ORDENES'!$A652="","",IF('ORDENES'!$AA652="","-",'ORDENES'!$AA652))</f>
        <v/>
      </c>
      <c r="G674" s="5">
        <f>IF('ORDENES'!$A652="","",IF('ORDENES'!$Y652="","-",'ORDENES'!$Y652))</f>
        <v/>
      </c>
      <c r="H674" s="5">
        <f>IF('ORDENES'!$A652="","",IF('ORDENES'!$AG652="","-",'ORDENES'!$AG652))</f>
        <v/>
      </c>
      <c r="I674" s="5">
        <f>IF('ORDENES'!$A652="","",IF('ORDENES'!$AT652="","-",'ORDENES'!$AT652))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0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IF('ORDENES'!$A652="","",'ORDENES'!$AF652)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IF('ORDENES'!$A653="","",IF('ORDENES'!$AH653="","-",'ORDENES'!$AH653))</f>
        <v/>
      </c>
      <c r="D675" s="5">
        <f>IF('ORDENES'!$A653="","",IF('ORDENES'!$Z653="","-",'ORDENES'!$Z653))</f>
        <v/>
      </c>
      <c r="E675" s="5">
        <f>IF('ORDENES'!$A653="","",IF('ORDENES'!$X653="","-",'ORDENES'!$X653))</f>
        <v/>
      </c>
      <c r="F675" s="5">
        <f>IF('ORDENES'!$A653="","",IF('ORDENES'!$AA653="","-",'ORDENES'!$AA653))</f>
        <v/>
      </c>
      <c r="G675" s="5">
        <f>IF('ORDENES'!$A653="","",IF('ORDENES'!$Y653="","-",'ORDENES'!$Y653))</f>
        <v/>
      </c>
      <c r="H675" s="5">
        <f>IF('ORDENES'!$A653="","",IF('ORDENES'!$AG653="","-",'ORDENES'!$AG653))</f>
        <v/>
      </c>
      <c r="I675" s="5">
        <f>IF('ORDENES'!$A653="","",IF('ORDENES'!$AT653="","-",'ORDENES'!$AT653))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0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IF('ORDENES'!$A653="","",'ORDENES'!$AF653)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IF('ORDENES'!$A654="","",IF('ORDENES'!$AH654="","-",'ORDENES'!$AH654))</f>
        <v/>
      </c>
      <c r="D676" s="5">
        <f>IF('ORDENES'!$A654="","",IF('ORDENES'!$Z654="","-",'ORDENES'!$Z654))</f>
        <v/>
      </c>
      <c r="E676" s="5">
        <f>IF('ORDENES'!$A654="","",IF('ORDENES'!$X654="","-",'ORDENES'!$X654))</f>
        <v/>
      </c>
      <c r="F676" s="5">
        <f>IF('ORDENES'!$A654="","",IF('ORDENES'!$AA654="","-",'ORDENES'!$AA654))</f>
        <v/>
      </c>
      <c r="G676" s="5">
        <f>IF('ORDENES'!$A654="","",IF('ORDENES'!$Y654="","-",'ORDENES'!$Y654))</f>
        <v/>
      </c>
      <c r="H676" s="5">
        <f>IF('ORDENES'!$A654="","",IF('ORDENES'!$AG654="","-",'ORDENES'!$AG654))</f>
        <v/>
      </c>
      <c r="I676" s="5">
        <f>IF('ORDENES'!$A654="","",IF('ORDENES'!$AT654="","-",'ORDENES'!$AT654))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0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IF('ORDENES'!$A654="","",'ORDENES'!$AF654)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IF('ORDENES'!$A655="","",IF('ORDENES'!$AH655="","-",'ORDENES'!$AH655))</f>
        <v/>
      </c>
      <c r="D677" s="5">
        <f>IF('ORDENES'!$A655="","",IF('ORDENES'!$Z655="","-",'ORDENES'!$Z655))</f>
        <v/>
      </c>
      <c r="E677" s="5">
        <f>IF('ORDENES'!$A655="","",IF('ORDENES'!$X655="","-",'ORDENES'!$X655))</f>
        <v/>
      </c>
      <c r="F677" s="5">
        <f>IF('ORDENES'!$A655="","",IF('ORDENES'!$AA655="","-",'ORDENES'!$AA655))</f>
        <v/>
      </c>
      <c r="G677" s="5">
        <f>IF('ORDENES'!$A655="","",IF('ORDENES'!$Y655="","-",'ORDENES'!$Y655))</f>
        <v/>
      </c>
      <c r="H677" s="5">
        <f>IF('ORDENES'!$A655="","",IF('ORDENES'!$AG655="","-",'ORDENES'!$AG655))</f>
        <v/>
      </c>
      <c r="I677" s="5">
        <f>IF('ORDENES'!$A655="","",IF('ORDENES'!$AT655="","-",'ORDENES'!$AT655))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0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IF('ORDENES'!$A655="","",'ORDENES'!$AF655)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IF('ORDENES'!$A656="","",IF('ORDENES'!$AH656="","-",'ORDENES'!$AH656))</f>
        <v/>
      </c>
      <c r="D678" s="5">
        <f>IF('ORDENES'!$A656="","",IF('ORDENES'!$Z656="","-",'ORDENES'!$Z656))</f>
        <v/>
      </c>
      <c r="E678" s="5">
        <f>IF('ORDENES'!$A656="","",IF('ORDENES'!$X656="","-",'ORDENES'!$X656))</f>
        <v/>
      </c>
      <c r="F678" s="5">
        <f>IF('ORDENES'!$A656="","",IF('ORDENES'!$AA656="","-",'ORDENES'!$AA656))</f>
        <v/>
      </c>
      <c r="G678" s="5">
        <f>IF('ORDENES'!$A656="","",IF('ORDENES'!$Y656="","-",'ORDENES'!$Y656))</f>
        <v/>
      </c>
      <c r="H678" s="5">
        <f>IF('ORDENES'!$A656="","",IF('ORDENES'!$AG656="","-",'ORDENES'!$AG656))</f>
        <v/>
      </c>
      <c r="I678" s="5">
        <f>IF('ORDENES'!$A656="","",IF('ORDENES'!$AT656="","-",'ORDENES'!$AT656))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0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IF('ORDENES'!$A656="","",'ORDENES'!$AF656)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IF('ORDENES'!$A657="","",IF('ORDENES'!$AH657="","-",'ORDENES'!$AH657))</f>
        <v/>
      </c>
      <c r="D679" s="5">
        <f>IF('ORDENES'!$A657="","",IF('ORDENES'!$Z657="","-",'ORDENES'!$Z657))</f>
        <v/>
      </c>
      <c r="E679" s="5">
        <f>IF('ORDENES'!$A657="","",IF('ORDENES'!$X657="","-",'ORDENES'!$X657))</f>
        <v/>
      </c>
      <c r="F679" s="5">
        <f>IF('ORDENES'!$A657="","",IF('ORDENES'!$AA657="","-",'ORDENES'!$AA657))</f>
        <v/>
      </c>
      <c r="G679" s="5">
        <f>IF('ORDENES'!$A657="","",IF('ORDENES'!$Y657="","-",'ORDENES'!$Y657))</f>
        <v/>
      </c>
      <c r="H679" s="5">
        <f>IF('ORDENES'!$A657="","",IF('ORDENES'!$AG657="","-",'ORDENES'!$AG657))</f>
        <v/>
      </c>
      <c r="I679" s="5">
        <f>IF('ORDENES'!$A657="","",IF('ORDENES'!$AT657="","-",'ORDENES'!$AT657))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0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IF('ORDENES'!$A657="","",'ORDENES'!$AF657)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IF('ORDENES'!$A658="","",IF('ORDENES'!$AH658="","-",'ORDENES'!$AH658))</f>
        <v/>
      </c>
      <c r="D680" s="5">
        <f>IF('ORDENES'!$A658="","",IF('ORDENES'!$Z658="","-",'ORDENES'!$Z658))</f>
        <v/>
      </c>
      <c r="E680" s="5">
        <f>IF('ORDENES'!$A658="","",IF('ORDENES'!$X658="","-",'ORDENES'!$X658))</f>
        <v/>
      </c>
      <c r="F680" s="5">
        <f>IF('ORDENES'!$A658="","",IF('ORDENES'!$AA658="","-",'ORDENES'!$AA658))</f>
        <v/>
      </c>
      <c r="G680" s="5">
        <f>IF('ORDENES'!$A658="","",IF('ORDENES'!$Y658="","-",'ORDENES'!$Y658))</f>
        <v/>
      </c>
      <c r="H680" s="5">
        <f>IF('ORDENES'!$A658="","",IF('ORDENES'!$AG658="","-",'ORDENES'!$AG658))</f>
        <v/>
      </c>
      <c r="I680" s="5">
        <f>IF('ORDENES'!$A658="","",IF('ORDENES'!$AT658="","-",'ORDENES'!$AT658))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0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IF('ORDENES'!$A658="","",'ORDENES'!$AF658)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IF('ORDENES'!$A659="","",IF('ORDENES'!$AH659="","-",'ORDENES'!$AH659))</f>
        <v/>
      </c>
      <c r="D681" s="5">
        <f>IF('ORDENES'!$A659="","",IF('ORDENES'!$Z659="","-",'ORDENES'!$Z659))</f>
        <v/>
      </c>
      <c r="E681" s="5">
        <f>IF('ORDENES'!$A659="","",IF('ORDENES'!$X659="","-",'ORDENES'!$X659))</f>
        <v/>
      </c>
      <c r="F681" s="5">
        <f>IF('ORDENES'!$A659="","",IF('ORDENES'!$AA659="","-",'ORDENES'!$AA659))</f>
        <v/>
      </c>
      <c r="G681" s="5">
        <f>IF('ORDENES'!$A659="","",IF('ORDENES'!$Y659="","-",'ORDENES'!$Y659))</f>
        <v/>
      </c>
      <c r="H681" s="5">
        <f>IF('ORDENES'!$A659="","",IF('ORDENES'!$AG659="","-",'ORDENES'!$AG659))</f>
        <v/>
      </c>
      <c r="I681" s="5">
        <f>IF('ORDENES'!$A659="","",IF('ORDENES'!$AT659="","-",'ORDENES'!$AT659))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0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IF('ORDENES'!$A659="","",'ORDENES'!$AF659)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IF('ORDENES'!$A660="","",IF('ORDENES'!$AH660="","-",'ORDENES'!$AH660))</f>
        <v/>
      </c>
      <c r="D682" s="5">
        <f>IF('ORDENES'!$A660="","",IF('ORDENES'!$Z660="","-",'ORDENES'!$Z660))</f>
        <v/>
      </c>
      <c r="E682" s="5">
        <f>IF('ORDENES'!$A660="","",IF('ORDENES'!$X660="","-",'ORDENES'!$X660))</f>
        <v/>
      </c>
      <c r="F682" s="5">
        <f>IF('ORDENES'!$A660="","",IF('ORDENES'!$AA660="","-",'ORDENES'!$AA660))</f>
        <v/>
      </c>
      <c r="G682" s="5">
        <f>IF('ORDENES'!$A660="","",IF('ORDENES'!$Y660="","-",'ORDENES'!$Y660))</f>
        <v/>
      </c>
      <c r="H682" s="5">
        <f>IF('ORDENES'!$A660="","",IF('ORDENES'!$AG660="","-",'ORDENES'!$AG660))</f>
        <v/>
      </c>
      <c r="I682" s="5">
        <f>IF('ORDENES'!$A660="","",IF('ORDENES'!$AT660="","-",'ORDENES'!$AT660))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0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IF('ORDENES'!$A660="","",'ORDENES'!$AF660)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IF('ORDENES'!$A661="","",IF('ORDENES'!$AH661="","-",'ORDENES'!$AH661))</f>
        <v/>
      </c>
      <c r="D683" s="5">
        <f>IF('ORDENES'!$A661="","",IF('ORDENES'!$Z661="","-",'ORDENES'!$Z661))</f>
        <v/>
      </c>
      <c r="E683" s="5">
        <f>IF('ORDENES'!$A661="","",IF('ORDENES'!$X661="","-",'ORDENES'!$X661))</f>
        <v/>
      </c>
      <c r="F683" s="5">
        <f>IF('ORDENES'!$A661="","",IF('ORDENES'!$AA661="","-",'ORDENES'!$AA661))</f>
        <v/>
      </c>
      <c r="G683" s="5">
        <f>IF('ORDENES'!$A661="","",IF('ORDENES'!$Y661="","-",'ORDENES'!$Y661))</f>
        <v/>
      </c>
      <c r="H683" s="5">
        <f>IF('ORDENES'!$A661="","",IF('ORDENES'!$AG661="","-",'ORDENES'!$AG661))</f>
        <v/>
      </c>
      <c r="I683" s="5">
        <f>IF('ORDENES'!$A661="","",IF('ORDENES'!$AT661="","-",'ORDENES'!$AT661))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0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IF('ORDENES'!$A661="","",'ORDENES'!$AF661)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IF('ORDENES'!$A662="","",IF('ORDENES'!$AH662="","-",'ORDENES'!$AH662))</f>
        <v/>
      </c>
      <c r="D684" s="5">
        <f>IF('ORDENES'!$A662="","",IF('ORDENES'!$Z662="","-",'ORDENES'!$Z662))</f>
        <v/>
      </c>
      <c r="E684" s="5">
        <f>IF('ORDENES'!$A662="","",IF('ORDENES'!$X662="","-",'ORDENES'!$X662))</f>
        <v/>
      </c>
      <c r="F684" s="5">
        <f>IF('ORDENES'!$A662="","",IF('ORDENES'!$AA662="","-",'ORDENES'!$AA662))</f>
        <v/>
      </c>
      <c r="G684" s="5">
        <f>IF('ORDENES'!$A662="","",IF('ORDENES'!$Y662="","-",'ORDENES'!$Y662))</f>
        <v/>
      </c>
      <c r="H684" s="5">
        <f>IF('ORDENES'!$A662="","",IF('ORDENES'!$AG662="","-",'ORDENES'!$AG662))</f>
        <v/>
      </c>
      <c r="I684" s="5">
        <f>IF('ORDENES'!$A662="","",IF('ORDENES'!$AT662="","-",'ORDENES'!$AT662))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0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IF('ORDENES'!$A662="","",'ORDENES'!$AF662)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IF('ORDENES'!$A663="","",IF('ORDENES'!$AH663="","-",'ORDENES'!$AH663))</f>
        <v/>
      </c>
      <c r="D685" s="5">
        <f>IF('ORDENES'!$A663="","",IF('ORDENES'!$Z663="","-",'ORDENES'!$Z663))</f>
        <v/>
      </c>
      <c r="E685" s="5">
        <f>IF('ORDENES'!$A663="","",IF('ORDENES'!$X663="","-",'ORDENES'!$X663))</f>
        <v/>
      </c>
      <c r="F685" s="5">
        <f>IF('ORDENES'!$A663="","",IF('ORDENES'!$AA663="","-",'ORDENES'!$AA663))</f>
        <v/>
      </c>
      <c r="G685" s="5">
        <f>IF('ORDENES'!$A663="","",IF('ORDENES'!$Y663="","-",'ORDENES'!$Y663))</f>
        <v/>
      </c>
      <c r="H685" s="5">
        <f>IF('ORDENES'!$A663="","",IF('ORDENES'!$AG663="","-",'ORDENES'!$AG663))</f>
        <v/>
      </c>
      <c r="I685" s="5">
        <f>IF('ORDENES'!$A663="","",IF('ORDENES'!$AT663="","-",'ORDENES'!$AT663))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0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IF('ORDENES'!$A663="","",'ORDENES'!$AF663)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IF('ORDENES'!$A664="","",IF('ORDENES'!$AH664="","-",'ORDENES'!$AH664))</f>
        <v/>
      </c>
      <c r="D686" s="5">
        <f>IF('ORDENES'!$A664="","",IF('ORDENES'!$Z664="","-",'ORDENES'!$Z664))</f>
        <v/>
      </c>
      <c r="E686" s="5">
        <f>IF('ORDENES'!$A664="","",IF('ORDENES'!$X664="","-",'ORDENES'!$X664))</f>
        <v/>
      </c>
      <c r="F686" s="5">
        <f>IF('ORDENES'!$A664="","",IF('ORDENES'!$AA664="","-",'ORDENES'!$AA664))</f>
        <v/>
      </c>
      <c r="G686" s="5">
        <f>IF('ORDENES'!$A664="","",IF('ORDENES'!$Y664="","-",'ORDENES'!$Y664))</f>
        <v/>
      </c>
      <c r="H686" s="5">
        <f>IF('ORDENES'!$A664="","",IF('ORDENES'!$AG664="","-",'ORDENES'!$AG664))</f>
        <v/>
      </c>
      <c r="I686" s="5">
        <f>IF('ORDENES'!$A664="","",IF('ORDENES'!$AT664="","-",'ORDENES'!$AT664))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0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IF('ORDENES'!$A664="","",'ORDENES'!$AF664)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IF('ORDENES'!$A665="","",IF('ORDENES'!$AH665="","-",'ORDENES'!$AH665))</f>
        <v/>
      </c>
      <c r="D687" s="5">
        <f>IF('ORDENES'!$A665="","",IF('ORDENES'!$Z665="","-",'ORDENES'!$Z665))</f>
        <v/>
      </c>
      <c r="E687" s="5">
        <f>IF('ORDENES'!$A665="","",IF('ORDENES'!$X665="","-",'ORDENES'!$X665))</f>
        <v/>
      </c>
      <c r="F687" s="5">
        <f>IF('ORDENES'!$A665="","",IF('ORDENES'!$AA665="","-",'ORDENES'!$AA665))</f>
        <v/>
      </c>
      <c r="G687" s="5">
        <f>IF('ORDENES'!$A665="","",IF('ORDENES'!$Y665="","-",'ORDENES'!$Y665))</f>
        <v/>
      </c>
      <c r="H687" s="5">
        <f>IF('ORDENES'!$A665="","",IF('ORDENES'!$AG665="","-",'ORDENES'!$AG665))</f>
        <v/>
      </c>
      <c r="I687" s="5">
        <f>IF('ORDENES'!$A665="","",IF('ORDENES'!$AT665="","-",'ORDENES'!$AT665))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0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IF('ORDENES'!$A665="","",'ORDENES'!$AF665)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IF('ORDENES'!$A666="","",IF('ORDENES'!$AH666="","-",'ORDENES'!$AH666))</f>
        <v/>
      </c>
      <c r="D688" s="5">
        <f>IF('ORDENES'!$A666="","",IF('ORDENES'!$Z666="","-",'ORDENES'!$Z666))</f>
        <v/>
      </c>
      <c r="E688" s="5">
        <f>IF('ORDENES'!$A666="","",IF('ORDENES'!$X666="","-",'ORDENES'!$X666))</f>
        <v/>
      </c>
      <c r="F688" s="5">
        <f>IF('ORDENES'!$A666="","",IF('ORDENES'!$AA666="","-",'ORDENES'!$AA666))</f>
        <v/>
      </c>
      <c r="G688" s="5">
        <f>IF('ORDENES'!$A666="","",IF('ORDENES'!$Y666="","-",'ORDENES'!$Y666))</f>
        <v/>
      </c>
      <c r="H688" s="5">
        <f>IF('ORDENES'!$A666="","",IF('ORDENES'!$AG666="","-",'ORDENES'!$AG666))</f>
        <v/>
      </c>
      <c r="I688" s="5">
        <f>IF('ORDENES'!$A666="","",IF('ORDENES'!$AT666="","-",'ORDENES'!$AT666))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0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IF('ORDENES'!$A666="","",'ORDENES'!$AF666)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IF('ORDENES'!$A667="","",IF('ORDENES'!$AH667="","-",'ORDENES'!$AH667))</f>
        <v/>
      </c>
      <c r="D689" s="5">
        <f>IF('ORDENES'!$A667="","",IF('ORDENES'!$Z667="","-",'ORDENES'!$Z667))</f>
        <v/>
      </c>
      <c r="E689" s="5">
        <f>IF('ORDENES'!$A667="","",IF('ORDENES'!$X667="","-",'ORDENES'!$X667))</f>
        <v/>
      </c>
      <c r="F689" s="5">
        <f>IF('ORDENES'!$A667="","",IF('ORDENES'!$AA667="","-",'ORDENES'!$AA667))</f>
        <v/>
      </c>
      <c r="G689" s="5">
        <f>IF('ORDENES'!$A667="","",IF('ORDENES'!$Y667="","-",'ORDENES'!$Y667))</f>
        <v/>
      </c>
      <c r="H689" s="5">
        <f>IF('ORDENES'!$A667="","",IF('ORDENES'!$AG667="","-",'ORDENES'!$AG667))</f>
        <v/>
      </c>
      <c r="I689" s="5">
        <f>IF('ORDENES'!$A667="","",IF('ORDENES'!$AT667="","-",'ORDENES'!$AT667))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0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IF('ORDENES'!$A667="","",'ORDENES'!$AF667)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IF('ORDENES'!$A668="","",IF('ORDENES'!$AH668="","-",'ORDENES'!$AH668))</f>
        <v/>
      </c>
      <c r="D690" s="5">
        <f>IF('ORDENES'!$A668="","",IF('ORDENES'!$Z668="","-",'ORDENES'!$Z668))</f>
        <v/>
      </c>
      <c r="E690" s="5">
        <f>IF('ORDENES'!$A668="","",IF('ORDENES'!$X668="","-",'ORDENES'!$X668))</f>
        <v/>
      </c>
      <c r="F690" s="5">
        <f>IF('ORDENES'!$A668="","",IF('ORDENES'!$AA668="","-",'ORDENES'!$AA668))</f>
        <v/>
      </c>
      <c r="G690" s="5">
        <f>IF('ORDENES'!$A668="","",IF('ORDENES'!$Y668="","-",'ORDENES'!$Y668))</f>
        <v/>
      </c>
      <c r="H690" s="5">
        <f>IF('ORDENES'!$A668="","",IF('ORDENES'!$AG668="","-",'ORDENES'!$AG668))</f>
        <v/>
      </c>
      <c r="I690" s="5">
        <f>IF('ORDENES'!$A668="","",IF('ORDENES'!$AT668="","-",'ORDENES'!$AT668))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0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IF('ORDENES'!$A668="","",'ORDENES'!$AF668)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IF('ORDENES'!$A669="","",IF('ORDENES'!$AH669="","-",'ORDENES'!$AH669))</f>
        <v/>
      </c>
      <c r="D691" s="5">
        <f>IF('ORDENES'!$A669="","",IF('ORDENES'!$Z669="","-",'ORDENES'!$Z669))</f>
        <v/>
      </c>
      <c r="E691" s="5">
        <f>IF('ORDENES'!$A669="","",IF('ORDENES'!$X669="","-",'ORDENES'!$X669))</f>
        <v/>
      </c>
      <c r="F691" s="5">
        <f>IF('ORDENES'!$A669="","",IF('ORDENES'!$AA669="","-",'ORDENES'!$AA669))</f>
        <v/>
      </c>
      <c r="G691" s="5">
        <f>IF('ORDENES'!$A669="","",IF('ORDENES'!$Y669="","-",'ORDENES'!$Y669))</f>
        <v/>
      </c>
      <c r="H691" s="5">
        <f>IF('ORDENES'!$A669="","",IF('ORDENES'!$AG669="","-",'ORDENES'!$AG669))</f>
        <v/>
      </c>
      <c r="I691" s="5">
        <f>IF('ORDENES'!$A669="","",IF('ORDENES'!$AT669="","-",'ORDENES'!$AT669))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0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IF('ORDENES'!$A669="","",'ORDENES'!$AF669)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IF('ORDENES'!$A670="","",IF('ORDENES'!$AH670="","-",'ORDENES'!$AH670))</f>
        <v/>
      </c>
      <c r="D692" s="5">
        <f>IF('ORDENES'!$A670="","",IF('ORDENES'!$Z670="","-",'ORDENES'!$Z670))</f>
        <v/>
      </c>
      <c r="E692" s="5">
        <f>IF('ORDENES'!$A670="","",IF('ORDENES'!$X670="","-",'ORDENES'!$X670))</f>
        <v/>
      </c>
      <c r="F692" s="5">
        <f>IF('ORDENES'!$A670="","",IF('ORDENES'!$AA670="","-",'ORDENES'!$AA670))</f>
        <v/>
      </c>
      <c r="G692" s="5">
        <f>IF('ORDENES'!$A670="","",IF('ORDENES'!$Y670="","-",'ORDENES'!$Y670))</f>
        <v/>
      </c>
      <c r="H692" s="5">
        <f>IF('ORDENES'!$A670="","",IF('ORDENES'!$AG670="","-",'ORDENES'!$AG670))</f>
        <v/>
      </c>
      <c r="I692" s="5">
        <f>IF('ORDENES'!$A670="","",IF('ORDENES'!$AT670="","-",'ORDENES'!$AT670))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0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IF('ORDENES'!$A670="","",'ORDENES'!$AF670)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IF('ORDENES'!$A671="","",IF('ORDENES'!$AH671="","-",'ORDENES'!$AH671))</f>
        <v/>
      </c>
      <c r="D693" s="5">
        <f>IF('ORDENES'!$A671="","",IF('ORDENES'!$Z671="","-",'ORDENES'!$Z671))</f>
        <v/>
      </c>
      <c r="E693" s="5">
        <f>IF('ORDENES'!$A671="","",IF('ORDENES'!$X671="","-",'ORDENES'!$X671))</f>
        <v/>
      </c>
      <c r="F693" s="5">
        <f>IF('ORDENES'!$A671="","",IF('ORDENES'!$AA671="","-",'ORDENES'!$AA671))</f>
        <v/>
      </c>
      <c r="G693" s="5">
        <f>IF('ORDENES'!$A671="","",IF('ORDENES'!$Y671="","-",'ORDENES'!$Y671))</f>
        <v/>
      </c>
      <c r="H693" s="5">
        <f>IF('ORDENES'!$A671="","",IF('ORDENES'!$AG671="","-",'ORDENES'!$AG671))</f>
        <v/>
      </c>
      <c r="I693" s="5">
        <f>IF('ORDENES'!$A671="","",IF('ORDENES'!$AT671="","-",'ORDENES'!$AT671))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0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IF('ORDENES'!$A671="","",'ORDENES'!$AF671)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IF('ORDENES'!$A672="","",IF('ORDENES'!$AH672="","-",'ORDENES'!$AH672))</f>
        <v/>
      </c>
      <c r="D694" s="5">
        <f>IF('ORDENES'!$A672="","",IF('ORDENES'!$Z672="","-",'ORDENES'!$Z672))</f>
        <v/>
      </c>
      <c r="E694" s="5">
        <f>IF('ORDENES'!$A672="","",IF('ORDENES'!$X672="","-",'ORDENES'!$X672))</f>
        <v/>
      </c>
      <c r="F694" s="5">
        <f>IF('ORDENES'!$A672="","",IF('ORDENES'!$AA672="","-",'ORDENES'!$AA672))</f>
        <v/>
      </c>
      <c r="G694" s="5">
        <f>IF('ORDENES'!$A672="","",IF('ORDENES'!$Y672="","-",'ORDENES'!$Y672))</f>
        <v/>
      </c>
      <c r="H694" s="5">
        <f>IF('ORDENES'!$A672="","",IF('ORDENES'!$AG672="","-",'ORDENES'!$AG672))</f>
        <v/>
      </c>
      <c r="I694" s="5">
        <f>IF('ORDENES'!$A672="","",IF('ORDENES'!$AT672="","-",'ORDENES'!$AT672))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0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IF('ORDENES'!$A672="","",'ORDENES'!$AF672)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IF('ORDENES'!$A673="","",IF('ORDENES'!$AH673="","-",'ORDENES'!$AH673))</f>
        <v/>
      </c>
      <c r="D695" s="5">
        <f>IF('ORDENES'!$A673="","",IF('ORDENES'!$Z673="","-",'ORDENES'!$Z673))</f>
        <v/>
      </c>
      <c r="E695" s="5">
        <f>IF('ORDENES'!$A673="","",IF('ORDENES'!$X673="","-",'ORDENES'!$X673))</f>
        <v/>
      </c>
      <c r="F695" s="5">
        <f>IF('ORDENES'!$A673="","",IF('ORDENES'!$AA673="","-",'ORDENES'!$AA673))</f>
        <v/>
      </c>
      <c r="G695" s="5">
        <f>IF('ORDENES'!$A673="","",IF('ORDENES'!$Y673="","-",'ORDENES'!$Y673))</f>
        <v/>
      </c>
      <c r="H695" s="5">
        <f>IF('ORDENES'!$A673="","",IF('ORDENES'!$AG673="","-",'ORDENES'!$AG673))</f>
        <v/>
      </c>
      <c r="I695" s="5">
        <f>IF('ORDENES'!$A673="","",IF('ORDENES'!$AT673="","-",'ORDENES'!$AT673))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0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IF('ORDENES'!$A673="","",'ORDENES'!$AF673)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IF('ORDENES'!$A674="","",IF('ORDENES'!$AH674="","-",'ORDENES'!$AH674))</f>
        <v/>
      </c>
      <c r="D696" s="5">
        <f>IF('ORDENES'!$A674="","",IF('ORDENES'!$Z674="","-",'ORDENES'!$Z674))</f>
        <v/>
      </c>
      <c r="E696" s="5">
        <f>IF('ORDENES'!$A674="","",IF('ORDENES'!$X674="","-",'ORDENES'!$X674))</f>
        <v/>
      </c>
      <c r="F696" s="5">
        <f>IF('ORDENES'!$A674="","",IF('ORDENES'!$AA674="","-",'ORDENES'!$AA674))</f>
        <v/>
      </c>
      <c r="G696" s="5">
        <f>IF('ORDENES'!$A674="","",IF('ORDENES'!$Y674="","-",'ORDENES'!$Y674))</f>
        <v/>
      </c>
      <c r="H696" s="5">
        <f>IF('ORDENES'!$A674="","",IF('ORDENES'!$AG674="","-",'ORDENES'!$AG674))</f>
        <v/>
      </c>
      <c r="I696" s="5">
        <f>IF('ORDENES'!$A674="","",IF('ORDENES'!$AT674="","-",'ORDENES'!$AT674))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0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IF('ORDENES'!$A674="","",'ORDENES'!$AF674)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IF('ORDENES'!$A675="","",IF('ORDENES'!$AH675="","-",'ORDENES'!$AH675))</f>
        <v/>
      </c>
      <c r="D697" s="5">
        <f>IF('ORDENES'!$A675="","",IF('ORDENES'!$Z675="","-",'ORDENES'!$Z675))</f>
        <v/>
      </c>
      <c r="E697" s="5">
        <f>IF('ORDENES'!$A675="","",IF('ORDENES'!$X675="","-",'ORDENES'!$X675))</f>
        <v/>
      </c>
      <c r="F697" s="5">
        <f>IF('ORDENES'!$A675="","",IF('ORDENES'!$AA675="","-",'ORDENES'!$AA675))</f>
        <v/>
      </c>
      <c r="G697" s="5">
        <f>IF('ORDENES'!$A675="","",IF('ORDENES'!$Y675="","-",'ORDENES'!$Y675))</f>
        <v/>
      </c>
      <c r="H697" s="5">
        <f>IF('ORDENES'!$A675="","",IF('ORDENES'!$AG675="","-",'ORDENES'!$AG675))</f>
        <v/>
      </c>
      <c r="I697" s="5">
        <f>IF('ORDENES'!$A675="","",IF('ORDENES'!$AT675="","-",'ORDENES'!$AT675))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0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IF('ORDENES'!$A675="","",'ORDENES'!$AF675)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IF('ORDENES'!$A676="","",IF('ORDENES'!$AH676="","-",'ORDENES'!$AH676))</f>
        <v/>
      </c>
      <c r="D698" s="5">
        <f>IF('ORDENES'!$A676="","",IF('ORDENES'!$Z676="","-",'ORDENES'!$Z676))</f>
        <v/>
      </c>
      <c r="E698" s="5">
        <f>IF('ORDENES'!$A676="","",IF('ORDENES'!$X676="","-",'ORDENES'!$X676))</f>
        <v/>
      </c>
      <c r="F698" s="5">
        <f>IF('ORDENES'!$A676="","",IF('ORDENES'!$AA676="","-",'ORDENES'!$AA676))</f>
        <v/>
      </c>
      <c r="G698" s="5">
        <f>IF('ORDENES'!$A676="","",IF('ORDENES'!$Y676="","-",'ORDENES'!$Y676))</f>
        <v/>
      </c>
      <c r="H698" s="5">
        <f>IF('ORDENES'!$A676="","",IF('ORDENES'!$AG676="","-",'ORDENES'!$AG676))</f>
        <v/>
      </c>
      <c r="I698" s="5">
        <f>IF('ORDENES'!$A676="","",IF('ORDENES'!$AT676="","-",'ORDENES'!$AT676))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0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IF('ORDENES'!$A676="","",'ORDENES'!$AF676)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IF('ORDENES'!$A677="","",IF('ORDENES'!$AH677="","-",'ORDENES'!$AH677))</f>
        <v/>
      </c>
      <c r="D699" s="5">
        <f>IF('ORDENES'!$A677="","",IF('ORDENES'!$Z677="","-",'ORDENES'!$Z677))</f>
        <v/>
      </c>
      <c r="E699" s="5">
        <f>IF('ORDENES'!$A677="","",IF('ORDENES'!$X677="","-",'ORDENES'!$X677))</f>
        <v/>
      </c>
      <c r="F699" s="5">
        <f>IF('ORDENES'!$A677="","",IF('ORDENES'!$AA677="","-",'ORDENES'!$AA677))</f>
        <v/>
      </c>
      <c r="G699" s="5">
        <f>IF('ORDENES'!$A677="","",IF('ORDENES'!$Y677="","-",'ORDENES'!$Y677))</f>
        <v/>
      </c>
      <c r="H699" s="5">
        <f>IF('ORDENES'!$A677="","",IF('ORDENES'!$AG677="","-",'ORDENES'!$AG677))</f>
        <v/>
      </c>
      <c r="I699" s="5">
        <f>IF('ORDENES'!$A677="","",IF('ORDENES'!$AT677="","-",'ORDENES'!$AT677))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0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IF('ORDENES'!$A677="","",'ORDENES'!$AF677)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IF('ORDENES'!$A678="","",IF('ORDENES'!$AH678="","-",'ORDENES'!$AH678))</f>
        <v/>
      </c>
      <c r="D700" s="5">
        <f>IF('ORDENES'!$A678="","",IF('ORDENES'!$Z678="","-",'ORDENES'!$Z678))</f>
        <v/>
      </c>
      <c r="E700" s="5">
        <f>IF('ORDENES'!$A678="","",IF('ORDENES'!$X678="","-",'ORDENES'!$X678))</f>
        <v/>
      </c>
      <c r="F700" s="5">
        <f>IF('ORDENES'!$A678="","",IF('ORDENES'!$AA678="","-",'ORDENES'!$AA678))</f>
        <v/>
      </c>
      <c r="G700" s="5">
        <f>IF('ORDENES'!$A678="","",IF('ORDENES'!$Y678="","-",'ORDENES'!$Y678))</f>
        <v/>
      </c>
      <c r="H700" s="5">
        <f>IF('ORDENES'!$A678="","",IF('ORDENES'!$AG678="","-",'ORDENES'!$AG678))</f>
        <v/>
      </c>
      <c r="I700" s="5">
        <f>IF('ORDENES'!$A678="","",IF('ORDENES'!$AT678="","-",'ORDENES'!$AT678))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0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IF('ORDENES'!$A678="","",'ORDENES'!$AF678)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IF('ORDENES'!$A679="","",IF('ORDENES'!$AH679="","-",'ORDENES'!$AH679))</f>
        <v/>
      </c>
      <c r="D701" s="5">
        <f>IF('ORDENES'!$A679="","",IF('ORDENES'!$Z679="","-",'ORDENES'!$Z679))</f>
        <v/>
      </c>
      <c r="E701" s="5">
        <f>IF('ORDENES'!$A679="","",IF('ORDENES'!$X679="","-",'ORDENES'!$X679))</f>
        <v/>
      </c>
      <c r="F701" s="5">
        <f>IF('ORDENES'!$A679="","",IF('ORDENES'!$AA679="","-",'ORDENES'!$AA679))</f>
        <v/>
      </c>
      <c r="G701" s="5">
        <f>IF('ORDENES'!$A679="","",IF('ORDENES'!$Y679="","-",'ORDENES'!$Y679))</f>
        <v/>
      </c>
      <c r="H701" s="5">
        <f>IF('ORDENES'!$A679="","",IF('ORDENES'!$AG679="","-",'ORDENES'!$AG679))</f>
        <v/>
      </c>
      <c r="I701" s="5">
        <f>IF('ORDENES'!$A679="","",IF('ORDENES'!$AT679="","-",'ORDENES'!$AT679))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0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IF('ORDENES'!$A679="","",'ORDENES'!$AF679)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IF('ORDENES'!$A680="","",IF('ORDENES'!$AH680="","-",'ORDENES'!$AH680))</f>
        <v/>
      </c>
      <c r="D702" s="5">
        <f>IF('ORDENES'!$A680="","",IF('ORDENES'!$Z680="","-",'ORDENES'!$Z680))</f>
        <v/>
      </c>
      <c r="E702" s="5">
        <f>IF('ORDENES'!$A680="","",IF('ORDENES'!$X680="","-",'ORDENES'!$X680))</f>
        <v/>
      </c>
      <c r="F702" s="5">
        <f>IF('ORDENES'!$A680="","",IF('ORDENES'!$AA680="","-",'ORDENES'!$AA680))</f>
        <v/>
      </c>
      <c r="G702" s="5">
        <f>IF('ORDENES'!$A680="","",IF('ORDENES'!$Y680="","-",'ORDENES'!$Y680))</f>
        <v/>
      </c>
      <c r="H702" s="5">
        <f>IF('ORDENES'!$A680="","",IF('ORDENES'!$AG680="","-",'ORDENES'!$AG680))</f>
        <v/>
      </c>
      <c r="I702" s="5">
        <f>IF('ORDENES'!$A680="","",IF('ORDENES'!$AT680="","-",'ORDENES'!$AT680))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0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IF('ORDENES'!$A680="","",'ORDENES'!$AF680)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IF('ORDENES'!$A681="","",IF('ORDENES'!$AH681="","-",'ORDENES'!$AH681))</f>
        <v/>
      </c>
      <c r="D703" s="5">
        <f>IF('ORDENES'!$A681="","",IF('ORDENES'!$Z681="","-",'ORDENES'!$Z681))</f>
        <v/>
      </c>
      <c r="E703" s="5">
        <f>IF('ORDENES'!$A681="","",IF('ORDENES'!$X681="","-",'ORDENES'!$X681))</f>
        <v/>
      </c>
      <c r="F703" s="5">
        <f>IF('ORDENES'!$A681="","",IF('ORDENES'!$AA681="","-",'ORDENES'!$AA681))</f>
        <v/>
      </c>
      <c r="G703" s="5">
        <f>IF('ORDENES'!$A681="","",IF('ORDENES'!$Y681="","-",'ORDENES'!$Y681))</f>
        <v/>
      </c>
      <c r="H703" s="5">
        <f>IF('ORDENES'!$A681="","",IF('ORDENES'!$AG681="","-",'ORDENES'!$AG681))</f>
        <v/>
      </c>
      <c r="I703" s="5">
        <f>IF('ORDENES'!$A681="","",IF('ORDENES'!$AT681="","-",'ORDENES'!$AT681))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0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IF('ORDENES'!$A681="","",'ORDENES'!$AF681)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IF('ORDENES'!$A682="","",IF('ORDENES'!$AH682="","-",'ORDENES'!$AH682))</f>
        <v/>
      </c>
      <c r="D704" s="5">
        <f>IF('ORDENES'!$A682="","",IF('ORDENES'!$Z682="","-",'ORDENES'!$Z682))</f>
        <v/>
      </c>
      <c r="E704" s="5">
        <f>IF('ORDENES'!$A682="","",IF('ORDENES'!$X682="","-",'ORDENES'!$X682))</f>
        <v/>
      </c>
      <c r="F704" s="5">
        <f>IF('ORDENES'!$A682="","",IF('ORDENES'!$AA682="","-",'ORDENES'!$AA682))</f>
        <v/>
      </c>
      <c r="G704" s="5">
        <f>IF('ORDENES'!$A682="","",IF('ORDENES'!$Y682="","-",'ORDENES'!$Y682))</f>
        <v/>
      </c>
      <c r="H704" s="5">
        <f>IF('ORDENES'!$A682="","",IF('ORDENES'!$AG682="","-",'ORDENES'!$AG682))</f>
        <v/>
      </c>
      <c r="I704" s="5">
        <f>IF('ORDENES'!$A682="","",IF('ORDENES'!$AT682="","-",'ORDENES'!$AT682))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0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IF('ORDENES'!$A682="","",'ORDENES'!$AF682)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IF('ORDENES'!$A683="","",IF('ORDENES'!$AH683="","-",'ORDENES'!$AH683))</f>
        <v/>
      </c>
      <c r="D705" s="5">
        <f>IF('ORDENES'!$A683="","",IF('ORDENES'!$Z683="","-",'ORDENES'!$Z683))</f>
        <v/>
      </c>
      <c r="E705" s="5">
        <f>IF('ORDENES'!$A683="","",IF('ORDENES'!$X683="","-",'ORDENES'!$X683))</f>
        <v/>
      </c>
      <c r="F705" s="5">
        <f>IF('ORDENES'!$A683="","",IF('ORDENES'!$AA683="","-",'ORDENES'!$AA683))</f>
        <v/>
      </c>
      <c r="G705" s="5">
        <f>IF('ORDENES'!$A683="","",IF('ORDENES'!$Y683="","-",'ORDENES'!$Y683))</f>
        <v/>
      </c>
      <c r="H705" s="5">
        <f>IF('ORDENES'!$A683="","",IF('ORDENES'!$AG683="","-",'ORDENES'!$AG683))</f>
        <v/>
      </c>
      <c r="I705" s="5">
        <f>IF('ORDENES'!$A683="","",IF('ORDENES'!$AT683="","-",'ORDENES'!$AT683))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0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IF('ORDENES'!$A683="","",'ORDENES'!$AF683)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IF('ORDENES'!$A684="","",IF('ORDENES'!$AH684="","-",'ORDENES'!$AH684))</f>
        <v/>
      </c>
      <c r="D706" s="5">
        <f>IF('ORDENES'!$A684="","",IF('ORDENES'!$Z684="","-",'ORDENES'!$Z684))</f>
        <v/>
      </c>
      <c r="E706" s="5">
        <f>IF('ORDENES'!$A684="","",IF('ORDENES'!$X684="","-",'ORDENES'!$X684))</f>
        <v/>
      </c>
      <c r="F706" s="5">
        <f>IF('ORDENES'!$A684="","",IF('ORDENES'!$AA684="","-",'ORDENES'!$AA684))</f>
        <v/>
      </c>
      <c r="G706" s="5">
        <f>IF('ORDENES'!$A684="","",IF('ORDENES'!$Y684="","-",'ORDENES'!$Y684))</f>
        <v/>
      </c>
      <c r="H706" s="5">
        <f>IF('ORDENES'!$A684="","",IF('ORDENES'!$AG684="","-",'ORDENES'!$AG684))</f>
        <v/>
      </c>
      <c r="I706" s="5">
        <f>IF('ORDENES'!$A684="","",IF('ORDENES'!$AT684="","-",'ORDENES'!$AT684))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0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IF('ORDENES'!$A684="","",'ORDENES'!$AF684)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IF('ORDENES'!$A685="","",IF('ORDENES'!$AH685="","-",'ORDENES'!$AH685))</f>
        <v/>
      </c>
      <c r="D707" s="5">
        <f>IF('ORDENES'!$A685="","",IF('ORDENES'!$Z685="","-",'ORDENES'!$Z685))</f>
        <v/>
      </c>
      <c r="E707" s="5">
        <f>IF('ORDENES'!$A685="","",IF('ORDENES'!$X685="","-",'ORDENES'!$X685))</f>
        <v/>
      </c>
      <c r="F707" s="5">
        <f>IF('ORDENES'!$A685="","",IF('ORDENES'!$AA685="","-",'ORDENES'!$AA685))</f>
        <v/>
      </c>
      <c r="G707" s="5">
        <f>IF('ORDENES'!$A685="","",IF('ORDENES'!$Y685="","-",'ORDENES'!$Y685))</f>
        <v/>
      </c>
      <c r="H707" s="5">
        <f>IF('ORDENES'!$A685="","",IF('ORDENES'!$AG685="","-",'ORDENES'!$AG685))</f>
        <v/>
      </c>
      <c r="I707" s="5">
        <f>IF('ORDENES'!$A685="","",IF('ORDENES'!$AT685="","-",'ORDENES'!$AT685))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0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IF('ORDENES'!$A685="","",'ORDENES'!$AF685)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IF('ORDENES'!$A686="","",IF('ORDENES'!$AH686="","-",'ORDENES'!$AH686))</f>
        <v/>
      </c>
      <c r="D708" s="5">
        <f>IF('ORDENES'!$A686="","",IF('ORDENES'!$Z686="","-",'ORDENES'!$Z686))</f>
        <v/>
      </c>
      <c r="E708" s="5">
        <f>IF('ORDENES'!$A686="","",IF('ORDENES'!$X686="","-",'ORDENES'!$X686))</f>
        <v/>
      </c>
      <c r="F708" s="5">
        <f>IF('ORDENES'!$A686="","",IF('ORDENES'!$AA686="","-",'ORDENES'!$AA686))</f>
        <v/>
      </c>
      <c r="G708" s="5">
        <f>IF('ORDENES'!$A686="","",IF('ORDENES'!$Y686="","-",'ORDENES'!$Y686))</f>
        <v/>
      </c>
      <c r="H708" s="5">
        <f>IF('ORDENES'!$A686="","",IF('ORDENES'!$AG686="","-",'ORDENES'!$AG686))</f>
        <v/>
      </c>
      <c r="I708" s="5">
        <f>IF('ORDENES'!$A686="","",IF('ORDENES'!$AT686="","-",'ORDENES'!$AT686))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0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IF('ORDENES'!$A686="","",'ORDENES'!$AF686)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IF('ORDENES'!$A687="","",IF('ORDENES'!$AH687="","-",'ORDENES'!$AH687))</f>
        <v/>
      </c>
      <c r="D709" s="5">
        <f>IF('ORDENES'!$A687="","",IF('ORDENES'!$Z687="","-",'ORDENES'!$Z687))</f>
        <v/>
      </c>
      <c r="E709" s="5">
        <f>IF('ORDENES'!$A687="","",IF('ORDENES'!$X687="","-",'ORDENES'!$X687))</f>
        <v/>
      </c>
      <c r="F709" s="5">
        <f>IF('ORDENES'!$A687="","",IF('ORDENES'!$AA687="","-",'ORDENES'!$AA687))</f>
        <v/>
      </c>
      <c r="G709" s="5">
        <f>IF('ORDENES'!$A687="","",IF('ORDENES'!$Y687="","-",'ORDENES'!$Y687))</f>
        <v/>
      </c>
      <c r="H709" s="5">
        <f>IF('ORDENES'!$A687="","",IF('ORDENES'!$AG687="","-",'ORDENES'!$AG687))</f>
        <v/>
      </c>
      <c r="I709" s="5">
        <f>IF('ORDENES'!$A687="","",IF('ORDENES'!$AT687="","-",'ORDENES'!$AT687))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0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IF('ORDENES'!$A687="","",'ORDENES'!$AF687)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IF('ORDENES'!$A688="","",IF('ORDENES'!$AH688="","-",'ORDENES'!$AH688))</f>
        <v/>
      </c>
      <c r="D710" s="5">
        <f>IF('ORDENES'!$A688="","",IF('ORDENES'!$Z688="","-",'ORDENES'!$Z688))</f>
        <v/>
      </c>
      <c r="E710" s="5">
        <f>IF('ORDENES'!$A688="","",IF('ORDENES'!$X688="","-",'ORDENES'!$X688))</f>
        <v/>
      </c>
      <c r="F710" s="5">
        <f>IF('ORDENES'!$A688="","",IF('ORDENES'!$AA688="","-",'ORDENES'!$AA688))</f>
        <v/>
      </c>
      <c r="G710" s="5">
        <f>IF('ORDENES'!$A688="","",IF('ORDENES'!$Y688="","-",'ORDENES'!$Y688))</f>
        <v/>
      </c>
      <c r="H710" s="5">
        <f>IF('ORDENES'!$A688="","",IF('ORDENES'!$AG688="","-",'ORDENES'!$AG688))</f>
        <v/>
      </c>
      <c r="I710" s="5">
        <f>IF('ORDENES'!$A688="","",IF('ORDENES'!$AT688="","-",'ORDENES'!$AT688))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0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IF('ORDENES'!$A688="","",'ORDENES'!$AF688)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IF('ORDENES'!$A689="","",IF('ORDENES'!$AH689="","-",'ORDENES'!$AH689))</f>
        <v/>
      </c>
      <c r="D711" s="5">
        <f>IF('ORDENES'!$A689="","",IF('ORDENES'!$Z689="","-",'ORDENES'!$Z689))</f>
        <v/>
      </c>
      <c r="E711" s="5">
        <f>IF('ORDENES'!$A689="","",IF('ORDENES'!$X689="","-",'ORDENES'!$X689))</f>
        <v/>
      </c>
      <c r="F711" s="5">
        <f>IF('ORDENES'!$A689="","",IF('ORDENES'!$AA689="","-",'ORDENES'!$AA689))</f>
        <v/>
      </c>
      <c r="G711" s="5">
        <f>IF('ORDENES'!$A689="","",IF('ORDENES'!$Y689="","-",'ORDENES'!$Y689))</f>
        <v/>
      </c>
      <c r="H711" s="5">
        <f>IF('ORDENES'!$A689="","",IF('ORDENES'!$AG689="","-",'ORDENES'!$AG689))</f>
        <v/>
      </c>
      <c r="I711" s="5">
        <f>IF('ORDENES'!$A689="","",IF('ORDENES'!$AT689="","-",'ORDENES'!$AT689))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0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IF('ORDENES'!$A689="","",'ORDENES'!$AF689)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IF('ORDENES'!$A690="","",IF('ORDENES'!$AH690="","-",'ORDENES'!$AH690))</f>
        <v/>
      </c>
      <c r="D712" s="5">
        <f>IF('ORDENES'!$A690="","",IF('ORDENES'!$Z690="","-",'ORDENES'!$Z690))</f>
        <v/>
      </c>
      <c r="E712" s="5">
        <f>IF('ORDENES'!$A690="","",IF('ORDENES'!$X690="","-",'ORDENES'!$X690))</f>
        <v/>
      </c>
      <c r="F712" s="5">
        <f>IF('ORDENES'!$A690="","",IF('ORDENES'!$AA690="","-",'ORDENES'!$AA690))</f>
        <v/>
      </c>
      <c r="G712" s="5">
        <f>IF('ORDENES'!$A690="","",IF('ORDENES'!$Y690="","-",'ORDENES'!$Y690))</f>
        <v/>
      </c>
      <c r="H712" s="5">
        <f>IF('ORDENES'!$A690="","",IF('ORDENES'!$AG690="","-",'ORDENES'!$AG690))</f>
        <v/>
      </c>
      <c r="I712" s="5">
        <f>IF('ORDENES'!$A690="","",IF('ORDENES'!$AT690="","-",'ORDENES'!$AT690))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0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IF('ORDENES'!$A690="","",'ORDENES'!$AF690)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IF('ORDENES'!$A691="","",IF('ORDENES'!$AH691="","-",'ORDENES'!$AH691))</f>
        <v/>
      </c>
      <c r="D713" s="5">
        <f>IF('ORDENES'!$A691="","",IF('ORDENES'!$Z691="","-",'ORDENES'!$Z691))</f>
        <v/>
      </c>
      <c r="E713" s="5">
        <f>IF('ORDENES'!$A691="","",IF('ORDENES'!$X691="","-",'ORDENES'!$X691))</f>
        <v/>
      </c>
      <c r="F713" s="5">
        <f>IF('ORDENES'!$A691="","",IF('ORDENES'!$AA691="","-",'ORDENES'!$AA691))</f>
        <v/>
      </c>
      <c r="G713" s="5">
        <f>IF('ORDENES'!$A691="","",IF('ORDENES'!$Y691="","-",'ORDENES'!$Y691))</f>
        <v/>
      </c>
      <c r="H713" s="5">
        <f>IF('ORDENES'!$A691="","",IF('ORDENES'!$AG691="","-",'ORDENES'!$AG691))</f>
        <v/>
      </c>
      <c r="I713" s="5">
        <f>IF('ORDENES'!$A691="","",IF('ORDENES'!$AT691="","-",'ORDENES'!$AT691))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0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IF('ORDENES'!$A691="","",'ORDENES'!$AF691)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IF('ORDENES'!$A692="","",IF('ORDENES'!$AH692="","-",'ORDENES'!$AH692))</f>
        <v/>
      </c>
      <c r="D714" s="5">
        <f>IF('ORDENES'!$A692="","",IF('ORDENES'!$Z692="","-",'ORDENES'!$Z692))</f>
        <v/>
      </c>
      <c r="E714" s="5">
        <f>IF('ORDENES'!$A692="","",IF('ORDENES'!$X692="","-",'ORDENES'!$X692))</f>
        <v/>
      </c>
      <c r="F714" s="5">
        <f>IF('ORDENES'!$A692="","",IF('ORDENES'!$AA692="","-",'ORDENES'!$AA692))</f>
        <v/>
      </c>
      <c r="G714" s="5">
        <f>IF('ORDENES'!$A692="","",IF('ORDENES'!$Y692="","-",'ORDENES'!$Y692))</f>
        <v/>
      </c>
      <c r="H714" s="5">
        <f>IF('ORDENES'!$A692="","",IF('ORDENES'!$AG692="","-",'ORDENES'!$AG692))</f>
        <v/>
      </c>
      <c r="I714" s="5">
        <f>IF('ORDENES'!$A692="","",IF('ORDENES'!$AT692="","-",'ORDENES'!$AT692))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0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IF('ORDENES'!$A692="","",'ORDENES'!$AF692)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IF('ORDENES'!$A693="","",IF('ORDENES'!$AH693="","-",'ORDENES'!$AH693))</f>
        <v/>
      </c>
      <c r="D715" s="5">
        <f>IF('ORDENES'!$A693="","",IF('ORDENES'!$Z693="","-",'ORDENES'!$Z693))</f>
        <v/>
      </c>
      <c r="E715" s="5">
        <f>IF('ORDENES'!$A693="","",IF('ORDENES'!$X693="","-",'ORDENES'!$X693))</f>
        <v/>
      </c>
      <c r="F715" s="5">
        <f>IF('ORDENES'!$A693="","",IF('ORDENES'!$AA693="","-",'ORDENES'!$AA693))</f>
        <v/>
      </c>
      <c r="G715" s="5">
        <f>IF('ORDENES'!$A693="","",IF('ORDENES'!$Y693="","-",'ORDENES'!$Y693))</f>
        <v/>
      </c>
      <c r="H715" s="5">
        <f>IF('ORDENES'!$A693="","",IF('ORDENES'!$AG693="","-",'ORDENES'!$AG693))</f>
        <v/>
      </c>
      <c r="I715" s="5">
        <f>IF('ORDENES'!$A693="","",IF('ORDENES'!$AT693="","-",'ORDENES'!$AT693))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0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IF('ORDENES'!$A693="","",'ORDENES'!$AF693)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IF('ORDENES'!$A694="","",IF('ORDENES'!$AH694="","-",'ORDENES'!$AH694))</f>
        <v/>
      </c>
      <c r="D716" s="5">
        <f>IF('ORDENES'!$A694="","",IF('ORDENES'!$Z694="","-",'ORDENES'!$Z694))</f>
        <v/>
      </c>
      <c r="E716" s="5">
        <f>IF('ORDENES'!$A694="","",IF('ORDENES'!$X694="","-",'ORDENES'!$X694))</f>
        <v/>
      </c>
      <c r="F716" s="5">
        <f>IF('ORDENES'!$A694="","",IF('ORDENES'!$AA694="","-",'ORDENES'!$AA694))</f>
        <v/>
      </c>
      <c r="G716" s="5">
        <f>IF('ORDENES'!$A694="","",IF('ORDENES'!$Y694="","-",'ORDENES'!$Y694))</f>
        <v/>
      </c>
      <c r="H716" s="5">
        <f>IF('ORDENES'!$A694="","",IF('ORDENES'!$AG694="","-",'ORDENES'!$AG694))</f>
        <v/>
      </c>
      <c r="I716" s="5">
        <f>IF('ORDENES'!$A694="","",IF('ORDENES'!$AT694="","-",'ORDENES'!$AT694))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0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IF('ORDENES'!$A694="","",'ORDENES'!$AF694)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IF('ORDENES'!$A695="","",IF('ORDENES'!$AH695="","-",'ORDENES'!$AH695))</f>
        <v/>
      </c>
      <c r="D717" s="5">
        <f>IF('ORDENES'!$A695="","",IF('ORDENES'!$Z695="","-",'ORDENES'!$Z695))</f>
        <v/>
      </c>
      <c r="E717" s="5">
        <f>IF('ORDENES'!$A695="","",IF('ORDENES'!$X695="","-",'ORDENES'!$X695))</f>
        <v/>
      </c>
      <c r="F717" s="5">
        <f>IF('ORDENES'!$A695="","",IF('ORDENES'!$AA695="","-",'ORDENES'!$AA695))</f>
        <v/>
      </c>
      <c r="G717" s="5">
        <f>IF('ORDENES'!$A695="","",IF('ORDENES'!$Y695="","-",'ORDENES'!$Y695))</f>
        <v/>
      </c>
      <c r="H717" s="5">
        <f>IF('ORDENES'!$A695="","",IF('ORDENES'!$AG695="","-",'ORDENES'!$AG695))</f>
        <v/>
      </c>
      <c r="I717" s="5">
        <f>IF('ORDENES'!$A695="","",IF('ORDENES'!$AT695="","-",'ORDENES'!$AT695))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0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IF('ORDENES'!$A695="","",'ORDENES'!$AF695)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IF('ORDENES'!$A696="","",IF('ORDENES'!$AH696="","-",'ORDENES'!$AH696))</f>
        <v/>
      </c>
      <c r="D718" s="5">
        <f>IF('ORDENES'!$A696="","",IF('ORDENES'!$Z696="","-",'ORDENES'!$Z696))</f>
        <v/>
      </c>
      <c r="E718" s="5">
        <f>IF('ORDENES'!$A696="","",IF('ORDENES'!$X696="","-",'ORDENES'!$X696))</f>
        <v/>
      </c>
      <c r="F718" s="5">
        <f>IF('ORDENES'!$A696="","",IF('ORDENES'!$AA696="","-",'ORDENES'!$AA696))</f>
        <v/>
      </c>
      <c r="G718" s="5">
        <f>IF('ORDENES'!$A696="","",IF('ORDENES'!$Y696="","-",'ORDENES'!$Y696))</f>
        <v/>
      </c>
      <c r="H718" s="5">
        <f>IF('ORDENES'!$A696="","",IF('ORDENES'!$AG696="","-",'ORDENES'!$AG696))</f>
        <v/>
      </c>
      <c r="I718" s="5">
        <f>IF('ORDENES'!$A696="","",IF('ORDENES'!$AT696="","-",'ORDENES'!$AT696))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0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IF('ORDENES'!$A696="","",'ORDENES'!$AF696)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IF('ORDENES'!$A697="","",IF('ORDENES'!$AH697="","-",'ORDENES'!$AH697))</f>
        <v/>
      </c>
      <c r="D719" s="5">
        <f>IF('ORDENES'!$A697="","",IF('ORDENES'!$Z697="","-",'ORDENES'!$Z697))</f>
        <v/>
      </c>
      <c r="E719" s="5">
        <f>IF('ORDENES'!$A697="","",IF('ORDENES'!$X697="","-",'ORDENES'!$X697))</f>
        <v/>
      </c>
      <c r="F719" s="5">
        <f>IF('ORDENES'!$A697="","",IF('ORDENES'!$AA697="","-",'ORDENES'!$AA697))</f>
        <v/>
      </c>
      <c r="G719" s="5">
        <f>IF('ORDENES'!$A697="","",IF('ORDENES'!$Y697="","-",'ORDENES'!$Y697))</f>
        <v/>
      </c>
      <c r="H719" s="5">
        <f>IF('ORDENES'!$A697="","",IF('ORDENES'!$AG697="","-",'ORDENES'!$AG697))</f>
        <v/>
      </c>
      <c r="I719" s="5">
        <f>IF('ORDENES'!$A697="","",IF('ORDENES'!$AT697="","-",'ORDENES'!$AT697))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0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IF('ORDENES'!$A697="","",'ORDENES'!$AF697)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IF('ORDENES'!$A698="","",IF('ORDENES'!$AH698="","-",'ORDENES'!$AH698))</f>
        <v/>
      </c>
      <c r="D720" s="5">
        <f>IF('ORDENES'!$A698="","",IF('ORDENES'!$Z698="","-",'ORDENES'!$Z698))</f>
        <v/>
      </c>
      <c r="E720" s="5">
        <f>IF('ORDENES'!$A698="","",IF('ORDENES'!$X698="","-",'ORDENES'!$X698))</f>
        <v/>
      </c>
      <c r="F720" s="5">
        <f>IF('ORDENES'!$A698="","",IF('ORDENES'!$AA698="","-",'ORDENES'!$AA698))</f>
        <v/>
      </c>
      <c r="G720" s="5">
        <f>IF('ORDENES'!$A698="","",IF('ORDENES'!$Y698="","-",'ORDENES'!$Y698))</f>
        <v/>
      </c>
      <c r="H720" s="5">
        <f>IF('ORDENES'!$A698="","",IF('ORDENES'!$AG698="","-",'ORDENES'!$AG698))</f>
        <v/>
      </c>
      <c r="I720" s="5">
        <f>IF('ORDENES'!$A698="","",IF('ORDENES'!$AT698="","-",'ORDENES'!$AT698))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0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IF('ORDENES'!$A698="","",'ORDENES'!$AF698)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IF('ORDENES'!$A699="","",IF('ORDENES'!$AH699="","-",'ORDENES'!$AH699))</f>
        <v/>
      </c>
      <c r="D721" s="5">
        <f>IF('ORDENES'!$A699="","",IF('ORDENES'!$Z699="","-",'ORDENES'!$Z699))</f>
        <v/>
      </c>
      <c r="E721" s="5">
        <f>IF('ORDENES'!$A699="","",IF('ORDENES'!$X699="","-",'ORDENES'!$X699))</f>
        <v/>
      </c>
      <c r="F721" s="5">
        <f>IF('ORDENES'!$A699="","",IF('ORDENES'!$AA699="","-",'ORDENES'!$AA699))</f>
        <v/>
      </c>
      <c r="G721" s="5">
        <f>IF('ORDENES'!$A699="","",IF('ORDENES'!$Y699="","-",'ORDENES'!$Y699))</f>
        <v/>
      </c>
      <c r="H721" s="5">
        <f>IF('ORDENES'!$A699="","",IF('ORDENES'!$AG699="","-",'ORDENES'!$AG699))</f>
        <v/>
      </c>
      <c r="I721" s="5">
        <f>IF('ORDENES'!$A699="","",IF('ORDENES'!$AT699="","-",'ORDENES'!$AT699))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0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IF('ORDENES'!$A699="","",'ORDENES'!$AF699)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IF('ORDENES'!$A700="","",IF('ORDENES'!$AH700="","-",'ORDENES'!$AH700))</f>
        <v/>
      </c>
      <c r="D722" s="5">
        <f>IF('ORDENES'!$A700="","",IF('ORDENES'!$Z700="","-",'ORDENES'!$Z700))</f>
        <v/>
      </c>
      <c r="E722" s="5">
        <f>IF('ORDENES'!$A700="","",IF('ORDENES'!$X700="","-",'ORDENES'!$X700))</f>
        <v/>
      </c>
      <c r="F722" s="5">
        <f>IF('ORDENES'!$A700="","",IF('ORDENES'!$AA700="","-",'ORDENES'!$AA700))</f>
        <v/>
      </c>
      <c r="G722" s="5">
        <f>IF('ORDENES'!$A700="","",IF('ORDENES'!$Y700="","-",'ORDENES'!$Y700))</f>
        <v/>
      </c>
      <c r="H722" s="5">
        <f>IF('ORDENES'!$A700="","",IF('ORDENES'!$AG700="","-",'ORDENES'!$AG700))</f>
        <v/>
      </c>
      <c r="I722" s="5">
        <f>IF('ORDENES'!$A700="","",IF('ORDENES'!$AT700="","-",'ORDENES'!$AT700))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0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IF('ORDENES'!$A700="","",'ORDENES'!$AF700)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IF('ORDENES'!$A701="","",IF('ORDENES'!$AH701="","-",'ORDENES'!$AH701))</f>
        <v/>
      </c>
      <c r="D723" s="5">
        <f>IF('ORDENES'!$A701="","",IF('ORDENES'!$Z701="","-",'ORDENES'!$Z701))</f>
        <v/>
      </c>
      <c r="E723" s="5">
        <f>IF('ORDENES'!$A701="","",IF('ORDENES'!$X701="","-",'ORDENES'!$X701))</f>
        <v/>
      </c>
      <c r="F723" s="5">
        <f>IF('ORDENES'!$A701="","",IF('ORDENES'!$AA701="","-",'ORDENES'!$AA701))</f>
        <v/>
      </c>
      <c r="G723" s="5">
        <f>IF('ORDENES'!$A701="","",IF('ORDENES'!$Y701="","-",'ORDENES'!$Y701))</f>
        <v/>
      </c>
      <c r="H723" s="5">
        <f>IF('ORDENES'!$A701="","",IF('ORDENES'!$AG701="","-",'ORDENES'!$AG701))</f>
        <v/>
      </c>
      <c r="I723" s="5">
        <f>IF('ORDENES'!$A701="","",IF('ORDENES'!$AT701="","-",'ORDENES'!$AT701))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0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IF('ORDENES'!$A701="","",'ORDENES'!$AF701)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IF('ORDENES'!$A702="","",IF('ORDENES'!$AH702="","-",'ORDENES'!$AH702))</f>
        <v/>
      </c>
      <c r="D724" s="5">
        <f>IF('ORDENES'!$A702="","",IF('ORDENES'!$Z702="","-",'ORDENES'!$Z702))</f>
        <v/>
      </c>
      <c r="E724" s="5">
        <f>IF('ORDENES'!$A702="","",IF('ORDENES'!$X702="","-",'ORDENES'!$X702))</f>
        <v/>
      </c>
      <c r="F724" s="5">
        <f>IF('ORDENES'!$A702="","",IF('ORDENES'!$AA702="","-",'ORDENES'!$AA702))</f>
        <v/>
      </c>
      <c r="G724" s="5">
        <f>IF('ORDENES'!$A702="","",IF('ORDENES'!$Y702="","-",'ORDENES'!$Y702))</f>
        <v/>
      </c>
      <c r="H724" s="5">
        <f>IF('ORDENES'!$A702="","",IF('ORDENES'!$AG702="","-",'ORDENES'!$AG702))</f>
        <v/>
      </c>
      <c r="I724" s="5">
        <f>IF('ORDENES'!$A702="","",IF('ORDENES'!$AT702="","-",'ORDENES'!$AT702))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0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IF('ORDENES'!$A702="","",'ORDENES'!$AF702)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IF('ORDENES'!$A703="","",IF('ORDENES'!$AH703="","-",'ORDENES'!$AH703))</f>
        <v/>
      </c>
      <c r="D725" s="5">
        <f>IF('ORDENES'!$A703="","",IF('ORDENES'!$Z703="","-",'ORDENES'!$Z703))</f>
        <v/>
      </c>
      <c r="E725" s="5">
        <f>IF('ORDENES'!$A703="","",IF('ORDENES'!$X703="","-",'ORDENES'!$X703))</f>
        <v/>
      </c>
      <c r="F725" s="5">
        <f>IF('ORDENES'!$A703="","",IF('ORDENES'!$AA703="","-",'ORDENES'!$AA703))</f>
        <v/>
      </c>
      <c r="G725" s="5">
        <f>IF('ORDENES'!$A703="","",IF('ORDENES'!$Y703="","-",'ORDENES'!$Y703))</f>
        <v/>
      </c>
      <c r="H725" s="5">
        <f>IF('ORDENES'!$A703="","",IF('ORDENES'!$AG703="","-",'ORDENES'!$AG703))</f>
        <v/>
      </c>
      <c r="I725" s="5">
        <f>IF('ORDENES'!$A703="","",IF('ORDENES'!$AT703="","-",'ORDENES'!$AT703))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0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IF('ORDENES'!$A703="","",'ORDENES'!$AF703)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IF('ORDENES'!$A704="","",IF('ORDENES'!$AH704="","-",'ORDENES'!$AH704))</f>
        <v/>
      </c>
      <c r="D726" s="5">
        <f>IF('ORDENES'!$A704="","",IF('ORDENES'!$Z704="","-",'ORDENES'!$Z704))</f>
        <v/>
      </c>
      <c r="E726" s="5">
        <f>IF('ORDENES'!$A704="","",IF('ORDENES'!$X704="","-",'ORDENES'!$X704))</f>
        <v/>
      </c>
      <c r="F726" s="5">
        <f>IF('ORDENES'!$A704="","",IF('ORDENES'!$AA704="","-",'ORDENES'!$AA704))</f>
        <v/>
      </c>
      <c r="G726" s="5">
        <f>IF('ORDENES'!$A704="","",IF('ORDENES'!$Y704="","-",'ORDENES'!$Y704))</f>
        <v/>
      </c>
      <c r="H726" s="5">
        <f>IF('ORDENES'!$A704="","",IF('ORDENES'!$AG704="","-",'ORDENES'!$AG704))</f>
        <v/>
      </c>
      <c r="I726" s="5">
        <f>IF('ORDENES'!$A704="","",IF('ORDENES'!$AT704="","-",'ORDENES'!$AT704))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0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IF('ORDENES'!$A704="","",'ORDENES'!$AF704)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IF('ORDENES'!$A705="","",IF('ORDENES'!$AH705="","-",'ORDENES'!$AH705))</f>
        <v/>
      </c>
      <c r="D727" s="5">
        <f>IF('ORDENES'!$A705="","",IF('ORDENES'!$Z705="","-",'ORDENES'!$Z705))</f>
        <v/>
      </c>
      <c r="E727" s="5">
        <f>IF('ORDENES'!$A705="","",IF('ORDENES'!$X705="","-",'ORDENES'!$X705))</f>
        <v/>
      </c>
      <c r="F727" s="5">
        <f>IF('ORDENES'!$A705="","",IF('ORDENES'!$AA705="","-",'ORDENES'!$AA705))</f>
        <v/>
      </c>
      <c r="G727" s="5">
        <f>IF('ORDENES'!$A705="","",IF('ORDENES'!$Y705="","-",'ORDENES'!$Y705))</f>
        <v/>
      </c>
      <c r="H727" s="5">
        <f>IF('ORDENES'!$A705="","",IF('ORDENES'!$AG705="","-",'ORDENES'!$AG705))</f>
        <v/>
      </c>
      <c r="I727" s="5">
        <f>IF('ORDENES'!$A705="","",IF('ORDENES'!$AT705="","-",'ORDENES'!$AT705))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0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IF('ORDENES'!$A705="","",'ORDENES'!$AF705)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IF('ORDENES'!$A706="","",IF('ORDENES'!$AH706="","-",'ORDENES'!$AH706))</f>
        <v/>
      </c>
      <c r="D728" s="5">
        <f>IF('ORDENES'!$A706="","",IF('ORDENES'!$Z706="","-",'ORDENES'!$Z706))</f>
        <v/>
      </c>
      <c r="E728" s="5">
        <f>IF('ORDENES'!$A706="","",IF('ORDENES'!$X706="","-",'ORDENES'!$X706))</f>
        <v/>
      </c>
      <c r="F728" s="5">
        <f>IF('ORDENES'!$A706="","",IF('ORDENES'!$AA706="","-",'ORDENES'!$AA706))</f>
        <v/>
      </c>
      <c r="G728" s="5">
        <f>IF('ORDENES'!$A706="","",IF('ORDENES'!$Y706="","-",'ORDENES'!$Y706))</f>
        <v/>
      </c>
      <c r="H728" s="5">
        <f>IF('ORDENES'!$A706="","",IF('ORDENES'!$AG706="","-",'ORDENES'!$AG706))</f>
        <v/>
      </c>
      <c r="I728" s="5">
        <f>IF('ORDENES'!$A706="","",IF('ORDENES'!$AT706="","-",'ORDENES'!$AT706))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0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IF('ORDENES'!$A706="","",'ORDENES'!$AF706)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IF('ORDENES'!$A707="","",IF('ORDENES'!$AH707="","-",'ORDENES'!$AH707))</f>
        <v/>
      </c>
      <c r="D729" s="5">
        <f>IF('ORDENES'!$A707="","",IF('ORDENES'!$Z707="","-",'ORDENES'!$Z707))</f>
        <v/>
      </c>
      <c r="E729" s="5">
        <f>IF('ORDENES'!$A707="","",IF('ORDENES'!$X707="","-",'ORDENES'!$X707))</f>
        <v/>
      </c>
      <c r="F729" s="5">
        <f>IF('ORDENES'!$A707="","",IF('ORDENES'!$AA707="","-",'ORDENES'!$AA707))</f>
        <v/>
      </c>
      <c r="G729" s="5">
        <f>IF('ORDENES'!$A707="","",IF('ORDENES'!$Y707="","-",'ORDENES'!$Y707))</f>
        <v/>
      </c>
      <c r="H729" s="5">
        <f>IF('ORDENES'!$A707="","",IF('ORDENES'!$AG707="","-",'ORDENES'!$AG707))</f>
        <v/>
      </c>
      <c r="I729" s="5">
        <f>IF('ORDENES'!$A707="","",IF('ORDENES'!$AT707="","-",'ORDENES'!$AT707))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0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IF('ORDENES'!$A707="","",'ORDENES'!$AF707)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IF('ORDENES'!$A708="","",IF('ORDENES'!$AH708="","-",'ORDENES'!$AH708))</f>
        <v/>
      </c>
      <c r="D730" s="5">
        <f>IF('ORDENES'!$A708="","",IF('ORDENES'!$Z708="","-",'ORDENES'!$Z708))</f>
        <v/>
      </c>
      <c r="E730" s="5">
        <f>IF('ORDENES'!$A708="","",IF('ORDENES'!$X708="","-",'ORDENES'!$X708))</f>
        <v/>
      </c>
      <c r="F730" s="5">
        <f>IF('ORDENES'!$A708="","",IF('ORDENES'!$AA708="","-",'ORDENES'!$AA708))</f>
        <v/>
      </c>
      <c r="G730" s="5">
        <f>IF('ORDENES'!$A708="","",IF('ORDENES'!$Y708="","-",'ORDENES'!$Y708))</f>
        <v/>
      </c>
      <c r="H730" s="5">
        <f>IF('ORDENES'!$A708="","",IF('ORDENES'!$AG708="","-",'ORDENES'!$AG708))</f>
        <v/>
      </c>
      <c r="I730" s="5">
        <f>IF('ORDENES'!$A708="","",IF('ORDENES'!$AT708="","-",'ORDENES'!$AT708))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0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IF('ORDENES'!$A708="","",'ORDENES'!$AF708)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IF('ORDENES'!$A709="","",IF('ORDENES'!$AH709="","-",'ORDENES'!$AH709))</f>
        <v/>
      </c>
      <c r="D731" s="5">
        <f>IF('ORDENES'!$A709="","",IF('ORDENES'!$Z709="","-",'ORDENES'!$Z709))</f>
        <v/>
      </c>
      <c r="E731" s="5">
        <f>IF('ORDENES'!$A709="","",IF('ORDENES'!$X709="","-",'ORDENES'!$X709))</f>
        <v/>
      </c>
      <c r="F731" s="5">
        <f>IF('ORDENES'!$A709="","",IF('ORDENES'!$AA709="","-",'ORDENES'!$AA709))</f>
        <v/>
      </c>
      <c r="G731" s="5">
        <f>IF('ORDENES'!$A709="","",IF('ORDENES'!$Y709="","-",'ORDENES'!$Y709))</f>
        <v/>
      </c>
      <c r="H731" s="5">
        <f>IF('ORDENES'!$A709="","",IF('ORDENES'!$AG709="","-",'ORDENES'!$AG709))</f>
        <v/>
      </c>
      <c r="I731" s="5">
        <f>IF('ORDENES'!$A709="","",IF('ORDENES'!$AT709="","-",'ORDENES'!$AT709))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0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IF('ORDENES'!$A709="","",'ORDENES'!$AF709)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IF('ORDENES'!$A710="","",IF('ORDENES'!$AH710="","-",'ORDENES'!$AH710))</f>
        <v/>
      </c>
      <c r="D732" s="5">
        <f>IF('ORDENES'!$A710="","",IF('ORDENES'!$Z710="","-",'ORDENES'!$Z710))</f>
        <v/>
      </c>
      <c r="E732" s="5">
        <f>IF('ORDENES'!$A710="","",IF('ORDENES'!$X710="","-",'ORDENES'!$X710))</f>
        <v/>
      </c>
      <c r="F732" s="5">
        <f>IF('ORDENES'!$A710="","",IF('ORDENES'!$AA710="","-",'ORDENES'!$AA710))</f>
        <v/>
      </c>
      <c r="G732" s="5">
        <f>IF('ORDENES'!$A710="","",IF('ORDENES'!$Y710="","-",'ORDENES'!$Y710))</f>
        <v/>
      </c>
      <c r="H732" s="5">
        <f>IF('ORDENES'!$A710="","",IF('ORDENES'!$AG710="","-",'ORDENES'!$AG710))</f>
        <v/>
      </c>
      <c r="I732" s="5">
        <f>IF('ORDENES'!$A710="","",IF('ORDENES'!$AT710="","-",'ORDENES'!$AT710))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0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IF('ORDENES'!$A710="","",'ORDENES'!$AF710)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IF('ORDENES'!$A711="","",IF('ORDENES'!$AH711="","-",'ORDENES'!$AH711))</f>
        <v/>
      </c>
      <c r="D733" s="5">
        <f>IF('ORDENES'!$A711="","",IF('ORDENES'!$Z711="","-",'ORDENES'!$Z711))</f>
        <v/>
      </c>
      <c r="E733" s="5">
        <f>IF('ORDENES'!$A711="","",IF('ORDENES'!$X711="","-",'ORDENES'!$X711))</f>
        <v/>
      </c>
      <c r="F733" s="5">
        <f>IF('ORDENES'!$A711="","",IF('ORDENES'!$AA711="","-",'ORDENES'!$AA711))</f>
        <v/>
      </c>
      <c r="G733" s="5">
        <f>IF('ORDENES'!$A711="","",IF('ORDENES'!$Y711="","-",'ORDENES'!$Y711))</f>
        <v/>
      </c>
      <c r="H733" s="5">
        <f>IF('ORDENES'!$A711="","",IF('ORDENES'!$AG711="","-",'ORDENES'!$AG711))</f>
        <v/>
      </c>
      <c r="I733" s="5">
        <f>IF('ORDENES'!$A711="","",IF('ORDENES'!$AT711="","-",'ORDENES'!$AT711))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0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IF('ORDENES'!$A711="","",'ORDENES'!$AF711)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IF('ORDENES'!$A712="","",IF('ORDENES'!$AH712="","-",'ORDENES'!$AH712))</f>
        <v/>
      </c>
      <c r="D734" s="5">
        <f>IF('ORDENES'!$A712="","",IF('ORDENES'!$Z712="","-",'ORDENES'!$Z712))</f>
        <v/>
      </c>
      <c r="E734" s="5">
        <f>IF('ORDENES'!$A712="","",IF('ORDENES'!$X712="","-",'ORDENES'!$X712))</f>
        <v/>
      </c>
      <c r="F734" s="5">
        <f>IF('ORDENES'!$A712="","",IF('ORDENES'!$AA712="","-",'ORDENES'!$AA712))</f>
        <v/>
      </c>
      <c r="G734" s="5">
        <f>IF('ORDENES'!$A712="","",IF('ORDENES'!$Y712="","-",'ORDENES'!$Y712))</f>
        <v/>
      </c>
      <c r="H734" s="5">
        <f>IF('ORDENES'!$A712="","",IF('ORDENES'!$AG712="","-",'ORDENES'!$AG712))</f>
        <v/>
      </c>
      <c r="I734" s="5">
        <f>IF('ORDENES'!$A712="","",IF('ORDENES'!$AT712="","-",'ORDENES'!$AT712))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0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IF('ORDENES'!$A712="","",'ORDENES'!$AF712)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IF('ORDENES'!$A713="","",IF('ORDENES'!$AH713="","-",'ORDENES'!$AH713))</f>
        <v/>
      </c>
      <c r="D735" s="5">
        <f>IF('ORDENES'!$A713="","",IF('ORDENES'!$Z713="","-",'ORDENES'!$Z713))</f>
        <v/>
      </c>
      <c r="E735" s="5">
        <f>IF('ORDENES'!$A713="","",IF('ORDENES'!$X713="","-",'ORDENES'!$X713))</f>
        <v/>
      </c>
      <c r="F735" s="5">
        <f>IF('ORDENES'!$A713="","",IF('ORDENES'!$AA713="","-",'ORDENES'!$AA713))</f>
        <v/>
      </c>
      <c r="G735" s="5">
        <f>IF('ORDENES'!$A713="","",IF('ORDENES'!$Y713="","-",'ORDENES'!$Y713))</f>
        <v/>
      </c>
      <c r="H735" s="5">
        <f>IF('ORDENES'!$A713="","",IF('ORDENES'!$AG713="","-",'ORDENES'!$AG713))</f>
        <v/>
      </c>
      <c r="I735" s="5">
        <f>IF('ORDENES'!$A713="","",IF('ORDENES'!$AT713="","-",'ORDENES'!$AT713))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0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IF('ORDENES'!$A713="","",'ORDENES'!$AF713)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IF('ORDENES'!$A714="","",IF('ORDENES'!$AH714="","-",'ORDENES'!$AH714))</f>
        <v/>
      </c>
      <c r="D736" s="5">
        <f>IF('ORDENES'!$A714="","",IF('ORDENES'!$Z714="","-",'ORDENES'!$Z714))</f>
        <v/>
      </c>
      <c r="E736" s="5">
        <f>IF('ORDENES'!$A714="","",IF('ORDENES'!$X714="","-",'ORDENES'!$X714))</f>
        <v/>
      </c>
      <c r="F736" s="5">
        <f>IF('ORDENES'!$A714="","",IF('ORDENES'!$AA714="","-",'ORDENES'!$AA714))</f>
        <v/>
      </c>
      <c r="G736" s="5">
        <f>IF('ORDENES'!$A714="","",IF('ORDENES'!$Y714="","-",'ORDENES'!$Y714))</f>
        <v/>
      </c>
      <c r="H736" s="5">
        <f>IF('ORDENES'!$A714="","",IF('ORDENES'!$AG714="","-",'ORDENES'!$AG714))</f>
        <v/>
      </c>
      <c r="I736" s="5">
        <f>IF('ORDENES'!$A714="","",IF('ORDENES'!$AT714="","-",'ORDENES'!$AT714))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0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IF('ORDENES'!$A714="","",'ORDENES'!$AF714)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IF('ORDENES'!$A715="","",IF('ORDENES'!$AH715="","-",'ORDENES'!$AH715))</f>
        <v/>
      </c>
      <c r="D737" s="5">
        <f>IF('ORDENES'!$A715="","",IF('ORDENES'!$Z715="","-",'ORDENES'!$Z715))</f>
        <v/>
      </c>
      <c r="E737" s="5">
        <f>IF('ORDENES'!$A715="","",IF('ORDENES'!$X715="","-",'ORDENES'!$X715))</f>
        <v/>
      </c>
      <c r="F737" s="5">
        <f>IF('ORDENES'!$A715="","",IF('ORDENES'!$AA715="","-",'ORDENES'!$AA715))</f>
        <v/>
      </c>
      <c r="G737" s="5">
        <f>IF('ORDENES'!$A715="","",IF('ORDENES'!$Y715="","-",'ORDENES'!$Y715))</f>
        <v/>
      </c>
      <c r="H737" s="5">
        <f>IF('ORDENES'!$A715="","",IF('ORDENES'!$AG715="","-",'ORDENES'!$AG715))</f>
        <v/>
      </c>
      <c r="I737" s="5">
        <f>IF('ORDENES'!$A715="","",IF('ORDENES'!$AT715="","-",'ORDENES'!$AT715))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0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IF('ORDENES'!$A715="","",'ORDENES'!$AF715)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IF('ORDENES'!$A716="","",IF('ORDENES'!$AH716="","-",'ORDENES'!$AH716))</f>
        <v/>
      </c>
      <c r="D738" s="5">
        <f>IF('ORDENES'!$A716="","",IF('ORDENES'!$Z716="","-",'ORDENES'!$Z716))</f>
        <v/>
      </c>
      <c r="E738" s="5">
        <f>IF('ORDENES'!$A716="","",IF('ORDENES'!$X716="","-",'ORDENES'!$X716))</f>
        <v/>
      </c>
      <c r="F738" s="5">
        <f>IF('ORDENES'!$A716="","",IF('ORDENES'!$AA716="","-",'ORDENES'!$AA716))</f>
        <v/>
      </c>
      <c r="G738" s="5">
        <f>IF('ORDENES'!$A716="","",IF('ORDENES'!$Y716="","-",'ORDENES'!$Y716))</f>
        <v/>
      </c>
      <c r="H738" s="5">
        <f>IF('ORDENES'!$A716="","",IF('ORDENES'!$AG716="","-",'ORDENES'!$AG716))</f>
        <v/>
      </c>
      <c r="I738" s="5">
        <f>IF('ORDENES'!$A716="","",IF('ORDENES'!$AT716="","-",'ORDENES'!$AT716))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0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IF('ORDENES'!$A716="","",'ORDENES'!$AF716)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IF('ORDENES'!$A717="","",IF('ORDENES'!$AH717="","-",'ORDENES'!$AH717))</f>
        <v/>
      </c>
      <c r="D739" s="5">
        <f>IF('ORDENES'!$A717="","",IF('ORDENES'!$Z717="","-",'ORDENES'!$Z717))</f>
        <v/>
      </c>
      <c r="E739" s="5">
        <f>IF('ORDENES'!$A717="","",IF('ORDENES'!$X717="","-",'ORDENES'!$X717))</f>
        <v/>
      </c>
      <c r="F739" s="5">
        <f>IF('ORDENES'!$A717="","",IF('ORDENES'!$AA717="","-",'ORDENES'!$AA717))</f>
        <v/>
      </c>
      <c r="G739" s="5">
        <f>IF('ORDENES'!$A717="","",IF('ORDENES'!$Y717="","-",'ORDENES'!$Y717))</f>
        <v/>
      </c>
      <c r="H739" s="5">
        <f>IF('ORDENES'!$A717="","",IF('ORDENES'!$AG717="","-",'ORDENES'!$AG717))</f>
        <v/>
      </c>
      <c r="I739" s="5">
        <f>IF('ORDENES'!$A717="","",IF('ORDENES'!$AT717="","-",'ORDENES'!$AT717))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0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IF('ORDENES'!$A717="","",'ORDENES'!$AF717)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IF('ORDENES'!$A718="","",IF('ORDENES'!$AH718="","-",'ORDENES'!$AH718))</f>
        <v/>
      </c>
      <c r="D740" s="5">
        <f>IF('ORDENES'!$A718="","",IF('ORDENES'!$Z718="","-",'ORDENES'!$Z718))</f>
        <v/>
      </c>
      <c r="E740" s="5">
        <f>IF('ORDENES'!$A718="","",IF('ORDENES'!$X718="","-",'ORDENES'!$X718))</f>
        <v/>
      </c>
      <c r="F740" s="5">
        <f>IF('ORDENES'!$A718="","",IF('ORDENES'!$AA718="","-",'ORDENES'!$AA718))</f>
        <v/>
      </c>
      <c r="G740" s="5">
        <f>IF('ORDENES'!$A718="","",IF('ORDENES'!$Y718="","-",'ORDENES'!$Y718))</f>
        <v/>
      </c>
      <c r="H740" s="5">
        <f>IF('ORDENES'!$A718="","",IF('ORDENES'!$AG718="","-",'ORDENES'!$AG718))</f>
        <v/>
      </c>
      <c r="I740" s="5">
        <f>IF('ORDENES'!$A718="","",IF('ORDENES'!$AT718="","-",'ORDENES'!$AT718))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0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IF('ORDENES'!$A718="","",'ORDENES'!$AF718)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IF('ORDENES'!$A719="","",IF('ORDENES'!$AH719="","-",'ORDENES'!$AH719))</f>
        <v/>
      </c>
      <c r="D741" s="5">
        <f>IF('ORDENES'!$A719="","",IF('ORDENES'!$Z719="","-",'ORDENES'!$Z719))</f>
        <v/>
      </c>
      <c r="E741" s="5">
        <f>IF('ORDENES'!$A719="","",IF('ORDENES'!$X719="","-",'ORDENES'!$X719))</f>
        <v/>
      </c>
      <c r="F741" s="5">
        <f>IF('ORDENES'!$A719="","",IF('ORDENES'!$AA719="","-",'ORDENES'!$AA719))</f>
        <v/>
      </c>
      <c r="G741" s="5">
        <f>IF('ORDENES'!$A719="","",IF('ORDENES'!$Y719="","-",'ORDENES'!$Y719))</f>
        <v/>
      </c>
      <c r="H741" s="5">
        <f>IF('ORDENES'!$A719="","",IF('ORDENES'!$AG719="","-",'ORDENES'!$AG719))</f>
        <v/>
      </c>
      <c r="I741" s="5">
        <f>IF('ORDENES'!$A719="","",IF('ORDENES'!$AT719="","-",'ORDENES'!$AT719))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0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IF('ORDENES'!$A719="","",'ORDENES'!$AF719)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IF('ORDENES'!$A720="","",IF('ORDENES'!$AH720="","-",'ORDENES'!$AH720))</f>
        <v/>
      </c>
      <c r="D742" s="5">
        <f>IF('ORDENES'!$A720="","",IF('ORDENES'!$Z720="","-",'ORDENES'!$Z720))</f>
        <v/>
      </c>
      <c r="E742" s="5">
        <f>IF('ORDENES'!$A720="","",IF('ORDENES'!$X720="","-",'ORDENES'!$X720))</f>
        <v/>
      </c>
      <c r="F742" s="5">
        <f>IF('ORDENES'!$A720="","",IF('ORDENES'!$AA720="","-",'ORDENES'!$AA720))</f>
        <v/>
      </c>
      <c r="G742" s="5">
        <f>IF('ORDENES'!$A720="","",IF('ORDENES'!$Y720="","-",'ORDENES'!$Y720))</f>
        <v/>
      </c>
      <c r="H742" s="5">
        <f>IF('ORDENES'!$A720="","",IF('ORDENES'!$AG720="","-",'ORDENES'!$AG720))</f>
        <v/>
      </c>
      <c r="I742" s="5">
        <f>IF('ORDENES'!$A720="","",IF('ORDENES'!$AT720="","-",'ORDENES'!$AT720))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0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IF('ORDENES'!$A720="","",'ORDENES'!$AF720)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IF('ORDENES'!$A721="","",IF('ORDENES'!$AH721="","-",'ORDENES'!$AH721))</f>
        <v/>
      </c>
      <c r="D743" s="5">
        <f>IF('ORDENES'!$A721="","",IF('ORDENES'!$Z721="","-",'ORDENES'!$Z721))</f>
        <v/>
      </c>
      <c r="E743" s="5">
        <f>IF('ORDENES'!$A721="","",IF('ORDENES'!$X721="","-",'ORDENES'!$X721))</f>
        <v/>
      </c>
      <c r="F743" s="5">
        <f>IF('ORDENES'!$A721="","",IF('ORDENES'!$AA721="","-",'ORDENES'!$AA721))</f>
        <v/>
      </c>
      <c r="G743" s="5">
        <f>IF('ORDENES'!$A721="","",IF('ORDENES'!$Y721="","-",'ORDENES'!$Y721))</f>
        <v/>
      </c>
      <c r="H743" s="5">
        <f>IF('ORDENES'!$A721="","",IF('ORDENES'!$AG721="","-",'ORDENES'!$AG721))</f>
        <v/>
      </c>
      <c r="I743" s="5">
        <f>IF('ORDENES'!$A721="","",IF('ORDENES'!$AT721="","-",'ORDENES'!$AT721))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0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IF('ORDENES'!$A721="","",'ORDENES'!$AF721)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IF('ORDENES'!$A722="","",IF('ORDENES'!$AH722="","-",'ORDENES'!$AH722))</f>
        <v/>
      </c>
      <c r="D744" s="5">
        <f>IF('ORDENES'!$A722="","",IF('ORDENES'!$Z722="","-",'ORDENES'!$Z722))</f>
        <v/>
      </c>
      <c r="E744" s="5">
        <f>IF('ORDENES'!$A722="","",IF('ORDENES'!$X722="","-",'ORDENES'!$X722))</f>
        <v/>
      </c>
      <c r="F744" s="5">
        <f>IF('ORDENES'!$A722="","",IF('ORDENES'!$AA722="","-",'ORDENES'!$AA722))</f>
        <v/>
      </c>
      <c r="G744" s="5">
        <f>IF('ORDENES'!$A722="","",IF('ORDENES'!$Y722="","-",'ORDENES'!$Y722))</f>
        <v/>
      </c>
      <c r="H744" s="5">
        <f>IF('ORDENES'!$A722="","",IF('ORDENES'!$AG722="","-",'ORDENES'!$AG722))</f>
        <v/>
      </c>
      <c r="I744" s="5">
        <f>IF('ORDENES'!$A722="","",IF('ORDENES'!$AT722="","-",'ORDENES'!$AT722))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0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IF('ORDENES'!$A722="","",'ORDENES'!$AF722)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IF('ORDENES'!$A723="","",IF('ORDENES'!$AH723="","-",'ORDENES'!$AH723))</f>
        <v/>
      </c>
      <c r="D745" s="5">
        <f>IF('ORDENES'!$A723="","",IF('ORDENES'!$Z723="","-",'ORDENES'!$Z723))</f>
        <v/>
      </c>
      <c r="E745" s="5">
        <f>IF('ORDENES'!$A723="","",IF('ORDENES'!$X723="","-",'ORDENES'!$X723))</f>
        <v/>
      </c>
      <c r="F745" s="5">
        <f>IF('ORDENES'!$A723="","",IF('ORDENES'!$AA723="","-",'ORDENES'!$AA723))</f>
        <v/>
      </c>
      <c r="G745" s="5">
        <f>IF('ORDENES'!$A723="","",IF('ORDENES'!$Y723="","-",'ORDENES'!$Y723))</f>
        <v/>
      </c>
      <c r="H745" s="5">
        <f>IF('ORDENES'!$A723="","",IF('ORDENES'!$AG723="","-",'ORDENES'!$AG723))</f>
        <v/>
      </c>
      <c r="I745" s="5">
        <f>IF('ORDENES'!$A723="","",IF('ORDENES'!$AT723="","-",'ORDENES'!$AT723))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0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IF('ORDENES'!$A723="","",'ORDENES'!$AF723)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IF('ORDENES'!$A724="","",IF('ORDENES'!$AH724="","-",'ORDENES'!$AH724))</f>
        <v/>
      </c>
      <c r="D746" s="5">
        <f>IF('ORDENES'!$A724="","",IF('ORDENES'!$Z724="","-",'ORDENES'!$Z724))</f>
        <v/>
      </c>
      <c r="E746" s="5">
        <f>IF('ORDENES'!$A724="","",IF('ORDENES'!$X724="","-",'ORDENES'!$X724))</f>
        <v/>
      </c>
      <c r="F746" s="5">
        <f>IF('ORDENES'!$A724="","",IF('ORDENES'!$AA724="","-",'ORDENES'!$AA724))</f>
        <v/>
      </c>
      <c r="G746" s="5">
        <f>IF('ORDENES'!$A724="","",IF('ORDENES'!$Y724="","-",'ORDENES'!$Y724))</f>
        <v/>
      </c>
      <c r="H746" s="5">
        <f>IF('ORDENES'!$A724="","",IF('ORDENES'!$AG724="","-",'ORDENES'!$AG724))</f>
        <v/>
      </c>
      <c r="I746" s="5">
        <f>IF('ORDENES'!$A724="","",IF('ORDENES'!$AT724="","-",'ORDENES'!$AT724))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0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IF('ORDENES'!$A724="","",'ORDENES'!$AF724)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IF('ORDENES'!$A725="","",IF('ORDENES'!$AH725="","-",'ORDENES'!$AH725))</f>
        <v/>
      </c>
      <c r="D747" s="5">
        <f>IF('ORDENES'!$A725="","",IF('ORDENES'!$Z725="","-",'ORDENES'!$Z725))</f>
        <v/>
      </c>
      <c r="E747" s="5">
        <f>IF('ORDENES'!$A725="","",IF('ORDENES'!$X725="","-",'ORDENES'!$X725))</f>
        <v/>
      </c>
      <c r="F747" s="5">
        <f>IF('ORDENES'!$A725="","",IF('ORDENES'!$AA725="","-",'ORDENES'!$AA725))</f>
        <v/>
      </c>
      <c r="G747" s="5">
        <f>IF('ORDENES'!$A725="","",IF('ORDENES'!$Y725="","-",'ORDENES'!$Y725))</f>
        <v/>
      </c>
      <c r="H747" s="5">
        <f>IF('ORDENES'!$A725="","",IF('ORDENES'!$AG725="","-",'ORDENES'!$AG725))</f>
        <v/>
      </c>
      <c r="I747" s="5">
        <f>IF('ORDENES'!$A725="","",IF('ORDENES'!$AT725="","-",'ORDENES'!$AT725))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0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IF('ORDENES'!$A725="","",'ORDENES'!$AF725)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IF('ORDENES'!$A726="","",IF('ORDENES'!$AH726="","-",'ORDENES'!$AH726))</f>
        <v/>
      </c>
      <c r="D748" s="5">
        <f>IF('ORDENES'!$A726="","",IF('ORDENES'!$Z726="","-",'ORDENES'!$Z726))</f>
        <v/>
      </c>
      <c r="E748" s="5">
        <f>IF('ORDENES'!$A726="","",IF('ORDENES'!$X726="","-",'ORDENES'!$X726))</f>
        <v/>
      </c>
      <c r="F748" s="5">
        <f>IF('ORDENES'!$A726="","",IF('ORDENES'!$AA726="","-",'ORDENES'!$AA726))</f>
        <v/>
      </c>
      <c r="G748" s="5">
        <f>IF('ORDENES'!$A726="","",IF('ORDENES'!$Y726="","-",'ORDENES'!$Y726))</f>
        <v/>
      </c>
      <c r="H748" s="5">
        <f>IF('ORDENES'!$A726="","",IF('ORDENES'!$AG726="","-",'ORDENES'!$AG726))</f>
        <v/>
      </c>
      <c r="I748" s="5">
        <f>IF('ORDENES'!$A726="","",IF('ORDENES'!$AT726="","-",'ORDENES'!$AT726))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0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IF('ORDENES'!$A726="","",'ORDENES'!$AF726)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IF('ORDENES'!$A727="","",IF('ORDENES'!$AH727="","-",'ORDENES'!$AH727))</f>
        <v/>
      </c>
      <c r="D749" s="5">
        <f>IF('ORDENES'!$A727="","",IF('ORDENES'!$Z727="","-",'ORDENES'!$Z727))</f>
        <v/>
      </c>
      <c r="E749" s="5">
        <f>IF('ORDENES'!$A727="","",IF('ORDENES'!$X727="","-",'ORDENES'!$X727))</f>
        <v/>
      </c>
      <c r="F749" s="5">
        <f>IF('ORDENES'!$A727="","",IF('ORDENES'!$AA727="","-",'ORDENES'!$AA727))</f>
        <v/>
      </c>
      <c r="G749" s="5">
        <f>IF('ORDENES'!$A727="","",IF('ORDENES'!$Y727="","-",'ORDENES'!$Y727))</f>
        <v/>
      </c>
      <c r="H749" s="5">
        <f>IF('ORDENES'!$A727="","",IF('ORDENES'!$AG727="","-",'ORDENES'!$AG727))</f>
        <v/>
      </c>
      <c r="I749" s="5">
        <f>IF('ORDENES'!$A727="","",IF('ORDENES'!$AT727="","-",'ORDENES'!$AT727))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0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IF('ORDENES'!$A727="","",'ORDENES'!$AF727)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IF('ORDENES'!$A728="","",IF('ORDENES'!$AH728="","-",'ORDENES'!$AH728))</f>
        <v/>
      </c>
      <c r="D750" s="5">
        <f>IF('ORDENES'!$A728="","",IF('ORDENES'!$Z728="","-",'ORDENES'!$Z728))</f>
        <v/>
      </c>
      <c r="E750" s="5">
        <f>IF('ORDENES'!$A728="","",IF('ORDENES'!$X728="","-",'ORDENES'!$X728))</f>
        <v/>
      </c>
      <c r="F750" s="5">
        <f>IF('ORDENES'!$A728="","",IF('ORDENES'!$AA728="","-",'ORDENES'!$AA728))</f>
        <v/>
      </c>
      <c r="G750" s="5">
        <f>IF('ORDENES'!$A728="","",IF('ORDENES'!$Y728="","-",'ORDENES'!$Y728))</f>
        <v/>
      </c>
      <c r="H750" s="5">
        <f>IF('ORDENES'!$A728="","",IF('ORDENES'!$AG728="","-",'ORDENES'!$AG728))</f>
        <v/>
      </c>
      <c r="I750" s="5">
        <f>IF('ORDENES'!$A728="","",IF('ORDENES'!$AT728="","-",'ORDENES'!$AT728))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0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IF('ORDENES'!$A728="","",'ORDENES'!$AF728)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IF('ORDENES'!$A729="","",IF('ORDENES'!$AH729="","-",'ORDENES'!$AH729))</f>
        <v/>
      </c>
      <c r="D751" s="5">
        <f>IF('ORDENES'!$A729="","",IF('ORDENES'!$Z729="","-",'ORDENES'!$Z729))</f>
        <v/>
      </c>
      <c r="E751" s="5">
        <f>IF('ORDENES'!$A729="","",IF('ORDENES'!$X729="","-",'ORDENES'!$X729))</f>
        <v/>
      </c>
      <c r="F751" s="5">
        <f>IF('ORDENES'!$A729="","",IF('ORDENES'!$AA729="","-",'ORDENES'!$AA729))</f>
        <v/>
      </c>
      <c r="G751" s="5">
        <f>IF('ORDENES'!$A729="","",IF('ORDENES'!$Y729="","-",'ORDENES'!$Y729))</f>
        <v/>
      </c>
      <c r="H751" s="5">
        <f>IF('ORDENES'!$A729="","",IF('ORDENES'!$AG729="","-",'ORDENES'!$AG729))</f>
        <v/>
      </c>
      <c r="I751" s="5">
        <f>IF('ORDENES'!$A729="","",IF('ORDENES'!$AT729="","-",'ORDENES'!$AT729))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0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IF('ORDENES'!$A729="","",'ORDENES'!$AF729)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IF('ORDENES'!$A730="","",IF('ORDENES'!$AH730="","-",'ORDENES'!$AH730))</f>
        <v/>
      </c>
      <c r="D752" s="5">
        <f>IF('ORDENES'!$A730="","",IF('ORDENES'!$Z730="","-",'ORDENES'!$Z730))</f>
        <v/>
      </c>
      <c r="E752" s="5">
        <f>IF('ORDENES'!$A730="","",IF('ORDENES'!$X730="","-",'ORDENES'!$X730))</f>
        <v/>
      </c>
      <c r="F752" s="5">
        <f>IF('ORDENES'!$A730="","",IF('ORDENES'!$AA730="","-",'ORDENES'!$AA730))</f>
        <v/>
      </c>
      <c r="G752" s="5">
        <f>IF('ORDENES'!$A730="","",IF('ORDENES'!$Y730="","-",'ORDENES'!$Y730))</f>
        <v/>
      </c>
      <c r="H752" s="5">
        <f>IF('ORDENES'!$A730="","",IF('ORDENES'!$AG730="","-",'ORDENES'!$AG730))</f>
        <v/>
      </c>
      <c r="I752" s="5">
        <f>IF('ORDENES'!$A730="","",IF('ORDENES'!$AT730="","-",'ORDENES'!$AT730))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0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IF('ORDENES'!$A730="","",'ORDENES'!$AF730)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IF('ORDENES'!$A731="","",IF('ORDENES'!$AH731="","-",'ORDENES'!$AH731))</f>
        <v/>
      </c>
      <c r="D753" s="5">
        <f>IF('ORDENES'!$A731="","",IF('ORDENES'!$Z731="","-",'ORDENES'!$Z731))</f>
        <v/>
      </c>
      <c r="E753" s="5">
        <f>IF('ORDENES'!$A731="","",IF('ORDENES'!$X731="","-",'ORDENES'!$X731))</f>
        <v/>
      </c>
      <c r="F753" s="5">
        <f>IF('ORDENES'!$A731="","",IF('ORDENES'!$AA731="","-",'ORDENES'!$AA731))</f>
        <v/>
      </c>
      <c r="G753" s="5">
        <f>IF('ORDENES'!$A731="","",IF('ORDENES'!$Y731="","-",'ORDENES'!$Y731))</f>
        <v/>
      </c>
      <c r="H753" s="5">
        <f>IF('ORDENES'!$A731="","",IF('ORDENES'!$AG731="","-",'ORDENES'!$AG731))</f>
        <v/>
      </c>
      <c r="I753" s="5">
        <f>IF('ORDENES'!$A731="","",IF('ORDENES'!$AT731="","-",'ORDENES'!$AT731))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0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IF('ORDENES'!$A731="","",'ORDENES'!$AF731)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IF('ORDENES'!$A732="","",IF('ORDENES'!$AH732="","-",'ORDENES'!$AH732))</f>
        <v/>
      </c>
      <c r="D754" s="5">
        <f>IF('ORDENES'!$A732="","",IF('ORDENES'!$Z732="","-",'ORDENES'!$Z732))</f>
        <v/>
      </c>
      <c r="E754" s="5">
        <f>IF('ORDENES'!$A732="","",IF('ORDENES'!$X732="","-",'ORDENES'!$X732))</f>
        <v/>
      </c>
      <c r="F754" s="5">
        <f>IF('ORDENES'!$A732="","",IF('ORDENES'!$AA732="","-",'ORDENES'!$AA732))</f>
        <v/>
      </c>
      <c r="G754" s="5">
        <f>IF('ORDENES'!$A732="","",IF('ORDENES'!$Y732="","-",'ORDENES'!$Y732))</f>
        <v/>
      </c>
      <c r="H754" s="5">
        <f>IF('ORDENES'!$A732="","",IF('ORDENES'!$AG732="","-",'ORDENES'!$AG732))</f>
        <v/>
      </c>
      <c r="I754" s="5">
        <f>IF('ORDENES'!$A732="","",IF('ORDENES'!$AT732="","-",'ORDENES'!$AT732))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0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IF('ORDENES'!$A732="","",'ORDENES'!$AF732)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IF('ORDENES'!$A733="","",IF('ORDENES'!$AH733="","-",'ORDENES'!$AH733))</f>
        <v/>
      </c>
      <c r="D755" s="5">
        <f>IF('ORDENES'!$A733="","",IF('ORDENES'!$Z733="","-",'ORDENES'!$Z733))</f>
        <v/>
      </c>
      <c r="E755" s="5">
        <f>IF('ORDENES'!$A733="","",IF('ORDENES'!$X733="","-",'ORDENES'!$X733))</f>
        <v/>
      </c>
      <c r="F755" s="5">
        <f>IF('ORDENES'!$A733="","",IF('ORDENES'!$AA733="","-",'ORDENES'!$AA733))</f>
        <v/>
      </c>
      <c r="G755" s="5">
        <f>IF('ORDENES'!$A733="","",IF('ORDENES'!$Y733="","-",'ORDENES'!$Y733))</f>
        <v/>
      </c>
      <c r="H755" s="5">
        <f>IF('ORDENES'!$A733="","",IF('ORDENES'!$AG733="","-",'ORDENES'!$AG733))</f>
        <v/>
      </c>
      <c r="I755" s="5">
        <f>IF('ORDENES'!$A733="","",IF('ORDENES'!$AT733="","-",'ORDENES'!$AT733))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0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IF('ORDENES'!$A733="","",'ORDENES'!$AF733)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IF('ORDENES'!$A734="","",IF('ORDENES'!$AH734="","-",'ORDENES'!$AH734))</f>
        <v/>
      </c>
      <c r="D756" s="5">
        <f>IF('ORDENES'!$A734="","",IF('ORDENES'!$Z734="","-",'ORDENES'!$Z734))</f>
        <v/>
      </c>
      <c r="E756" s="5">
        <f>IF('ORDENES'!$A734="","",IF('ORDENES'!$X734="","-",'ORDENES'!$X734))</f>
        <v/>
      </c>
      <c r="F756" s="5">
        <f>IF('ORDENES'!$A734="","",IF('ORDENES'!$AA734="","-",'ORDENES'!$AA734))</f>
        <v/>
      </c>
      <c r="G756" s="5">
        <f>IF('ORDENES'!$A734="","",IF('ORDENES'!$Y734="","-",'ORDENES'!$Y734))</f>
        <v/>
      </c>
      <c r="H756" s="5">
        <f>IF('ORDENES'!$A734="","",IF('ORDENES'!$AG734="","-",'ORDENES'!$AG734))</f>
        <v/>
      </c>
      <c r="I756" s="5">
        <f>IF('ORDENES'!$A734="","",IF('ORDENES'!$AT734="","-",'ORDENES'!$AT734))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0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IF('ORDENES'!$A734="","",'ORDENES'!$AF734)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IF('ORDENES'!$A735="","",IF('ORDENES'!$AH735="","-",'ORDENES'!$AH735))</f>
        <v/>
      </c>
      <c r="D757" s="5">
        <f>IF('ORDENES'!$A735="","",IF('ORDENES'!$Z735="","-",'ORDENES'!$Z735))</f>
        <v/>
      </c>
      <c r="E757" s="5">
        <f>IF('ORDENES'!$A735="","",IF('ORDENES'!$X735="","-",'ORDENES'!$X735))</f>
        <v/>
      </c>
      <c r="F757" s="5">
        <f>IF('ORDENES'!$A735="","",IF('ORDENES'!$AA735="","-",'ORDENES'!$AA735))</f>
        <v/>
      </c>
      <c r="G757" s="5">
        <f>IF('ORDENES'!$A735="","",IF('ORDENES'!$Y735="","-",'ORDENES'!$Y735))</f>
        <v/>
      </c>
      <c r="H757" s="5">
        <f>IF('ORDENES'!$A735="","",IF('ORDENES'!$AG735="","-",'ORDENES'!$AG735))</f>
        <v/>
      </c>
      <c r="I757" s="5">
        <f>IF('ORDENES'!$A735="","",IF('ORDENES'!$AT735="","-",'ORDENES'!$AT735))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0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IF('ORDENES'!$A735="","",'ORDENES'!$AF735)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IF('ORDENES'!$A736="","",IF('ORDENES'!$AH736="","-",'ORDENES'!$AH736))</f>
        <v/>
      </c>
      <c r="D758" s="5">
        <f>IF('ORDENES'!$A736="","",IF('ORDENES'!$Z736="","-",'ORDENES'!$Z736))</f>
        <v/>
      </c>
      <c r="E758" s="5">
        <f>IF('ORDENES'!$A736="","",IF('ORDENES'!$X736="","-",'ORDENES'!$X736))</f>
        <v/>
      </c>
      <c r="F758" s="5">
        <f>IF('ORDENES'!$A736="","",IF('ORDENES'!$AA736="","-",'ORDENES'!$AA736))</f>
        <v/>
      </c>
      <c r="G758" s="5">
        <f>IF('ORDENES'!$A736="","",IF('ORDENES'!$Y736="","-",'ORDENES'!$Y736))</f>
        <v/>
      </c>
      <c r="H758" s="5">
        <f>IF('ORDENES'!$A736="","",IF('ORDENES'!$AG736="","-",'ORDENES'!$AG736))</f>
        <v/>
      </c>
      <c r="I758" s="5">
        <f>IF('ORDENES'!$A736="","",IF('ORDENES'!$AT736="","-",'ORDENES'!$AT736))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0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IF('ORDENES'!$A736="","",'ORDENES'!$AF736)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IF('ORDENES'!$A737="","",IF('ORDENES'!$AH737="","-",'ORDENES'!$AH737))</f>
        <v/>
      </c>
      <c r="D759" s="5">
        <f>IF('ORDENES'!$A737="","",IF('ORDENES'!$Z737="","-",'ORDENES'!$Z737))</f>
        <v/>
      </c>
      <c r="E759" s="5">
        <f>IF('ORDENES'!$A737="","",IF('ORDENES'!$X737="","-",'ORDENES'!$X737))</f>
        <v/>
      </c>
      <c r="F759" s="5">
        <f>IF('ORDENES'!$A737="","",IF('ORDENES'!$AA737="","-",'ORDENES'!$AA737))</f>
        <v/>
      </c>
      <c r="G759" s="5">
        <f>IF('ORDENES'!$A737="","",IF('ORDENES'!$Y737="","-",'ORDENES'!$Y737))</f>
        <v/>
      </c>
      <c r="H759" s="5">
        <f>IF('ORDENES'!$A737="","",IF('ORDENES'!$AG737="","-",'ORDENES'!$AG737))</f>
        <v/>
      </c>
      <c r="I759" s="5">
        <f>IF('ORDENES'!$A737="","",IF('ORDENES'!$AT737="","-",'ORDENES'!$AT737))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0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IF('ORDENES'!$A737="","",'ORDENES'!$AF737)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IF('ORDENES'!$A738="","",IF('ORDENES'!$AH738="","-",'ORDENES'!$AH738))</f>
        <v/>
      </c>
      <c r="D760" s="5">
        <f>IF('ORDENES'!$A738="","",IF('ORDENES'!$Z738="","-",'ORDENES'!$Z738))</f>
        <v/>
      </c>
      <c r="E760" s="5">
        <f>IF('ORDENES'!$A738="","",IF('ORDENES'!$X738="","-",'ORDENES'!$X738))</f>
        <v/>
      </c>
      <c r="F760" s="5">
        <f>IF('ORDENES'!$A738="","",IF('ORDENES'!$AA738="","-",'ORDENES'!$AA738))</f>
        <v/>
      </c>
      <c r="G760" s="5">
        <f>IF('ORDENES'!$A738="","",IF('ORDENES'!$Y738="","-",'ORDENES'!$Y738))</f>
        <v/>
      </c>
      <c r="H760" s="5">
        <f>IF('ORDENES'!$A738="","",IF('ORDENES'!$AG738="","-",'ORDENES'!$AG738))</f>
        <v/>
      </c>
      <c r="I760" s="5">
        <f>IF('ORDENES'!$A738="","",IF('ORDENES'!$AT738="","-",'ORDENES'!$AT738))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0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IF('ORDENES'!$A738="","",'ORDENES'!$AF738)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IF('ORDENES'!$A739="","",IF('ORDENES'!$AH739="","-",'ORDENES'!$AH739))</f>
        <v/>
      </c>
      <c r="D761" s="5">
        <f>IF('ORDENES'!$A739="","",IF('ORDENES'!$Z739="","-",'ORDENES'!$Z739))</f>
        <v/>
      </c>
      <c r="E761" s="5">
        <f>IF('ORDENES'!$A739="","",IF('ORDENES'!$X739="","-",'ORDENES'!$X739))</f>
        <v/>
      </c>
      <c r="F761" s="5">
        <f>IF('ORDENES'!$A739="","",IF('ORDENES'!$AA739="","-",'ORDENES'!$AA739))</f>
        <v/>
      </c>
      <c r="G761" s="5">
        <f>IF('ORDENES'!$A739="","",IF('ORDENES'!$Y739="","-",'ORDENES'!$Y739))</f>
        <v/>
      </c>
      <c r="H761" s="5">
        <f>IF('ORDENES'!$A739="","",IF('ORDENES'!$AG739="","-",'ORDENES'!$AG739))</f>
        <v/>
      </c>
      <c r="I761" s="5">
        <f>IF('ORDENES'!$A739="","",IF('ORDENES'!$AT739="","-",'ORDENES'!$AT739))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0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IF('ORDENES'!$A739="","",'ORDENES'!$AF739)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IF('ORDENES'!$A740="","",IF('ORDENES'!$AH740="","-",'ORDENES'!$AH740))</f>
        <v/>
      </c>
      <c r="D762" s="5">
        <f>IF('ORDENES'!$A740="","",IF('ORDENES'!$Z740="","-",'ORDENES'!$Z740))</f>
        <v/>
      </c>
      <c r="E762" s="5">
        <f>IF('ORDENES'!$A740="","",IF('ORDENES'!$X740="","-",'ORDENES'!$X740))</f>
        <v/>
      </c>
      <c r="F762" s="5">
        <f>IF('ORDENES'!$A740="","",IF('ORDENES'!$AA740="","-",'ORDENES'!$AA740))</f>
        <v/>
      </c>
      <c r="G762" s="5">
        <f>IF('ORDENES'!$A740="","",IF('ORDENES'!$Y740="","-",'ORDENES'!$Y740))</f>
        <v/>
      </c>
      <c r="H762" s="5">
        <f>IF('ORDENES'!$A740="","",IF('ORDENES'!$AG740="","-",'ORDENES'!$AG740))</f>
        <v/>
      </c>
      <c r="I762" s="5">
        <f>IF('ORDENES'!$A740="","",IF('ORDENES'!$AT740="","-",'ORDENES'!$AT740))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0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IF('ORDENES'!$A740="","",'ORDENES'!$AF740)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IF('ORDENES'!$A741="","",IF('ORDENES'!$AH741="","-",'ORDENES'!$AH741))</f>
        <v/>
      </c>
      <c r="D763" s="5">
        <f>IF('ORDENES'!$A741="","",IF('ORDENES'!$Z741="","-",'ORDENES'!$Z741))</f>
        <v/>
      </c>
      <c r="E763" s="5">
        <f>IF('ORDENES'!$A741="","",IF('ORDENES'!$X741="","-",'ORDENES'!$X741))</f>
        <v/>
      </c>
      <c r="F763" s="5">
        <f>IF('ORDENES'!$A741="","",IF('ORDENES'!$AA741="","-",'ORDENES'!$AA741))</f>
        <v/>
      </c>
      <c r="G763" s="5">
        <f>IF('ORDENES'!$A741="","",IF('ORDENES'!$Y741="","-",'ORDENES'!$Y741))</f>
        <v/>
      </c>
      <c r="H763" s="5">
        <f>IF('ORDENES'!$A741="","",IF('ORDENES'!$AG741="","-",'ORDENES'!$AG741))</f>
        <v/>
      </c>
      <c r="I763" s="5">
        <f>IF('ORDENES'!$A741="","",IF('ORDENES'!$AT741="","-",'ORDENES'!$AT741))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0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IF('ORDENES'!$A741="","",'ORDENES'!$AF741)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IF('ORDENES'!$A742="","",IF('ORDENES'!$AH742="","-",'ORDENES'!$AH742))</f>
        <v/>
      </c>
      <c r="D764" s="5">
        <f>IF('ORDENES'!$A742="","",IF('ORDENES'!$Z742="","-",'ORDENES'!$Z742))</f>
        <v/>
      </c>
      <c r="E764" s="5">
        <f>IF('ORDENES'!$A742="","",IF('ORDENES'!$X742="","-",'ORDENES'!$X742))</f>
        <v/>
      </c>
      <c r="F764" s="5">
        <f>IF('ORDENES'!$A742="","",IF('ORDENES'!$AA742="","-",'ORDENES'!$AA742))</f>
        <v/>
      </c>
      <c r="G764" s="5">
        <f>IF('ORDENES'!$A742="","",IF('ORDENES'!$Y742="","-",'ORDENES'!$Y742))</f>
        <v/>
      </c>
      <c r="H764" s="5">
        <f>IF('ORDENES'!$A742="","",IF('ORDENES'!$AG742="","-",'ORDENES'!$AG742))</f>
        <v/>
      </c>
      <c r="I764" s="5">
        <f>IF('ORDENES'!$A742="","",IF('ORDENES'!$AT742="","-",'ORDENES'!$AT742))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0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IF('ORDENES'!$A742="","",'ORDENES'!$AF742)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IF('ORDENES'!$A743="","",IF('ORDENES'!$AH743="","-",'ORDENES'!$AH743))</f>
        <v/>
      </c>
      <c r="D765" s="5">
        <f>IF('ORDENES'!$A743="","",IF('ORDENES'!$Z743="","-",'ORDENES'!$Z743))</f>
        <v/>
      </c>
      <c r="E765" s="5">
        <f>IF('ORDENES'!$A743="","",IF('ORDENES'!$X743="","-",'ORDENES'!$X743))</f>
        <v/>
      </c>
      <c r="F765" s="5">
        <f>IF('ORDENES'!$A743="","",IF('ORDENES'!$AA743="","-",'ORDENES'!$AA743))</f>
        <v/>
      </c>
      <c r="G765" s="5">
        <f>IF('ORDENES'!$A743="","",IF('ORDENES'!$Y743="","-",'ORDENES'!$Y743))</f>
        <v/>
      </c>
      <c r="H765" s="5">
        <f>IF('ORDENES'!$A743="","",IF('ORDENES'!$AG743="","-",'ORDENES'!$AG743))</f>
        <v/>
      </c>
      <c r="I765" s="5">
        <f>IF('ORDENES'!$A743="","",IF('ORDENES'!$AT743="","-",'ORDENES'!$AT743))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0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IF('ORDENES'!$A743="","",'ORDENES'!$AF743)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IF('ORDENES'!$A744="","",IF('ORDENES'!$AH744="","-",'ORDENES'!$AH744))</f>
        <v/>
      </c>
      <c r="D766" s="5">
        <f>IF('ORDENES'!$A744="","",IF('ORDENES'!$Z744="","-",'ORDENES'!$Z744))</f>
        <v/>
      </c>
      <c r="E766" s="5">
        <f>IF('ORDENES'!$A744="","",IF('ORDENES'!$X744="","-",'ORDENES'!$X744))</f>
        <v/>
      </c>
      <c r="F766" s="5">
        <f>IF('ORDENES'!$A744="","",IF('ORDENES'!$AA744="","-",'ORDENES'!$AA744))</f>
        <v/>
      </c>
      <c r="G766" s="5">
        <f>IF('ORDENES'!$A744="","",IF('ORDENES'!$Y744="","-",'ORDENES'!$Y744))</f>
        <v/>
      </c>
      <c r="H766" s="5">
        <f>IF('ORDENES'!$A744="","",IF('ORDENES'!$AG744="","-",'ORDENES'!$AG744))</f>
        <v/>
      </c>
      <c r="I766" s="5">
        <f>IF('ORDENES'!$A744="","",IF('ORDENES'!$AT744="","-",'ORDENES'!$AT744))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0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IF('ORDENES'!$A744="","",'ORDENES'!$AF744)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IF('ORDENES'!$A745="","",IF('ORDENES'!$AH745="","-",'ORDENES'!$AH745))</f>
        <v/>
      </c>
      <c r="D767" s="5">
        <f>IF('ORDENES'!$A745="","",IF('ORDENES'!$Z745="","-",'ORDENES'!$Z745))</f>
        <v/>
      </c>
      <c r="E767" s="5">
        <f>IF('ORDENES'!$A745="","",IF('ORDENES'!$X745="","-",'ORDENES'!$X745))</f>
        <v/>
      </c>
      <c r="F767" s="5">
        <f>IF('ORDENES'!$A745="","",IF('ORDENES'!$AA745="","-",'ORDENES'!$AA745))</f>
        <v/>
      </c>
      <c r="G767" s="5">
        <f>IF('ORDENES'!$A745="","",IF('ORDENES'!$Y745="","-",'ORDENES'!$Y745))</f>
        <v/>
      </c>
      <c r="H767" s="5">
        <f>IF('ORDENES'!$A745="","",IF('ORDENES'!$AG745="","-",'ORDENES'!$AG745))</f>
        <v/>
      </c>
      <c r="I767" s="5">
        <f>IF('ORDENES'!$A745="","",IF('ORDENES'!$AT745="","-",'ORDENES'!$AT745))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0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IF('ORDENES'!$A745="","",'ORDENES'!$AF745)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IF('ORDENES'!$A746="","",IF('ORDENES'!$AH746="","-",'ORDENES'!$AH746))</f>
        <v/>
      </c>
      <c r="D768" s="5">
        <f>IF('ORDENES'!$A746="","",IF('ORDENES'!$Z746="","-",'ORDENES'!$Z746))</f>
        <v/>
      </c>
      <c r="E768" s="5">
        <f>IF('ORDENES'!$A746="","",IF('ORDENES'!$X746="","-",'ORDENES'!$X746))</f>
        <v/>
      </c>
      <c r="F768" s="5">
        <f>IF('ORDENES'!$A746="","",IF('ORDENES'!$AA746="","-",'ORDENES'!$AA746))</f>
        <v/>
      </c>
      <c r="G768" s="5">
        <f>IF('ORDENES'!$A746="","",IF('ORDENES'!$Y746="","-",'ORDENES'!$Y746))</f>
        <v/>
      </c>
      <c r="H768" s="5">
        <f>IF('ORDENES'!$A746="","",IF('ORDENES'!$AG746="","-",'ORDENES'!$AG746))</f>
        <v/>
      </c>
      <c r="I768" s="5">
        <f>IF('ORDENES'!$A746="","",IF('ORDENES'!$AT746="","-",'ORDENES'!$AT746))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0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IF('ORDENES'!$A746="","",'ORDENES'!$AF746)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IF('ORDENES'!$A747="","",IF('ORDENES'!$AH747="","-",'ORDENES'!$AH747))</f>
        <v/>
      </c>
      <c r="D769" s="5">
        <f>IF('ORDENES'!$A747="","",IF('ORDENES'!$Z747="","-",'ORDENES'!$Z747))</f>
        <v/>
      </c>
      <c r="E769" s="5">
        <f>IF('ORDENES'!$A747="","",IF('ORDENES'!$X747="","-",'ORDENES'!$X747))</f>
        <v/>
      </c>
      <c r="F769" s="5">
        <f>IF('ORDENES'!$A747="","",IF('ORDENES'!$AA747="","-",'ORDENES'!$AA747))</f>
        <v/>
      </c>
      <c r="G769" s="5">
        <f>IF('ORDENES'!$A747="","",IF('ORDENES'!$Y747="","-",'ORDENES'!$Y747))</f>
        <v/>
      </c>
      <c r="H769" s="5">
        <f>IF('ORDENES'!$A747="","",IF('ORDENES'!$AG747="","-",'ORDENES'!$AG747))</f>
        <v/>
      </c>
      <c r="I769" s="5">
        <f>IF('ORDENES'!$A747="","",IF('ORDENES'!$AT747="","-",'ORDENES'!$AT747))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0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IF('ORDENES'!$A747="","",'ORDENES'!$AF747)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IF('ORDENES'!$A748="","",IF('ORDENES'!$AH748="","-",'ORDENES'!$AH748))</f>
        <v/>
      </c>
      <c r="D770" s="5">
        <f>IF('ORDENES'!$A748="","",IF('ORDENES'!$Z748="","-",'ORDENES'!$Z748))</f>
        <v/>
      </c>
      <c r="E770" s="5">
        <f>IF('ORDENES'!$A748="","",IF('ORDENES'!$X748="","-",'ORDENES'!$X748))</f>
        <v/>
      </c>
      <c r="F770" s="5">
        <f>IF('ORDENES'!$A748="","",IF('ORDENES'!$AA748="","-",'ORDENES'!$AA748))</f>
        <v/>
      </c>
      <c r="G770" s="5">
        <f>IF('ORDENES'!$A748="","",IF('ORDENES'!$Y748="","-",'ORDENES'!$Y748))</f>
        <v/>
      </c>
      <c r="H770" s="5">
        <f>IF('ORDENES'!$A748="","",IF('ORDENES'!$AG748="","-",'ORDENES'!$AG748))</f>
        <v/>
      </c>
      <c r="I770" s="5">
        <f>IF('ORDENES'!$A748="","",IF('ORDENES'!$AT748="","-",'ORDENES'!$AT748))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0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IF('ORDENES'!$A748="","",'ORDENES'!$AF748)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IF('ORDENES'!$A749="","",IF('ORDENES'!$AH749="","-",'ORDENES'!$AH749))</f>
        <v/>
      </c>
      <c r="D771" s="5">
        <f>IF('ORDENES'!$A749="","",IF('ORDENES'!$Z749="","-",'ORDENES'!$Z749))</f>
        <v/>
      </c>
      <c r="E771" s="5">
        <f>IF('ORDENES'!$A749="","",IF('ORDENES'!$X749="","-",'ORDENES'!$X749))</f>
        <v/>
      </c>
      <c r="F771" s="5">
        <f>IF('ORDENES'!$A749="","",IF('ORDENES'!$AA749="","-",'ORDENES'!$AA749))</f>
        <v/>
      </c>
      <c r="G771" s="5">
        <f>IF('ORDENES'!$A749="","",IF('ORDENES'!$Y749="","-",'ORDENES'!$Y749))</f>
        <v/>
      </c>
      <c r="H771" s="5">
        <f>IF('ORDENES'!$A749="","",IF('ORDENES'!$AG749="","-",'ORDENES'!$AG749))</f>
        <v/>
      </c>
      <c r="I771" s="5">
        <f>IF('ORDENES'!$A749="","",IF('ORDENES'!$AT749="","-",'ORDENES'!$AT749))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0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IF('ORDENES'!$A749="","",'ORDENES'!$AF749)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IF('ORDENES'!$A750="","",IF('ORDENES'!$AH750="","-",'ORDENES'!$AH750))</f>
        <v/>
      </c>
      <c r="D772" s="5">
        <f>IF('ORDENES'!$A750="","",IF('ORDENES'!$Z750="","-",'ORDENES'!$Z750))</f>
        <v/>
      </c>
      <c r="E772" s="5">
        <f>IF('ORDENES'!$A750="","",IF('ORDENES'!$X750="","-",'ORDENES'!$X750))</f>
        <v/>
      </c>
      <c r="F772" s="5">
        <f>IF('ORDENES'!$A750="","",IF('ORDENES'!$AA750="","-",'ORDENES'!$AA750))</f>
        <v/>
      </c>
      <c r="G772" s="5">
        <f>IF('ORDENES'!$A750="","",IF('ORDENES'!$Y750="","-",'ORDENES'!$Y750))</f>
        <v/>
      </c>
      <c r="H772" s="5">
        <f>IF('ORDENES'!$A750="","",IF('ORDENES'!$AG750="","-",'ORDENES'!$AG750))</f>
        <v/>
      </c>
      <c r="I772" s="5">
        <f>IF('ORDENES'!$A750="","",IF('ORDENES'!$AT750="","-",'ORDENES'!$AT750))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0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IF('ORDENES'!$A750="","",'ORDENES'!$AF750)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IF('ORDENES'!$A751="","",IF('ORDENES'!$AH751="","-",'ORDENES'!$AH751))</f>
        <v/>
      </c>
      <c r="D773" s="5">
        <f>IF('ORDENES'!$A751="","",IF('ORDENES'!$Z751="","-",'ORDENES'!$Z751))</f>
        <v/>
      </c>
      <c r="E773" s="5">
        <f>IF('ORDENES'!$A751="","",IF('ORDENES'!$X751="","-",'ORDENES'!$X751))</f>
        <v/>
      </c>
      <c r="F773" s="5">
        <f>IF('ORDENES'!$A751="","",IF('ORDENES'!$AA751="","-",'ORDENES'!$AA751))</f>
        <v/>
      </c>
      <c r="G773" s="5">
        <f>IF('ORDENES'!$A751="","",IF('ORDENES'!$Y751="","-",'ORDENES'!$Y751))</f>
        <v/>
      </c>
      <c r="H773" s="5">
        <f>IF('ORDENES'!$A751="","",IF('ORDENES'!$AG751="","-",'ORDENES'!$AG751))</f>
        <v/>
      </c>
      <c r="I773" s="5">
        <f>IF('ORDENES'!$A751="","",IF('ORDENES'!$AT751="","-",'ORDENES'!$AT751))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0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IF('ORDENES'!$A751="","",'ORDENES'!$AF751)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IF('ORDENES'!$A752="","",IF('ORDENES'!$AH752="","-",'ORDENES'!$AH752))</f>
        <v/>
      </c>
      <c r="D774" s="5">
        <f>IF('ORDENES'!$A752="","",IF('ORDENES'!$Z752="","-",'ORDENES'!$Z752))</f>
        <v/>
      </c>
      <c r="E774" s="5">
        <f>IF('ORDENES'!$A752="","",IF('ORDENES'!$X752="","-",'ORDENES'!$X752))</f>
        <v/>
      </c>
      <c r="F774" s="5">
        <f>IF('ORDENES'!$A752="","",IF('ORDENES'!$AA752="","-",'ORDENES'!$AA752))</f>
        <v/>
      </c>
      <c r="G774" s="5">
        <f>IF('ORDENES'!$A752="","",IF('ORDENES'!$Y752="","-",'ORDENES'!$Y752))</f>
        <v/>
      </c>
      <c r="H774" s="5">
        <f>IF('ORDENES'!$A752="","",IF('ORDENES'!$AG752="","-",'ORDENES'!$AG752))</f>
        <v/>
      </c>
      <c r="I774" s="5">
        <f>IF('ORDENES'!$A752="","",IF('ORDENES'!$AT752="","-",'ORDENES'!$AT752))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0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IF('ORDENES'!$A752="","",'ORDENES'!$AF752)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IF('ORDENES'!$A753="","",IF('ORDENES'!$AH753="","-",'ORDENES'!$AH753))</f>
        <v/>
      </c>
      <c r="D775" s="5">
        <f>IF('ORDENES'!$A753="","",IF('ORDENES'!$Z753="","-",'ORDENES'!$Z753))</f>
        <v/>
      </c>
      <c r="E775" s="5">
        <f>IF('ORDENES'!$A753="","",IF('ORDENES'!$X753="","-",'ORDENES'!$X753))</f>
        <v/>
      </c>
      <c r="F775" s="5">
        <f>IF('ORDENES'!$A753="","",IF('ORDENES'!$AA753="","-",'ORDENES'!$AA753))</f>
        <v/>
      </c>
      <c r="G775" s="5">
        <f>IF('ORDENES'!$A753="","",IF('ORDENES'!$Y753="","-",'ORDENES'!$Y753))</f>
        <v/>
      </c>
      <c r="H775" s="5">
        <f>IF('ORDENES'!$A753="","",IF('ORDENES'!$AG753="","-",'ORDENES'!$AG753))</f>
        <v/>
      </c>
      <c r="I775" s="5">
        <f>IF('ORDENES'!$A753="","",IF('ORDENES'!$AT753="","-",'ORDENES'!$AT753))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0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IF('ORDENES'!$A753="","",'ORDENES'!$AF753)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IF('ORDENES'!$A754="","",IF('ORDENES'!$AH754="","-",'ORDENES'!$AH754))</f>
        <v/>
      </c>
      <c r="D776" s="5">
        <f>IF('ORDENES'!$A754="","",IF('ORDENES'!$Z754="","-",'ORDENES'!$Z754))</f>
        <v/>
      </c>
      <c r="E776" s="5">
        <f>IF('ORDENES'!$A754="","",IF('ORDENES'!$X754="","-",'ORDENES'!$X754))</f>
        <v/>
      </c>
      <c r="F776" s="5">
        <f>IF('ORDENES'!$A754="","",IF('ORDENES'!$AA754="","-",'ORDENES'!$AA754))</f>
        <v/>
      </c>
      <c r="G776" s="5">
        <f>IF('ORDENES'!$A754="","",IF('ORDENES'!$Y754="","-",'ORDENES'!$Y754))</f>
        <v/>
      </c>
      <c r="H776" s="5">
        <f>IF('ORDENES'!$A754="","",IF('ORDENES'!$AG754="","-",'ORDENES'!$AG754))</f>
        <v/>
      </c>
      <c r="I776" s="5">
        <f>IF('ORDENES'!$A754="","",IF('ORDENES'!$AT754="","-",'ORDENES'!$AT754))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0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IF('ORDENES'!$A754="","",'ORDENES'!$AF754)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IF('ORDENES'!$A755="","",IF('ORDENES'!$AH755="","-",'ORDENES'!$AH755))</f>
        <v/>
      </c>
      <c r="D777" s="5">
        <f>IF('ORDENES'!$A755="","",IF('ORDENES'!$Z755="","-",'ORDENES'!$Z755))</f>
        <v/>
      </c>
      <c r="E777" s="5">
        <f>IF('ORDENES'!$A755="","",IF('ORDENES'!$X755="","-",'ORDENES'!$X755))</f>
        <v/>
      </c>
      <c r="F777" s="5">
        <f>IF('ORDENES'!$A755="","",IF('ORDENES'!$AA755="","-",'ORDENES'!$AA755))</f>
        <v/>
      </c>
      <c r="G777" s="5">
        <f>IF('ORDENES'!$A755="","",IF('ORDENES'!$Y755="","-",'ORDENES'!$Y755))</f>
        <v/>
      </c>
      <c r="H777" s="5">
        <f>IF('ORDENES'!$A755="","",IF('ORDENES'!$AG755="","-",'ORDENES'!$AG755))</f>
        <v/>
      </c>
      <c r="I777" s="5">
        <f>IF('ORDENES'!$A755="","",IF('ORDENES'!$AT755="","-",'ORDENES'!$AT755))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0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IF('ORDENES'!$A755="","",'ORDENES'!$AF755)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IF('ORDENES'!$A756="","",IF('ORDENES'!$AH756="","-",'ORDENES'!$AH756))</f>
        <v/>
      </c>
      <c r="D778" s="5">
        <f>IF('ORDENES'!$A756="","",IF('ORDENES'!$Z756="","-",'ORDENES'!$Z756))</f>
        <v/>
      </c>
      <c r="E778" s="5">
        <f>IF('ORDENES'!$A756="","",IF('ORDENES'!$X756="","-",'ORDENES'!$X756))</f>
        <v/>
      </c>
      <c r="F778" s="5">
        <f>IF('ORDENES'!$A756="","",IF('ORDENES'!$AA756="","-",'ORDENES'!$AA756))</f>
        <v/>
      </c>
      <c r="G778" s="5">
        <f>IF('ORDENES'!$A756="","",IF('ORDENES'!$Y756="","-",'ORDENES'!$Y756))</f>
        <v/>
      </c>
      <c r="H778" s="5">
        <f>IF('ORDENES'!$A756="","",IF('ORDENES'!$AG756="","-",'ORDENES'!$AG756))</f>
        <v/>
      </c>
      <c r="I778" s="5">
        <f>IF('ORDENES'!$A756="","",IF('ORDENES'!$AT756="","-",'ORDENES'!$AT756))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0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IF('ORDENES'!$A756="","",'ORDENES'!$AF756)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IF('ORDENES'!$A757="","",IF('ORDENES'!$AH757="","-",'ORDENES'!$AH757))</f>
        <v/>
      </c>
      <c r="D779" s="5">
        <f>IF('ORDENES'!$A757="","",IF('ORDENES'!$Z757="","-",'ORDENES'!$Z757))</f>
        <v/>
      </c>
      <c r="E779" s="5">
        <f>IF('ORDENES'!$A757="","",IF('ORDENES'!$X757="","-",'ORDENES'!$X757))</f>
        <v/>
      </c>
      <c r="F779" s="5">
        <f>IF('ORDENES'!$A757="","",IF('ORDENES'!$AA757="","-",'ORDENES'!$AA757))</f>
        <v/>
      </c>
      <c r="G779" s="5">
        <f>IF('ORDENES'!$A757="","",IF('ORDENES'!$Y757="","-",'ORDENES'!$Y757))</f>
        <v/>
      </c>
      <c r="H779" s="5">
        <f>IF('ORDENES'!$A757="","",IF('ORDENES'!$AG757="","-",'ORDENES'!$AG757))</f>
        <v/>
      </c>
      <c r="I779" s="5">
        <f>IF('ORDENES'!$A757="","",IF('ORDENES'!$AT757="","-",'ORDENES'!$AT757))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0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IF('ORDENES'!$A757="","",'ORDENES'!$AF757)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IF('ORDENES'!$A758="","",IF('ORDENES'!$AH758="","-",'ORDENES'!$AH758))</f>
        <v/>
      </c>
      <c r="D780" s="5">
        <f>IF('ORDENES'!$A758="","",IF('ORDENES'!$Z758="","-",'ORDENES'!$Z758))</f>
        <v/>
      </c>
      <c r="E780" s="5">
        <f>IF('ORDENES'!$A758="","",IF('ORDENES'!$X758="","-",'ORDENES'!$X758))</f>
        <v/>
      </c>
      <c r="F780" s="5">
        <f>IF('ORDENES'!$A758="","",IF('ORDENES'!$AA758="","-",'ORDENES'!$AA758))</f>
        <v/>
      </c>
      <c r="G780" s="5">
        <f>IF('ORDENES'!$A758="","",IF('ORDENES'!$Y758="","-",'ORDENES'!$Y758))</f>
        <v/>
      </c>
      <c r="H780" s="5">
        <f>IF('ORDENES'!$A758="","",IF('ORDENES'!$AG758="","-",'ORDENES'!$AG758))</f>
        <v/>
      </c>
      <c r="I780" s="5">
        <f>IF('ORDENES'!$A758="","",IF('ORDENES'!$AT758="","-",'ORDENES'!$AT758))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0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IF('ORDENES'!$A758="","",'ORDENES'!$AF758)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IF('ORDENES'!$A759="","",IF('ORDENES'!$AH759="","-",'ORDENES'!$AH759))</f>
        <v/>
      </c>
      <c r="D781" s="5">
        <f>IF('ORDENES'!$A759="","",IF('ORDENES'!$Z759="","-",'ORDENES'!$Z759))</f>
        <v/>
      </c>
      <c r="E781" s="5">
        <f>IF('ORDENES'!$A759="","",IF('ORDENES'!$X759="","-",'ORDENES'!$X759))</f>
        <v/>
      </c>
      <c r="F781" s="5">
        <f>IF('ORDENES'!$A759="","",IF('ORDENES'!$AA759="","-",'ORDENES'!$AA759))</f>
        <v/>
      </c>
      <c r="G781" s="5">
        <f>IF('ORDENES'!$A759="","",IF('ORDENES'!$Y759="","-",'ORDENES'!$Y759))</f>
        <v/>
      </c>
      <c r="H781" s="5">
        <f>IF('ORDENES'!$A759="","",IF('ORDENES'!$AG759="","-",'ORDENES'!$AG759))</f>
        <v/>
      </c>
      <c r="I781" s="5">
        <f>IF('ORDENES'!$A759="","",IF('ORDENES'!$AT759="","-",'ORDENES'!$AT759))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0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IF('ORDENES'!$A759="","",'ORDENES'!$AF759)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IF('ORDENES'!$A760="","",IF('ORDENES'!$AH760="","-",'ORDENES'!$AH760))</f>
        <v/>
      </c>
      <c r="D782" s="5">
        <f>IF('ORDENES'!$A760="","",IF('ORDENES'!$Z760="","-",'ORDENES'!$Z760))</f>
        <v/>
      </c>
      <c r="E782" s="5">
        <f>IF('ORDENES'!$A760="","",IF('ORDENES'!$X760="","-",'ORDENES'!$X760))</f>
        <v/>
      </c>
      <c r="F782" s="5">
        <f>IF('ORDENES'!$A760="","",IF('ORDENES'!$AA760="","-",'ORDENES'!$AA760))</f>
        <v/>
      </c>
      <c r="G782" s="5">
        <f>IF('ORDENES'!$A760="","",IF('ORDENES'!$Y760="","-",'ORDENES'!$Y760))</f>
        <v/>
      </c>
      <c r="H782" s="5">
        <f>IF('ORDENES'!$A760="","",IF('ORDENES'!$AG760="","-",'ORDENES'!$AG760))</f>
        <v/>
      </c>
      <c r="I782" s="5">
        <f>IF('ORDENES'!$A760="","",IF('ORDENES'!$AT760="","-",'ORDENES'!$AT760))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0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IF('ORDENES'!$A760="","",'ORDENES'!$AF760)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IF('ORDENES'!$A761="","",IF('ORDENES'!$AH761="","-",'ORDENES'!$AH761))</f>
        <v/>
      </c>
      <c r="D783" s="5">
        <f>IF('ORDENES'!$A761="","",IF('ORDENES'!$Z761="","-",'ORDENES'!$Z761))</f>
        <v/>
      </c>
      <c r="E783" s="5">
        <f>IF('ORDENES'!$A761="","",IF('ORDENES'!$X761="","-",'ORDENES'!$X761))</f>
        <v/>
      </c>
      <c r="F783" s="5">
        <f>IF('ORDENES'!$A761="","",IF('ORDENES'!$AA761="","-",'ORDENES'!$AA761))</f>
        <v/>
      </c>
      <c r="G783" s="5">
        <f>IF('ORDENES'!$A761="","",IF('ORDENES'!$Y761="","-",'ORDENES'!$Y761))</f>
        <v/>
      </c>
      <c r="H783" s="5">
        <f>IF('ORDENES'!$A761="","",IF('ORDENES'!$AG761="","-",'ORDENES'!$AG761))</f>
        <v/>
      </c>
      <c r="I783" s="5">
        <f>IF('ORDENES'!$A761="","",IF('ORDENES'!$AT761="","-",'ORDENES'!$AT761))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0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IF('ORDENES'!$A761="","",'ORDENES'!$AF761)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IF('ORDENES'!$A762="","",IF('ORDENES'!$AH762="","-",'ORDENES'!$AH762))</f>
        <v/>
      </c>
      <c r="D784" s="5">
        <f>IF('ORDENES'!$A762="","",IF('ORDENES'!$Z762="","-",'ORDENES'!$Z762))</f>
        <v/>
      </c>
      <c r="E784" s="5">
        <f>IF('ORDENES'!$A762="","",IF('ORDENES'!$X762="","-",'ORDENES'!$X762))</f>
        <v/>
      </c>
      <c r="F784" s="5">
        <f>IF('ORDENES'!$A762="","",IF('ORDENES'!$AA762="","-",'ORDENES'!$AA762))</f>
        <v/>
      </c>
      <c r="G784" s="5">
        <f>IF('ORDENES'!$A762="","",IF('ORDENES'!$Y762="","-",'ORDENES'!$Y762))</f>
        <v/>
      </c>
      <c r="H784" s="5">
        <f>IF('ORDENES'!$A762="","",IF('ORDENES'!$AG762="","-",'ORDENES'!$AG762))</f>
        <v/>
      </c>
      <c r="I784" s="5">
        <f>IF('ORDENES'!$A762="","",IF('ORDENES'!$AT762="","-",'ORDENES'!$AT762))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0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IF('ORDENES'!$A762="","",'ORDENES'!$AF762)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IF('ORDENES'!$A763="","",IF('ORDENES'!$AH763="","-",'ORDENES'!$AH763))</f>
        <v/>
      </c>
      <c r="D785" s="5">
        <f>IF('ORDENES'!$A763="","",IF('ORDENES'!$Z763="","-",'ORDENES'!$Z763))</f>
        <v/>
      </c>
      <c r="E785" s="5">
        <f>IF('ORDENES'!$A763="","",IF('ORDENES'!$X763="","-",'ORDENES'!$X763))</f>
        <v/>
      </c>
      <c r="F785" s="5">
        <f>IF('ORDENES'!$A763="","",IF('ORDENES'!$AA763="","-",'ORDENES'!$AA763))</f>
        <v/>
      </c>
      <c r="G785" s="5">
        <f>IF('ORDENES'!$A763="","",IF('ORDENES'!$Y763="","-",'ORDENES'!$Y763))</f>
        <v/>
      </c>
      <c r="H785" s="5">
        <f>IF('ORDENES'!$A763="","",IF('ORDENES'!$AG763="","-",'ORDENES'!$AG763))</f>
        <v/>
      </c>
      <c r="I785" s="5">
        <f>IF('ORDENES'!$A763="","",IF('ORDENES'!$AT763="","-",'ORDENES'!$AT763))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0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IF('ORDENES'!$A763="","",'ORDENES'!$AF763)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IF('ORDENES'!$A764="","",IF('ORDENES'!$AH764="","-",'ORDENES'!$AH764))</f>
        <v/>
      </c>
      <c r="D786" s="5">
        <f>IF('ORDENES'!$A764="","",IF('ORDENES'!$Z764="","-",'ORDENES'!$Z764))</f>
        <v/>
      </c>
      <c r="E786" s="5">
        <f>IF('ORDENES'!$A764="","",IF('ORDENES'!$X764="","-",'ORDENES'!$X764))</f>
        <v/>
      </c>
      <c r="F786" s="5">
        <f>IF('ORDENES'!$A764="","",IF('ORDENES'!$AA764="","-",'ORDENES'!$AA764))</f>
        <v/>
      </c>
      <c r="G786" s="5">
        <f>IF('ORDENES'!$A764="","",IF('ORDENES'!$Y764="","-",'ORDENES'!$Y764))</f>
        <v/>
      </c>
      <c r="H786" s="5">
        <f>IF('ORDENES'!$A764="","",IF('ORDENES'!$AG764="","-",'ORDENES'!$AG764))</f>
        <v/>
      </c>
      <c r="I786" s="5">
        <f>IF('ORDENES'!$A764="","",IF('ORDENES'!$AT764="","-",'ORDENES'!$AT764))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0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IF('ORDENES'!$A764="","",'ORDENES'!$AF764)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IF('ORDENES'!$A765="","",IF('ORDENES'!$AH765="","-",'ORDENES'!$AH765))</f>
        <v/>
      </c>
      <c r="D787" s="5">
        <f>IF('ORDENES'!$A765="","",IF('ORDENES'!$Z765="","-",'ORDENES'!$Z765))</f>
        <v/>
      </c>
      <c r="E787" s="5">
        <f>IF('ORDENES'!$A765="","",IF('ORDENES'!$X765="","-",'ORDENES'!$X765))</f>
        <v/>
      </c>
      <c r="F787" s="5">
        <f>IF('ORDENES'!$A765="","",IF('ORDENES'!$AA765="","-",'ORDENES'!$AA765))</f>
        <v/>
      </c>
      <c r="G787" s="5">
        <f>IF('ORDENES'!$A765="","",IF('ORDENES'!$Y765="","-",'ORDENES'!$Y765))</f>
        <v/>
      </c>
      <c r="H787" s="5">
        <f>IF('ORDENES'!$A765="","",IF('ORDENES'!$AG765="","-",'ORDENES'!$AG765))</f>
        <v/>
      </c>
      <c r="I787" s="5">
        <f>IF('ORDENES'!$A765="","",IF('ORDENES'!$AT765="","-",'ORDENES'!$AT765))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0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IF('ORDENES'!$A765="","",'ORDENES'!$AF765)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IF('ORDENES'!$A766="","",IF('ORDENES'!$AH766="","-",'ORDENES'!$AH766))</f>
        <v/>
      </c>
      <c r="D788" s="5">
        <f>IF('ORDENES'!$A766="","",IF('ORDENES'!$Z766="","-",'ORDENES'!$Z766))</f>
        <v/>
      </c>
      <c r="E788" s="5">
        <f>IF('ORDENES'!$A766="","",IF('ORDENES'!$X766="","-",'ORDENES'!$X766))</f>
        <v/>
      </c>
      <c r="F788" s="5">
        <f>IF('ORDENES'!$A766="","",IF('ORDENES'!$AA766="","-",'ORDENES'!$AA766))</f>
        <v/>
      </c>
      <c r="G788" s="5">
        <f>IF('ORDENES'!$A766="","",IF('ORDENES'!$Y766="","-",'ORDENES'!$Y766))</f>
        <v/>
      </c>
      <c r="H788" s="5">
        <f>IF('ORDENES'!$A766="","",IF('ORDENES'!$AG766="","-",'ORDENES'!$AG766))</f>
        <v/>
      </c>
      <c r="I788" s="5">
        <f>IF('ORDENES'!$A766="","",IF('ORDENES'!$AT766="","-",'ORDENES'!$AT766))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0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IF('ORDENES'!$A766="","",'ORDENES'!$AF766)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IF('ORDENES'!$A767="","",IF('ORDENES'!$AH767="","-",'ORDENES'!$AH767))</f>
        <v/>
      </c>
      <c r="D789" s="5">
        <f>IF('ORDENES'!$A767="","",IF('ORDENES'!$Z767="","-",'ORDENES'!$Z767))</f>
        <v/>
      </c>
      <c r="E789" s="5">
        <f>IF('ORDENES'!$A767="","",IF('ORDENES'!$X767="","-",'ORDENES'!$X767))</f>
        <v/>
      </c>
      <c r="F789" s="5">
        <f>IF('ORDENES'!$A767="","",IF('ORDENES'!$AA767="","-",'ORDENES'!$AA767))</f>
        <v/>
      </c>
      <c r="G789" s="5">
        <f>IF('ORDENES'!$A767="","",IF('ORDENES'!$Y767="","-",'ORDENES'!$Y767))</f>
        <v/>
      </c>
      <c r="H789" s="5">
        <f>IF('ORDENES'!$A767="","",IF('ORDENES'!$AG767="","-",'ORDENES'!$AG767))</f>
        <v/>
      </c>
      <c r="I789" s="5">
        <f>IF('ORDENES'!$A767="","",IF('ORDENES'!$AT767="","-",'ORDENES'!$AT767))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0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IF('ORDENES'!$A767="","",'ORDENES'!$AF767)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IF('ORDENES'!$A768="","",IF('ORDENES'!$AH768="","-",'ORDENES'!$AH768))</f>
        <v/>
      </c>
      <c r="D790" s="5">
        <f>IF('ORDENES'!$A768="","",IF('ORDENES'!$Z768="","-",'ORDENES'!$Z768))</f>
        <v/>
      </c>
      <c r="E790" s="5">
        <f>IF('ORDENES'!$A768="","",IF('ORDENES'!$X768="","-",'ORDENES'!$X768))</f>
        <v/>
      </c>
      <c r="F790" s="5">
        <f>IF('ORDENES'!$A768="","",IF('ORDENES'!$AA768="","-",'ORDENES'!$AA768))</f>
        <v/>
      </c>
      <c r="G790" s="5">
        <f>IF('ORDENES'!$A768="","",IF('ORDENES'!$Y768="","-",'ORDENES'!$Y768))</f>
        <v/>
      </c>
      <c r="H790" s="5">
        <f>IF('ORDENES'!$A768="","",IF('ORDENES'!$AG768="","-",'ORDENES'!$AG768))</f>
        <v/>
      </c>
      <c r="I790" s="5">
        <f>IF('ORDENES'!$A768="","",IF('ORDENES'!$AT768="","-",'ORDENES'!$AT768))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0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IF('ORDENES'!$A768="","",'ORDENES'!$AF768)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IF('ORDENES'!$A769="","",IF('ORDENES'!$AH769="","-",'ORDENES'!$AH769))</f>
        <v/>
      </c>
      <c r="D791" s="5">
        <f>IF('ORDENES'!$A769="","",IF('ORDENES'!$Z769="","-",'ORDENES'!$Z769))</f>
        <v/>
      </c>
      <c r="E791" s="5">
        <f>IF('ORDENES'!$A769="","",IF('ORDENES'!$X769="","-",'ORDENES'!$X769))</f>
        <v/>
      </c>
      <c r="F791" s="5">
        <f>IF('ORDENES'!$A769="","",IF('ORDENES'!$AA769="","-",'ORDENES'!$AA769))</f>
        <v/>
      </c>
      <c r="G791" s="5">
        <f>IF('ORDENES'!$A769="","",IF('ORDENES'!$Y769="","-",'ORDENES'!$Y769))</f>
        <v/>
      </c>
      <c r="H791" s="5">
        <f>IF('ORDENES'!$A769="","",IF('ORDENES'!$AG769="","-",'ORDENES'!$AG769))</f>
        <v/>
      </c>
      <c r="I791" s="5">
        <f>IF('ORDENES'!$A769="","",IF('ORDENES'!$AT769="","-",'ORDENES'!$AT769))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0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IF('ORDENES'!$A769="","",'ORDENES'!$AF769)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IF('ORDENES'!$A770="","",IF('ORDENES'!$AH770="","-",'ORDENES'!$AH770))</f>
        <v/>
      </c>
      <c r="D792" s="5">
        <f>IF('ORDENES'!$A770="","",IF('ORDENES'!$Z770="","-",'ORDENES'!$Z770))</f>
        <v/>
      </c>
      <c r="E792" s="5">
        <f>IF('ORDENES'!$A770="","",IF('ORDENES'!$X770="","-",'ORDENES'!$X770))</f>
        <v/>
      </c>
      <c r="F792" s="5">
        <f>IF('ORDENES'!$A770="","",IF('ORDENES'!$AA770="","-",'ORDENES'!$AA770))</f>
        <v/>
      </c>
      <c r="G792" s="5">
        <f>IF('ORDENES'!$A770="","",IF('ORDENES'!$Y770="","-",'ORDENES'!$Y770))</f>
        <v/>
      </c>
      <c r="H792" s="5">
        <f>IF('ORDENES'!$A770="","",IF('ORDENES'!$AG770="","-",'ORDENES'!$AG770))</f>
        <v/>
      </c>
      <c r="I792" s="5">
        <f>IF('ORDENES'!$A770="","",IF('ORDENES'!$AT770="","-",'ORDENES'!$AT770))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0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IF('ORDENES'!$A770="","",'ORDENES'!$AF770)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IF('ORDENES'!$A771="","",IF('ORDENES'!$AH771="","-",'ORDENES'!$AH771))</f>
        <v/>
      </c>
      <c r="D793" s="5">
        <f>IF('ORDENES'!$A771="","",IF('ORDENES'!$Z771="","-",'ORDENES'!$Z771))</f>
        <v/>
      </c>
      <c r="E793" s="5">
        <f>IF('ORDENES'!$A771="","",IF('ORDENES'!$X771="","-",'ORDENES'!$X771))</f>
        <v/>
      </c>
      <c r="F793" s="5">
        <f>IF('ORDENES'!$A771="","",IF('ORDENES'!$AA771="","-",'ORDENES'!$AA771))</f>
        <v/>
      </c>
      <c r="G793" s="5">
        <f>IF('ORDENES'!$A771="","",IF('ORDENES'!$Y771="","-",'ORDENES'!$Y771))</f>
        <v/>
      </c>
      <c r="H793" s="5">
        <f>IF('ORDENES'!$A771="","",IF('ORDENES'!$AG771="","-",'ORDENES'!$AG771))</f>
        <v/>
      </c>
      <c r="I793" s="5">
        <f>IF('ORDENES'!$A771="","",IF('ORDENES'!$AT771="","-",'ORDENES'!$AT771))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0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IF('ORDENES'!$A771="","",'ORDENES'!$AF771)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IF('ORDENES'!$A772="","",IF('ORDENES'!$AH772="","-",'ORDENES'!$AH772))</f>
        <v/>
      </c>
      <c r="D794" s="5">
        <f>IF('ORDENES'!$A772="","",IF('ORDENES'!$Z772="","-",'ORDENES'!$Z772))</f>
        <v/>
      </c>
      <c r="E794" s="5">
        <f>IF('ORDENES'!$A772="","",IF('ORDENES'!$X772="","-",'ORDENES'!$X772))</f>
        <v/>
      </c>
      <c r="F794" s="5">
        <f>IF('ORDENES'!$A772="","",IF('ORDENES'!$AA772="","-",'ORDENES'!$AA772))</f>
        <v/>
      </c>
      <c r="G794" s="5">
        <f>IF('ORDENES'!$A772="","",IF('ORDENES'!$Y772="","-",'ORDENES'!$Y772))</f>
        <v/>
      </c>
      <c r="H794" s="5">
        <f>IF('ORDENES'!$A772="","",IF('ORDENES'!$AG772="","-",'ORDENES'!$AG772))</f>
        <v/>
      </c>
      <c r="I794" s="5">
        <f>IF('ORDENES'!$A772="","",IF('ORDENES'!$AT772="","-",'ORDENES'!$AT772))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0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IF('ORDENES'!$A772="","",'ORDENES'!$AF772)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IF('ORDENES'!$A773="","",IF('ORDENES'!$AH773="","-",'ORDENES'!$AH773))</f>
        <v/>
      </c>
      <c r="D795" s="5">
        <f>IF('ORDENES'!$A773="","",IF('ORDENES'!$Z773="","-",'ORDENES'!$Z773))</f>
        <v/>
      </c>
      <c r="E795" s="5">
        <f>IF('ORDENES'!$A773="","",IF('ORDENES'!$X773="","-",'ORDENES'!$X773))</f>
        <v/>
      </c>
      <c r="F795" s="5">
        <f>IF('ORDENES'!$A773="","",IF('ORDENES'!$AA773="","-",'ORDENES'!$AA773))</f>
        <v/>
      </c>
      <c r="G795" s="5">
        <f>IF('ORDENES'!$A773="","",IF('ORDENES'!$Y773="","-",'ORDENES'!$Y773))</f>
        <v/>
      </c>
      <c r="H795" s="5">
        <f>IF('ORDENES'!$A773="","",IF('ORDENES'!$AG773="","-",'ORDENES'!$AG773))</f>
        <v/>
      </c>
      <c r="I795" s="5">
        <f>IF('ORDENES'!$A773="","",IF('ORDENES'!$AT773="","-",'ORDENES'!$AT773))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0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IF('ORDENES'!$A773="","",'ORDENES'!$AF773)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IF('ORDENES'!$A774="","",IF('ORDENES'!$AH774="","-",'ORDENES'!$AH774))</f>
        <v/>
      </c>
      <c r="D796" s="5">
        <f>IF('ORDENES'!$A774="","",IF('ORDENES'!$Z774="","-",'ORDENES'!$Z774))</f>
        <v/>
      </c>
      <c r="E796" s="5">
        <f>IF('ORDENES'!$A774="","",IF('ORDENES'!$X774="","-",'ORDENES'!$X774))</f>
        <v/>
      </c>
      <c r="F796" s="5">
        <f>IF('ORDENES'!$A774="","",IF('ORDENES'!$AA774="","-",'ORDENES'!$AA774))</f>
        <v/>
      </c>
      <c r="G796" s="5">
        <f>IF('ORDENES'!$A774="","",IF('ORDENES'!$Y774="","-",'ORDENES'!$Y774))</f>
        <v/>
      </c>
      <c r="H796" s="5">
        <f>IF('ORDENES'!$A774="","",IF('ORDENES'!$AG774="","-",'ORDENES'!$AG774))</f>
        <v/>
      </c>
      <c r="I796" s="5">
        <f>IF('ORDENES'!$A774="","",IF('ORDENES'!$AT774="","-",'ORDENES'!$AT774))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0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IF('ORDENES'!$A774="","",'ORDENES'!$AF774)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IF('ORDENES'!$A775="","",IF('ORDENES'!$AH775="","-",'ORDENES'!$AH775))</f>
        <v/>
      </c>
      <c r="D797" s="5">
        <f>IF('ORDENES'!$A775="","",IF('ORDENES'!$Z775="","-",'ORDENES'!$Z775))</f>
        <v/>
      </c>
      <c r="E797" s="5">
        <f>IF('ORDENES'!$A775="","",IF('ORDENES'!$X775="","-",'ORDENES'!$X775))</f>
        <v/>
      </c>
      <c r="F797" s="5">
        <f>IF('ORDENES'!$A775="","",IF('ORDENES'!$AA775="","-",'ORDENES'!$AA775))</f>
        <v/>
      </c>
      <c r="G797" s="5">
        <f>IF('ORDENES'!$A775="","",IF('ORDENES'!$Y775="","-",'ORDENES'!$Y775))</f>
        <v/>
      </c>
      <c r="H797" s="5">
        <f>IF('ORDENES'!$A775="","",IF('ORDENES'!$AG775="","-",'ORDENES'!$AG775))</f>
        <v/>
      </c>
      <c r="I797" s="5">
        <f>IF('ORDENES'!$A775="","",IF('ORDENES'!$AT775="","-",'ORDENES'!$AT775))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0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IF('ORDENES'!$A775="","",'ORDENES'!$AF775)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IF('ORDENES'!$A776="","",IF('ORDENES'!$AH776="","-",'ORDENES'!$AH776))</f>
        <v/>
      </c>
      <c r="D798" s="5">
        <f>IF('ORDENES'!$A776="","",IF('ORDENES'!$Z776="","-",'ORDENES'!$Z776))</f>
        <v/>
      </c>
      <c r="E798" s="5">
        <f>IF('ORDENES'!$A776="","",IF('ORDENES'!$X776="","-",'ORDENES'!$X776))</f>
        <v/>
      </c>
      <c r="F798" s="5">
        <f>IF('ORDENES'!$A776="","",IF('ORDENES'!$AA776="","-",'ORDENES'!$AA776))</f>
        <v/>
      </c>
      <c r="G798" s="5">
        <f>IF('ORDENES'!$A776="","",IF('ORDENES'!$Y776="","-",'ORDENES'!$Y776))</f>
        <v/>
      </c>
      <c r="H798" s="5">
        <f>IF('ORDENES'!$A776="","",IF('ORDENES'!$AG776="","-",'ORDENES'!$AG776))</f>
        <v/>
      </c>
      <c r="I798" s="5">
        <f>IF('ORDENES'!$A776="","",IF('ORDENES'!$AT776="","-",'ORDENES'!$AT776))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0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IF('ORDENES'!$A776="","",'ORDENES'!$AF776)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IF('ORDENES'!$A777="","",IF('ORDENES'!$AH777="","-",'ORDENES'!$AH777))</f>
        <v/>
      </c>
      <c r="D799" s="5">
        <f>IF('ORDENES'!$A777="","",IF('ORDENES'!$Z777="","-",'ORDENES'!$Z777))</f>
        <v/>
      </c>
      <c r="E799" s="5">
        <f>IF('ORDENES'!$A777="","",IF('ORDENES'!$X777="","-",'ORDENES'!$X777))</f>
        <v/>
      </c>
      <c r="F799" s="5">
        <f>IF('ORDENES'!$A777="","",IF('ORDENES'!$AA777="","-",'ORDENES'!$AA777))</f>
        <v/>
      </c>
      <c r="G799" s="5">
        <f>IF('ORDENES'!$A777="","",IF('ORDENES'!$Y777="","-",'ORDENES'!$Y777))</f>
        <v/>
      </c>
      <c r="H799" s="5">
        <f>IF('ORDENES'!$A777="","",IF('ORDENES'!$AG777="","-",'ORDENES'!$AG777))</f>
        <v/>
      </c>
      <c r="I799" s="5">
        <f>IF('ORDENES'!$A777="","",IF('ORDENES'!$AT777="","-",'ORDENES'!$AT777))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0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IF('ORDENES'!$A777="","",'ORDENES'!$AF777)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IF('ORDENES'!$A778="","",IF('ORDENES'!$AH778="","-",'ORDENES'!$AH778))</f>
        <v/>
      </c>
      <c r="D800" s="5">
        <f>IF('ORDENES'!$A778="","",IF('ORDENES'!$Z778="","-",'ORDENES'!$Z778))</f>
        <v/>
      </c>
      <c r="E800" s="5">
        <f>IF('ORDENES'!$A778="","",IF('ORDENES'!$X778="","-",'ORDENES'!$X778))</f>
        <v/>
      </c>
      <c r="F800" s="5">
        <f>IF('ORDENES'!$A778="","",IF('ORDENES'!$AA778="","-",'ORDENES'!$AA778))</f>
        <v/>
      </c>
      <c r="G800" s="5">
        <f>IF('ORDENES'!$A778="","",IF('ORDENES'!$Y778="","-",'ORDENES'!$Y778))</f>
        <v/>
      </c>
      <c r="H800" s="5">
        <f>IF('ORDENES'!$A778="","",IF('ORDENES'!$AG778="","-",'ORDENES'!$AG778))</f>
        <v/>
      </c>
      <c r="I800" s="5">
        <f>IF('ORDENES'!$A778="","",IF('ORDENES'!$AT778="","-",'ORDENES'!$AT778))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0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IF('ORDENES'!$A778="","",'ORDENES'!$AF778)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IF('ORDENES'!$A779="","",IF('ORDENES'!$AH779="","-",'ORDENES'!$AH779))</f>
        <v/>
      </c>
      <c r="D801" s="5">
        <f>IF('ORDENES'!$A779="","",IF('ORDENES'!$Z779="","-",'ORDENES'!$Z779))</f>
        <v/>
      </c>
      <c r="E801" s="5">
        <f>IF('ORDENES'!$A779="","",IF('ORDENES'!$X779="","-",'ORDENES'!$X779))</f>
        <v/>
      </c>
      <c r="F801" s="5">
        <f>IF('ORDENES'!$A779="","",IF('ORDENES'!$AA779="","-",'ORDENES'!$AA779))</f>
        <v/>
      </c>
      <c r="G801" s="5">
        <f>IF('ORDENES'!$A779="","",IF('ORDENES'!$Y779="","-",'ORDENES'!$Y779))</f>
        <v/>
      </c>
      <c r="H801" s="5">
        <f>IF('ORDENES'!$A779="","",IF('ORDENES'!$AG779="","-",'ORDENES'!$AG779))</f>
        <v/>
      </c>
      <c r="I801" s="5">
        <f>IF('ORDENES'!$A779="","",IF('ORDENES'!$AT779="","-",'ORDENES'!$AT779))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0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IF('ORDENES'!$A779="","",'ORDENES'!$AF779)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IF('ORDENES'!$A780="","",IF('ORDENES'!$AH780="","-",'ORDENES'!$AH780))</f>
        <v/>
      </c>
      <c r="D802" s="5">
        <f>IF('ORDENES'!$A780="","",IF('ORDENES'!$Z780="","-",'ORDENES'!$Z780))</f>
        <v/>
      </c>
      <c r="E802" s="5">
        <f>IF('ORDENES'!$A780="","",IF('ORDENES'!$X780="","-",'ORDENES'!$X780))</f>
        <v/>
      </c>
      <c r="F802" s="5">
        <f>IF('ORDENES'!$A780="","",IF('ORDENES'!$AA780="","-",'ORDENES'!$AA780))</f>
        <v/>
      </c>
      <c r="G802" s="5">
        <f>IF('ORDENES'!$A780="","",IF('ORDENES'!$Y780="","-",'ORDENES'!$Y780))</f>
        <v/>
      </c>
      <c r="H802" s="5">
        <f>IF('ORDENES'!$A780="","",IF('ORDENES'!$AG780="","-",'ORDENES'!$AG780))</f>
        <v/>
      </c>
      <c r="I802" s="5">
        <f>IF('ORDENES'!$A780="","",IF('ORDENES'!$AT780="","-",'ORDENES'!$AT780))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0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IF('ORDENES'!$A780="","",'ORDENES'!$AF780)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IF('ORDENES'!$A781="","",IF('ORDENES'!$AH781="","-",'ORDENES'!$AH781))</f>
        <v/>
      </c>
      <c r="D803" s="5">
        <f>IF('ORDENES'!$A781="","",IF('ORDENES'!$Z781="","-",'ORDENES'!$Z781))</f>
        <v/>
      </c>
      <c r="E803" s="5">
        <f>IF('ORDENES'!$A781="","",IF('ORDENES'!$X781="","-",'ORDENES'!$X781))</f>
        <v/>
      </c>
      <c r="F803" s="5">
        <f>IF('ORDENES'!$A781="","",IF('ORDENES'!$AA781="","-",'ORDENES'!$AA781))</f>
        <v/>
      </c>
      <c r="G803" s="5">
        <f>IF('ORDENES'!$A781="","",IF('ORDENES'!$Y781="","-",'ORDENES'!$Y781))</f>
        <v/>
      </c>
      <c r="H803" s="5">
        <f>IF('ORDENES'!$A781="","",IF('ORDENES'!$AG781="","-",'ORDENES'!$AG781))</f>
        <v/>
      </c>
      <c r="I803" s="5">
        <f>IF('ORDENES'!$A781="","",IF('ORDENES'!$AT781="","-",'ORDENES'!$AT781))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0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IF('ORDENES'!$A781="","",'ORDENES'!$AF781)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IF('ORDENES'!$A782="","",IF('ORDENES'!$AH782="","-",'ORDENES'!$AH782))</f>
        <v/>
      </c>
      <c r="D804" s="5">
        <f>IF('ORDENES'!$A782="","",IF('ORDENES'!$Z782="","-",'ORDENES'!$Z782))</f>
        <v/>
      </c>
      <c r="E804" s="5">
        <f>IF('ORDENES'!$A782="","",IF('ORDENES'!$X782="","-",'ORDENES'!$X782))</f>
        <v/>
      </c>
      <c r="F804" s="5">
        <f>IF('ORDENES'!$A782="","",IF('ORDENES'!$AA782="","-",'ORDENES'!$AA782))</f>
        <v/>
      </c>
      <c r="G804" s="5">
        <f>IF('ORDENES'!$A782="","",IF('ORDENES'!$Y782="","-",'ORDENES'!$Y782))</f>
        <v/>
      </c>
      <c r="H804" s="5">
        <f>IF('ORDENES'!$A782="","",IF('ORDENES'!$AG782="","-",'ORDENES'!$AG782))</f>
        <v/>
      </c>
      <c r="I804" s="5">
        <f>IF('ORDENES'!$A782="","",IF('ORDENES'!$AT782="","-",'ORDENES'!$AT782))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0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IF('ORDENES'!$A782="","",'ORDENES'!$AF782)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IF('ORDENES'!$A783="","",IF('ORDENES'!$AH783="","-",'ORDENES'!$AH783))</f>
        <v/>
      </c>
      <c r="D805" s="5">
        <f>IF('ORDENES'!$A783="","",IF('ORDENES'!$Z783="","-",'ORDENES'!$Z783))</f>
        <v/>
      </c>
      <c r="E805" s="5">
        <f>IF('ORDENES'!$A783="","",IF('ORDENES'!$X783="","-",'ORDENES'!$X783))</f>
        <v/>
      </c>
      <c r="F805" s="5">
        <f>IF('ORDENES'!$A783="","",IF('ORDENES'!$AA783="","-",'ORDENES'!$AA783))</f>
        <v/>
      </c>
      <c r="G805" s="5">
        <f>IF('ORDENES'!$A783="","",IF('ORDENES'!$Y783="","-",'ORDENES'!$Y783))</f>
        <v/>
      </c>
      <c r="H805" s="5">
        <f>IF('ORDENES'!$A783="","",IF('ORDENES'!$AG783="","-",'ORDENES'!$AG783))</f>
        <v/>
      </c>
      <c r="I805" s="5">
        <f>IF('ORDENES'!$A783="","",IF('ORDENES'!$AT783="","-",'ORDENES'!$AT783))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0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IF('ORDENES'!$A783="","",'ORDENES'!$AF783)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IF('ORDENES'!$A784="","",IF('ORDENES'!$AH784="","-",'ORDENES'!$AH784))</f>
        <v/>
      </c>
      <c r="D806" s="5">
        <f>IF('ORDENES'!$A784="","",IF('ORDENES'!$Z784="","-",'ORDENES'!$Z784))</f>
        <v/>
      </c>
      <c r="E806" s="5">
        <f>IF('ORDENES'!$A784="","",IF('ORDENES'!$X784="","-",'ORDENES'!$X784))</f>
        <v/>
      </c>
      <c r="F806" s="5">
        <f>IF('ORDENES'!$A784="","",IF('ORDENES'!$AA784="","-",'ORDENES'!$AA784))</f>
        <v/>
      </c>
      <c r="G806" s="5">
        <f>IF('ORDENES'!$A784="","",IF('ORDENES'!$Y784="","-",'ORDENES'!$Y784))</f>
        <v/>
      </c>
      <c r="H806" s="5">
        <f>IF('ORDENES'!$A784="","",IF('ORDENES'!$AG784="","-",'ORDENES'!$AG784))</f>
        <v/>
      </c>
      <c r="I806" s="5">
        <f>IF('ORDENES'!$A784="","",IF('ORDENES'!$AT784="","-",'ORDENES'!$AT784))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0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IF('ORDENES'!$A784="","",'ORDENES'!$AF784)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IF('ORDENES'!$A785="","",IF('ORDENES'!$AH785="","-",'ORDENES'!$AH785))</f>
        <v/>
      </c>
      <c r="D807" s="5">
        <f>IF('ORDENES'!$A785="","",IF('ORDENES'!$Z785="","-",'ORDENES'!$Z785))</f>
        <v/>
      </c>
      <c r="E807" s="5">
        <f>IF('ORDENES'!$A785="","",IF('ORDENES'!$X785="","-",'ORDENES'!$X785))</f>
        <v/>
      </c>
      <c r="F807" s="5">
        <f>IF('ORDENES'!$A785="","",IF('ORDENES'!$AA785="","-",'ORDENES'!$AA785))</f>
        <v/>
      </c>
      <c r="G807" s="5">
        <f>IF('ORDENES'!$A785="","",IF('ORDENES'!$Y785="","-",'ORDENES'!$Y785))</f>
        <v/>
      </c>
      <c r="H807" s="5">
        <f>IF('ORDENES'!$A785="","",IF('ORDENES'!$AG785="","-",'ORDENES'!$AG785))</f>
        <v/>
      </c>
      <c r="I807" s="5">
        <f>IF('ORDENES'!$A785="","",IF('ORDENES'!$AT785="","-",'ORDENES'!$AT785))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0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IF('ORDENES'!$A785="","",'ORDENES'!$AF785)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IF('ORDENES'!$A786="","",IF('ORDENES'!$AH786="","-",'ORDENES'!$AH786))</f>
        <v/>
      </c>
      <c r="D808" s="5">
        <f>IF('ORDENES'!$A786="","",IF('ORDENES'!$Z786="","-",'ORDENES'!$Z786))</f>
        <v/>
      </c>
      <c r="E808" s="5">
        <f>IF('ORDENES'!$A786="","",IF('ORDENES'!$X786="","-",'ORDENES'!$X786))</f>
        <v/>
      </c>
      <c r="F808" s="5">
        <f>IF('ORDENES'!$A786="","",IF('ORDENES'!$AA786="","-",'ORDENES'!$AA786))</f>
        <v/>
      </c>
      <c r="G808" s="5">
        <f>IF('ORDENES'!$A786="","",IF('ORDENES'!$Y786="","-",'ORDENES'!$Y786))</f>
        <v/>
      </c>
      <c r="H808" s="5">
        <f>IF('ORDENES'!$A786="","",IF('ORDENES'!$AG786="","-",'ORDENES'!$AG786))</f>
        <v/>
      </c>
      <c r="I808" s="5">
        <f>IF('ORDENES'!$A786="","",IF('ORDENES'!$AT786="","-",'ORDENES'!$AT786))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0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IF('ORDENES'!$A786="","",'ORDENES'!$AF786)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IF('ORDENES'!$A787="","",IF('ORDENES'!$AH787="","-",'ORDENES'!$AH787))</f>
        <v/>
      </c>
      <c r="D809" s="5">
        <f>IF('ORDENES'!$A787="","",IF('ORDENES'!$Z787="","-",'ORDENES'!$Z787))</f>
        <v/>
      </c>
      <c r="E809" s="5">
        <f>IF('ORDENES'!$A787="","",IF('ORDENES'!$X787="","-",'ORDENES'!$X787))</f>
        <v/>
      </c>
      <c r="F809" s="5">
        <f>IF('ORDENES'!$A787="","",IF('ORDENES'!$AA787="","-",'ORDENES'!$AA787))</f>
        <v/>
      </c>
      <c r="G809" s="5">
        <f>IF('ORDENES'!$A787="","",IF('ORDENES'!$Y787="","-",'ORDENES'!$Y787))</f>
        <v/>
      </c>
      <c r="H809" s="5">
        <f>IF('ORDENES'!$A787="","",IF('ORDENES'!$AG787="","-",'ORDENES'!$AG787))</f>
        <v/>
      </c>
      <c r="I809" s="5">
        <f>IF('ORDENES'!$A787="","",IF('ORDENES'!$AT787="","-",'ORDENES'!$AT787))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0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IF('ORDENES'!$A787="","",'ORDENES'!$AF787)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IF('ORDENES'!$A788="","",IF('ORDENES'!$AH788="","-",'ORDENES'!$AH788))</f>
        <v/>
      </c>
      <c r="D810" s="5">
        <f>IF('ORDENES'!$A788="","",IF('ORDENES'!$Z788="","-",'ORDENES'!$Z788))</f>
        <v/>
      </c>
      <c r="E810" s="5">
        <f>IF('ORDENES'!$A788="","",IF('ORDENES'!$X788="","-",'ORDENES'!$X788))</f>
        <v/>
      </c>
      <c r="F810" s="5">
        <f>IF('ORDENES'!$A788="","",IF('ORDENES'!$AA788="","-",'ORDENES'!$AA788))</f>
        <v/>
      </c>
      <c r="G810" s="5">
        <f>IF('ORDENES'!$A788="","",IF('ORDENES'!$Y788="","-",'ORDENES'!$Y788))</f>
        <v/>
      </c>
      <c r="H810" s="5">
        <f>IF('ORDENES'!$A788="","",IF('ORDENES'!$AG788="","-",'ORDENES'!$AG788))</f>
        <v/>
      </c>
      <c r="I810" s="5">
        <f>IF('ORDENES'!$A788="","",IF('ORDENES'!$AT788="","-",'ORDENES'!$AT788))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0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IF('ORDENES'!$A788="","",'ORDENES'!$AF788)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IF('ORDENES'!$A789="","",IF('ORDENES'!$AH789="","-",'ORDENES'!$AH789))</f>
        <v/>
      </c>
      <c r="D811" s="5">
        <f>IF('ORDENES'!$A789="","",IF('ORDENES'!$Z789="","-",'ORDENES'!$Z789))</f>
        <v/>
      </c>
      <c r="E811" s="5">
        <f>IF('ORDENES'!$A789="","",IF('ORDENES'!$X789="","-",'ORDENES'!$X789))</f>
        <v/>
      </c>
      <c r="F811" s="5">
        <f>IF('ORDENES'!$A789="","",IF('ORDENES'!$AA789="","-",'ORDENES'!$AA789))</f>
        <v/>
      </c>
      <c r="G811" s="5">
        <f>IF('ORDENES'!$A789="","",IF('ORDENES'!$Y789="","-",'ORDENES'!$Y789))</f>
        <v/>
      </c>
      <c r="H811" s="5">
        <f>IF('ORDENES'!$A789="","",IF('ORDENES'!$AG789="","-",'ORDENES'!$AG789))</f>
        <v/>
      </c>
      <c r="I811" s="5">
        <f>IF('ORDENES'!$A789="","",IF('ORDENES'!$AT789="","-",'ORDENES'!$AT789))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0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IF('ORDENES'!$A789="","",'ORDENES'!$AF789)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IF('ORDENES'!$A790="","",IF('ORDENES'!$AH790="","-",'ORDENES'!$AH790))</f>
        <v/>
      </c>
      <c r="D812" s="5">
        <f>IF('ORDENES'!$A790="","",IF('ORDENES'!$Z790="","-",'ORDENES'!$Z790))</f>
        <v/>
      </c>
      <c r="E812" s="5">
        <f>IF('ORDENES'!$A790="","",IF('ORDENES'!$X790="","-",'ORDENES'!$X790))</f>
        <v/>
      </c>
      <c r="F812" s="5">
        <f>IF('ORDENES'!$A790="","",IF('ORDENES'!$AA790="","-",'ORDENES'!$AA790))</f>
        <v/>
      </c>
      <c r="G812" s="5">
        <f>IF('ORDENES'!$A790="","",IF('ORDENES'!$Y790="","-",'ORDENES'!$Y790))</f>
        <v/>
      </c>
      <c r="H812" s="5">
        <f>IF('ORDENES'!$A790="","",IF('ORDENES'!$AG790="","-",'ORDENES'!$AG790))</f>
        <v/>
      </c>
      <c r="I812" s="5">
        <f>IF('ORDENES'!$A790="","",IF('ORDENES'!$AT790="","-",'ORDENES'!$AT790))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0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IF('ORDENES'!$A790="","",'ORDENES'!$AF790)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IF('ORDENES'!$A791="","",IF('ORDENES'!$AH791="","-",'ORDENES'!$AH791))</f>
        <v/>
      </c>
      <c r="D813" s="5">
        <f>IF('ORDENES'!$A791="","",IF('ORDENES'!$Z791="","-",'ORDENES'!$Z791))</f>
        <v/>
      </c>
      <c r="E813" s="5">
        <f>IF('ORDENES'!$A791="","",IF('ORDENES'!$X791="","-",'ORDENES'!$X791))</f>
        <v/>
      </c>
      <c r="F813" s="5">
        <f>IF('ORDENES'!$A791="","",IF('ORDENES'!$AA791="","-",'ORDENES'!$AA791))</f>
        <v/>
      </c>
      <c r="G813" s="5">
        <f>IF('ORDENES'!$A791="","",IF('ORDENES'!$Y791="","-",'ORDENES'!$Y791))</f>
        <v/>
      </c>
      <c r="H813" s="5">
        <f>IF('ORDENES'!$A791="","",IF('ORDENES'!$AG791="","-",'ORDENES'!$AG791))</f>
        <v/>
      </c>
      <c r="I813" s="5">
        <f>IF('ORDENES'!$A791="","",IF('ORDENES'!$AT791="","-",'ORDENES'!$AT791))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0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IF('ORDENES'!$A791="","",'ORDENES'!$AF791)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IF('ORDENES'!$A792="","",IF('ORDENES'!$AH792="","-",'ORDENES'!$AH792))</f>
        <v/>
      </c>
      <c r="D814" s="5">
        <f>IF('ORDENES'!$A792="","",IF('ORDENES'!$Z792="","-",'ORDENES'!$Z792))</f>
        <v/>
      </c>
      <c r="E814" s="5">
        <f>IF('ORDENES'!$A792="","",IF('ORDENES'!$X792="","-",'ORDENES'!$X792))</f>
        <v/>
      </c>
      <c r="F814" s="5">
        <f>IF('ORDENES'!$A792="","",IF('ORDENES'!$AA792="","-",'ORDENES'!$AA792))</f>
        <v/>
      </c>
      <c r="G814" s="5">
        <f>IF('ORDENES'!$A792="","",IF('ORDENES'!$Y792="","-",'ORDENES'!$Y792))</f>
        <v/>
      </c>
      <c r="H814" s="5">
        <f>IF('ORDENES'!$A792="","",IF('ORDENES'!$AG792="","-",'ORDENES'!$AG792))</f>
        <v/>
      </c>
      <c r="I814" s="5">
        <f>IF('ORDENES'!$A792="","",IF('ORDENES'!$AT792="","-",'ORDENES'!$AT792))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0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IF('ORDENES'!$A792="","",'ORDENES'!$AF792)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IF('ORDENES'!$A793="","",IF('ORDENES'!$AH793="","-",'ORDENES'!$AH793))</f>
        <v/>
      </c>
      <c r="D815" s="5">
        <f>IF('ORDENES'!$A793="","",IF('ORDENES'!$Z793="","-",'ORDENES'!$Z793))</f>
        <v/>
      </c>
      <c r="E815" s="5">
        <f>IF('ORDENES'!$A793="","",IF('ORDENES'!$X793="","-",'ORDENES'!$X793))</f>
        <v/>
      </c>
      <c r="F815" s="5">
        <f>IF('ORDENES'!$A793="","",IF('ORDENES'!$AA793="","-",'ORDENES'!$AA793))</f>
        <v/>
      </c>
      <c r="G815" s="5">
        <f>IF('ORDENES'!$A793="","",IF('ORDENES'!$Y793="","-",'ORDENES'!$Y793))</f>
        <v/>
      </c>
      <c r="H815" s="5">
        <f>IF('ORDENES'!$A793="","",IF('ORDENES'!$AG793="","-",'ORDENES'!$AG793))</f>
        <v/>
      </c>
      <c r="I815" s="5">
        <f>IF('ORDENES'!$A793="","",IF('ORDENES'!$AT793="","-",'ORDENES'!$AT793))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0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IF('ORDENES'!$A793="","",'ORDENES'!$AF793)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IF('ORDENES'!$A794="","",IF('ORDENES'!$AH794="","-",'ORDENES'!$AH794))</f>
        <v/>
      </c>
      <c r="D816" s="5">
        <f>IF('ORDENES'!$A794="","",IF('ORDENES'!$Z794="","-",'ORDENES'!$Z794))</f>
        <v/>
      </c>
      <c r="E816" s="5">
        <f>IF('ORDENES'!$A794="","",IF('ORDENES'!$X794="","-",'ORDENES'!$X794))</f>
        <v/>
      </c>
      <c r="F816" s="5">
        <f>IF('ORDENES'!$A794="","",IF('ORDENES'!$AA794="","-",'ORDENES'!$AA794))</f>
        <v/>
      </c>
      <c r="G816" s="5">
        <f>IF('ORDENES'!$A794="","",IF('ORDENES'!$Y794="","-",'ORDENES'!$Y794))</f>
        <v/>
      </c>
      <c r="H816" s="5">
        <f>IF('ORDENES'!$A794="","",IF('ORDENES'!$AG794="","-",'ORDENES'!$AG794))</f>
        <v/>
      </c>
      <c r="I816" s="5">
        <f>IF('ORDENES'!$A794="","",IF('ORDENES'!$AT794="","-",'ORDENES'!$AT794))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0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IF('ORDENES'!$A794="","",'ORDENES'!$AF794)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IF('ORDENES'!$A795="","",IF('ORDENES'!$AH795="","-",'ORDENES'!$AH795))</f>
        <v/>
      </c>
      <c r="D817" s="5">
        <f>IF('ORDENES'!$A795="","",IF('ORDENES'!$Z795="","-",'ORDENES'!$Z795))</f>
        <v/>
      </c>
      <c r="E817" s="5">
        <f>IF('ORDENES'!$A795="","",IF('ORDENES'!$X795="","-",'ORDENES'!$X795))</f>
        <v/>
      </c>
      <c r="F817" s="5">
        <f>IF('ORDENES'!$A795="","",IF('ORDENES'!$AA795="","-",'ORDENES'!$AA795))</f>
        <v/>
      </c>
      <c r="G817" s="5">
        <f>IF('ORDENES'!$A795="","",IF('ORDENES'!$Y795="","-",'ORDENES'!$Y795))</f>
        <v/>
      </c>
      <c r="H817" s="5">
        <f>IF('ORDENES'!$A795="","",IF('ORDENES'!$AG795="","-",'ORDENES'!$AG795))</f>
        <v/>
      </c>
      <c r="I817" s="5">
        <f>IF('ORDENES'!$A795="","",IF('ORDENES'!$AT795="","-",'ORDENES'!$AT795))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0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IF('ORDENES'!$A795="","",'ORDENES'!$AF795)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IF('ORDENES'!$A796="","",IF('ORDENES'!$AH796="","-",'ORDENES'!$AH796))</f>
        <v/>
      </c>
      <c r="D818" s="5">
        <f>IF('ORDENES'!$A796="","",IF('ORDENES'!$Z796="","-",'ORDENES'!$Z796))</f>
        <v/>
      </c>
      <c r="E818" s="5">
        <f>IF('ORDENES'!$A796="","",IF('ORDENES'!$X796="","-",'ORDENES'!$X796))</f>
        <v/>
      </c>
      <c r="F818" s="5">
        <f>IF('ORDENES'!$A796="","",IF('ORDENES'!$AA796="","-",'ORDENES'!$AA796))</f>
        <v/>
      </c>
      <c r="G818" s="5">
        <f>IF('ORDENES'!$A796="","",IF('ORDENES'!$Y796="","-",'ORDENES'!$Y796))</f>
        <v/>
      </c>
      <c r="H818" s="5">
        <f>IF('ORDENES'!$A796="","",IF('ORDENES'!$AG796="","-",'ORDENES'!$AG796))</f>
        <v/>
      </c>
      <c r="I818" s="5">
        <f>IF('ORDENES'!$A796="","",IF('ORDENES'!$AT796="","-",'ORDENES'!$AT796))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0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IF('ORDENES'!$A796="","",'ORDENES'!$AF796)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IF('ORDENES'!$A797="","",IF('ORDENES'!$AH797="","-",'ORDENES'!$AH797))</f>
        <v/>
      </c>
      <c r="D819" s="5">
        <f>IF('ORDENES'!$A797="","",IF('ORDENES'!$Z797="","-",'ORDENES'!$Z797))</f>
        <v/>
      </c>
      <c r="E819" s="5">
        <f>IF('ORDENES'!$A797="","",IF('ORDENES'!$X797="","-",'ORDENES'!$X797))</f>
        <v/>
      </c>
      <c r="F819" s="5">
        <f>IF('ORDENES'!$A797="","",IF('ORDENES'!$AA797="","-",'ORDENES'!$AA797))</f>
        <v/>
      </c>
      <c r="G819" s="5">
        <f>IF('ORDENES'!$A797="","",IF('ORDENES'!$Y797="","-",'ORDENES'!$Y797))</f>
        <v/>
      </c>
      <c r="H819" s="5">
        <f>IF('ORDENES'!$A797="","",IF('ORDENES'!$AG797="","-",'ORDENES'!$AG797))</f>
        <v/>
      </c>
      <c r="I819" s="5">
        <f>IF('ORDENES'!$A797="","",IF('ORDENES'!$AT797="","-",'ORDENES'!$AT797))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0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IF('ORDENES'!$A797="","",'ORDENES'!$AF797)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IF('ORDENES'!$A798="","",IF('ORDENES'!$AH798="","-",'ORDENES'!$AH798))</f>
        <v/>
      </c>
      <c r="D820" s="5">
        <f>IF('ORDENES'!$A798="","",IF('ORDENES'!$Z798="","-",'ORDENES'!$Z798))</f>
        <v/>
      </c>
      <c r="E820" s="5">
        <f>IF('ORDENES'!$A798="","",IF('ORDENES'!$X798="","-",'ORDENES'!$X798))</f>
        <v/>
      </c>
      <c r="F820" s="5">
        <f>IF('ORDENES'!$A798="","",IF('ORDENES'!$AA798="","-",'ORDENES'!$AA798))</f>
        <v/>
      </c>
      <c r="G820" s="5">
        <f>IF('ORDENES'!$A798="","",IF('ORDENES'!$Y798="","-",'ORDENES'!$Y798))</f>
        <v/>
      </c>
      <c r="H820" s="5">
        <f>IF('ORDENES'!$A798="","",IF('ORDENES'!$AG798="","-",'ORDENES'!$AG798))</f>
        <v/>
      </c>
      <c r="I820" s="5">
        <f>IF('ORDENES'!$A798="","",IF('ORDENES'!$AT798="","-",'ORDENES'!$AT798))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0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IF('ORDENES'!$A798="","",'ORDENES'!$AF798)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IF('ORDENES'!$A799="","",IF('ORDENES'!$AH799="","-",'ORDENES'!$AH799))</f>
        <v/>
      </c>
      <c r="D821" s="5">
        <f>IF('ORDENES'!$A799="","",IF('ORDENES'!$Z799="","-",'ORDENES'!$Z799))</f>
        <v/>
      </c>
      <c r="E821" s="5">
        <f>IF('ORDENES'!$A799="","",IF('ORDENES'!$X799="","-",'ORDENES'!$X799))</f>
        <v/>
      </c>
      <c r="F821" s="5">
        <f>IF('ORDENES'!$A799="","",IF('ORDENES'!$AA799="","-",'ORDENES'!$AA799))</f>
        <v/>
      </c>
      <c r="G821" s="5">
        <f>IF('ORDENES'!$A799="","",IF('ORDENES'!$Y799="","-",'ORDENES'!$Y799))</f>
        <v/>
      </c>
      <c r="H821" s="5">
        <f>IF('ORDENES'!$A799="","",IF('ORDENES'!$AG799="","-",'ORDENES'!$AG799))</f>
        <v/>
      </c>
      <c r="I821" s="5">
        <f>IF('ORDENES'!$A799="","",IF('ORDENES'!$AT799="","-",'ORDENES'!$AT799))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0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IF('ORDENES'!$A799="","",'ORDENES'!$AF799)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IF('ORDENES'!$A800="","",IF('ORDENES'!$AH800="","-",'ORDENES'!$AH800))</f>
        <v/>
      </c>
      <c r="D822" s="5">
        <f>IF('ORDENES'!$A800="","",IF('ORDENES'!$Z800="","-",'ORDENES'!$Z800))</f>
        <v/>
      </c>
      <c r="E822" s="5">
        <f>IF('ORDENES'!$A800="","",IF('ORDENES'!$X800="","-",'ORDENES'!$X800))</f>
        <v/>
      </c>
      <c r="F822" s="5">
        <f>IF('ORDENES'!$A800="","",IF('ORDENES'!$AA800="","-",'ORDENES'!$AA800))</f>
        <v/>
      </c>
      <c r="G822" s="5">
        <f>IF('ORDENES'!$A800="","",IF('ORDENES'!$Y800="","-",'ORDENES'!$Y800))</f>
        <v/>
      </c>
      <c r="H822" s="5">
        <f>IF('ORDENES'!$A800="","",IF('ORDENES'!$AG800="","-",'ORDENES'!$AG800))</f>
        <v/>
      </c>
      <c r="I822" s="5">
        <f>IF('ORDENES'!$A800="","",IF('ORDENES'!$AT800="","-",'ORDENES'!$AT800))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0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IF('ORDENES'!$A800="","",'ORDENES'!$AF800)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IF('ORDENES'!$A801="","",IF('ORDENES'!$AH801="","-",'ORDENES'!$AH801))</f>
        <v/>
      </c>
      <c r="D823" s="5">
        <f>IF('ORDENES'!$A801="","",IF('ORDENES'!$Z801="","-",'ORDENES'!$Z801))</f>
        <v/>
      </c>
      <c r="E823" s="5">
        <f>IF('ORDENES'!$A801="","",IF('ORDENES'!$X801="","-",'ORDENES'!$X801))</f>
        <v/>
      </c>
      <c r="F823" s="5">
        <f>IF('ORDENES'!$A801="","",IF('ORDENES'!$AA801="","-",'ORDENES'!$AA801))</f>
        <v/>
      </c>
      <c r="G823" s="5">
        <f>IF('ORDENES'!$A801="","",IF('ORDENES'!$Y801="","-",'ORDENES'!$Y801))</f>
        <v/>
      </c>
      <c r="H823" s="5">
        <f>IF('ORDENES'!$A801="","",IF('ORDENES'!$AG801="","-",'ORDENES'!$AG801))</f>
        <v/>
      </c>
      <c r="I823" s="5">
        <f>IF('ORDENES'!$A801="","",IF('ORDENES'!$AT801="","-",'ORDENES'!$AT801))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0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IF('ORDENES'!$A801="","",'ORDENES'!$AF801)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IF('ORDENES'!$A802="","",IF('ORDENES'!$AH802="","-",'ORDENES'!$AH802))</f>
        <v/>
      </c>
      <c r="D824" s="5">
        <f>IF('ORDENES'!$A802="","",IF('ORDENES'!$Z802="","-",'ORDENES'!$Z802))</f>
        <v/>
      </c>
      <c r="E824" s="5">
        <f>IF('ORDENES'!$A802="","",IF('ORDENES'!$X802="","-",'ORDENES'!$X802))</f>
        <v/>
      </c>
      <c r="F824" s="5">
        <f>IF('ORDENES'!$A802="","",IF('ORDENES'!$AA802="","-",'ORDENES'!$AA802))</f>
        <v/>
      </c>
      <c r="G824" s="5">
        <f>IF('ORDENES'!$A802="","",IF('ORDENES'!$Y802="","-",'ORDENES'!$Y802))</f>
        <v/>
      </c>
      <c r="H824" s="5">
        <f>IF('ORDENES'!$A802="","",IF('ORDENES'!$AG802="","-",'ORDENES'!$AG802))</f>
        <v/>
      </c>
      <c r="I824" s="5">
        <f>IF('ORDENES'!$A802="","",IF('ORDENES'!$AT802="","-",'ORDENES'!$AT802))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0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IF('ORDENES'!$A802="","",'ORDENES'!$AF802)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IF('ORDENES'!$A803="","",IF('ORDENES'!$AH803="","-",'ORDENES'!$AH803))</f>
        <v/>
      </c>
      <c r="D825" s="5">
        <f>IF('ORDENES'!$A803="","",IF('ORDENES'!$Z803="","-",'ORDENES'!$Z803))</f>
        <v/>
      </c>
      <c r="E825" s="5">
        <f>IF('ORDENES'!$A803="","",IF('ORDENES'!$X803="","-",'ORDENES'!$X803))</f>
        <v/>
      </c>
      <c r="F825" s="5">
        <f>IF('ORDENES'!$A803="","",IF('ORDENES'!$AA803="","-",'ORDENES'!$AA803))</f>
        <v/>
      </c>
      <c r="G825" s="5">
        <f>IF('ORDENES'!$A803="","",IF('ORDENES'!$Y803="","-",'ORDENES'!$Y803))</f>
        <v/>
      </c>
      <c r="H825" s="5">
        <f>IF('ORDENES'!$A803="","",IF('ORDENES'!$AG803="","-",'ORDENES'!$AG803))</f>
        <v/>
      </c>
      <c r="I825" s="5">
        <f>IF('ORDENES'!$A803="","",IF('ORDENES'!$AT803="","-",'ORDENES'!$AT803))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0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IF('ORDENES'!$A803="","",'ORDENES'!$AF803)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IF('ORDENES'!$A804="","",IF('ORDENES'!$AH804="","-",'ORDENES'!$AH804))</f>
        <v/>
      </c>
      <c r="D826" s="5">
        <f>IF('ORDENES'!$A804="","",IF('ORDENES'!$Z804="","-",'ORDENES'!$Z804))</f>
        <v/>
      </c>
      <c r="E826" s="5">
        <f>IF('ORDENES'!$A804="","",IF('ORDENES'!$X804="","-",'ORDENES'!$X804))</f>
        <v/>
      </c>
      <c r="F826" s="5">
        <f>IF('ORDENES'!$A804="","",IF('ORDENES'!$AA804="","-",'ORDENES'!$AA804))</f>
        <v/>
      </c>
      <c r="G826" s="5">
        <f>IF('ORDENES'!$A804="","",IF('ORDENES'!$Y804="","-",'ORDENES'!$Y804))</f>
        <v/>
      </c>
      <c r="H826" s="5">
        <f>IF('ORDENES'!$A804="","",IF('ORDENES'!$AG804="","-",'ORDENES'!$AG804))</f>
        <v/>
      </c>
      <c r="I826" s="5">
        <f>IF('ORDENES'!$A804="","",IF('ORDENES'!$AT804="","-",'ORDENES'!$AT804))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0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IF('ORDENES'!$A804="","",'ORDENES'!$AF804)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IF('ORDENES'!$A805="","",IF('ORDENES'!$AH805="","-",'ORDENES'!$AH805))</f>
        <v/>
      </c>
      <c r="D827" s="5">
        <f>IF('ORDENES'!$A805="","",IF('ORDENES'!$Z805="","-",'ORDENES'!$Z805))</f>
        <v/>
      </c>
      <c r="E827" s="5">
        <f>IF('ORDENES'!$A805="","",IF('ORDENES'!$X805="","-",'ORDENES'!$X805))</f>
        <v/>
      </c>
      <c r="F827" s="5">
        <f>IF('ORDENES'!$A805="","",IF('ORDENES'!$AA805="","-",'ORDENES'!$AA805))</f>
        <v/>
      </c>
      <c r="G827" s="5">
        <f>IF('ORDENES'!$A805="","",IF('ORDENES'!$Y805="","-",'ORDENES'!$Y805))</f>
        <v/>
      </c>
      <c r="H827" s="5">
        <f>IF('ORDENES'!$A805="","",IF('ORDENES'!$AG805="","-",'ORDENES'!$AG805))</f>
        <v/>
      </c>
      <c r="I827" s="5">
        <f>IF('ORDENES'!$A805="","",IF('ORDENES'!$AT805="","-",'ORDENES'!$AT805))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0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IF('ORDENES'!$A805="","",'ORDENES'!$AF805)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IF('ORDENES'!$A806="","",IF('ORDENES'!$AH806="","-",'ORDENES'!$AH806))</f>
        <v/>
      </c>
      <c r="D828" s="5">
        <f>IF('ORDENES'!$A806="","",IF('ORDENES'!$Z806="","-",'ORDENES'!$Z806))</f>
        <v/>
      </c>
      <c r="E828" s="5">
        <f>IF('ORDENES'!$A806="","",IF('ORDENES'!$X806="","-",'ORDENES'!$X806))</f>
        <v/>
      </c>
      <c r="F828" s="5">
        <f>IF('ORDENES'!$A806="","",IF('ORDENES'!$AA806="","-",'ORDENES'!$AA806))</f>
        <v/>
      </c>
      <c r="G828" s="5">
        <f>IF('ORDENES'!$A806="","",IF('ORDENES'!$Y806="","-",'ORDENES'!$Y806))</f>
        <v/>
      </c>
      <c r="H828" s="5">
        <f>IF('ORDENES'!$A806="","",IF('ORDENES'!$AG806="","-",'ORDENES'!$AG806))</f>
        <v/>
      </c>
      <c r="I828" s="5">
        <f>IF('ORDENES'!$A806="","",IF('ORDENES'!$AT806="","-",'ORDENES'!$AT806))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0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IF('ORDENES'!$A806="","",'ORDENES'!$AF806)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IF('ORDENES'!$A807="","",IF('ORDENES'!$AH807="","-",'ORDENES'!$AH807))</f>
        <v/>
      </c>
      <c r="D829" s="5">
        <f>IF('ORDENES'!$A807="","",IF('ORDENES'!$Z807="","-",'ORDENES'!$Z807))</f>
        <v/>
      </c>
      <c r="E829" s="5">
        <f>IF('ORDENES'!$A807="","",IF('ORDENES'!$X807="","-",'ORDENES'!$X807))</f>
        <v/>
      </c>
      <c r="F829" s="5">
        <f>IF('ORDENES'!$A807="","",IF('ORDENES'!$AA807="","-",'ORDENES'!$AA807))</f>
        <v/>
      </c>
      <c r="G829" s="5">
        <f>IF('ORDENES'!$A807="","",IF('ORDENES'!$Y807="","-",'ORDENES'!$Y807))</f>
        <v/>
      </c>
      <c r="H829" s="5">
        <f>IF('ORDENES'!$A807="","",IF('ORDENES'!$AG807="","-",'ORDENES'!$AG807))</f>
        <v/>
      </c>
      <c r="I829" s="5">
        <f>IF('ORDENES'!$A807="","",IF('ORDENES'!$AT807="","-",'ORDENES'!$AT807))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0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IF('ORDENES'!$A807="","",'ORDENES'!$AF807)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IF('ORDENES'!$A808="","",IF('ORDENES'!$AH808="","-",'ORDENES'!$AH808))</f>
        <v/>
      </c>
      <c r="D830" s="5">
        <f>IF('ORDENES'!$A808="","",IF('ORDENES'!$Z808="","-",'ORDENES'!$Z808))</f>
        <v/>
      </c>
      <c r="E830" s="5">
        <f>IF('ORDENES'!$A808="","",IF('ORDENES'!$X808="","-",'ORDENES'!$X808))</f>
        <v/>
      </c>
      <c r="F830" s="5">
        <f>IF('ORDENES'!$A808="","",IF('ORDENES'!$AA808="","-",'ORDENES'!$AA808))</f>
        <v/>
      </c>
      <c r="G830" s="5">
        <f>IF('ORDENES'!$A808="","",IF('ORDENES'!$Y808="","-",'ORDENES'!$Y808))</f>
        <v/>
      </c>
      <c r="H830" s="5">
        <f>IF('ORDENES'!$A808="","",IF('ORDENES'!$AG808="","-",'ORDENES'!$AG808))</f>
        <v/>
      </c>
      <c r="I830" s="5">
        <f>IF('ORDENES'!$A808="","",IF('ORDENES'!$AT808="","-",'ORDENES'!$AT808))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0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IF('ORDENES'!$A808="","",'ORDENES'!$AF808)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IF('ORDENES'!$A809="","",IF('ORDENES'!$AH809="","-",'ORDENES'!$AH809))</f>
        <v/>
      </c>
      <c r="D831" s="5">
        <f>IF('ORDENES'!$A809="","",IF('ORDENES'!$Z809="","-",'ORDENES'!$Z809))</f>
        <v/>
      </c>
      <c r="E831" s="5">
        <f>IF('ORDENES'!$A809="","",IF('ORDENES'!$X809="","-",'ORDENES'!$X809))</f>
        <v/>
      </c>
      <c r="F831" s="5">
        <f>IF('ORDENES'!$A809="","",IF('ORDENES'!$AA809="","-",'ORDENES'!$AA809))</f>
        <v/>
      </c>
      <c r="G831" s="5">
        <f>IF('ORDENES'!$A809="","",IF('ORDENES'!$Y809="","-",'ORDENES'!$Y809))</f>
        <v/>
      </c>
      <c r="H831" s="5">
        <f>IF('ORDENES'!$A809="","",IF('ORDENES'!$AG809="","-",'ORDENES'!$AG809))</f>
        <v/>
      </c>
      <c r="I831" s="5">
        <f>IF('ORDENES'!$A809="","",IF('ORDENES'!$AT809="","-",'ORDENES'!$AT809))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0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IF('ORDENES'!$A809="","",'ORDENES'!$AF809)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IF('ORDENES'!$A810="","",IF('ORDENES'!$AH810="","-",'ORDENES'!$AH810))</f>
        <v/>
      </c>
      <c r="D832" s="5">
        <f>IF('ORDENES'!$A810="","",IF('ORDENES'!$Z810="","-",'ORDENES'!$Z810))</f>
        <v/>
      </c>
      <c r="E832" s="5">
        <f>IF('ORDENES'!$A810="","",IF('ORDENES'!$X810="","-",'ORDENES'!$X810))</f>
        <v/>
      </c>
      <c r="F832" s="5">
        <f>IF('ORDENES'!$A810="","",IF('ORDENES'!$AA810="","-",'ORDENES'!$AA810))</f>
        <v/>
      </c>
      <c r="G832" s="5">
        <f>IF('ORDENES'!$A810="","",IF('ORDENES'!$Y810="","-",'ORDENES'!$Y810))</f>
        <v/>
      </c>
      <c r="H832" s="5">
        <f>IF('ORDENES'!$A810="","",IF('ORDENES'!$AG810="","-",'ORDENES'!$AG810))</f>
        <v/>
      </c>
      <c r="I832" s="5">
        <f>IF('ORDENES'!$A810="","",IF('ORDENES'!$AT810="","-",'ORDENES'!$AT810))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0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IF('ORDENES'!$A810="","",'ORDENES'!$AF810)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IF('ORDENES'!$A811="","",IF('ORDENES'!$AH811="","-",'ORDENES'!$AH811))</f>
        <v/>
      </c>
      <c r="D833" s="5">
        <f>IF('ORDENES'!$A811="","",IF('ORDENES'!$Z811="","-",'ORDENES'!$Z811))</f>
        <v/>
      </c>
      <c r="E833" s="5">
        <f>IF('ORDENES'!$A811="","",IF('ORDENES'!$X811="","-",'ORDENES'!$X811))</f>
        <v/>
      </c>
      <c r="F833" s="5">
        <f>IF('ORDENES'!$A811="","",IF('ORDENES'!$AA811="","-",'ORDENES'!$AA811))</f>
        <v/>
      </c>
      <c r="G833" s="5">
        <f>IF('ORDENES'!$A811="","",IF('ORDENES'!$Y811="","-",'ORDENES'!$Y811))</f>
        <v/>
      </c>
      <c r="H833" s="5">
        <f>IF('ORDENES'!$A811="","",IF('ORDENES'!$AG811="","-",'ORDENES'!$AG811))</f>
        <v/>
      </c>
      <c r="I833" s="5">
        <f>IF('ORDENES'!$A811="","",IF('ORDENES'!$AT811="","-",'ORDENES'!$AT811))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0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IF('ORDENES'!$A811="","",'ORDENES'!$AF811)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IF('ORDENES'!$A812="","",IF('ORDENES'!$AH812="","-",'ORDENES'!$AH812))</f>
        <v/>
      </c>
      <c r="D834" s="5">
        <f>IF('ORDENES'!$A812="","",IF('ORDENES'!$Z812="","-",'ORDENES'!$Z812))</f>
        <v/>
      </c>
      <c r="E834" s="5">
        <f>IF('ORDENES'!$A812="","",IF('ORDENES'!$X812="","-",'ORDENES'!$X812))</f>
        <v/>
      </c>
      <c r="F834" s="5">
        <f>IF('ORDENES'!$A812="","",IF('ORDENES'!$AA812="","-",'ORDENES'!$AA812))</f>
        <v/>
      </c>
      <c r="G834" s="5">
        <f>IF('ORDENES'!$A812="","",IF('ORDENES'!$Y812="","-",'ORDENES'!$Y812))</f>
        <v/>
      </c>
      <c r="H834" s="5">
        <f>IF('ORDENES'!$A812="","",IF('ORDENES'!$AG812="","-",'ORDENES'!$AG812))</f>
        <v/>
      </c>
      <c r="I834" s="5">
        <f>IF('ORDENES'!$A812="","",IF('ORDENES'!$AT812="","-",'ORDENES'!$AT812))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0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IF('ORDENES'!$A812="","",'ORDENES'!$AF812)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IF('ORDENES'!$A813="","",IF('ORDENES'!$AH813="","-",'ORDENES'!$AH813))</f>
        <v/>
      </c>
      <c r="D835" s="5">
        <f>IF('ORDENES'!$A813="","",IF('ORDENES'!$Z813="","-",'ORDENES'!$Z813))</f>
        <v/>
      </c>
      <c r="E835" s="5">
        <f>IF('ORDENES'!$A813="","",IF('ORDENES'!$X813="","-",'ORDENES'!$X813))</f>
        <v/>
      </c>
      <c r="F835" s="5">
        <f>IF('ORDENES'!$A813="","",IF('ORDENES'!$AA813="","-",'ORDENES'!$AA813))</f>
        <v/>
      </c>
      <c r="G835" s="5">
        <f>IF('ORDENES'!$A813="","",IF('ORDENES'!$Y813="","-",'ORDENES'!$Y813))</f>
        <v/>
      </c>
      <c r="H835" s="5">
        <f>IF('ORDENES'!$A813="","",IF('ORDENES'!$AG813="","-",'ORDENES'!$AG813))</f>
        <v/>
      </c>
      <c r="I835" s="5">
        <f>IF('ORDENES'!$A813="","",IF('ORDENES'!$AT813="","-",'ORDENES'!$AT813))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0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IF('ORDENES'!$A813="","",'ORDENES'!$AF813)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IF('ORDENES'!$A814="","",IF('ORDENES'!$AH814="","-",'ORDENES'!$AH814))</f>
        <v/>
      </c>
      <c r="D836" s="5">
        <f>IF('ORDENES'!$A814="","",IF('ORDENES'!$Z814="","-",'ORDENES'!$Z814))</f>
        <v/>
      </c>
      <c r="E836" s="5">
        <f>IF('ORDENES'!$A814="","",IF('ORDENES'!$X814="","-",'ORDENES'!$X814))</f>
        <v/>
      </c>
      <c r="F836" s="5">
        <f>IF('ORDENES'!$A814="","",IF('ORDENES'!$AA814="","-",'ORDENES'!$AA814))</f>
        <v/>
      </c>
      <c r="G836" s="5">
        <f>IF('ORDENES'!$A814="","",IF('ORDENES'!$Y814="","-",'ORDENES'!$Y814))</f>
        <v/>
      </c>
      <c r="H836" s="5">
        <f>IF('ORDENES'!$A814="","",IF('ORDENES'!$AG814="","-",'ORDENES'!$AG814))</f>
        <v/>
      </c>
      <c r="I836" s="5">
        <f>IF('ORDENES'!$A814="","",IF('ORDENES'!$AT814="","-",'ORDENES'!$AT814))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0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IF('ORDENES'!$A814="","",'ORDENES'!$AF814)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IF('ORDENES'!$A815="","",IF('ORDENES'!$AH815="","-",'ORDENES'!$AH815))</f>
        <v/>
      </c>
      <c r="D837" s="5">
        <f>IF('ORDENES'!$A815="","",IF('ORDENES'!$Z815="","-",'ORDENES'!$Z815))</f>
        <v/>
      </c>
      <c r="E837" s="5">
        <f>IF('ORDENES'!$A815="","",IF('ORDENES'!$X815="","-",'ORDENES'!$X815))</f>
        <v/>
      </c>
      <c r="F837" s="5">
        <f>IF('ORDENES'!$A815="","",IF('ORDENES'!$AA815="","-",'ORDENES'!$AA815))</f>
        <v/>
      </c>
      <c r="G837" s="5">
        <f>IF('ORDENES'!$A815="","",IF('ORDENES'!$Y815="","-",'ORDENES'!$Y815))</f>
        <v/>
      </c>
      <c r="H837" s="5">
        <f>IF('ORDENES'!$A815="","",IF('ORDENES'!$AG815="","-",'ORDENES'!$AG815))</f>
        <v/>
      </c>
      <c r="I837" s="5">
        <f>IF('ORDENES'!$A815="","",IF('ORDENES'!$AT815="","-",'ORDENES'!$AT815))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0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IF('ORDENES'!$A815="","",'ORDENES'!$AF815)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IF('ORDENES'!$A816="","",IF('ORDENES'!$AH816="","-",'ORDENES'!$AH816))</f>
        <v/>
      </c>
      <c r="D838" s="5">
        <f>IF('ORDENES'!$A816="","",IF('ORDENES'!$Z816="","-",'ORDENES'!$Z816))</f>
        <v/>
      </c>
      <c r="E838" s="5">
        <f>IF('ORDENES'!$A816="","",IF('ORDENES'!$X816="","-",'ORDENES'!$X816))</f>
        <v/>
      </c>
      <c r="F838" s="5">
        <f>IF('ORDENES'!$A816="","",IF('ORDENES'!$AA816="","-",'ORDENES'!$AA816))</f>
        <v/>
      </c>
      <c r="G838" s="5">
        <f>IF('ORDENES'!$A816="","",IF('ORDENES'!$Y816="","-",'ORDENES'!$Y816))</f>
        <v/>
      </c>
      <c r="H838" s="5">
        <f>IF('ORDENES'!$A816="","",IF('ORDENES'!$AG816="","-",'ORDENES'!$AG816))</f>
        <v/>
      </c>
      <c r="I838" s="5">
        <f>IF('ORDENES'!$A816="","",IF('ORDENES'!$AT816="","-",'ORDENES'!$AT816))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0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IF('ORDENES'!$A816="","",'ORDENES'!$AF816)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IF('ORDENES'!$A817="","",IF('ORDENES'!$AH817="","-",'ORDENES'!$AH817))</f>
        <v/>
      </c>
      <c r="D839" s="5">
        <f>IF('ORDENES'!$A817="","",IF('ORDENES'!$Z817="","-",'ORDENES'!$Z817))</f>
        <v/>
      </c>
      <c r="E839" s="5">
        <f>IF('ORDENES'!$A817="","",IF('ORDENES'!$X817="","-",'ORDENES'!$X817))</f>
        <v/>
      </c>
      <c r="F839" s="5">
        <f>IF('ORDENES'!$A817="","",IF('ORDENES'!$AA817="","-",'ORDENES'!$AA817))</f>
        <v/>
      </c>
      <c r="G839" s="5">
        <f>IF('ORDENES'!$A817="","",IF('ORDENES'!$Y817="","-",'ORDENES'!$Y817))</f>
        <v/>
      </c>
      <c r="H839" s="5">
        <f>IF('ORDENES'!$A817="","",IF('ORDENES'!$AG817="","-",'ORDENES'!$AG817))</f>
        <v/>
      </c>
      <c r="I839" s="5">
        <f>IF('ORDENES'!$A817="","",IF('ORDENES'!$AT817="","-",'ORDENES'!$AT817))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0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IF('ORDENES'!$A817="","",'ORDENES'!$AF817)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IF('ORDENES'!$A818="","",IF('ORDENES'!$AH818="","-",'ORDENES'!$AH818))</f>
        <v/>
      </c>
      <c r="D840" s="5">
        <f>IF('ORDENES'!$A818="","",IF('ORDENES'!$Z818="","-",'ORDENES'!$Z818))</f>
        <v/>
      </c>
      <c r="E840" s="5">
        <f>IF('ORDENES'!$A818="","",IF('ORDENES'!$X818="","-",'ORDENES'!$X818))</f>
        <v/>
      </c>
      <c r="F840" s="5">
        <f>IF('ORDENES'!$A818="","",IF('ORDENES'!$AA818="","-",'ORDENES'!$AA818))</f>
        <v/>
      </c>
      <c r="G840" s="5">
        <f>IF('ORDENES'!$A818="","",IF('ORDENES'!$Y818="","-",'ORDENES'!$Y818))</f>
        <v/>
      </c>
      <c r="H840" s="5">
        <f>IF('ORDENES'!$A818="","",IF('ORDENES'!$AG818="","-",'ORDENES'!$AG818))</f>
        <v/>
      </c>
      <c r="I840" s="5">
        <f>IF('ORDENES'!$A818="","",IF('ORDENES'!$AT818="","-",'ORDENES'!$AT818))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0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IF('ORDENES'!$A818="","",'ORDENES'!$AF818)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IF('ORDENES'!$A819="","",IF('ORDENES'!$AH819="","-",'ORDENES'!$AH819))</f>
        <v/>
      </c>
      <c r="D841" s="5">
        <f>IF('ORDENES'!$A819="","",IF('ORDENES'!$Z819="","-",'ORDENES'!$Z819))</f>
        <v/>
      </c>
      <c r="E841" s="5">
        <f>IF('ORDENES'!$A819="","",IF('ORDENES'!$X819="","-",'ORDENES'!$X819))</f>
        <v/>
      </c>
      <c r="F841" s="5">
        <f>IF('ORDENES'!$A819="","",IF('ORDENES'!$AA819="","-",'ORDENES'!$AA819))</f>
        <v/>
      </c>
      <c r="G841" s="5">
        <f>IF('ORDENES'!$A819="","",IF('ORDENES'!$Y819="","-",'ORDENES'!$Y819))</f>
        <v/>
      </c>
      <c r="H841" s="5">
        <f>IF('ORDENES'!$A819="","",IF('ORDENES'!$AG819="","-",'ORDENES'!$AG819))</f>
        <v/>
      </c>
      <c r="I841" s="5">
        <f>IF('ORDENES'!$A819="","",IF('ORDENES'!$AT819="","-",'ORDENES'!$AT819))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0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IF('ORDENES'!$A819="","",'ORDENES'!$AF819)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IF('ORDENES'!$A820="","",IF('ORDENES'!$AH820="","-",'ORDENES'!$AH820))</f>
        <v/>
      </c>
      <c r="D842" s="5">
        <f>IF('ORDENES'!$A820="","",IF('ORDENES'!$Z820="","-",'ORDENES'!$Z820))</f>
        <v/>
      </c>
      <c r="E842" s="5">
        <f>IF('ORDENES'!$A820="","",IF('ORDENES'!$X820="","-",'ORDENES'!$X820))</f>
        <v/>
      </c>
      <c r="F842" s="5">
        <f>IF('ORDENES'!$A820="","",IF('ORDENES'!$AA820="","-",'ORDENES'!$AA820))</f>
        <v/>
      </c>
      <c r="G842" s="5">
        <f>IF('ORDENES'!$A820="","",IF('ORDENES'!$Y820="","-",'ORDENES'!$Y820))</f>
        <v/>
      </c>
      <c r="H842" s="5">
        <f>IF('ORDENES'!$A820="","",IF('ORDENES'!$AG820="","-",'ORDENES'!$AG820))</f>
        <v/>
      </c>
      <c r="I842" s="5">
        <f>IF('ORDENES'!$A820="","",IF('ORDENES'!$AT820="","-",'ORDENES'!$AT820))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0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IF('ORDENES'!$A820="","",'ORDENES'!$AF820)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IF('ORDENES'!$A821="","",IF('ORDENES'!$AH821="","-",'ORDENES'!$AH821))</f>
        <v/>
      </c>
      <c r="D843" s="5">
        <f>IF('ORDENES'!$A821="","",IF('ORDENES'!$Z821="","-",'ORDENES'!$Z821))</f>
        <v/>
      </c>
      <c r="E843" s="5">
        <f>IF('ORDENES'!$A821="","",IF('ORDENES'!$X821="","-",'ORDENES'!$X821))</f>
        <v/>
      </c>
      <c r="F843" s="5">
        <f>IF('ORDENES'!$A821="","",IF('ORDENES'!$AA821="","-",'ORDENES'!$AA821))</f>
        <v/>
      </c>
      <c r="G843" s="5">
        <f>IF('ORDENES'!$A821="","",IF('ORDENES'!$Y821="","-",'ORDENES'!$Y821))</f>
        <v/>
      </c>
      <c r="H843" s="5">
        <f>IF('ORDENES'!$A821="","",IF('ORDENES'!$AG821="","-",'ORDENES'!$AG821))</f>
        <v/>
      </c>
      <c r="I843" s="5">
        <f>IF('ORDENES'!$A821="","",IF('ORDENES'!$AT821="","-",'ORDENES'!$AT821))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0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IF('ORDENES'!$A821="","",'ORDENES'!$AF821)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IF('ORDENES'!$A822="","",IF('ORDENES'!$AH822="","-",'ORDENES'!$AH822))</f>
        <v/>
      </c>
      <c r="D844" s="5">
        <f>IF('ORDENES'!$A822="","",IF('ORDENES'!$Z822="","-",'ORDENES'!$Z822))</f>
        <v/>
      </c>
      <c r="E844" s="5">
        <f>IF('ORDENES'!$A822="","",IF('ORDENES'!$X822="","-",'ORDENES'!$X822))</f>
        <v/>
      </c>
      <c r="F844" s="5">
        <f>IF('ORDENES'!$A822="","",IF('ORDENES'!$AA822="","-",'ORDENES'!$AA822))</f>
        <v/>
      </c>
      <c r="G844" s="5">
        <f>IF('ORDENES'!$A822="","",IF('ORDENES'!$Y822="","-",'ORDENES'!$Y822))</f>
        <v/>
      </c>
      <c r="H844" s="5">
        <f>IF('ORDENES'!$A822="","",IF('ORDENES'!$AG822="","-",'ORDENES'!$AG822))</f>
        <v/>
      </c>
      <c r="I844" s="5">
        <f>IF('ORDENES'!$A822="","",IF('ORDENES'!$AT822="","-",'ORDENES'!$AT822))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0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IF('ORDENES'!$A822="","",'ORDENES'!$AF822)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IF('ORDENES'!$A823="","",IF('ORDENES'!$AH823="","-",'ORDENES'!$AH823))</f>
        <v/>
      </c>
      <c r="D845" s="5">
        <f>IF('ORDENES'!$A823="","",IF('ORDENES'!$Z823="","-",'ORDENES'!$Z823))</f>
        <v/>
      </c>
      <c r="E845" s="5">
        <f>IF('ORDENES'!$A823="","",IF('ORDENES'!$X823="","-",'ORDENES'!$X823))</f>
        <v/>
      </c>
      <c r="F845" s="5">
        <f>IF('ORDENES'!$A823="","",IF('ORDENES'!$AA823="","-",'ORDENES'!$AA823))</f>
        <v/>
      </c>
      <c r="G845" s="5">
        <f>IF('ORDENES'!$A823="","",IF('ORDENES'!$Y823="","-",'ORDENES'!$Y823))</f>
        <v/>
      </c>
      <c r="H845" s="5">
        <f>IF('ORDENES'!$A823="","",IF('ORDENES'!$AG823="","-",'ORDENES'!$AG823))</f>
        <v/>
      </c>
      <c r="I845" s="5">
        <f>IF('ORDENES'!$A823="","",IF('ORDENES'!$AT823="","-",'ORDENES'!$AT823))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0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IF('ORDENES'!$A823="","",'ORDENES'!$AF823)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IF('ORDENES'!$A824="","",IF('ORDENES'!$AH824="","-",'ORDENES'!$AH824))</f>
        <v/>
      </c>
      <c r="D846" s="5">
        <f>IF('ORDENES'!$A824="","",IF('ORDENES'!$Z824="","-",'ORDENES'!$Z824))</f>
        <v/>
      </c>
      <c r="E846" s="5">
        <f>IF('ORDENES'!$A824="","",IF('ORDENES'!$X824="","-",'ORDENES'!$X824))</f>
        <v/>
      </c>
      <c r="F846" s="5">
        <f>IF('ORDENES'!$A824="","",IF('ORDENES'!$AA824="","-",'ORDENES'!$AA824))</f>
        <v/>
      </c>
      <c r="G846" s="5">
        <f>IF('ORDENES'!$A824="","",IF('ORDENES'!$Y824="","-",'ORDENES'!$Y824))</f>
        <v/>
      </c>
      <c r="H846" s="5">
        <f>IF('ORDENES'!$A824="","",IF('ORDENES'!$AG824="","-",'ORDENES'!$AG824))</f>
        <v/>
      </c>
      <c r="I846" s="5">
        <f>IF('ORDENES'!$A824="","",IF('ORDENES'!$AT824="","-",'ORDENES'!$AT824))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0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IF('ORDENES'!$A824="","",'ORDENES'!$AF824)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IF('ORDENES'!$A825="","",IF('ORDENES'!$AH825="","-",'ORDENES'!$AH825))</f>
        <v/>
      </c>
      <c r="D847" s="5">
        <f>IF('ORDENES'!$A825="","",IF('ORDENES'!$Z825="","-",'ORDENES'!$Z825))</f>
        <v/>
      </c>
      <c r="E847" s="5">
        <f>IF('ORDENES'!$A825="","",IF('ORDENES'!$X825="","-",'ORDENES'!$X825))</f>
        <v/>
      </c>
      <c r="F847" s="5">
        <f>IF('ORDENES'!$A825="","",IF('ORDENES'!$AA825="","-",'ORDENES'!$AA825))</f>
        <v/>
      </c>
      <c r="G847" s="5">
        <f>IF('ORDENES'!$A825="","",IF('ORDENES'!$Y825="","-",'ORDENES'!$Y825))</f>
        <v/>
      </c>
      <c r="H847" s="5">
        <f>IF('ORDENES'!$A825="","",IF('ORDENES'!$AG825="","-",'ORDENES'!$AG825))</f>
        <v/>
      </c>
      <c r="I847" s="5">
        <f>IF('ORDENES'!$A825="","",IF('ORDENES'!$AT825="","-",'ORDENES'!$AT825))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0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IF('ORDENES'!$A825="","",'ORDENES'!$AF825)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IF('ORDENES'!$A826="","",IF('ORDENES'!$AH826="","-",'ORDENES'!$AH826))</f>
        <v/>
      </c>
      <c r="D848" s="5">
        <f>IF('ORDENES'!$A826="","",IF('ORDENES'!$Z826="","-",'ORDENES'!$Z826))</f>
        <v/>
      </c>
      <c r="E848" s="5">
        <f>IF('ORDENES'!$A826="","",IF('ORDENES'!$X826="","-",'ORDENES'!$X826))</f>
        <v/>
      </c>
      <c r="F848" s="5">
        <f>IF('ORDENES'!$A826="","",IF('ORDENES'!$AA826="","-",'ORDENES'!$AA826))</f>
        <v/>
      </c>
      <c r="G848" s="5">
        <f>IF('ORDENES'!$A826="","",IF('ORDENES'!$Y826="","-",'ORDENES'!$Y826))</f>
        <v/>
      </c>
      <c r="H848" s="5">
        <f>IF('ORDENES'!$A826="","",IF('ORDENES'!$AG826="","-",'ORDENES'!$AG826))</f>
        <v/>
      </c>
      <c r="I848" s="5">
        <f>IF('ORDENES'!$A826="","",IF('ORDENES'!$AT826="","-",'ORDENES'!$AT826))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0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IF('ORDENES'!$A826="","",'ORDENES'!$AF826)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IF('ORDENES'!$A827="","",IF('ORDENES'!$AH827="","-",'ORDENES'!$AH827))</f>
        <v/>
      </c>
      <c r="D849" s="5">
        <f>IF('ORDENES'!$A827="","",IF('ORDENES'!$Z827="","-",'ORDENES'!$Z827))</f>
        <v/>
      </c>
      <c r="E849" s="5">
        <f>IF('ORDENES'!$A827="","",IF('ORDENES'!$X827="","-",'ORDENES'!$X827))</f>
        <v/>
      </c>
      <c r="F849" s="5">
        <f>IF('ORDENES'!$A827="","",IF('ORDENES'!$AA827="","-",'ORDENES'!$AA827))</f>
        <v/>
      </c>
      <c r="G849" s="5">
        <f>IF('ORDENES'!$A827="","",IF('ORDENES'!$Y827="","-",'ORDENES'!$Y827))</f>
        <v/>
      </c>
      <c r="H849" s="5">
        <f>IF('ORDENES'!$A827="","",IF('ORDENES'!$AG827="","-",'ORDENES'!$AG827))</f>
        <v/>
      </c>
      <c r="I849" s="5">
        <f>IF('ORDENES'!$A827="","",IF('ORDENES'!$AT827="","-",'ORDENES'!$AT827))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0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IF('ORDENES'!$A827="","",'ORDENES'!$AF827)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IF('ORDENES'!$A828="","",IF('ORDENES'!$AH828="","-",'ORDENES'!$AH828))</f>
        <v/>
      </c>
      <c r="D850" s="5">
        <f>IF('ORDENES'!$A828="","",IF('ORDENES'!$Z828="","-",'ORDENES'!$Z828))</f>
        <v/>
      </c>
      <c r="E850" s="5">
        <f>IF('ORDENES'!$A828="","",IF('ORDENES'!$X828="","-",'ORDENES'!$X828))</f>
        <v/>
      </c>
      <c r="F850" s="5">
        <f>IF('ORDENES'!$A828="","",IF('ORDENES'!$AA828="","-",'ORDENES'!$AA828))</f>
        <v/>
      </c>
      <c r="G850" s="5">
        <f>IF('ORDENES'!$A828="","",IF('ORDENES'!$Y828="","-",'ORDENES'!$Y828))</f>
        <v/>
      </c>
      <c r="H850" s="5">
        <f>IF('ORDENES'!$A828="","",IF('ORDENES'!$AG828="","-",'ORDENES'!$AG828))</f>
        <v/>
      </c>
      <c r="I850" s="5">
        <f>IF('ORDENES'!$A828="","",IF('ORDENES'!$AT828="","-",'ORDENES'!$AT828))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0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IF('ORDENES'!$A828="","",'ORDENES'!$AF828)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IF('ORDENES'!$A829="","",IF('ORDENES'!$AH829="","-",'ORDENES'!$AH829))</f>
        <v/>
      </c>
      <c r="D851" s="5">
        <f>IF('ORDENES'!$A829="","",IF('ORDENES'!$Z829="","-",'ORDENES'!$Z829))</f>
        <v/>
      </c>
      <c r="E851" s="5">
        <f>IF('ORDENES'!$A829="","",IF('ORDENES'!$X829="","-",'ORDENES'!$X829))</f>
        <v/>
      </c>
      <c r="F851" s="5">
        <f>IF('ORDENES'!$A829="","",IF('ORDENES'!$AA829="","-",'ORDENES'!$AA829))</f>
        <v/>
      </c>
      <c r="G851" s="5">
        <f>IF('ORDENES'!$A829="","",IF('ORDENES'!$Y829="","-",'ORDENES'!$Y829))</f>
        <v/>
      </c>
      <c r="H851" s="5">
        <f>IF('ORDENES'!$A829="","",IF('ORDENES'!$AG829="","-",'ORDENES'!$AG829))</f>
        <v/>
      </c>
      <c r="I851" s="5">
        <f>IF('ORDENES'!$A829="","",IF('ORDENES'!$AT829="","-",'ORDENES'!$AT829))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0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IF('ORDENES'!$A829="","",'ORDENES'!$AF829)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IF('ORDENES'!$A830="","",IF('ORDENES'!$AH830="","-",'ORDENES'!$AH830))</f>
        <v/>
      </c>
      <c r="D852" s="5">
        <f>IF('ORDENES'!$A830="","",IF('ORDENES'!$Z830="","-",'ORDENES'!$Z830))</f>
        <v/>
      </c>
      <c r="E852" s="5">
        <f>IF('ORDENES'!$A830="","",IF('ORDENES'!$X830="","-",'ORDENES'!$X830))</f>
        <v/>
      </c>
      <c r="F852" s="5">
        <f>IF('ORDENES'!$A830="","",IF('ORDENES'!$AA830="","-",'ORDENES'!$AA830))</f>
        <v/>
      </c>
      <c r="G852" s="5">
        <f>IF('ORDENES'!$A830="","",IF('ORDENES'!$Y830="","-",'ORDENES'!$Y830))</f>
        <v/>
      </c>
      <c r="H852" s="5">
        <f>IF('ORDENES'!$A830="","",IF('ORDENES'!$AG830="","-",'ORDENES'!$AG830))</f>
        <v/>
      </c>
      <c r="I852" s="5">
        <f>IF('ORDENES'!$A830="","",IF('ORDENES'!$AT830="","-",'ORDENES'!$AT830))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0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IF('ORDENES'!$A830="","",'ORDENES'!$AF830)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IF('ORDENES'!$A831="","",IF('ORDENES'!$AH831="","-",'ORDENES'!$AH831))</f>
        <v/>
      </c>
      <c r="D853" s="5">
        <f>IF('ORDENES'!$A831="","",IF('ORDENES'!$Z831="","-",'ORDENES'!$Z831))</f>
        <v/>
      </c>
      <c r="E853" s="5">
        <f>IF('ORDENES'!$A831="","",IF('ORDENES'!$X831="","-",'ORDENES'!$X831))</f>
        <v/>
      </c>
      <c r="F853" s="5">
        <f>IF('ORDENES'!$A831="","",IF('ORDENES'!$AA831="","-",'ORDENES'!$AA831))</f>
        <v/>
      </c>
      <c r="G853" s="5">
        <f>IF('ORDENES'!$A831="","",IF('ORDENES'!$Y831="","-",'ORDENES'!$Y831))</f>
        <v/>
      </c>
      <c r="H853" s="5">
        <f>IF('ORDENES'!$A831="","",IF('ORDENES'!$AG831="","-",'ORDENES'!$AG831))</f>
        <v/>
      </c>
      <c r="I853" s="5">
        <f>IF('ORDENES'!$A831="","",IF('ORDENES'!$AT831="","-",'ORDENES'!$AT831))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0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IF('ORDENES'!$A831="","",'ORDENES'!$AF831)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IF('ORDENES'!$A832="","",IF('ORDENES'!$AH832="","-",'ORDENES'!$AH832))</f>
        <v/>
      </c>
      <c r="D854" s="5">
        <f>IF('ORDENES'!$A832="","",IF('ORDENES'!$Z832="","-",'ORDENES'!$Z832))</f>
        <v/>
      </c>
      <c r="E854" s="5">
        <f>IF('ORDENES'!$A832="","",IF('ORDENES'!$X832="","-",'ORDENES'!$X832))</f>
        <v/>
      </c>
      <c r="F854" s="5">
        <f>IF('ORDENES'!$A832="","",IF('ORDENES'!$AA832="","-",'ORDENES'!$AA832))</f>
        <v/>
      </c>
      <c r="G854" s="5">
        <f>IF('ORDENES'!$A832="","",IF('ORDENES'!$Y832="","-",'ORDENES'!$Y832))</f>
        <v/>
      </c>
      <c r="H854" s="5">
        <f>IF('ORDENES'!$A832="","",IF('ORDENES'!$AG832="","-",'ORDENES'!$AG832))</f>
        <v/>
      </c>
      <c r="I854" s="5">
        <f>IF('ORDENES'!$A832="","",IF('ORDENES'!$AT832="","-",'ORDENES'!$AT832))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0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IF('ORDENES'!$A832="","",'ORDENES'!$AF832)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IF('ORDENES'!$A833="","",IF('ORDENES'!$AH833="","-",'ORDENES'!$AH833))</f>
        <v/>
      </c>
      <c r="D855" s="5">
        <f>IF('ORDENES'!$A833="","",IF('ORDENES'!$Z833="","-",'ORDENES'!$Z833))</f>
        <v/>
      </c>
      <c r="E855" s="5">
        <f>IF('ORDENES'!$A833="","",IF('ORDENES'!$X833="","-",'ORDENES'!$X833))</f>
        <v/>
      </c>
      <c r="F855" s="5">
        <f>IF('ORDENES'!$A833="","",IF('ORDENES'!$AA833="","-",'ORDENES'!$AA833))</f>
        <v/>
      </c>
      <c r="G855" s="5">
        <f>IF('ORDENES'!$A833="","",IF('ORDENES'!$Y833="","-",'ORDENES'!$Y833))</f>
        <v/>
      </c>
      <c r="H855" s="5">
        <f>IF('ORDENES'!$A833="","",IF('ORDENES'!$AG833="","-",'ORDENES'!$AG833))</f>
        <v/>
      </c>
      <c r="I855" s="5">
        <f>IF('ORDENES'!$A833="","",IF('ORDENES'!$AT833="","-",'ORDENES'!$AT833))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0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IF('ORDENES'!$A833="","",'ORDENES'!$AF833)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IF('ORDENES'!$A834="","",IF('ORDENES'!$AH834="","-",'ORDENES'!$AH834))</f>
        <v/>
      </c>
      <c r="D856" s="5">
        <f>IF('ORDENES'!$A834="","",IF('ORDENES'!$Z834="","-",'ORDENES'!$Z834))</f>
        <v/>
      </c>
      <c r="E856" s="5">
        <f>IF('ORDENES'!$A834="","",IF('ORDENES'!$X834="","-",'ORDENES'!$X834))</f>
        <v/>
      </c>
      <c r="F856" s="5">
        <f>IF('ORDENES'!$A834="","",IF('ORDENES'!$AA834="","-",'ORDENES'!$AA834))</f>
        <v/>
      </c>
      <c r="G856" s="5">
        <f>IF('ORDENES'!$A834="","",IF('ORDENES'!$Y834="","-",'ORDENES'!$Y834))</f>
        <v/>
      </c>
      <c r="H856" s="5">
        <f>IF('ORDENES'!$A834="","",IF('ORDENES'!$AG834="","-",'ORDENES'!$AG834))</f>
        <v/>
      </c>
      <c r="I856" s="5">
        <f>IF('ORDENES'!$A834="","",IF('ORDENES'!$AT834="","-",'ORDENES'!$AT834))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0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IF('ORDENES'!$A834="","",'ORDENES'!$AF834)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IF('ORDENES'!$A835="","",IF('ORDENES'!$AH835="","-",'ORDENES'!$AH835))</f>
        <v/>
      </c>
      <c r="D857" s="5">
        <f>IF('ORDENES'!$A835="","",IF('ORDENES'!$Z835="","-",'ORDENES'!$Z835))</f>
        <v/>
      </c>
      <c r="E857" s="5">
        <f>IF('ORDENES'!$A835="","",IF('ORDENES'!$X835="","-",'ORDENES'!$X835))</f>
        <v/>
      </c>
      <c r="F857" s="5">
        <f>IF('ORDENES'!$A835="","",IF('ORDENES'!$AA835="","-",'ORDENES'!$AA835))</f>
        <v/>
      </c>
      <c r="G857" s="5">
        <f>IF('ORDENES'!$A835="","",IF('ORDENES'!$Y835="","-",'ORDENES'!$Y835))</f>
        <v/>
      </c>
      <c r="H857" s="5">
        <f>IF('ORDENES'!$A835="","",IF('ORDENES'!$AG835="","-",'ORDENES'!$AG835))</f>
        <v/>
      </c>
      <c r="I857" s="5">
        <f>IF('ORDENES'!$A835="","",IF('ORDENES'!$AT835="","-",'ORDENES'!$AT835))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0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IF('ORDENES'!$A835="","",'ORDENES'!$AF835)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IF('ORDENES'!$A836="","",IF('ORDENES'!$AH836="","-",'ORDENES'!$AH836))</f>
        <v/>
      </c>
      <c r="D858" s="5">
        <f>IF('ORDENES'!$A836="","",IF('ORDENES'!$Z836="","-",'ORDENES'!$Z836))</f>
        <v/>
      </c>
      <c r="E858" s="5">
        <f>IF('ORDENES'!$A836="","",IF('ORDENES'!$X836="","-",'ORDENES'!$X836))</f>
        <v/>
      </c>
      <c r="F858" s="5">
        <f>IF('ORDENES'!$A836="","",IF('ORDENES'!$AA836="","-",'ORDENES'!$AA836))</f>
        <v/>
      </c>
      <c r="G858" s="5">
        <f>IF('ORDENES'!$A836="","",IF('ORDENES'!$Y836="","-",'ORDENES'!$Y836))</f>
        <v/>
      </c>
      <c r="H858" s="5">
        <f>IF('ORDENES'!$A836="","",IF('ORDENES'!$AG836="","-",'ORDENES'!$AG836))</f>
        <v/>
      </c>
      <c r="I858" s="5">
        <f>IF('ORDENES'!$A836="","",IF('ORDENES'!$AT836="","-",'ORDENES'!$AT836))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0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IF('ORDENES'!$A836="","",'ORDENES'!$AF836)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IF('ORDENES'!$A837="","",IF('ORDENES'!$AH837="","-",'ORDENES'!$AH837))</f>
        <v/>
      </c>
      <c r="D859" s="5">
        <f>IF('ORDENES'!$A837="","",IF('ORDENES'!$Z837="","-",'ORDENES'!$Z837))</f>
        <v/>
      </c>
      <c r="E859" s="5">
        <f>IF('ORDENES'!$A837="","",IF('ORDENES'!$X837="","-",'ORDENES'!$X837))</f>
        <v/>
      </c>
      <c r="F859" s="5">
        <f>IF('ORDENES'!$A837="","",IF('ORDENES'!$AA837="","-",'ORDENES'!$AA837))</f>
        <v/>
      </c>
      <c r="G859" s="5">
        <f>IF('ORDENES'!$A837="","",IF('ORDENES'!$Y837="","-",'ORDENES'!$Y837))</f>
        <v/>
      </c>
      <c r="H859" s="5">
        <f>IF('ORDENES'!$A837="","",IF('ORDENES'!$AG837="","-",'ORDENES'!$AG837))</f>
        <v/>
      </c>
      <c r="I859" s="5">
        <f>IF('ORDENES'!$A837="","",IF('ORDENES'!$AT837="","-",'ORDENES'!$AT837))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0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IF('ORDENES'!$A837="","",'ORDENES'!$AF837)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IF('ORDENES'!$A838="","",IF('ORDENES'!$AH838="","-",'ORDENES'!$AH838))</f>
        <v/>
      </c>
      <c r="D860" s="5">
        <f>IF('ORDENES'!$A838="","",IF('ORDENES'!$Z838="","-",'ORDENES'!$Z838))</f>
        <v/>
      </c>
      <c r="E860" s="5">
        <f>IF('ORDENES'!$A838="","",IF('ORDENES'!$X838="","-",'ORDENES'!$X838))</f>
        <v/>
      </c>
      <c r="F860" s="5">
        <f>IF('ORDENES'!$A838="","",IF('ORDENES'!$AA838="","-",'ORDENES'!$AA838))</f>
        <v/>
      </c>
      <c r="G860" s="5">
        <f>IF('ORDENES'!$A838="","",IF('ORDENES'!$Y838="","-",'ORDENES'!$Y838))</f>
        <v/>
      </c>
      <c r="H860" s="5">
        <f>IF('ORDENES'!$A838="","",IF('ORDENES'!$AG838="","-",'ORDENES'!$AG838))</f>
        <v/>
      </c>
      <c r="I860" s="5">
        <f>IF('ORDENES'!$A838="","",IF('ORDENES'!$AT838="","-",'ORDENES'!$AT838))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0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IF('ORDENES'!$A838="","",'ORDENES'!$AF838)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IF('ORDENES'!$A839="","",IF('ORDENES'!$AH839="","-",'ORDENES'!$AH839))</f>
        <v/>
      </c>
      <c r="D861" s="5">
        <f>IF('ORDENES'!$A839="","",IF('ORDENES'!$Z839="","-",'ORDENES'!$Z839))</f>
        <v/>
      </c>
      <c r="E861" s="5">
        <f>IF('ORDENES'!$A839="","",IF('ORDENES'!$X839="","-",'ORDENES'!$X839))</f>
        <v/>
      </c>
      <c r="F861" s="5">
        <f>IF('ORDENES'!$A839="","",IF('ORDENES'!$AA839="","-",'ORDENES'!$AA839))</f>
        <v/>
      </c>
      <c r="G861" s="5">
        <f>IF('ORDENES'!$A839="","",IF('ORDENES'!$Y839="","-",'ORDENES'!$Y839))</f>
        <v/>
      </c>
      <c r="H861" s="5">
        <f>IF('ORDENES'!$A839="","",IF('ORDENES'!$AG839="","-",'ORDENES'!$AG839))</f>
        <v/>
      </c>
      <c r="I861" s="5">
        <f>IF('ORDENES'!$A839="","",IF('ORDENES'!$AT839="","-",'ORDENES'!$AT839))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0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IF('ORDENES'!$A839="","",'ORDENES'!$AF839)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IF('ORDENES'!$A840="","",IF('ORDENES'!$AH840="","-",'ORDENES'!$AH840))</f>
        <v/>
      </c>
      <c r="D862" s="5">
        <f>IF('ORDENES'!$A840="","",IF('ORDENES'!$Z840="","-",'ORDENES'!$Z840))</f>
        <v/>
      </c>
      <c r="E862" s="5">
        <f>IF('ORDENES'!$A840="","",IF('ORDENES'!$X840="","-",'ORDENES'!$X840))</f>
        <v/>
      </c>
      <c r="F862" s="5">
        <f>IF('ORDENES'!$A840="","",IF('ORDENES'!$AA840="","-",'ORDENES'!$AA840))</f>
        <v/>
      </c>
      <c r="G862" s="5">
        <f>IF('ORDENES'!$A840="","",IF('ORDENES'!$Y840="","-",'ORDENES'!$Y840))</f>
        <v/>
      </c>
      <c r="H862" s="5">
        <f>IF('ORDENES'!$A840="","",IF('ORDENES'!$AG840="","-",'ORDENES'!$AG840))</f>
        <v/>
      </c>
      <c r="I862" s="5">
        <f>IF('ORDENES'!$A840="","",IF('ORDENES'!$AT840="","-",'ORDENES'!$AT840))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0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IF('ORDENES'!$A840="","",'ORDENES'!$AF840)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IF('ORDENES'!$A841="","",IF('ORDENES'!$AH841="","-",'ORDENES'!$AH841))</f>
        <v/>
      </c>
      <c r="D863" s="5">
        <f>IF('ORDENES'!$A841="","",IF('ORDENES'!$Z841="","-",'ORDENES'!$Z841))</f>
        <v/>
      </c>
      <c r="E863" s="5">
        <f>IF('ORDENES'!$A841="","",IF('ORDENES'!$X841="","-",'ORDENES'!$X841))</f>
        <v/>
      </c>
      <c r="F863" s="5">
        <f>IF('ORDENES'!$A841="","",IF('ORDENES'!$AA841="","-",'ORDENES'!$AA841))</f>
        <v/>
      </c>
      <c r="G863" s="5">
        <f>IF('ORDENES'!$A841="","",IF('ORDENES'!$Y841="","-",'ORDENES'!$Y841))</f>
        <v/>
      </c>
      <c r="H863" s="5">
        <f>IF('ORDENES'!$A841="","",IF('ORDENES'!$AG841="","-",'ORDENES'!$AG841))</f>
        <v/>
      </c>
      <c r="I863" s="5">
        <f>IF('ORDENES'!$A841="","",IF('ORDENES'!$AT841="","-",'ORDENES'!$AT841))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0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IF('ORDENES'!$A841="","",'ORDENES'!$AF841)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IF('ORDENES'!$A842="","",IF('ORDENES'!$AH842="","-",'ORDENES'!$AH842))</f>
        <v/>
      </c>
      <c r="D864" s="5">
        <f>IF('ORDENES'!$A842="","",IF('ORDENES'!$Z842="","-",'ORDENES'!$Z842))</f>
        <v/>
      </c>
      <c r="E864" s="5">
        <f>IF('ORDENES'!$A842="","",IF('ORDENES'!$X842="","-",'ORDENES'!$X842))</f>
        <v/>
      </c>
      <c r="F864" s="5">
        <f>IF('ORDENES'!$A842="","",IF('ORDENES'!$AA842="","-",'ORDENES'!$AA842))</f>
        <v/>
      </c>
      <c r="G864" s="5">
        <f>IF('ORDENES'!$A842="","",IF('ORDENES'!$Y842="","-",'ORDENES'!$Y842))</f>
        <v/>
      </c>
      <c r="H864" s="5">
        <f>IF('ORDENES'!$A842="","",IF('ORDENES'!$AG842="","-",'ORDENES'!$AG842))</f>
        <v/>
      </c>
      <c r="I864" s="5">
        <f>IF('ORDENES'!$A842="","",IF('ORDENES'!$AT842="","-",'ORDENES'!$AT842))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0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IF('ORDENES'!$A842="","",'ORDENES'!$AF842)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IF('ORDENES'!$A843="","",IF('ORDENES'!$AH843="","-",'ORDENES'!$AH843))</f>
        <v/>
      </c>
      <c r="D865" s="5">
        <f>IF('ORDENES'!$A843="","",IF('ORDENES'!$Z843="","-",'ORDENES'!$Z843))</f>
        <v/>
      </c>
      <c r="E865" s="5">
        <f>IF('ORDENES'!$A843="","",IF('ORDENES'!$X843="","-",'ORDENES'!$X843))</f>
        <v/>
      </c>
      <c r="F865" s="5">
        <f>IF('ORDENES'!$A843="","",IF('ORDENES'!$AA843="","-",'ORDENES'!$AA843))</f>
        <v/>
      </c>
      <c r="G865" s="5">
        <f>IF('ORDENES'!$A843="","",IF('ORDENES'!$Y843="","-",'ORDENES'!$Y843))</f>
        <v/>
      </c>
      <c r="H865" s="5">
        <f>IF('ORDENES'!$A843="","",IF('ORDENES'!$AG843="","-",'ORDENES'!$AG843))</f>
        <v/>
      </c>
      <c r="I865" s="5">
        <f>IF('ORDENES'!$A843="","",IF('ORDENES'!$AT843="","-",'ORDENES'!$AT843))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0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IF('ORDENES'!$A843="","",'ORDENES'!$AF843)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IF('ORDENES'!$A844="","",IF('ORDENES'!$AH844="","-",'ORDENES'!$AH844))</f>
        <v/>
      </c>
      <c r="D866" s="5">
        <f>IF('ORDENES'!$A844="","",IF('ORDENES'!$Z844="","-",'ORDENES'!$Z844))</f>
        <v/>
      </c>
      <c r="E866" s="5">
        <f>IF('ORDENES'!$A844="","",IF('ORDENES'!$X844="","-",'ORDENES'!$X844))</f>
        <v/>
      </c>
      <c r="F866" s="5">
        <f>IF('ORDENES'!$A844="","",IF('ORDENES'!$AA844="","-",'ORDENES'!$AA844))</f>
        <v/>
      </c>
      <c r="G866" s="5">
        <f>IF('ORDENES'!$A844="","",IF('ORDENES'!$Y844="","-",'ORDENES'!$Y844))</f>
        <v/>
      </c>
      <c r="H866" s="5">
        <f>IF('ORDENES'!$A844="","",IF('ORDENES'!$AG844="","-",'ORDENES'!$AG844))</f>
        <v/>
      </c>
      <c r="I866" s="5">
        <f>IF('ORDENES'!$A844="","",IF('ORDENES'!$AT844="","-",'ORDENES'!$AT844))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0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IF('ORDENES'!$A844="","",'ORDENES'!$AF844)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IF('ORDENES'!$A845="","",IF('ORDENES'!$AH845="","-",'ORDENES'!$AH845))</f>
        <v/>
      </c>
      <c r="D867" s="5">
        <f>IF('ORDENES'!$A845="","",IF('ORDENES'!$Z845="","-",'ORDENES'!$Z845))</f>
        <v/>
      </c>
      <c r="E867" s="5">
        <f>IF('ORDENES'!$A845="","",IF('ORDENES'!$X845="","-",'ORDENES'!$X845))</f>
        <v/>
      </c>
      <c r="F867" s="5">
        <f>IF('ORDENES'!$A845="","",IF('ORDENES'!$AA845="","-",'ORDENES'!$AA845))</f>
        <v/>
      </c>
      <c r="G867" s="5">
        <f>IF('ORDENES'!$A845="","",IF('ORDENES'!$Y845="","-",'ORDENES'!$Y845))</f>
        <v/>
      </c>
      <c r="H867" s="5">
        <f>IF('ORDENES'!$A845="","",IF('ORDENES'!$AG845="","-",'ORDENES'!$AG845))</f>
        <v/>
      </c>
      <c r="I867" s="5">
        <f>IF('ORDENES'!$A845="","",IF('ORDENES'!$AT845="","-",'ORDENES'!$AT845))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0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IF('ORDENES'!$A845="","",'ORDENES'!$AF845)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IF('ORDENES'!$A846="","",IF('ORDENES'!$AH846="","-",'ORDENES'!$AH846))</f>
        <v/>
      </c>
      <c r="D868" s="5">
        <f>IF('ORDENES'!$A846="","",IF('ORDENES'!$Z846="","-",'ORDENES'!$Z846))</f>
        <v/>
      </c>
      <c r="E868" s="5">
        <f>IF('ORDENES'!$A846="","",IF('ORDENES'!$X846="","-",'ORDENES'!$X846))</f>
        <v/>
      </c>
      <c r="F868" s="5">
        <f>IF('ORDENES'!$A846="","",IF('ORDENES'!$AA846="","-",'ORDENES'!$AA846))</f>
        <v/>
      </c>
      <c r="G868" s="5">
        <f>IF('ORDENES'!$A846="","",IF('ORDENES'!$Y846="","-",'ORDENES'!$Y846))</f>
        <v/>
      </c>
      <c r="H868" s="5">
        <f>IF('ORDENES'!$A846="","",IF('ORDENES'!$AG846="","-",'ORDENES'!$AG846))</f>
        <v/>
      </c>
      <c r="I868" s="5">
        <f>IF('ORDENES'!$A846="","",IF('ORDENES'!$AT846="","-",'ORDENES'!$AT846))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0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IF('ORDENES'!$A846="","",'ORDENES'!$AF846)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IF('ORDENES'!$A847="","",IF('ORDENES'!$AH847="","-",'ORDENES'!$AH847))</f>
        <v/>
      </c>
      <c r="D869" s="5">
        <f>IF('ORDENES'!$A847="","",IF('ORDENES'!$Z847="","-",'ORDENES'!$Z847))</f>
        <v/>
      </c>
      <c r="E869" s="5">
        <f>IF('ORDENES'!$A847="","",IF('ORDENES'!$X847="","-",'ORDENES'!$X847))</f>
        <v/>
      </c>
      <c r="F869" s="5">
        <f>IF('ORDENES'!$A847="","",IF('ORDENES'!$AA847="","-",'ORDENES'!$AA847))</f>
        <v/>
      </c>
      <c r="G869" s="5">
        <f>IF('ORDENES'!$A847="","",IF('ORDENES'!$Y847="","-",'ORDENES'!$Y847))</f>
        <v/>
      </c>
      <c r="H869" s="5">
        <f>IF('ORDENES'!$A847="","",IF('ORDENES'!$AG847="","-",'ORDENES'!$AG847))</f>
        <v/>
      </c>
      <c r="I869" s="5">
        <f>IF('ORDENES'!$A847="","",IF('ORDENES'!$AT847="","-",'ORDENES'!$AT847))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0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IF('ORDENES'!$A847="","",'ORDENES'!$AF847)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IF('ORDENES'!$A848="","",IF('ORDENES'!$AH848="","-",'ORDENES'!$AH848))</f>
        <v/>
      </c>
      <c r="D870" s="5">
        <f>IF('ORDENES'!$A848="","",IF('ORDENES'!$Z848="","-",'ORDENES'!$Z848))</f>
        <v/>
      </c>
      <c r="E870" s="5">
        <f>IF('ORDENES'!$A848="","",IF('ORDENES'!$X848="","-",'ORDENES'!$X848))</f>
        <v/>
      </c>
      <c r="F870" s="5">
        <f>IF('ORDENES'!$A848="","",IF('ORDENES'!$AA848="","-",'ORDENES'!$AA848))</f>
        <v/>
      </c>
      <c r="G870" s="5">
        <f>IF('ORDENES'!$A848="","",IF('ORDENES'!$Y848="","-",'ORDENES'!$Y848))</f>
        <v/>
      </c>
      <c r="H870" s="5">
        <f>IF('ORDENES'!$A848="","",IF('ORDENES'!$AG848="","-",'ORDENES'!$AG848))</f>
        <v/>
      </c>
      <c r="I870" s="5">
        <f>IF('ORDENES'!$A848="","",IF('ORDENES'!$AT848="","-",'ORDENES'!$AT848))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0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IF('ORDENES'!$A848="","",'ORDENES'!$AF848)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IF('ORDENES'!$A849="","",IF('ORDENES'!$AH849="","-",'ORDENES'!$AH849))</f>
        <v/>
      </c>
      <c r="D871" s="5">
        <f>IF('ORDENES'!$A849="","",IF('ORDENES'!$Z849="","-",'ORDENES'!$Z849))</f>
        <v/>
      </c>
      <c r="E871" s="5">
        <f>IF('ORDENES'!$A849="","",IF('ORDENES'!$X849="","-",'ORDENES'!$X849))</f>
        <v/>
      </c>
      <c r="F871" s="5">
        <f>IF('ORDENES'!$A849="","",IF('ORDENES'!$AA849="","-",'ORDENES'!$AA849))</f>
        <v/>
      </c>
      <c r="G871" s="5">
        <f>IF('ORDENES'!$A849="","",IF('ORDENES'!$Y849="","-",'ORDENES'!$Y849))</f>
        <v/>
      </c>
      <c r="H871" s="5">
        <f>IF('ORDENES'!$A849="","",IF('ORDENES'!$AG849="","-",'ORDENES'!$AG849))</f>
        <v/>
      </c>
      <c r="I871" s="5">
        <f>IF('ORDENES'!$A849="","",IF('ORDENES'!$AT849="","-",'ORDENES'!$AT849))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0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IF('ORDENES'!$A849="","",'ORDENES'!$AF849)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IF('ORDENES'!$A850="","",IF('ORDENES'!$AH850="","-",'ORDENES'!$AH850))</f>
        <v/>
      </c>
      <c r="D872" s="5">
        <f>IF('ORDENES'!$A850="","",IF('ORDENES'!$Z850="","-",'ORDENES'!$Z850))</f>
        <v/>
      </c>
      <c r="E872" s="5">
        <f>IF('ORDENES'!$A850="","",IF('ORDENES'!$X850="","-",'ORDENES'!$X850))</f>
        <v/>
      </c>
      <c r="F872" s="5">
        <f>IF('ORDENES'!$A850="","",IF('ORDENES'!$AA850="","-",'ORDENES'!$AA850))</f>
        <v/>
      </c>
      <c r="G872" s="5">
        <f>IF('ORDENES'!$A850="","",IF('ORDENES'!$Y850="","-",'ORDENES'!$Y850))</f>
        <v/>
      </c>
      <c r="H872" s="5">
        <f>IF('ORDENES'!$A850="","",IF('ORDENES'!$AG850="","-",'ORDENES'!$AG850))</f>
        <v/>
      </c>
      <c r="I872" s="5">
        <f>IF('ORDENES'!$A850="","",IF('ORDENES'!$AT850="","-",'ORDENES'!$AT850))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0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IF('ORDENES'!$A850="","",'ORDENES'!$AF850)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IF('ORDENES'!$A851="","",IF('ORDENES'!$AH851="","-",'ORDENES'!$AH851))</f>
        <v/>
      </c>
      <c r="D873" s="5">
        <f>IF('ORDENES'!$A851="","",IF('ORDENES'!$Z851="","-",'ORDENES'!$Z851))</f>
        <v/>
      </c>
      <c r="E873" s="5">
        <f>IF('ORDENES'!$A851="","",IF('ORDENES'!$X851="","-",'ORDENES'!$X851))</f>
        <v/>
      </c>
      <c r="F873" s="5">
        <f>IF('ORDENES'!$A851="","",IF('ORDENES'!$AA851="","-",'ORDENES'!$AA851))</f>
        <v/>
      </c>
      <c r="G873" s="5">
        <f>IF('ORDENES'!$A851="","",IF('ORDENES'!$Y851="","-",'ORDENES'!$Y851))</f>
        <v/>
      </c>
      <c r="H873" s="5">
        <f>IF('ORDENES'!$A851="","",IF('ORDENES'!$AG851="","-",'ORDENES'!$AG851))</f>
        <v/>
      </c>
      <c r="I873" s="5">
        <f>IF('ORDENES'!$A851="","",IF('ORDENES'!$AT851="","-",'ORDENES'!$AT851))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0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IF('ORDENES'!$A851="","",'ORDENES'!$AF851)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IF('ORDENES'!$A852="","",IF('ORDENES'!$AH852="","-",'ORDENES'!$AH852))</f>
        <v/>
      </c>
      <c r="D874" s="5">
        <f>IF('ORDENES'!$A852="","",IF('ORDENES'!$Z852="","-",'ORDENES'!$Z852))</f>
        <v/>
      </c>
      <c r="E874" s="5">
        <f>IF('ORDENES'!$A852="","",IF('ORDENES'!$X852="","-",'ORDENES'!$X852))</f>
        <v/>
      </c>
      <c r="F874" s="5">
        <f>IF('ORDENES'!$A852="","",IF('ORDENES'!$AA852="","-",'ORDENES'!$AA852))</f>
        <v/>
      </c>
      <c r="G874" s="5">
        <f>IF('ORDENES'!$A852="","",IF('ORDENES'!$Y852="","-",'ORDENES'!$Y852))</f>
        <v/>
      </c>
      <c r="H874" s="5">
        <f>IF('ORDENES'!$A852="","",IF('ORDENES'!$AG852="","-",'ORDENES'!$AG852))</f>
        <v/>
      </c>
      <c r="I874" s="5">
        <f>IF('ORDENES'!$A852="","",IF('ORDENES'!$AT852="","-",'ORDENES'!$AT852))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0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IF('ORDENES'!$A852="","",'ORDENES'!$AF852)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IF('ORDENES'!$A853="","",IF('ORDENES'!$AH853="","-",'ORDENES'!$AH853))</f>
        <v/>
      </c>
      <c r="D875" s="5">
        <f>IF('ORDENES'!$A853="","",IF('ORDENES'!$Z853="","-",'ORDENES'!$Z853))</f>
        <v/>
      </c>
      <c r="E875" s="5">
        <f>IF('ORDENES'!$A853="","",IF('ORDENES'!$X853="","-",'ORDENES'!$X853))</f>
        <v/>
      </c>
      <c r="F875" s="5">
        <f>IF('ORDENES'!$A853="","",IF('ORDENES'!$AA853="","-",'ORDENES'!$AA853))</f>
        <v/>
      </c>
      <c r="G875" s="5">
        <f>IF('ORDENES'!$A853="","",IF('ORDENES'!$Y853="","-",'ORDENES'!$Y853))</f>
        <v/>
      </c>
      <c r="H875" s="5">
        <f>IF('ORDENES'!$A853="","",IF('ORDENES'!$AG853="","-",'ORDENES'!$AG853))</f>
        <v/>
      </c>
      <c r="I875" s="5">
        <f>IF('ORDENES'!$A853="","",IF('ORDENES'!$AT853="","-",'ORDENES'!$AT853))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0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IF('ORDENES'!$A853="","",'ORDENES'!$AF853)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IF('ORDENES'!$A854="","",IF('ORDENES'!$AH854="","-",'ORDENES'!$AH854))</f>
        <v/>
      </c>
      <c r="D876" s="5">
        <f>IF('ORDENES'!$A854="","",IF('ORDENES'!$Z854="","-",'ORDENES'!$Z854))</f>
        <v/>
      </c>
      <c r="E876" s="5">
        <f>IF('ORDENES'!$A854="","",IF('ORDENES'!$X854="","-",'ORDENES'!$X854))</f>
        <v/>
      </c>
      <c r="F876" s="5">
        <f>IF('ORDENES'!$A854="","",IF('ORDENES'!$AA854="","-",'ORDENES'!$AA854))</f>
        <v/>
      </c>
      <c r="G876" s="5">
        <f>IF('ORDENES'!$A854="","",IF('ORDENES'!$Y854="","-",'ORDENES'!$Y854))</f>
        <v/>
      </c>
      <c r="H876" s="5">
        <f>IF('ORDENES'!$A854="","",IF('ORDENES'!$AG854="","-",'ORDENES'!$AG854))</f>
        <v/>
      </c>
      <c r="I876" s="5">
        <f>IF('ORDENES'!$A854="","",IF('ORDENES'!$AT854="","-",'ORDENES'!$AT854))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0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IF('ORDENES'!$A854="","",'ORDENES'!$AF854)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IF('ORDENES'!$A855="","",IF('ORDENES'!$AH855="","-",'ORDENES'!$AH855))</f>
        <v/>
      </c>
      <c r="D877" s="5">
        <f>IF('ORDENES'!$A855="","",IF('ORDENES'!$Z855="","-",'ORDENES'!$Z855))</f>
        <v/>
      </c>
      <c r="E877" s="5">
        <f>IF('ORDENES'!$A855="","",IF('ORDENES'!$X855="","-",'ORDENES'!$X855))</f>
        <v/>
      </c>
      <c r="F877" s="5">
        <f>IF('ORDENES'!$A855="","",IF('ORDENES'!$AA855="","-",'ORDENES'!$AA855))</f>
        <v/>
      </c>
      <c r="G877" s="5">
        <f>IF('ORDENES'!$A855="","",IF('ORDENES'!$Y855="","-",'ORDENES'!$Y855))</f>
        <v/>
      </c>
      <c r="H877" s="5">
        <f>IF('ORDENES'!$A855="","",IF('ORDENES'!$AG855="","-",'ORDENES'!$AG855))</f>
        <v/>
      </c>
      <c r="I877" s="5">
        <f>IF('ORDENES'!$A855="","",IF('ORDENES'!$AT855="","-",'ORDENES'!$AT855))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0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IF('ORDENES'!$A855="","",'ORDENES'!$AF855)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IF('ORDENES'!$A856="","",IF('ORDENES'!$AH856="","-",'ORDENES'!$AH856))</f>
        <v/>
      </c>
      <c r="D878" s="5">
        <f>IF('ORDENES'!$A856="","",IF('ORDENES'!$Z856="","-",'ORDENES'!$Z856))</f>
        <v/>
      </c>
      <c r="E878" s="5">
        <f>IF('ORDENES'!$A856="","",IF('ORDENES'!$X856="","-",'ORDENES'!$X856))</f>
        <v/>
      </c>
      <c r="F878" s="5">
        <f>IF('ORDENES'!$A856="","",IF('ORDENES'!$AA856="","-",'ORDENES'!$AA856))</f>
        <v/>
      </c>
      <c r="G878" s="5">
        <f>IF('ORDENES'!$A856="","",IF('ORDENES'!$Y856="","-",'ORDENES'!$Y856))</f>
        <v/>
      </c>
      <c r="H878" s="5">
        <f>IF('ORDENES'!$A856="","",IF('ORDENES'!$AG856="","-",'ORDENES'!$AG856))</f>
        <v/>
      </c>
      <c r="I878" s="5">
        <f>IF('ORDENES'!$A856="","",IF('ORDENES'!$AT856="","-",'ORDENES'!$AT856))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0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IF('ORDENES'!$A856="","",'ORDENES'!$AF856)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IF('ORDENES'!$A857="","",IF('ORDENES'!$AH857="","-",'ORDENES'!$AH857))</f>
        <v/>
      </c>
      <c r="D879" s="5">
        <f>IF('ORDENES'!$A857="","",IF('ORDENES'!$Z857="","-",'ORDENES'!$Z857))</f>
        <v/>
      </c>
      <c r="E879" s="5">
        <f>IF('ORDENES'!$A857="","",IF('ORDENES'!$X857="","-",'ORDENES'!$X857))</f>
        <v/>
      </c>
      <c r="F879" s="5">
        <f>IF('ORDENES'!$A857="","",IF('ORDENES'!$AA857="","-",'ORDENES'!$AA857))</f>
        <v/>
      </c>
      <c r="G879" s="5">
        <f>IF('ORDENES'!$A857="","",IF('ORDENES'!$Y857="","-",'ORDENES'!$Y857))</f>
        <v/>
      </c>
      <c r="H879" s="5">
        <f>IF('ORDENES'!$A857="","",IF('ORDENES'!$AG857="","-",'ORDENES'!$AG857))</f>
        <v/>
      </c>
      <c r="I879" s="5">
        <f>IF('ORDENES'!$A857="","",IF('ORDENES'!$AT857="","-",'ORDENES'!$AT857))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0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IF('ORDENES'!$A857="","",'ORDENES'!$AF857)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IF('ORDENES'!$A858="","",IF('ORDENES'!$AH858="","-",'ORDENES'!$AH858))</f>
        <v/>
      </c>
      <c r="D880" s="5">
        <f>IF('ORDENES'!$A858="","",IF('ORDENES'!$Z858="","-",'ORDENES'!$Z858))</f>
        <v/>
      </c>
      <c r="E880" s="5">
        <f>IF('ORDENES'!$A858="","",IF('ORDENES'!$X858="","-",'ORDENES'!$X858))</f>
        <v/>
      </c>
      <c r="F880" s="5">
        <f>IF('ORDENES'!$A858="","",IF('ORDENES'!$AA858="","-",'ORDENES'!$AA858))</f>
        <v/>
      </c>
      <c r="G880" s="5">
        <f>IF('ORDENES'!$A858="","",IF('ORDENES'!$Y858="","-",'ORDENES'!$Y858))</f>
        <v/>
      </c>
      <c r="H880" s="5">
        <f>IF('ORDENES'!$A858="","",IF('ORDENES'!$AG858="","-",'ORDENES'!$AG858))</f>
        <v/>
      </c>
      <c r="I880" s="5">
        <f>IF('ORDENES'!$A858="","",IF('ORDENES'!$AT858="","-",'ORDENES'!$AT858))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0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IF('ORDENES'!$A858="","",'ORDENES'!$AF858)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IF('ORDENES'!$A859="","",IF('ORDENES'!$AH859="","-",'ORDENES'!$AH859))</f>
        <v/>
      </c>
      <c r="D881" s="5">
        <f>IF('ORDENES'!$A859="","",IF('ORDENES'!$Z859="","-",'ORDENES'!$Z859))</f>
        <v/>
      </c>
      <c r="E881" s="5">
        <f>IF('ORDENES'!$A859="","",IF('ORDENES'!$X859="","-",'ORDENES'!$X859))</f>
        <v/>
      </c>
      <c r="F881" s="5">
        <f>IF('ORDENES'!$A859="","",IF('ORDENES'!$AA859="","-",'ORDENES'!$AA859))</f>
        <v/>
      </c>
      <c r="G881" s="5">
        <f>IF('ORDENES'!$A859="","",IF('ORDENES'!$Y859="","-",'ORDENES'!$Y859))</f>
        <v/>
      </c>
      <c r="H881" s="5">
        <f>IF('ORDENES'!$A859="","",IF('ORDENES'!$AG859="","-",'ORDENES'!$AG859))</f>
        <v/>
      </c>
      <c r="I881" s="5">
        <f>IF('ORDENES'!$A859="","",IF('ORDENES'!$AT859="","-",'ORDENES'!$AT859))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0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IF('ORDENES'!$A859="","",'ORDENES'!$AF859)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IF('ORDENES'!$A860="","",IF('ORDENES'!$AH860="","-",'ORDENES'!$AH860))</f>
        <v/>
      </c>
      <c r="D882" s="5">
        <f>IF('ORDENES'!$A860="","",IF('ORDENES'!$Z860="","-",'ORDENES'!$Z860))</f>
        <v/>
      </c>
      <c r="E882" s="5">
        <f>IF('ORDENES'!$A860="","",IF('ORDENES'!$X860="","-",'ORDENES'!$X860))</f>
        <v/>
      </c>
      <c r="F882" s="5">
        <f>IF('ORDENES'!$A860="","",IF('ORDENES'!$AA860="","-",'ORDENES'!$AA860))</f>
        <v/>
      </c>
      <c r="G882" s="5">
        <f>IF('ORDENES'!$A860="","",IF('ORDENES'!$Y860="","-",'ORDENES'!$Y860))</f>
        <v/>
      </c>
      <c r="H882" s="5">
        <f>IF('ORDENES'!$A860="","",IF('ORDENES'!$AG860="","-",'ORDENES'!$AG860))</f>
        <v/>
      </c>
      <c r="I882" s="5">
        <f>IF('ORDENES'!$A860="","",IF('ORDENES'!$AT860="","-",'ORDENES'!$AT860))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0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IF('ORDENES'!$A860="","",'ORDENES'!$AF860)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IF('ORDENES'!$A861="","",IF('ORDENES'!$AH861="","-",'ORDENES'!$AH861))</f>
        <v/>
      </c>
      <c r="D883" s="5">
        <f>IF('ORDENES'!$A861="","",IF('ORDENES'!$Z861="","-",'ORDENES'!$Z861))</f>
        <v/>
      </c>
      <c r="E883" s="5">
        <f>IF('ORDENES'!$A861="","",IF('ORDENES'!$X861="","-",'ORDENES'!$X861))</f>
        <v/>
      </c>
      <c r="F883" s="5">
        <f>IF('ORDENES'!$A861="","",IF('ORDENES'!$AA861="","-",'ORDENES'!$AA861))</f>
        <v/>
      </c>
      <c r="G883" s="5">
        <f>IF('ORDENES'!$A861="","",IF('ORDENES'!$Y861="","-",'ORDENES'!$Y861))</f>
        <v/>
      </c>
      <c r="H883" s="5">
        <f>IF('ORDENES'!$A861="","",IF('ORDENES'!$AG861="","-",'ORDENES'!$AG861))</f>
        <v/>
      </c>
      <c r="I883" s="5">
        <f>IF('ORDENES'!$A861="","",IF('ORDENES'!$AT861="","-",'ORDENES'!$AT861))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0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IF('ORDENES'!$A861="","",'ORDENES'!$AF861)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IF('ORDENES'!$A862="","",IF('ORDENES'!$AH862="","-",'ORDENES'!$AH862))</f>
        <v/>
      </c>
      <c r="D884" s="5">
        <f>IF('ORDENES'!$A862="","",IF('ORDENES'!$Z862="","-",'ORDENES'!$Z862))</f>
        <v/>
      </c>
      <c r="E884" s="5">
        <f>IF('ORDENES'!$A862="","",IF('ORDENES'!$X862="","-",'ORDENES'!$X862))</f>
        <v/>
      </c>
      <c r="F884" s="5">
        <f>IF('ORDENES'!$A862="","",IF('ORDENES'!$AA862="","-",'ORDENES'!$AA862))</f>
        <v/>
      </c>
      <c r="G884" s="5">
        <f>IF('ORDENES'!$A862="","",IF('ORDENES'!$Y862="","-",'ORDENES'!$Y862))</f>
        <v/>
      </c>
      <c r="H884" s="5">
        <f>IF('ORDENES'!$A862="","",IF('ORDENES'!$AG862="","-",'ORDENES'!$AG862))</f>
        <v/>
      </c>
      <c r="I884" s="5">
        <f>IF('ORDENES'!$A862="","",IF('ORDENES'!$AT862="","-",'ORDENES'!$AT862))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0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IF('ORDENES'!$A862="","",'ORDENES'!$AF862)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IF('ORDENES'!$A863="","",IF('ORDENES'!$AH863="","-",'ORDENES'!$AH863))</f>
        <v/>
      </c>
      <c r="D885" s="5">
        <f>IF('ORDENES'!$A863="","",IF('ORDENES'!$Z863="","-",'ORDENES'!$Z863))</f>
        <v/>
      </c>
      <c r="E885" s="5">
        <f>IF('ORDENES'!$A863="","",IF('ORDENES'!$X863="","-",'ORDENES'!$X863))</f>
        <v/>
      </c>
      <c r="F885" s="5">
        <f>IF('ORDENES'!$A863="","",IF('ORDENES'!$AA863="","-",'ORDENES'!$AA863))</f>
        <v/>
      </c>
      <c r="G885" s="5">
        <f>IF('ORDENES'!$A863="","",IF('ORDENES'!$Y863="","-",'ORDENES'!$Y863))</f>
        <v/>
      </c>
      <c r="H885" s="5">
        <f>IF('ORDENES'!$A863="","",IF('ORDENES'!$AG863="","-",'ORDENES'!$AG863))</f>
        <v/>
      </c>
      <c r="I885" s="5">
        <f>IF('ORDENES'!$A863="","",IF('ORDENES'!$AT863="","-",'ORDENES'!$AT863))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0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IF('ORDENES'!$A863="","",'ORDENES'!$AF863)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IF('ORDENES'!$A864="","",IF('ORDENES'!$AH864="","-",'ORDENES'!$AH864))</f>
        <v/>
      </c>
      <c r="D886" s="5">
        <f>IF('ORDENES'!$A864="","",IF('ORDENES'!$Z864="","-",'ORDENES'!$Z864))</f>
        <v/>
      </c>
      <c r="E886" s="5">
        <f>IF('ORDENES'!$A864="","",IF('ORDENES'!$X864="","-",'ORDENES'!$X864))</f>
        <v/>
      </c>
      <c r="F886" s="5">
        <f>IF('ORDENES'!$A864="","",IF('ORDENES'!$AA864="","-",'ORDENES'!$AA864))</f>
        <v/>
      </c>
      <c r="G886" s="5">
        <f>IF('ORDENES'!$A864="","",IF('ORDENES'!$Y864="","-",'ORDENES'!$Y864))</f>
        <v/>
      </c>
      <c r="H886" s="5">
        <f>IF('ORDENES'!$A864="","",IF('ORDENES'!$AG864="","-",'ORDENES'!$AG864))</f>
        <v/>
      </c>
      <c r="I886" s="5">
        <f>IF('ORDENES'!$A864="","",IF('ORDENES'!$AT864="","-",'ORDENES'!$AT864))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0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IF('ORDENES'!$A864="","",'ORDENES'!$AF864)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IF('ORDENES'!$A865="","",IF('ORDENES'!$AH865="","-",'ORDENES'!$AH865))</f>
        <v/>
      </c>
      <c r="D887" s="5">
        <f>IF('ORDENES'!$A865="","",IF('ORDENES'!$Z865="","-",'ORDENES'!$Z865))</f>
        <v/>
      </c>
      <c r="E887" s="5">
        <f>IF('ORDENES'!$A865="","",IF('ORDENES'!$X865="","-",'ORDENES'!$X865))</f>
        <v/>
      </c>
      <c r="F887" s="5">
        <f>IF('ORDENES'!$A865="","",IF('ORDENES'!$AA865="","-",'ORDENES'!$AA865))</f>
        <v/>
      </c>
      <c r="G887" s="5">
        <f>IF('ORDENES'!$A865="","",IF('ORDENES'!$Y865="","-",'ORDENES'!$Y865))</f>
        <v/>
      </c>
      <c r="H887" s="5">
        <f>IF('ORDENES'!$A865="","",IF('ORDENES'!$AG865="","-",'ORDENES'!$AG865))</f>
        <v/>
      </c>
      <c r="I887" s="5">
        <f>IF('ORDENES'!$A865="","",IF('ORDENES'!$AT865="","-",'ORDENES'!$AT865))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0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IF('ORDENES'!$A865="","",'ORDENES'!$AF865)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IF('ORDENES'!$A866="","",IF('ORDENES'!$AH866="","-",'ORDENES'!$AH866))</f>
        <v/>
      </c>
      <c r="D888" s="5">
        <f>IF('ORDENES'!$A866="","",IF('ORDENES'!$Z866="","-",'ORDENES'!$Z866))</f>
        <v/>
      </c>
      <c r="E888" s="5">
        <f>IF('ORDENES'!$A866="","",IF('ORDENES'!$X866="","-",'ORDENES'!$X866))</f>
        <v/>
      </c>
      <c r="F888" s="5">
        <f>IF('ORDENES'!$A866="","",IF('ORDENES'!$AA866="","-",'ORDENES'!$AA866))</f>
        <v/>
      </c>
      <c r="G888" s="5">
        <f>IF('ORDENES'!$A866="","",IF('ORDENES'!$Y866="","-",'ORDENES'!$Y866))</f>
        <v/>
      </c>
      <c r="H888" s="5">
        <f>IF('ORDENES'!$A866="","",IF('ORDENES'!$AG866="","-",'ORDENES'!$AG866))</f>
        <v/>
      </c>
      <c r="I888" s="5">
        <f>IF('ORDENES'!$A866="","",IF('ORDENES'!$AT866="","-",'ORDENES'!$AT866))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0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IF('ORDENES'!$A866="","",'ORDENES'!$AF866)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IF('ORDENES'!$A867="","",IF('ORDENES'!$AH867="","-",'ORDENES'!$AH867))</f>
        <v/>
      </c>
      <c r="D889" s="5">
        <f>IF('ORDENES'!$A867="","",IF('ORDENES'!$Z867="","-",'ORDENES'!$Z867))</f>
        <v/>
      </c>
      <c r="E889" s="5">
        <f>IF('ORDENES'!$A867="","",IF('ORDENES'!$X867="","-",'ORDENES'!$X867))</f>
        <v/>
      </c>
      <c r="F889" s="5">
        <f>IF('ORDENES'!$A867="","",IF('ORDENES'!$AA867="","-",'ORDENES'!$AA867))</f>
        <v/>
      </c>
      <c r="G889" s="5">
        <f>IF('ORDENES'!$A867="","",IF('ORDENES'!$Y867="","-",'ORDENES'!$Y867))</f>
        <v/>
      </c>
      <c r="H889" s="5">
        <f>IF('ORDENES'!$A867="","",IF('ORDENES'!$AG867="","-",'ORDENES'!$AG867))</f>
        <v/>
      </c>
      <c r="I889" s="5">
        <f>IF('ORDENES'!$A867="","",IF('ORDENES'!$AT867="","-",'ORDENES'!$AT867))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0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IF('ORDENES'!$A867="","",'ORDENES'!$AF867)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IF('ORDENES'!$A868="","",IF('ORDENES'!$AH868="","-",'ORDENES'!$AH868))</f>
        <v/>
      </c>
      <c r="D890" s="5">
        <f>IF('ORDENES'!$A868="","",IF('ORDENES'!$Z868="","-",'ORDENES'!$Z868))</f>
        <v/>
      </c>
      <c r="E890" s="5">
        <f>IF('ORDENES'!$A868="","",IF('ORDENES'!$X868="","-",'ORDENES'!$X868))</f>
        <v/>
      </c>
      <c r="F890" s="5">
        <f>IF('ORDENES'!$A868="","",IF('ORDENES'!$AA868="","-",'ORDENES'!$AA868))</f>
        <v/>
      </c>
      <c r="G890" s="5">
        <f>IF('ORDENES'!$A868="","",IF('ORDENES'!$Y868="","-",'ORDENES'!$Y868))</f>
        <v/>
      </c>
      <c r="H890" s="5">
        <f>IF('ORDENES'!$A868="","",IF('ORDENES'!$AG868="","-",'ORDENES'!$AG868))</f>
        <v/>
      </c>
      <c r="I890" s="5">
        <f>IF('ORDENES'!$A868="","",IF('ORDENES'!$AT868="","-",'ORDENES'!$AT868))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0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IF('ORDENES'!$A868="","",'ORDENES'!$AF868)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IF('ORDENES'!$A869="","",IF('ORDENES'!$AH869="","-",'ORDENES'!$AH869))</f>
        <v/>
      </c>
      <c r="D891" s="5">
        <f>IF('ORDENES'!$A869="","",IF('ORDENES'!$Z869="","-",'ORDENES'!$Z869))</f>
        <v/>
      </c>
      <c r="E891" s="5">
        <f>IF('ORDENES'!$A869="","",IF('ORDENES'!$X869="","-",'ORDENES'!$X869))</f>
        <v/>
      </c>
      <c r="F891" s="5">
        <f>IF('ORDENES'!$A869="","",IF('ORDENES'!$AA869="","-",'ORDENES'!$AA869))</f>
        <v/>
      </c>
      <c r="G891" s="5">
        <f>IF('ORDENES'!$A869="","",IF('ORDENES'!$Y869="","-",'ORDENES'!$Y869))</f>
        <v/>
      </c>
      <c r="H891" s="5">
        <f>IF('ORDENES'!$A869="","",IF('ORDENES'!$AG869="","-",'ORDENES'!$AG869))</f>
        <v/>
      </c>
      <c r="I891" s="5">
        <f>IF('ORDENES'!$A869="","",IF('ORDENES'!$AT869="","-",'ORDENES'!$AT869))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0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IF('ORDENES'!$A869="","",'ORDENES'!$AF869)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IF('ORDENES'!$A870="","",IF('ORDENES'!$AH870="","-",'ORDENES'!$AH870))</f>
        <v/>
      </c>
      <c r="D892" s="5">
        <f>IF('ORDENES'!$A870="","",IF('ORDENES'!$Z870="","-",'ORDENES'!$Z870))</f>
        <v/>
      </c>
      <c r="E892" s="5">
        <f>IF('ORDENES'!$A870="","",IF('ORDENES'!$X870="","-",'ORDENES'!$X870))</f>
        <v/>
      </c>
      <c r="F892" s="5">
        <f>IF('ORDENES'!$A870="","",IF('ORDENES'!$AA870="","-",'ORDENES'!$AA870))</f>
        <v/>
      </c>
      <c r="G892" s="5">
        <f>IF('ORDENES'!$A870="","",IF('ORDENES'!$Y870="","-",'ORDENES'!$Y870))</f>
        <v/>
      </c>
      <c r="H892" s="5">
        <f>IF('ORDENES'!$A870="","",IF('ORDENES'!$AG870="","-",'ORDENES'!$AG870))</f>
        <v/>
      </c>
      <c r="I892" s="5">
        <f>IF('ORDENES'!$A870="","",IF('ORDENES'!$AT870="","-",'ORDENES'!$AT870))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0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IF('ORDENES'!$A870="","",'ORDENES'!$AF870)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IF('ORDENES'!$A871="","",IF('ORDENES'!$AH871="","-",'ORDENES'!$AH871))</f>
        <v/>
      </c>
      <c r="D893" s="5">
        <f>IF('ORDENES'!$A871="","",IF('ORDENES'!$Z871="","-",'ORDENES'!$Z871))</f>
        <v/>
      </c>
      <c r="E893" s="5">
        <f>IF('ORDENES'!$A871="","",IF('ORDENES'!$X871="","-",'ORDENES'!$X871))</f>
        <v/>
      </c>
      <c r="F893" s="5">
        <f>IF('ORDENES'!$A871="","",IF('ORDENES'!$AA871="","-",'ORDENES'!$AA871))</f>
        <v/>
      </c>
      <c r="G893" s="5">
        <f>IF('ORDENES'!$A871="","",IF('ORDENES'!$Y871="","-",'ORDENES'!$Y871))</f>
        <v/>
      </c>
      <c r="H893" s="5">
        <f>IF('ORDENES'!$A871="","",IF('ORDENES'!$AG871="","-",'ORDENES'!$AG871))</f>
        <v/>
      </c>
      <c r="I893" s="5">
        <f>IF('ORDENES'!$A871="","",IF('ORDENES'!$AT871="","-",'ORDENES'!$AT871))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0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IF('ORDENES'!$A871="","",'ORDENES'!$AF871)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IF('ORDENES'!$A872="","",IF('ORDENES'!$AH872="","-",'ORDENES'!$AH872))</f>
        <v/>
      </c>
      <c r="D894" s="5">
        <f>IF('ORDENES'!$A872="","",IF('ORDENES'!$Z872="","-",'ORDENES'!$Z872))</f>
        <v/>
      </c>
      <c r="E894" s="5">
        <f>IF('ORDENES'!$A872="","",IF('ORDENES'!$X872="","-",'ORDENES'!$X872))</f>
        <v/>
      </c>
      <c r="F894" s="5">
        <f>IF('ORDENES'!$A872="","",IF('ORDENES'!$AA872="","-",'ORDENES'!$AA872))</f>
        <v/>
      </c>
      <c r="G894" s="5">
        <f>IF('ORDENES'!$A872="","",IF('ORDENES'!$Y872="","-",'ORDENES'!$Y872))</f>
        <v/>
      </c>
      <c r="H894" s="5">
        <f>IF('ORDENES'!$A872="","",IF('ORDENES'!$AG872="","-",'ORDENES'!$AG872))</f>
        <v/>
      </c>
      <c r="I894" s="5">
        <f>IF('ORDENES'!$A872="","",IF('ORDENES'!$AT872="","-",'ORDENES'!$AT872))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0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IF('ORDENES'!$A872="","",'ORDENES'!$AF872)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IF('ORDENES'!$A873="","",IF('ORDENES'!$AH873="","-",'ORDENES'!$AH873))</f>
        <v/>
      </c>
      <c r="D895" s="5">
        <f>IF('ORDENES'!$A873="","",IF('ORDENES'!$Z873="","-",'ORDENES'!$Z873))</f>
        <v/>
      </c>
      <c r="E895" s="5">
        <f>IF('ORDENES'!$A873="","",IF('ORDENES'!$X873="","-",'ORDENES'!$X873))</f>
        <v/>
      </c>
      <c r="F895" s="5">
        <f>IF('ORDENES'!$A873="","",IF('ORDENES'!$AA873="","-",'ORDENES'!$AA873))</f>
        <v/>
      </c>
      <c r="G895" s="5">
        <f>IF('ORDENES'!$A873="","",IF('ORDENES'!$Y873="","-",'ORDENES'!$Y873))</f>
        <v/>
      </c>
      <c r="H895" s="5">
        <f>IF('ORDENES'!$A873="","",IF('ORDENES'!$AG873="","-",'ORDENES'!$AG873))</f>
        <v/>
      </c>
      <c r="I895" s="5">
        <f>IF('ORDENES'!$A873="","",IF('ORDENES'!$AT873="","-",'ORDENES'!$AT873))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0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IF('ORDENES'!$A873="","",'ORDENES'!$AF873)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IF('ORDENES'!$A874="","",IF('ORDENES'!$AH874="","-",'ORDENES'!$AH874))</f>
        <v/>
      </c>
      <c r="D896" s="5">
        <f>IF('ORDENES'!$A874="","",IF('ORDENES'!$Z874="","-",'ORDENES'!$Z874))</f>
        <v/>
      </c>
      <c r="E896" s="5">
        <f>IF('ORDENES'!$A874="","",IF('ORDENES'!$X874="","-",'ORDENES'!$X874))</f>
        <v/>
      </c>
      <c r="F896" s="5">
        <f>IF('ORDENES'!$A874="","",IF('ORDENES'!$AA874="","-",'ORDENES'!$AA874))</f>
        <v/>
      </c>
      <c r="G896" s="5">
        <f>IF('ORDENES'!$A874="","",IF('ORDENES'!$Y874="","-",'ORDENES'!$Y874))</f>
        <v/>
      </c>
      <c r="H896" s="5">
        <f>IF('ORDENES'!$A874="","",IF('ORDENES'!$AG874="","-",'ORDENES'!$AG874))</f>
        <v/>
      </c>
      <c r="I896" s="5">
        <f>IF('ORDENES'!$A874="","",IF('ORDENES'!$AT874="","-",'ORDENES'!$AT874))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0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IF('ORDENES'!$A874="","",'ORDENES'!$AF874)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IF('ORDENES'!$A875="","",IF('ORDENES'!$AH875="","-",'ORDENES'!$AH875))</f>
        <v/>
      </c>
      <c r="D897" s="5">
        <f>IF('ORDENES'!$A875="","",IF('ORDENES'!$Z875="","-",'ORDENES'!$Z875))</f>
        <v/>
      </c>
      <c r="E897" s="5">
        <f>IF('ORDENES'!$A875="","",IF('ORDENES'!$X875="","-",'ORDENES'!$X875))</f>
        <v/>
      </c>
      <c r="F897" s="5">
        <f>IF('ORDENES'!$A875="","",IF('ORDENES'!$AA875="","-",'ORDENES'!$AA875))</f>
        <v/>
      </c>
      <c r="G897" s="5">
        <f>IF('ORDENES'!$A875="","",IF('ORDENES'!$Y875="","-",'ORDENES'!$Y875))</f>
        <v/>
      </c>
      <c r="H897" s="5">
        <f>IF('ORDENES'!$A875="","",IF('ORDENES'!$AG875="","-",'ORDENES'!$AG875))</f>
        <v/>
      </c>
      <c r="I897" s="5">
        <f>IF('ORDENES'!$A875="","",IF('ORDENES'!$AT875="","-",'ORDENES'!$AT875))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0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IF('ORDENES'!$A875="","",'ORDENES'!$AF875)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IF('ORDENES'!$A876="","",IF('ORDENES'!$AH876="","-",'ORDENES'!$AH876))</f>
        <v/>
      </c>
      <c r="D898" s="5">
        <f>IF('ORDENES'!$A876="","",IF('ORDENES'!$Z876="","-",'ORDENES'!$Z876))</f>
        <v/>
      </c>
      <c r="E898" s="5">
        <f>IF('ORDENES'!$A876="","",IF('ORDENES'!$X876="","-",'ORDENES'!$X876))</f>
        <v/>
      </c>
      <c r="F898" s="5">
        <f>IF('ORDENES'!$A876="","",IF('ORDENES'!$AA876="","-",'ORDENES'!$AA876))</f>
        <v/>
      </c>
      <c r="G898" s="5">
        <f>IF('ORDENES'!$A876="","",IF('ORDENES'!$Y876="","-",'ORDENES'!$Y876))</f>
        <v/>
      </c>
      <c r="H898" s="5">
        <f>IF('ORDENES'!$A876="","",IF('ORDENES'!$AG876="","-",'ORDENES'!$AG876))</f>
        <v/>
      </c>
      <c r="I898" s="5">
        <f>IF('ORDENES'!$A876="","",IF('ORDENES'!$AT876="","-",'ORDENES'!$AT876))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0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IF('ORDENES'!$A876="","",'ORDENES'!$AF876)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IF('ORDENES'!$A877="","",IF('ORDENES'!$AH877="","-",'ORDENES'!$AH877))</f>
        <v/>
      </c>
      <c r="D899" s="5">
        <f>IF('ORDENES'!$A877="","",IF('ORDENES'!$Z877="","-",'ORDENES'!$Z877))</f>
        <v/>
      </c>
      <c r="E899" s="5">
        <f>IF('ORDENES'!$A877="","",IF('ORDENES'!$X877="","-",'ORDENES'!$X877))</f>
        <v/>
      </c>
      <c r="F899" s="5">
        <f>IF('ORDENES'!$A877="","",IF('ORDENES'!$AA877="","-",'ORDENES'!$AA877))</f>
        <v/>
      </c>
      <c r="G899" s="5">
        <f>IF('ORDENES'!$A877="","",IF('ORDENES'!$Y877="","-",'ORDENES'!$Y877))</f>
        <v/>
      </c>
      <c r="H899" s="5">
        <f>IF('ORDENES'!$A877="","",IF('ORDENES'!$AG877="","-",'ORDENES'!$AG877))</f>
        <v/>
      </c>
      <c r="I899" s="5">
        <f>IF('ORDENES'!$A877="","",IF('ORDENES'!$AT877="","-",'ORDENES'!$AT877))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0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IF('ORDENES'!$A877="","",'ORDENES'!$AF877)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IF('ORDENES'!$A878="","",IF('ORDENES'!$AH878="","-",'ORDENES'!$AH878))</f>
        <v/>
      </c>
      <c r="D900" s="5">
        <f>IF('ORDENES'!$A878="","",IF('ORDENES'!$Z878="","-",'ORDENES'!$Z878))</f>
        <v/>
      </c>
      <c r="E900" s="5">
        <f>IF('ORDENES'!$A878="","",IF('ORDENES'!$X878="","-",'ORDENES'!$X878))</f>
        <v/>
      </c>
      <c r="F900" s="5">
        <f>IF('ORDENES'!$A878="","",IF('ORDENES'!$AA878="","-",'ORDENES'!$AA878))</f>
        <v/>
      </c>
      <c r="G900" s="5">
        <f>IF('ORDENES'!$A878="","",IF('ORDENES'!$Y878="","-",'ORDENES'!$Y878))</f>
        <v/>
      </c>
      <c r="H900" s="5">
        <f>IF('ORDENES'!$A878="","",IF('ORDENES'!$AG878="","-",'ORDENES'!$AG878))</f>
        <v/>
      </c>
      <c r="I900" s="5">
        <f>IF('ORDENES'!$A878="","",IF('ORDENES'!$AT878="","-",'ORDENES'!$AT878))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0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IF('ORDENES'!$A878="","",'ORDENES'!$AF878)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IF('ORDENES'!$A879="","",IF('ORDENES'!$AH879="","-",'ORDENES'!$AH879))</f>
        <v/>
      </c>
      <c r="D901" s="5">
        <f>IF('ORDENES'!$A879="","",IF('ORDENES'!$Z879="","-",'ORDENES'!$Z879))</f>
        <v/>
      </c>
      <c r="E901" s="5">
        <f>IF('ORDENES'!$A879="","",IF('ORDENES'!$X879="","-",'ORDENES'!$X879))</f>
        <v/>
      </c>
      <c r="F901" s="5">
        <f>IF('ORDENES'!$A879="","",IF('ORDENES'!$AA879="","-",'ORDENES'!$AA879))</f>
        <v/>
      </c>
      <c r="G901" s="5">
        <f>IF('ORDENES'!$A879="","",IF('ORDENES'!$Y879="","-",'ORDENES'!$Y879))</f>
        <v/>
      </c>
      <c r="H901" s="5">
        <f>IF('ORDENES'!$A879="","",IF('ORDENES'!$AG879="","-",'ORDENES'!$AG879))</f>
        <v/>
      </c>
      <c r="I901" s="5">
        <f>IF('ORDENES'!$A879="","",IF('ORDENES'!$AT879="","-",'ORDENES'!$AT879))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0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IF('ORDENES'!$A879="","",'ORDENES'!$AF879)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IF('ORDENES'!$A880="","",IF('ORDENES'!$AH880="","-",'ORDENES'!$AH880))</f>
        <v/>
      </c>
      <c r="D902" s="5">
        <f>IF('ORDENES'!$A880="","",IF('ORDENES'!$Z880="","-",'ORDENES'!$Z880))</f>
        <v/>
      </c>
      <c r="E902" s="5">
        <f>IF('ORDENES'!$A880="","",IF('ORDENES'!$X880="","-",'ORDENES'!$X880))</f>
        <v/>
      </c>
      <c r="F902" s="5">
        <f>IF('ORDENES'!$A880="","",IF('ORDENES'!$AA880="","-",'ORDENES'!$AA880))</f>
        <v/>
      </c>
      <c r="G902" s="5">
        <f>IF('ORDENES'!$A880="","",IF('ORDENES'!$Y880="","-",'ORDENES'!$Y880))</f>
        <v/>
      </c>
      <c r="H902" s="5">
        <f>IF('ORDENES'!$A880="","",IF('ORDENES'!$AG880="","-",'ORDENES'!$AG880))</f>
        <v/>
      </c>
      <c r="I902" s="5">
        <f>IF('ORDENES'!$A880="","",IF('ORDENES'!$AT880="","-",'ORDENES'!$AT880))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0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IF('ORDENES'!$A880="","",'ORDENES'!$AF880)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IF('ORDENES'!$A881="","",IF('ORDENES'!$AH881="","-",'ORDENES'!$AH881))</f>
        <v/>
      </c>
      <c r="D903" s="5">
        <f>IF('ORDENES'!$A881="","",IF('ORDENES'!$Z881="","-",'ORDENES'!$Z881))</f>
        <v/>
      </c>
      <c r="E903" s="5">
        <f>IF('ORDENES'!$A881="","",IF('ORDENES'!$X881="","-",'ORDENES'!$X881))</f>
        <v/>
      </c>
      <c r="F903" s="5">
        <f>IF('ORDENES'!$A881="","",IF('ORDENES'!$AA881="","-",'ORDENES'!$AA881))</f>
        <v/>
      </c>
      <c r="G903" s="5">
        <f>IF('ORDENES'!$A881="","",IF('ORDENES'!$Y881="","-",'ORDENES'!$Y881))</f>
        <v/>
      </c>
      <c r="H903" s="5">
        <f>IF('ORDENES'!$A881="","",IF('ORDENES'!$AG881="","-",'ORDENES'!$AG881))</f>
        <v/>
      </c>
      <c r="I903" s="5">
        <f>IF('ORDENES'!$A881="","",IF('ORDENES'!$AT881="","-",'ORDENES'!$AT881))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0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IF('ORDENES'!$A881="","",'ORDENES'!$AF881)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IF('ORDENES'!$A882="","",IF('ORDENES'!$AH882="","-",'ORDENES'!$AH882))</f>
        <v/>
      </c>
      <c r="D904" s="5">
        <f>IF('ORDENES'!$A882="","",IF('ORDENES'!$Z882="","-",'ORDENES'!$Z882))</f>
        <v/>
      </c>
      <c r="E904" s="5">
        <f>IF('ORDENES'!$A882="","",IF('ORDENES'!$X882="","-",'ORDENES'!$X882))</f>
        <v/>
      </c>
      <c r="F904" s="5">
        <f>IF('ORDENES'!$A882="","",IF('ORDENES'!$AA882="","-",'ORDENES'!$AA882))</f>
        <v/>
      </c>
      <c r="G904" s="5">
        <f>IF('ORDENES'!$A882="","",IF('ORDENES'!$Y882="","-",'ORDENES'!$Y882))</f>
        <v/>
      </c>
      <c r="H904" s="5">
        <f>IF('ORDENES'!$A882="","",IF('ORDENES'!$AG882="","-",'ORDENES'!$AG882))</f>
        <v/>
      </c>
      <c r="I904" s="5">
        <f>IF('ORDENES'!$A882="","",IF('ORDENES'!$AT882="","-",'ORDENES'!$AT882))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0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IF('ORDENES'!$A882="","",'ORDENES'!$AF882)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IF('ORDENES'!$A883="","",IF('ORDENES'!$AH883="","-",'ORDENES'!$AH883))</f>
        <v/>
      </c>
      <c r="D905" s="5">
        <f>IF('ORDENES'!$A883="","",IF('ORDENES'!$Z883="","-",'ORDENES'!$Z883))</f>
        <v/>
      </c>
      <c r="E905" s="5">
        <f>IF('ORDENES'!$A883="","",IF('ORDENES'!$X883="","-",'ORDENES'!$X883))</f>
        <v/>
      </c>
      <c r="F905" s="5">
        <f>IF('ORDENES'!$A883="","",IF('ORDENES'!$AA883="","-",'ORDENES'!$AA883))</f>
        <v/>
      </c>
      <c r="G905" s="5">
        <f>IF('ORDENES'!$A883="","",IF('ORDENES'!$Y883="","-",'ORDENES'!$Y883))</f>
        <v/>
      </c>
      <c r="H905" s="5">
        <f>IF('ORDENES'!$A883="","",IF('ORDENES'!$AG883="","-",'ORDENES'!$AG883))</f>
        <v/>
      </c>
      <c r="I905" s="5">
        <f>IF('ORDENES'!$A883="","",IF('ORDENES'!$AT883="","-",'ORDENES'!$AT883))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0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IF('ORDENES'!$A883="","",'ORDENES'!$AF883)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IF('ORDENES'!$A884="","",IF('ORDENES'!$AH884="","-",'ORDENES'!$AH884))</f>
        <v/>
      </c>
      <c r="D906" s="5">
        <f>IF('ORDENES'!$A884="","",IF('ORDENES'!$Z884="","-",'ORDENES'!$Z884))</f>
        <v/>
      </c>
      <c r="E906" s="5">
        <f>IF('ORDENES'!$A884="","",IF('ORDENES'!$X884="","-",'ORDENES'!$X884))</f>
        <v/>
      </c>
      <c r="F906" s="5">
        <f>IF('ORDENES'!$A884="","",IF('ORDENES'!$AA884="","-",'ORDENES'!$AA884))</f>
        <v/>
      </c>
      <c r="G906" s="5">
        <f>IF('ORDENES'!$A884="","",IF('ORDENES'!$Y884="","-",'ORDENES'!$Y884))</f>
        <v/>
      </c>
      <c r="H906" s="5">
        <f>IF('ORDENES'!$A884="","",IF('ORDENES'!$AG884="","-",'ORDENES'!$AG884))</f>
        <v/>
      </c>
      <c r="I906" s="5">
        <f>IF('ORDENES'!$A884="","",IF('ORDENES'!$AT884="","-",'ORDENES'!$AT884))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0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IF('ORDENES'!$A884="","",'ORDENES'!$AF884)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IF('ORDENES'!$A885="","",IF('ORDENES'!$AH885="","-",'ORDENES'!$AH885))</f>
        <v/>
      </c>
      <c r="D907" s="5">
        <f>IF('ORDENES'!$A885="","",IF('ORDENES'!$Z885="","-",'ORDENES'!$Z885))</f>
        <v/>
      </c>
      <c r="E907" s="5">
        <f>IF('ORDENES'!$A885="","",IF('ORDENES'!$X885="","-",'ORDENES'!$X885))</f>
        <v/>
      </c>
      <c r="F907" s="5">
        <f>IF('ORDENES'!$A885="","",IF('ORDENES'!$AA885="","-",'ORDENES'!$AA885))</f>
        <v/>
      </c>
      <c r="G907" s="5">
        <f>IF('ORDENES'!$A885="","",IF('ORDENES'!$Y885="","-",'ORDENES'!$Y885))</f>
        <v/>
      </c>
      <c r="H907" s="5">
        <f>IF('ORDENES'!$A885="","",IF('ORDENES'!$AG885="","-",'ORDENES'!$AG885))</f>
        <v/>
      </c>
      <c r="I907" s="5">
        <f>IF('ORDENES'!$A885="","",IF('ORDENES'!$AT885="","-",'ORDENES'!$AT885))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0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IF('ORDENES'!$A885="","",'ORDENES'!$AF885)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IF('ORDENES'!$A886="","",IF('ORDENES'!$AH886="","-",'ORDENES'!$AH886))</f>
        <v/>
      </c>
      <c r="D908" s="5">
        <f>IF('ORDENES'!$A886="","",IF('ORDENES'!$Z886="","-",'ORDENES'!$Z886))</f>
        <v/>
      </c>
      <c r="E908" s="5">
        <f>IF('ORDENES'!$A886="","",IF('ORDENES'!$X886="","-",'ORDENES'!$X886))</f>
        <v/>
      </c>
      <c r="F908" s="5">
        <f>IF('ORDENES'!$A886="","",IF('ORDENES'!$AA886="","-",'ORDENES'!$AA886))</f>
        <v/>
      </c>
      <c r="G908" s="5">
        <f>IF('ORDENES'!$A886="","",IF('ORDENES'!$Y886="","-",'ORDENES'!$Y886))</f>
        <v/>
      </c>
      <c r="H908" s="5">
        <f>IF('ORDENES'!$A886="","",IF('ORDENES'!$AG886="","-",'ORDENES'!$AG886))</f>
        <v/>
      </c>
      <c r="I908" s="5">
        <f>IF('ORDENES'!$A886="","",IF('ORDENES'!$AT886="","-",'ORDENES'!$AT886))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0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IF('ORDENES'!$A886="","",'ORDENES'!$AF886)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IF('ORDENES'!$A887="","",IF('ORDENES'!$AH887="","-",'ORDENES'!$AH887))</f>
        <v/>
      </c>
      <c r="D909" s="5">
        <f>IF('ORDENES'!$A887="","",IF('ORDENES'!$Z887="","-",'ORDENES'!$Z887))</f>
        <v/>
      </c>
      <c r="E909" s="5">
        <f>IF('ORDENES'!$A887="","",IF('ORDENES'!$X887="","-",'ORDENES'!$X887))</f>
        <v/>
      </c>
      <c r="F909" s="5">
        <f>IF('ORDENES'!$A887="","",IF('ORDENES'!$AA887="","-",'ORDENES'!$AA887))</f>
        <v/>
      </c>
      <c r="G909" s="5">
        <f>IF('ORDENES'!$A887="","",IF('ORDENES'!$Y887="","-",'ORDENES'!$Y887))</f>
        <v/>
      </c>
      <c r="H909" s="5">
        <f>IF('ORDENES'!$A887="","",IF('ORDENES'!$AG887="","-",'ORDENES'!$AG887))</f>
        <v/>
      </c>
      <c r="I909" s="5">
        <f>IF('ORDENES'!$A887="","",IF('ORDENES'!$AT887="","-",'ORDENES'!$AT887))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0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IF('ORDENES'!$A887="","",'ORDENES'!$AF887)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IF('ORDENES'!$A888="","",IF('ORDENES'!$AH888="","-",'ORDENES'!$AH888))</f>
        <v/>
      </c>
      <c r="D910" s="5">
        <f>IF('ORDENES'!$A888="","",IF('ORDENES'!$Z888="","-",'ORDENES'!$Z888))</f>
        <v/>
      </c>
      <c r="E910" s="5">
        <f>IF('ORDENES'!$A888="","",IF('ORDENES'!$X888="","-",'ORDENES'!$X888))</f>
        <v/>
      </c>
      <c r="F910" s="5">
        <f>IF('ORDENES'!$A888="","",IF('ORDENES'!$AA888="","-",'ORDENES'!$AA888))</f>
        <v/>
      </c>
      <c r="G910" s="5">
        <f>IF('ORDENES'!$A888="","",IF('ORDENES'!$Y888="","-",'ORDENES'!$Y888))</f>
        <v/>
      </c>
      <c r="H910" s="5">
        <f>IF('ORDENES'!$A888="","",IF('ORDENES'!$AG888="","-",'ORDENES'!$AG888))</f>
        <v/>
      </c>
      <c r="I910" s="5">
        <f>IF('ORDENES'!$A888="","",IF('ORDENES'!$AT888="","-",'ORDENES'!$AT888))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0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IF('ORDENES'!$A888="","",'ORDENES'!$AF888)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IF('ORDENES'!$A889="","",IF('ORDENES'!$AH889="","-",'ORDENES'!$AH889))</f>
        <v/>
      </c>
      <c r="D911" s="5">
        <f>IF('ORDENES'!$A889="","",IF('ORDENES'!$Z889="","-",'ORDENES'!$Z889))</f>
        <v/>
      </c>
      <c r="E911" s="5">
        <f>IF('ORDENES'!$A889="","",IF('ORDENES'!$X889="","-",'ORDENES'!$X889))</f>
        <v/>
      </c>
      <c r="F911" s="5">
        <f>IF('ORDENES'!$A889="","",IF('ORDENES'!$AA889="","-",'ORDENES'!$AA889))</f>
        <v/>
      </c>
      <c r="G911" s="5">
        <f>IF('ORDENES'!$A889="","",IF('ORDENES'!$Y889="","-",'ORDENES'!$Y889))</f>
        <v/>
      </c>
      <c r="H911" s="5">
        <f>IF('ORDENES'!$A889="","",IF('ORDENES'!$AG889="","-",'ORDENES'!$AG889))</f>
        <v/>
      </c>
      <c r="I911" s="5">
        <f>IF('ORDENES'!$A889="","",IF('ORDENES'!$AT889="","-",'ORDENES'!$AT889))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0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IF('ORDENES'!$A889="","",'ORDENES'!$AF889)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IF('ORDENES'!$A890="","",IF('ORDENES'!$AH890="","-",'ORDENES'!$AH890))</f>
        <v/>
      </c>
      <c r="D912" s="5">
        <f>IF('ORDENES'!$A890="","",IF('ORDENES'!$Z890="","-",'ORDENES'!$Z890))</f>
        <v/>
      </c>
      <c r="E912" s="5">
        <f>IF('ORDENES'!$A890="","",IF('ORDENES'!$X890="","-",'ORDENES'!$X890))</f>
        <v/>
      </c>
      <c r="F912" s="5">
        <f>IF('ORDENES'!$A890="","",IF('ORDENES'!$AA890="","-",'ORDENES'!$AA890))</f>
        <v/>
      </c>
      <c r="G912" s="5">
        <f>IF('ORDENES'!$A890="","",IF('ORDENES'!$Y890="","-",'ORDENES'!$Y890))</f>
        <v/>
      </c>
      <c r="H912" s="5">
        <f>IF('ORDENES'!$A890="","",IF('ORDENES'!$AG890="","-",'ORDENES'!$AG890))</f>
        <v/>
      </c>
      <c r="I912" s="5">
        <f>IF('ORDENES'!$A890="","",IF('ORDENES'!$AT890="","-",'ORDENES'!$AT890))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0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IF('ORDENES'!$A890="","",'ORDENES'!$AF890)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IF('ORDENES'!$A891="","",IF('ORDENES'!$AH891="","-",'ORDENES'!$AH891))</f>
        <v/>
      </c>
      <c r="D913" s="5">
        <f>IF('ORDENES'!$A891="","",IF('ORDENES'!$Z891="","-",'ORDENES'!$Z891))</f>
        <v/>
      </c>
      <c r="E913" s="5">
        <f>IF('ORDENES'!$A891="","",IF('ORDENES'!$X891="","-",'ORDENES'!$X891))</f>
        <v/>
      </c>
      <c r="F913" s="5">
        <f>IF('ORDENES'!$A891="","",IF('ORDENES'!$AA891="","-",'ORDENES'!$AA891))</f>
        <v/>
      </c>
      <c r="G913" s="5">
        <f>IF('ORDENES'!$A891="","",IF('ORDENES'!$Y891="","-",'ORDENES'!$Y891))</f>
        <v/>
      </c>
      <c r="H913" s="5">
        <f>IF('ORDENES'!$A891="","",IF('ORDENES'!$AG891="","-",'ORDENES'!$AG891))</f>
        <v/>
      </c>
      <c r="I913" s="5">
        <f>IF('ORDENES'!$A891="","",IF('ORDENES'!$AT891="","-",'ORDENES'!$AT891))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0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IF('ORDENES'!$A891="","",'ORDENES'!$AF891)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IF('ORDENES'!$A892="","",IF('ORDENES'!$AH892="","-",'ORDENES'!$AH892))</f>
        <v/>
      </c>
      <c r="D914" s="5">
        <f>IF('ORDENES'!$A892="","",IF('ORDENES'!$Z892="","-",'ORDENES'!$Z892))</f>
        <v/>
      </c>
      <c r="E914" s="5">
        <f>IF('ORDENES'!$A892="","",IF('ORDENES'!$X892="","-",'ORDENES'!$X892))</f>
        <v/>
      </c>
      <c r="F914" s="5">
        <f>IF('ORDENES'!$A892="","",IF('ORDENES'!$AA892="","-",'ORDENES'!$AA892))</f>
        <v/>
      </c>
      <c r="G914" s="5">
        <f>IF('ORDENES'!$A892="","",IF('ORDENES'!$Y892="","-",'ORDENES'!$Y892))</f>
        <v/>
      </c>
      <c r="H914" s="5">
        <f>IF('ORDENES'!$A892="","",IF('ORDENES'!$AG892="","-",'ORDENES'!$AG892))</f>
        <v/>
      </c>
      <c r="I914" s="5">
        <f>IF('ORDENES'!$A892="","",IF('ORDENES'!$AT892="","-",'ORDENES'!$AT892))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0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IF('ORDENES'!$A892="","",'ORDENES'!$AF892)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IF('ORDENES'!$A893="","",IF('ORDENES'!$AH893="","-",'ORDENES'!$AH893))</f>
        <v/>
      </c>
      <c r="D915" s="5">
        <f>IF('ORDENES'!$A893="","",IF('ORDENES'!$Z893="","-",'ORDENES'!$Z893))</f>
        <v/>
      </c>
      <c r="E915" s="5">
        <f>IF('ORDENES'!$A893="","",IF('ORDENES'!$X893="","-",'ORDENES'!$X893))</f>
        <v/>
      </c>
      <c r="F915" s="5">
        <f>IF('ORDENES'!$A893="","",IF('ORDENES'!$AA893="","-",'ORDENES'!$AA893))</f>
        <v/>
      </c>
      <c r="G915" s="5">
        <f>IF('ORDENES'!$A893="","",IF('ORDENES'!$Y893="","-",'ORDENES'!$Y893))</f>
        <v/>
      </c>
      <c r="H915" s="5">
        <f>IF('ORDENES'!$A893="","",IF('ORDENES'!$AG893="","-",'ORDENES'!$AG893))</f>
        <v/>
      </c>
      <c r="I915" s="5">
        <f>IF('ORDENES'!$A893="","",IF('ORDENES'!$AT893="","-",'ORDENES'!$AT893))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0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IF('ORDENES'!$A893="","",'ORDENES'!$AF893)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IF('ORDENES'!$A894="","",IF('ORDENES'!$AH894="","-",'ORDENES'!$AH894))</f>
        <v/>
      </c>
      <c r="D916" s="5">
        <f>IF('ORDENES'!$A894="","",IF('ORDENES'!$Z894="","-",'ORDENES'!$Z894))</f>
        <v/>
      </c>
      <c r="E916" s="5">
        <f>IF('ORDENES'!$A894="","",IF('ORDENES'!$X894="","-",'ORDENES'!$X894))</f>
        <v/>
      </c>
      <c r="F916" s="5">
        <f>IF('ORDENES'!$A894="","",IF('ORDENES'!$AA894="","-",'ORDENES'!$AA894))</f>
        <v/>
      </c>
      <c r="G916" s="5">
        <f>IF('ORDENES'!$A894="","",IF('ORDENES'!$Y894="","-",'ORDENES'!$Y894))</f>
        <v/>
      </c>
      <c r="H916" s="5">
        <f>IF('ORDENES'!$A894="","",IF('ORDENES'!$AG894="","-",'ORDENES'!$AG894))</f>
        <v/>
      </c>
      <c r="I916" s="5">
        <f>IF('ORDENES'!$A894="","",IF('ORDENES'!$AT894="","-",'ORDENES'!$AT894))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0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IF('ORDENES'!$A894="","",'ORDENES'!$AF894)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IF('ORDENES'!$A895="","",IF('ORDENES'!$AH895="","-",'ORDENES'!$AH895))</f>
        <v/>
      </c>
      <c r="D917" s="5">
        <f>IF('ORDENES'!$A895="","",IF('ORDENES'!$Z895="","-",'ORDENES'!$Z895))</f>
        <v/>
      </c>
      <c r="E917" s="5">
        <f>IF('ORDENES'!$A895="","",IF('ORDENES'!$X895="","-",'ORDENES'!$X895))</f>
        <v/>
      </c>
      <c r="F917" s="5">
        <f>IF('ORDENES'!$A895="","",IF('ORDENES'!$AA895="","-",'ORDENES'!$AA895))</f>
        <v/>
      </c>
      <c r="G917" s="5">
        <f>IF('ORDENES'!$A895="","",IF('ORDENES'!$Y895="","-",'ORDENES'!$Y895))</f>
        <v/>
      </c>
      <c r="H917" s="5">
        <f>IF('ORDENES'!$A895="","",IF('ORDENES'!$AG895="","-",'ORDENES'!$AG895))</f>
        <v/>
      </c>
      <c r="I917" s="5">
        <f>IF('ORDENES'!$A895="","",IF('ORDENES'!$AT895="","-",'ORDENES'!$AT895))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0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IF('ORDENES'!$A895="","",'ORDENES'!$AF895)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IF('ORDENES'!$A896="","",IF('ORDENES'!$AH896="","-",'ORDENES'!$AH896))</f>
        <v/>
      </c>
      <c r="D918" s="5">
        <f>IF('ORDENES'!$A896="","",IF('ORDENES'!$Z896="","-",'ORDENES'!$Z896))</f>
        <v/>
      </c>
      <c r="E918" s="5">
        <f>IF('ORDENES'!$A896="","",IF('ORDENES'!$X896="","-",'ORDENES'!$X896))</f>
        <v/>
      </c>
      <c r="F918" s="5">
        <f>IF('ORDENES'!$A896="","",IF('ORDENES'!$AA896="","-",'ORDENES'!$AA896))</f>
        <v/>
      </c>
      <c r="G918" s="5">
        <f>IF('ORDENES'!$A896="","",IF('ORDENES'!$Y896="","-",'ORDENES'!$Y896))</f>
        <v/>
      </c>
      <c r="H918" s="5">
        <f>IF('ORDENES'!$A896="","",IF('ORDENES'!$AG896="","-",'ORDENES'!$AG896))</f>
        <v/>
      </c>
      <c r="I918" s="5">
        <f>IF('ORDENES'!$A896="","",IF('ORDENES'!$AT896="","-",'ORDENES'!$AT896))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0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IF('ORDENES'!$A896="","",'ORDENES'!$AF896)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IF('ORDENES'!$A897="","",IF('ORDENES'!$AH897="","-",'ORDENES'!$AH897))</f>
        <v/>
      </c>
      <c r="D919" s="5">
        <f>IF('ORDENES'!$A897="","",IF('ORDENES'!$Z897="","-",'ORDENES'!$Z897))</f>
        <v/>
      </c>
      <c r="E919" s="5">
        <f>IF('ORDENES'!$A897="","",IF('ORDENES'!$X897="","-",'ORDENES'!$X897))</f>
        <v/>
      </c>
      <c r="F919" s="5">
        <f>IF('ORDENES'!$A897="","",IF('ORDENES'!$AA897="","-",'ORDENES'!$AA897))</f>
        <v/>
      </c>
      <c r="G919" s="5">
        <f>IF('ORDENES'!$A897="","",IF('ORDENES'!$Y897="","-",'ORDENES'!$Y897))</f>
        <v/>
      </c>
      <c r="H919" s="5">
        <f>IF('ORDENES'!$A897="","",IF('ORDENES'!$AG897="","-",'ORDENES'!$AG897))</f>
        <v/>
      </c>
      <c r="I919" s="5">
        <f>IF('ORDENES'!$A897="","",IF('ORDENES'!$AT897="","-",'ORDENES'!$AT897))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0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IF('ORDENES'!$A897="","",'ORDENES'!$AF897)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IF('ORDENES'!$A898="","",IF('ORDENES'!$AH898="","-",'ORDENES'!$AH898))</f>
        <v/>
      </c>
      <c r="D920" s="5">
        <f>IF('ORDENES'!$A898="","",IF('ORDENES'!$Z898="","-",'ORDENES'!$Z898))</f>
        <v/>
      </c>
      <c r="E920" s="5">
        <f>IF('ORDENES'!$A898="","",IF('ORDENES'!$X898="","-",'ORDENES'!$X898))</f>
        <v/>
      </c>
      <c r="F920" s="5">
        <f>IF('ORDENES'!$A898="","",IF('ORDENES'!$AA898="","-",'ORDENES'!$AA898))</f>
        <v/>
      </c>
      <c r="G920" s="5">
        <f>IF('ORDENES'!$A898="","",IF('ORDENES'!$Y898="","-",'ORDENES'!$Y898))</f>
        <v/>
      </c>
      <c r="H920" s="5">
        <f>IF('ORDENES'!$A898="","",IF('ORDENES'!$AG898="","-",'ORDENES'!$AG898))</f>
        <v/>
      </c>
      <c r="I920" s="5">
        <f>IF('ORDENES'!$A898="","",IF('ORDENES'!$AT898="","-",'ORDENES'!$AT898))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0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IF('ORDENES'!$A898="","",'ORDENES'!$AF898)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IF('ORDENES'!$A899="","",IF('ORDENES'!$AH899="","-",'ORDENES'!$AH899))</f>
        <v/>
      </c>
      <c r="D921" s="5">
        <f>IF('ORDENES'!$A899="","",IF('ORDENES'!$Z899="","-",'ORDENES'!$Z899))</f>
        <v/>
      </c>
      <c r="E921" s="5">
        <f>IF('ORDENES'!$A899="","",IF('ORDENES'!$X899="","-",'ORDENES'!$X899))</f>
        <v/>
      </c>
      <c r="F921" s="5">
        <f>IF('ORDENES'!$A899="","",IF('ORDENES'!$AA899="","-",'ORDENES'!$AA899))</f>
        <v/>
      </c>
      <c r="G921" s="5">
        <f>IF('ORDENES'!$A899="","",IF('ORDENES'!$Y899="","-",'ORDENES'!$Y899))</f>
        <v/>
      </c>
      <c r="H921" s="5">
        <f>IF('ORDENES'!$A899="","",IF('ORDENES'!$AG899="","-",'ORDENES'!$AG899))</f>
        <v/>
      </c>
      <c r="I921" s="5">
        <f>IF('ORDENES'!$A899="","",IF('ORDENES'!$AT899="","-",'ORDENES'!$AT899))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0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IF('ORDENES'!$A899="","",'ORDENES'!$AF899)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IF('ORDENES'!$A900="","",IF('ORDENES'!$AH900="","-",'ORDENES'!$AH900))</f>
        <v/>
      </c>
      <c r="D922" s="5">
        <f>IF('ORDENES'!$A900="","",IF('ORDENES'!$Z900="","-",'ORDENES'!$Z900))</f>
        <v/>
      </c>
      <c r="E922" s="5">
        <f>IF('ORDENES'!$A900="","",IF('ORDENES'!$X900="","-",'ORDENES'!$X900))</f>
        <v/>
      </c>
      <c r="F922" s="5">
        <f>IF('ORDENES'!$A900="","",IF('ORDENES'!$AA900="","-",'ORDENES'!$AA900))</f>
        <v/>
      </c>
      <c r="G922" s="5">
        <f>IF('ORDENES'!$A900="","",IF('ORDENES'!$Y900="","-",'ORDENES'!$Y900))</f>
        <v/>
      </c>
      <c r="H922" s="5">
        <f>IF('ORDENES'!$A900="","",IF('ORDENES'!$AG900="","-",'ORDENES'!$AG900))</f>
        <v/>
      </c>
      <c r="I922" s="5">
        <f>IF('ORDENES'!$A900="","",IF('ORDENES'!$AT900="","-",'ORDENES'!$AT900))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0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IF('ORDENES'!$A900="","",'ORDENES'!$AF900)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IF('ORDENES'!$A901="","",IF('ORDENES'!$AH901="","-",'ORDENES'!$AH901))</f>
        <v/>
      </c>
      <c r="D923" s="5">
        <f>IF('ORDENES'!$A901="","",IF('ORDENES'!$Z901="","-",'ORDENES'!$Z901))</f>
        <v/>
      </c>
      <c r="E923" s="5">
        <f>IF('ORDENES'!$A901="","",IF('ORDENES'!$X901="","-",'ORDENES'!$X901))</f>
        <v/>
      </c>
      <c r="F923" s="5">
        <f>IF('ORDENES'!$A901="","",IF('ORDENES'!$AA901="","-",'ORDENES'!$AA901))</f>
        <v/>
      </c>
      <c r="G923" s="5">
        <f>IF('ORDENES'!$A901="","",IF('ORDENES'!$Y901="","-",'ORDENES'!$Y901))</f>
        <v/>
      </c>
      <c r="H923" s="5">
        <f>IF('ORDENES'!$A901="","",IF('ORDENES'!$AG901="","-",'ORDENES'!$AG901))</f>
        <v/>
      </c>
      <c r="I923" s="5">
        <f>IF('ORDENES'!$A901="","",IF('ORDENES'!$AT901="","-",'ORDENES'!$AT901))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0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IF('ORDENES'!$A901="","",'ORDENES'!$AF901)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IF('ORDENES'!$A902="","",IF('ORDENES'!$AH902="","-",'ORDENES'!$AH902))</f>
        <v/>
      </c>
      <c r="D924" s="5">
        <f>IF('ORDENES'!$A902="","",IF('ORDENES'!$Z902="","-",'ORDENES'!$Z902))</f>
        <v/>
      </c>
      <c r="E924" s="5">
        <f>IF('ORDENES'!$A902="","",IF('ORDENES'!$X902="","-",'ORDENES'!$X902))</f>
        <v/>
      </c>
      <c r="F924" s="5">
        <f>IF('ORDENES'!$A902="","",IF('ORDENES'!$AA902="","-",'ORDENES'!$AA902))</f>
        <v/>
      </c>
      <c r="G924" s="5">
        <f>IF('ORDENES'!$A902="","",IF('ORDENES'!$Y902="","-",'ORDENES'!$Y902))</f>
        <v/>
      </c>
      <c r="H924" s="5">
        <f>IF('ORDENES'!$A902="","",IF('ORDENES'!$AG902="","-",'ORDENES'!$AG902))</f>
        <v/>
      </c>
      <c r="I924" s="5">
        <f>IF('ORDENES'!$A902="","",IF('ORDENES'!$AT902="","-",'ORDENES'!$AT902))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0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IF('ORDENES'!$A902="","",'ORDENES'!$AF902)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IF('ORDENES'!$A903="","",IF('ORDENES'!$AH903="","-",'ORDENES'!$AH903))</f>
        <v/>
      </c>
      <c r="D925" s="5">
        <f>IF('ORDENES'!$A903="","",IF('ORDENES'!$Z903="","-",'ORDENES'!$Z903))</f>
        <v/>
      </c>
      <c r="E925" s="5">
        <f>IF('ORDENES'!$A903="","",IF('ORDENES'!$X903="","-",'ORDENES'!$X903))</f>
        <v/>
      </c>
      <c r="F925" s="5">
        <f>IF('ORDENES'!$A903="","",IF('ORDENES'!$AA903="","-",'ORDENES'!$AA903))</f>
        <v/>
      </c>
      <c r="G925" s="5">
        <f>IF('ORDENES'!$A903="","",IF('ORDENES'!$Y903="","-",'ORDENES'!$Y903))</f>
        <v/>
      </c>
      <c r="H925" s="5">
        <f>IF('ORDENES'!$A903="","",IF('ORDENES'!$AG903="","-",'ORDENES'!$AG903))</f>
        <v/>
      </c>
      <c r="I925" s="5">
        <f>IF('ORDENES'!$A903="","",IF('ORDENES'!$AT903="","-",'ORDENES'!$AT903))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0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IF('ORDENES'!$A903="","",'ORDENES'!$AF903)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IF('ORDENES'!$A904="","",IF('ORDENES'!$AH904="","-",'ORDENES'!$AH904))</f>
        <v/>
      </c>
      <c r="D926" s="5">
        <f>IF('ORDENES'!$A904="","",IF('ORDENES'!$Z904="","-",'ORDENES'!$Z904))</f>
        <v/>
      </c>
      <c r="E926" s="5">
        <f>IF('ORDENES'!$A904="","",IF('ORDENES'!$X904="","-",'ORDENES'!$X904))</f>
        <v/>
      </c>
      <c r="F926" s="5">
        <f>IF('ORDENES'!$A904="","",IF('ORDENES'!$AA904="","-",'ORDENES'!$AA904))</f>
        <v/>
      </c>
      <c r="G926" s="5">
        <f>IF('ORDENES'!$A904="","",IF('ORDENES'!$Y904="","-",'ORDENES'!$Y904))</f>
        <v/>
      </c>
      <c r="H926" s="5">
        <f>IF('ORDENES'!$A904="","",IF('ORDENES'!$AG904="","-",'ORDENES'!$AG904))</f>
        <v/>
      </c>
      <c r="I926" s="5">
        <f>IF('ORDENES'!$A904="","",IF('ORDENES'!$AT904="","-",'ORDENES'!$AT904))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0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IF('ORDENES'!$A904="","",'ORDENES'!$AF904)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IF('ORDENES'!$A905="","",IF('ORDENES'!$AH905="","-",'ORDENES'!$AH905))</f>
        <v/>
      </c>
      <c r="D927" s="5">
        <f>IF('ORDENES'!$A905="","",IF('ORDENES'!$Z905="","-",'ORDENES'!$Z905))</f>
        <v/>
      </c>
      <c r="E927" s="5">
        <f>IF('ORDENES'!$A905="","",IF('ORDENES'!$X905="","-",'ORDENES'!$X905))</f>
        <v/>
      </c>
      <c r="F927" s="5">
        <f>IF('ORDENES'!$A905="","",IF('ORDENES'!$AA905="","-",'ORDENES'!$AA905))</f>
        <v/>
      </c>
      <c r="G927" s="5">
        <f>IF('ORDENES'!$A905="","",IF('ORDENES'!$Y905="","-",'ORDENES'!$Y905))</f>
        <v/>
      </c>
      <c r="H927" s="5">
        <f>IF('ORDENES'!$A905="","",IF('ORDENES'!$AG905="","-",'ORDENES'!$AG905))</f>
        <v/>
      </c>
      <c r="I927" s="5">
        <f>IF('ORDENES'!$A905="","",IF('ORDENES'!$AT905="","-",'ORDENES'!$AT905))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0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IF('ORDENES'!$A905="","",'ORDENES'!$AF905)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IF('ORDENES'!$A906="","",IF('ORDENES'!$AH906="","-",'ORDENES'!$AH906))</f>
        <v/>
      </c>
      <c r="D928" s="5">
        <f>IF('ORDENES'!$A906="","",IF('ORDENES'!$Z906="","-",'ORDENES'!$Z906))</f>
        <v/>
      </c>
      <c r="E928" s="5">
        <f>IF('ORDENES'!$A906="","",IF('ORDENES'!$X906="","-",'ORDENES'!$X906))</f>
        <v/>
      </c>
      <c r="F928" s="5">
        <f>IF('ORDENES'!$A906="","",IF('ORDENES'!$AA906="","-",'ORDENES'!$AA906))</f>
        <v/>
      </c>
      <c r="G928" s="5">
        <f>IF('ORDENES'!$A906="","",IF('ORDENES'!$Y906="","-",'ORDENES'!$Y906))</f>
        <v/>
      </c>
      <c r="H928" s="5">
        <f>IF('ORDENES'!$A906="","",IF('ORDENES'!$AG906="","-",'ORDENES'!$AG906))</f>
        <v/>
      </c>
      <c r="I928" s="5">
        <f>IF('ORDENES'!$A906="","",IF('ORDENES'!$AT906="","-",'ORDENES'!$AT906))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0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IF('ORDENES'!$A906="","",'ORDENES'!$AF906)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IF('ORDENES'!$A907="","",IF('ORDENES'!$AH907="","-",'ORDENES'!$AH907))</f>
        <v/>
      </c>
      <c r="D929" s="5">
        <f>IF('ORDENES'!$A907="","",IF('ORDENES'!$Z907="","-",'ORDENES'!$Z907))</f>
        <v/>
      </c>
      <c r="E929" s="5">
        <f>IF('ORDENES'!$A907="","",IF('ORDENES'!$X907="","-",'ORDENES'!$X907))</f>
        <v/>
      </c>
      <c r="F929" s="5">
        <f>IF('ORDENES'!$A907="","",IF('ORDENES'!$AA907="","-",'ORDENES'!$AA907))</f>
        <v/>
      </c>
      <c r="G929" s="5">
        <f>IF('ORDENES'!$A907="","",IF('ORDENES'!$Y907="","-",'ORDENES'!$Y907))</f>
        <v/>
      </c>
      <c r="H929" s="5">
        <f>IF('ORDENES'!$A907="","",IF('ORDENES'!$AG907="","-",'ORDENES'!$AG907))</f>
        <v/>
      </c>
      <c r="I929" s="5">
        <f>IF('ORDENES'!$A907="","",IF('ORDENES'!$AT907="","-",'ORDENES'!$AT907))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0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IF('ORDENES'!$A907="","",'ORDENES'!$AF907)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IF('ORDENES'!$A908="","",IF('ORDENES'!$AH908="","-",'ORDENES'!$AH908))</f>
        <v/>
      </c>
      <c r="D930" s="5">
        <f>IF('ORDENES'!$A908="","",IF('ORDENES'!$Z908="","-",'ORDENES'!$Z908))</f>
        <v/>
      </c>
      <c r="E930" s="5">
        <f>IF('ORDENES'!$A908="","",IF('ORDENES'!$X908="","-",'ORDENES'!$X908))</f>
        <v/>
      </c>
      <c r="F930" s="5">
        <f>IF('ORDENES'!$A908="","",IF('ORDENES'!$AA908="","-",'ORDENES'!$AA908))</f>
        <v/>
      </c>
      <c r="G930" s="5">
        <f>IF('ORDENES'!$A908="","",IF('ORDENES'!$Y908="","-",'ORDENES'!$Y908))</f>
        <v/>
      </c>
      <c r="H930" s="5">
        <f>IF('ORDENES'!$A908="","",IF('ORDENES'!$AG908="","-",'ORDENES'!$AG908))</f>
        <v/>
      </c>
      <c r="I930" s="5">
        <f>IF('ORDENES'!$A908="","",IF('ORDENES'!$AT908="","-",'ORDENES'!$AT908))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0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IF('ORDENES'!$A908="","",'ORDENES'!$AF908)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IF('ORDENES'!$A909="","",IF('ORDENES'!$AH909="","-",'ORDENES'!$AH909))</f>
        <v/>
      </c>
      <c r="D931" s="5">
        <f>IF('ORDENES'!$A909="","",IF('ORDENES'!$Z909="","-",'ORDENES'!$Z909))</f>
        <v/>
      </c>
      <c r="E931" s="5">
        <f>IF('ORDENES'!$A909="","",IF('ORDENES'!$X909="","-",'ORDENES'!$X909))</f>
        <v/>
      </c>
      <c r="F931" s="5">
        <f>IF('ORDENES'!$A909="","",IF('ORDENES'!$AA909="","-",'ORDENES'!$AA909))</f>
        <v/>
      </c>
      <c r="G931" s="5">
        <f>IF('ORDENES'!$A909="","",IF('ORDENES'!$Y909="","-",'ORDENES'!$Y909))</f>
        <v/>
      </c>
      <c r="H931" s="5">
        <f>IF('ORDENES'!$A909="","",IF('ORDENES'!$AG909="","-",'ORDENES'!$AG909))</f>
        <v/>
      </c>
      <c r="I931" s="5">
        <f>IF('ORDENES'!$A909="","",IF('ORDENES'!$AT909="","-",'ORDENES'!$AT909))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0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IF('ORDENES'!$A909="","",'ORDENES'!$AF909)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IF('ORDENES'!$A910="","",IF('ORDENES'!$AH910="","-",'ORDENES'!$AH910))</f>
        <v/>
      </c>
      <c r="D932" s="5">
        <f>IF('ORDENES'!$A910="","",IF('ORDENES'!$Z910="","-",'ORDENES'!$Z910))</f>
        <v/>
      </c>
      <c r="E932" s="5">
        <f>IF('ORDENES'!$A910="","",IF('ORDENES'!$X910="","-",'ORDENES'!$X910))</f>
        <v/>
      </c>
      <c r="F932" s="5">
        <f>IF('ORDENES'!$A910="","",IF('ORDENES'!$AA910="","-",'ORDENES'!$AA910))</f>
        <v/>
      </c>
      <c r="G932" s="5">
        <f>IF('ORDENES'!$A910="","",IF('ORDENES'!$Y910="","-",'ORDENES'!$Y910))</f>
        <v/>
      </c>
      <c r="H932" s="5">
        <f>IF('ORDENES'!$A910="","",IF('ORDENES'!$AG910="","-",'ORDENES'!$AG910))</f>
        <v/>
      </c>
      <c r="I932" s="5">
        <f>IF('ORDENES'!$A910="","",IF('ORDENES'!$AT910="","-",'ORDENES'!$AT910))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0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IF('ORDENES'!$A910="","",'ORDENES'!$AF910)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IF('ORDENES'!$A911="","",IF('ORDENES'!$AH911="","-",'ORDENES'!$AH911))</f>
        <v/>
      </c>
      <c r="D933" s="5">
        <f>IF('ORDENES'!$A911="","",IF('ORDENES'!$Z911="","-",'ORDENES'!$Z911))</f>
        <v/>
      </c>
      <c r="E933" s="5">
        <f>IF('ORDENES'!$A911="","",IF('ORDENES'!$X911="","-",'ORDENES'!$X911))</f>
        <v/>
      </c>
      <c r="F933" s="5">
        <f>IF('ORDENES'!$A911="","",IF('ORDENES'!$AA911="","-",'ORDENES'!$AA911))</f>
        <v/>
      </c>
      <c r="G933" s="5">
        <f>IF('ORDENES'!$A911="","",IF('ORDENES'!$Y911="","-",'ORDENES'!$Y911))</f>
        <v/>
      </c>
      <c r="H933" s="5">
        <f>IF('ORDENES'!$A911="","",IF('ORDENES'!$AG911="","-",'ORDENES'!$AG911))</f>
        <v/>
      </c>
      <c r="I933" s="5">
        <f>IF('ORDENES'!$A911="","",IF('ORDENES'!$AT911="","-",'ORDENES'!$AT911))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0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IF('ORDENES'!$A911="","",'ORDENES'!$AF911)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IF('ORDENES'!$A912="","",IF('ORDENES'!$AH912="","-",'ORDENES'!$AH912))</f>
        <v/>
      </c>
      <c r="D934" s="5">
        <f>IF('ORDENES'!$A912="","",IF('ORDENES'!$Z912="","-",'ORDENES'!$Z912))</f>
        <v/>
      </c>
      <c r="E934" s="5">
        <f>IF('ORDENES'!$A912="","",IF('ORDENES'!$X912="","-",'ORDENES'!$X912))</f>
        <v/>
      </c>
      <c r="F934" s="5">
        <f>IF('ORDENES'!$A912="","",IF('ORDENES'!$AA912="","-",'ORDENES'!$AA912))</f>
        <v/>
      </c>
      <c r="G934" s="5">
        <f>IF('ORDENES'!$A912="","",IF('ORDENES'!$Y912="","-",'ORDENES'!$Y912))</f>
        <v/>
      </c>
      <c r="H934" s="5">
        <f>IF('ORDENES'!$A912="","",IF('ORDENES'!$AG912="","-",'ORDENES'!$AG912))</f>
        <v/>
      </c>
      <c r="I934" s="5">
        <f>IF('ORDENES'!$A912="","",IF('ORDENES'!$AT912="","-",'ORDENES'!$AT912))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0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IF('ORDENES'!$A912="","",'ORDENES'!$AF912)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IF('ORDENES'!$A913="","",IF('ORDENES'!$AH913="","-",'ORDENES'!$AH913))</f>
        <v/>
      </c>
      <c r="D935" s="5">
        <f>IF('ORDENES'!$A913="","",IF('ORDENES'!$Z913="","-",'ORDENES'!$Z913))</f>
        <v/>
      </c>
      <c r="E935" s="5">
        <f>IF('ORDENES'!$A913="","",IF('ORDENES'!$X913="","-",'ORDENES'!$X913))</f>
        <v/>
      </c>
      <c r="F935" s="5">
        <f>IF('ORDENES'!$A913="","",IF('ORDENES'!$AA913="","-",'ORDENES'!$AA913))</f>
        <v/>
      </c>
      <c r="G935" s="5">
        <f>IF('ORDENES'!$A913="","",IF('ORDENES'!$Y913="","-",'ORDENES'!$Y913))</f>
        <v/>
      </c>
      <c r="H935" s="5">
        <f>IF('ORDENES'!$A913="","",IF('ORDENES'!$AG913="","-",'ORDENES'!$AG913))</f>
        <v/>
      </c>
      <c r="I935" s="5">
        <f>IF('ORDENES'!$A913="","",IF('ORDENES'!$AT913="","-",'ORDENES'!$AT913))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0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IF('ORDENES'!$A913="","",'ORDENES'!$AF913)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IF('ORDENES'!$A914="","",IF('ORDENES'!$AH914="","-",'ORDENES'!$AH914))</f>
        <v/>
      </c>
      <c r="D936" s="5">
        <f>IF('ORDENES'!$A914="","",IF('ORDENES'!$Z914="","-",'ORDENES'!$Z914))</f>
        <v/>
      </c>
      <c r="E936" s="5">
        <f>IF('ORDENES'!$A914="","",IF('ORDENES'!$X914="","-",'ORDENES'!$X914))</f>
        <v/>
      </c>
      <c r="F936" s="5">
        <f>IF('ORDENES'!$A914="","",IF('ORDENES'!$AA914="","-",'ORDENES'!$AA914))</f>
        <v/>
      </c>
      <c r="G936" s="5">
        <f>IF('ORDENES'!$A914="","",IF('ORDENES'!$Y914="","-",'ORDENES'!$Y914))</f>
        <v/>
      </c>
      <c r="H936" s="5">
        <f>IF('ORDENES'!$A914="","",IF('ORDENES'!$AG914="","-",'ORDENES'!$AG914))</f>
        <v/>
      </c>
      <c r="I936" s="5">
        <f>IF('ORDENES'!$A914="","",IF('ORDENES'!$AT914="","-",'ORDENES'!$AT914))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0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IF('ORDENES'!$A914="","",'ORDENES'!$AF914)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IF('ORDENES'!$A915="","",IF('ORDENES'!$AH915="","-",'ORDENES'!$AH915))</f>
        <v/>
      </c>
      <c r="D937" s="5">
        <f>IF('ORDENES'!$A915="","",IF('ORDENES'!$Z915="","-",'ORDENES'!$Z915))</f>
        <v/>
      </c>
      <c r="E937" s="5">
        <f>IF('ORDENES'!$A915="","",IF('ORDENES'!$X915="","-",'ORDENES'!$X915))</f>
        <v/>
      </c>
      <c r="F937" s="5">
        <f>IF('ORDENES'!$A915="","",IF('ORDENES'!$AA915="","-",'ORDENES'!$AA915))</f>
        <v/>
      </c>
      <c r="G937" s="5">
        <f>IF('ORDENES'!$A915="","",IF('ORDENES'!$Y915="","-",'ORDENES'!$Y915))</f>
        <v/>
      </c>
      <c r="H937" s="5">
        <f>IF('ORDENES'!$A915="","",IF('ORDENES'!$AG915="","-",'ORDENES'!$AG915))</f>
        <v/>
      </c>
      <c r="I937" s="5">
        <f>IF('ORDENES'!$A915="","",IF('ORDENES'!$AT915="","-",'ORDENES'!$AT915))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0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IF('ORDENES'!$A915="","",'ORDENES'!$AF915)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IF('ORDENES'!$A916="","",IF('ORDENES'!$AH916="","-",'ORDENES'!$AH916))</f>
        <v/>
      </c>
      <c r="D938" s="5">
        <f>IF('ORDENES'!$A916="","",IF('ORDENES'!$Z916="","-",'ORDENES'!$Z916))</f>
        <v/>
      </c>
      <c r="E938" s="5">
        <f>IF('ORDENES'!$A916="","",IF('ORDENES'!$X916="","-",'ORDENES'!$X916))</f>
        <v/>
      </c>
      <c r="F938" s="5">
        <f>IF('ORDENES'!$A916="","",IF('ORDENES'!$AA916="","-",'ORDENES'!$AA916))</f>
        <v/>
      </c>
      <c r="G938" s="5">
        <f>IF('ORDENES'!$A916="","",IF('ORDENES'!$Y916="","-",'ORDENES'!$Y916))</f>
        <v/>
      </c>
      <c r="H938" s="5">
        <f>IF('ORDENES'!$A916="","",IF('ORDENES'!$AG916="","-",'ORDENES'!$AG916))</f>
        <v/>
      </c>
      <c r="I938" s="5">
        <f>IF('ORDENES'!$A916="","",IF('ORDENES'!$AT916="","-",'ORDENES'!$AT916))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0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IF('ORDENES'!$A916="","",'ORDENES'!$AF916)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IF('ORDENES'!$A917="","",IF('ORDENES'!$AH917="","-",'ORDENES'!$AH917))</f>
        <v/>
      </c>
      <c r="D939" s="5">
        <f>IF('ORDENES'!$A917="","",IF('ORDENES'!$Z917="","-",'ORDENES'!$Z917))</f>
        <v/>
      </c>
      <c r="E939" s="5">
        <f>IF('ORDENES'!$A917="","",IF('ORDENES'!$X917="","-",'ORDENES'!$X917))</f>
        <v/>
      </c>
      <c r="F939" s="5">
        <f>IF('ORDENES'!$A917="","",IF('ORDENES'!$AA917="","-",'ORDENES'!$AA917))</f>
        <v/>
      </c>
      <c r="G939" s="5">
        <f>IF('ORDENES'!$A917="","",IF('ORDENES'!$Y917="","-",'ORDENES'!$Y917))</f>
        <v/>
      </c>
      <c r="H939" s="5">
        <f>IF('ORDENES'!$A917="","",IF('ORDENES'!$AG917="","-",'ORDENES'!$AG917))</f>
        <v/>
      </c>
      <c r="I939" s="5">
        <f>IF('ORDENES'!$A917="","",IF('ORDENES'!$AT917="","-",'ORDENES'!$AT917))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0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IF('ORDENES'!$A917="","",'ORDENES'!$AF917)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IF('ORDENES'!$A918="","",IF('ORDENES'!$AH918="","-",'ORDENES'!$AH918))</f>
        <v/>
      </c>
      <c r="D940" s="5">
        <f>IF('ORDENES'!$A918="","",IF('ORDENES'!$Z918="","-",'ORDENES'!$Z918))</f>
        <v/>
      </c>
      <c r="E940" s="5">
        <f>IF('ORDENES'!$A918="","",IF('ORDENES'!$X918="","-",'ORDENES'!$X918))</f>
        <v/>
      </c>
      <c r="F940" s="5">
        <f>IF('ORDENES'!$A918="","",IF('ORDENES'!$AA918="","-",'ORDENES'!$AA918))</f>
        <v/>
      </c>
      <c r="G940" s="5">
        <f>IF('ORDENES'!$A918="","",IF('ORDENES'!$Y918="","-",'ORDENES'!$Y918))</f>
        <v/>
      </c>
      <c r="H940" s="5">
        <f>IF('ORDENES'!$A918="","",IF('ORDENES'!$AG918="","-",'ORDENES'!$AG918))</f>
        <v/>
      </c>
      <c r="I940" s="5">
        <f>IF('ORDENES'!$A918="","",IF('ORDENES'!$AT918="","-",'ORDENES'!$AT918))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0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IF('ORDENES'!$A918="","",'ORDENES'!$AF918)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IF('ORDENES'!$A919="","",IF('ORDENES'!$AH919="","-",'ORDENES'!$AH919))</f>
        <v/>
      </c>
      <c r="D941" s="5">
        <f>IF('ORDENES'!$A919="","",IF('ORDENES'!$Z919="","-",'ORDENES'!$Z919))</f>
        <v/>
      </c>
      <c r="E941" s="5">
        <f>IF('ORDENES'!$A919="","",IF('ORDENES'!$X919="","-",'ORDENES'!$X919))</f>
        <v/>
      </c>
      <c r="F941" s="5">
        <f>IF('ORDENES'!$A919="","",IF('ORDENES'!$AA919="","-",'ORDENES'!$AA919))</f>
        <v/>
      </c>
      <c r="G941" s="5">
        <f>IF('ORDENES'!$A919="","",IF('ORDENES'!$Y919="","-",'ORDENES'!$Y919))</f>
        <v/>
      </c>
      <c r="H941" s="5">
        <f>IF('ORDENES'!$A919="","",IF('ORDENES'!$AG919="","-",'ORDENES'!$AG919))</f>
        <v/>
      </c>
      <c r="I941" s="5">
        <f>IF('ORDENES'!$A919="","",IF('ORDENES'!$AT919="","-",'ORDENES'!$AT919))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0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IF('ORDENES'!$A919="","",'ORDENES'!$AF919)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IF('ORDENES'!$A920="","",IF('ORDENES'!$AH920="","-",'ORDENES'!$AH920))</f>
        <v/>
      </c>
      <c r="D942" s="5">
        <f>IF('ORDENES'!$A920="","",IF('ORDENES'!$Z920="","-",'ORDENES'!$Z920))</f>
        <v/>
      </c>
      <c r="E942" s="5">
        <f>IF('ORDENES'!$A920="","",IF('ORDENES'!$X920="","-",'ORDENES'!$X920))</f>
        <v/>
      </c>
      <c r="F942" s="5">
        <f>IF('ORDENES'!$A920="","",IF('ORDENES'!$AA920="","-",'ORDENES'!$AA920))</f>
        <v/>
      </c>
      <c r="G942" s="5">
        <f>IF('ORDENES'!$A920="","",IF('ORDENES'!$Y920="","-",'ORDENES'!$Y920))</f>
        <v/>
      </c>
      <c r="H942" s="5">
        <f>IF('ORDENES'!$A920="","",IF('ORDENES'!$AG920="","-",'ORDENES'!$AG920))</f>
        <v/>
      </c>
      <c r="I942" s="5">
        <f>IF('ORDENES'!$A920="","",IF('ORDENES'!$AT920="","-",'ORDENES'!$AT920))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0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IF('ORDENES'!$A920="","",'ORDENES'!$AF920)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IF('ORDENES'!$A921="","",IF('ORDENES'!$AH921="","-",'ORDENES'!$AH921))</f>
        <v/>
      </c>
      <c r="D943" s="5">
        <f>IF('ORDENES'!$A921="","",IF('ORDENES'!$Z921="","-",'ORDENES'!$Z921))</f>
        <v/>
      </c>
      <c r="E943" s="5">
        <f>IF('ORDENES'!$A921="","",IF('ORDENES'!$X921="","-",'ORDENES'!$X921))</f>
        <v/>
      </c>
      <c r="F943" s="5">
        <f>IF('ORDENES'!$A921="","",IF('ORDENES'!$AA921="","-",'ORDENES'!$AA921))</f>
        <v/>
      </c>
      <c r="G943" s="5">
        <f>IF('ORDENES'!$A921="","",IF('ORDENES'!$Y921="","-",'ORDENES'!$Y921))</f>
        <v/>
      </c>
      <c r="H943" s="5">
        <f>IF('ORDENES'!$A921="","",IF('ORDENES'!$AG921="","-",'ORDENES'!$AG921))</f>
        <v/>
      </c>
      <c r="I943" s="5">
        <f>IF('ORDENES'!$A921="","",IF('ORDENES'!$AT921="","-",'ORDENES'!$AT921))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0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IF('ORDENES'!$A921="","",'ORDENES'!$AF921)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IF('ORDENES'!$A922="","",IF('ORDENES'!$AH922="","-",'ORDENES'!$AH922))</f>
        <v/>
      </c>
      <c r="D944" s="5">
        <f>IF('ORDENES'!$A922="","",IF('ORDENES'!$Z922="","-",'ORDENES'!$Z922))</f>
        <v/>
      </c>
      <c r="E944" s="5">
        <f>IF('ORDENES'!$A922="","",IF('ORDENES'!$X922="","-",'ORDENES'!$X922))</f>
        <v/>
      </c>
      <c r="F944" s="5">
        <f>IF('ORDENES'!$A922="","",IF('ORDENES'!$AA922="","-",'ORDENES'!$AA922))</f>
        <v/>
      </c>
      <c r="G944" s="5">
        <f>IF('ORDENES'!$A922="","",IF('ORDENES'!$Y922="","-",'ORDENES'!$Y922))</f>
        <v/>
      </c>
      <c r="H944" s="5">
        <f>IF('ORDENES'!$A922="","",IF('ORDENES'!$AG922="","-",'ORDENES'!$AG922))</f>
        <v/>
      </c>
      <c r="I944" s="5">
        <f>IF('ORDENES'!$A922="","",IF('ORDENES'!$AT922="","-",'ORDENES'!$AT922))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0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IF('ORDENES'!$A922="","",'ORDENES'!$AF922)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IF('ORDENES'!$A923="","",IF('ORDENES'!$AH923="","-",'ORDENES'!$AH923))</f>
        <v/>
      </c>
      <c r="D945" s="5">
        <f>IF('ORDENES'!$A923="","",IF('ORDENES'!$Z923="","-",'ORDENES'!$Z923))</f>
        <v/>
      </c>
      <c r="E945" s="5">
        <f>IF('ORDENES'!$A923="","",IF('ORDENES'!$X923="","-",'ORDENES'!$X923))</f>
        <v/>
      </c>
      <c r="F945" s="5">
        <f>IF('ORDENES'!$A923="","",IF('ORDENES'!$AA923="","-",'ORDENES'!$AA923))</f>
        <v/>
      </c>
      <c r="G945" s="5">
        <f>IF('ORDENES'!$A923="","",IF('ORDENES'!$Y923="","-",'ORDENES'!$Y923))</f>
        <v/>
      </c>
      <c r="H945" s="5">
        <f>IF('ORDENES'!$A923="","",IF('ORDENES'!$AG923="","-",'ORDENES'!$AG923))</f>
        <v/>
      </c>
      <c r="I945" s="5">
        <f>IF('ORDENES'!$A923="","",IF('ORDENES'!$AT923="","-",'ORDENES'!$AT923))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0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IF('ORDENES'!$A923="","",'ORDENES'!$AF923)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IF('ORDENES'!$A924="","",IF('ORDENES'!$AH924="","-",'ORDENES'!$AH924))</f>
        <v/>
      </c>
      <c r="D946" s="5">
        <f>IF('ORDENES'!$A924="","",IF('ORDENES'!$Z924="","-",'ORDENES'!$Z924))</f>
        <v/>
      </c>
      <c r="E946" s="5">
        <f>IF('ORDENES'!$A924="","",IF('ORDENES'!$X924="","-",'ORDENES'!$X924))</f>
        <v/>
      </c>
      <c r="F946" s="5">
        <f>IF('ORDENES'!$A924="","",IF('ORDENES'!$AA924="","-",'ORDENES'!$AA924))</f>
        <v/>
      </c>
      <c r="G946" s="5">
        <f>IF('ORDENES'!$A924="","",IF('ORDENES'!$Y924="","-",'ORDENES'!$Y924))</f>
        <v/>
      </c>
      <c r="H946" s="5">
        <f>IF('ORDENES'!$A924="","",IF('ORDENES'!$AG924="","-",'ORDENES'!$AG924))</f>
        <v/>
      </c>
      <c r="I946" s="5">
        <f>IF('ORDENES'!$A924="","",IF('ORDENES'!$AT924="","-",'ORDENES'!$AT924))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0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IF('ORDENES'!$A924="","",'ORDENES'!$AF924)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IF('ORDENES'!$A925="","",IF('ORDENES'!$AH925="","-",'ORDENES'!$AH925))</f>
        <v/>
      </c>
      <c r="D947" s="5">
        <f>IF('ORDENES'!$A925="","",IF('ORDENES'!$Z925="","-",'ORDENES'!$Z925))</f>
        <v/>
      </c>
      <c r="E947" s="5">
        <f>IF('ORDENES'!$A925="","",IF('ORDENES'!$X925="","-",'ORDENES'!$X925))</f>
        <v/>
      </c>
      <c r="F947" s="5">
        <f>IF('ORDENES'!$A925="","",IF('ORDENES'!$AA925="","-",'ORDENES'!$AA925))</f>
        <v/>
      </c>
      <c r="G947" s="5">
        <f>IF('ORDENES'!$A925="","",IF('ORDENES'!$Y925="","-",'ORDENES'!$Y925))</f>
        <v/>
      </c>
      <c r="H947" s="5">
        <f>IF('ORDENES'!$A925="","",IF('ORDENES'!$AG925="","-",'ORDENES'!$AG925))</f>
        <v/>
      </c>
      <c r="I947" s="5">
        <f>IF('ORDENES'!$A925="","",IF('ORDENES'!$AT925="","-",'ORDENES'!$AT925))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0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IF('ORDENES'!$A925="","",'ORDENES'!$AF925)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IF('ORDENES'!$A926="","",IF('ORDENES'!$AH926="","-",'ORDENES'!$AH926))</f>
        <v/>
      </c>
      <c r="D948" s="5">
        <f>IF('ORDENES'!$A926="","",IF('ORDENES'!$Z926="","-",'ORDENES'!$Z926))</f>
        <v/>
      </c>
      <c r="E948" s="5">
        <f>IF('ORDENES'!$A926="","",IF('ORDENES'!$X926="","-",'ORDENES'!$X926))</f>
        <v/>
      </c>
      <c r="F948" s="5">
        <f>IF('ORDENES'!$A926="","",IF('ORDENES'!$AA926="","-",'ORDENES'!$AA926))</f>
        <v/>
      </c>
      <c r="G948" s="5">
        <f>IF('ORDENES'!$A926="","",IF('ORDENES'!$Y926="","-",'ORDENES'!$Y926))</f>
        <v/>
      </c>
      <c r="H948" s="5">
        <f>IF('ORDENES'!$A926="","",IF('ORDENES'!$AG926="","-",'ORDENES'!$AG926))</f>
        <v/>
      </c>
      <c r="I948" s="5">
        <f>IF('ORDENES'!$A926="","",IF('ORDENES'!$AT926="","-",'ORDENES'!$AT926))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0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IF('ORDENES'!$A926="","",'ORDENES'!$AF926)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IF('ORDENES'!$A927="","",IF('ORDENES'!$AH927="","-",'ORDENES'!$AH927))</f>
        <v/>
      </c>
      <c r="D949" s="5">
        <f>IF('ORDENES'!$A927="","",IF('ORDENES'!$Z927="","-",'ORDENES'!$Z927))</f>
        <v/>
      </c>
      <c r="E949" s="5">
        <f>IF('ORDENES'!$A927="","",IF('ORDENES'!$X927="","-",'ORDENES'!$X927))</f>
        <v/>
      </c>
      <c r="F949" s="5">
        <f>IF('ORDENES'!$A927="","",IF('ORDENES'!$AA927="","-",'ORDENES'!$AA927))</f>
        <v/>
      </c>
      <c r="G949" s="5">
        <f>IF('ORDENES'!$A927="","",IF('ORDENES'!$Y927="","-",'ORDENES'!$Y927))</f>
        <v/>
      </c>
      <c r="H949" s="5">
        <f>IF('ORDENES'!$A927="","",IF('ORDENES'!$AG927="","-",'ORDENES'!$AG927))</f>
        <v/>
      </c>
      <c r="I949" s="5">
        <f>IF('ORDENES'!$A927="","",IF('ORDENES'!$AT927="","-",'ORDENES'!$AT927))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0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IF('ORDENES'!$A927="","",'ORDENES'!$AF927)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IF('ORDENES'!$A928="","",IF('ORDENES'!$AH928="","-",'ORDENES'!$AH928))</f>
        <v/>
      </c>
      <c r="D950" s="5">
        <f>IF('ORDENES'!$A928="","",IF('ORDENES'!$Z928="","-",'ORDENES'!$Z928))</f>
        <v/>
      </c>
      <c r="E950" s="5">
        <f>IF('ORDENES'!$A928="","",IF('ORDENES'!$X928="","-",'ORDENES'!$X928))</f>
        <v/>
      </c>
      <c r="F950" s="5">
        <f>IF('ORDENES'!$A928="","",IF('ORDENES'!$AA928="","-",'ORDENES'!$AA928))</f>
        <v/>
      </c>
      <c r="G950" s="5">
        <f>IF('ORDENES'!$A928="","",IF('ORDENES'!$Y928="","-",'ORDENES'!$Y928))</f>
        <v/>
      </c>
      <c r="H950" s="5">
        <f>IF('ORDENES'!$A928="","",IF('ORDENES'!$AG928="","-",'ORDENES'!$AG928))</f>
        <v/>
      </c>
      <c r="I950" s="5">
        <f>IF('ORDENES'!$A928="","",IF('ORDENES'!$AT928="","-",'ORDENES'!$AT928))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0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IF('ORDENES'!$A928="","",'ORDENES'!$AF928)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IF('ORDENES'!$A929="","",IF('ORDENES'!$AH929="","-",'ORDENES'!$AH929))</f>
        <v/>
      </c>
      <c r="D951" s="5">
        <f>IF('ORDENES'!$A929="","",IF('ORDENES'!$Z929="","-",'ORDENES'!$Z929))</f>
        <v/>
      </c>
      <c r="E951" s="5">
        <f>IF('ORDENES'!$A929="","",IF('ORDENES'!$X929="","-",'ORDENES'!$X929))</f>
        <v/>
      </c>
      <c r="F951" s="5">
        <f>IF('ORDENES'!$A929="","",IF('ORDENES'!$AA929="","-",'ORDENES'!$AA929))</f>
        <v/>
      </c>
      <c r="G951" s="5">
        <f>IF('ORDENES'!$A929="","",IF('ORDENES'!$Y929="","-",'ORDENES'!$Y929))</f>
        <v/>
      </c>
      <c r="H951" s="5">
        <f>IF('ORDENES'!$A929="","",IF('ORDENES'!$AG929="","-",'ORDENES'!$AG929))</f>
        <v/>
      </c>
      <c r="I951" s="5">
        <f>IF('ORDENES'!$A929="","",IF('ORDENES'!$AT929="","-",'ORDENES'!$AT929))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0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IF('ORDENES'!$A929="","",'ORDENES'!$AF929)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IF('ORDENES'!$A930="","",IF('ORDENES'!$AH930="","-",'ORDENES'!$AH930))</f>
        <v/>
      </c>
      <c r="D952" s="5">
        <f>IF('ORDENES'!$A930="","",IF('ORDENES'!$Z930="","-",'ORDENES'!$Z930))</f>
        <v/>
      </c>
      <c r="E952" s="5">
        <f>IF('ORDENES'!$A930="","",IF('ORDENES'!$X930="","-",'ORDENES'!$X930))</f>
        <v/>
      </c>
      <c r="F952" s="5">
        <f>IF('ORDENES'!$A930="","",IF('ORDENES'!$AA930="","-",'ORDENES'!$AA930))</f>
        <v/>
      </c>
      <c r="G952" s="5">
        <f>IF('ORDENES'!$A930="","",IF('ORDENES'!$Y930="","-",'ORDENES'!$Y930))</f>
        <v/>
      </c>
      <c r="H952" s="5">
        <f>IF('ORDENES'!$A930="","",IF('ORDENES'!$AG930="","-",'ORDENES'!$AG930))</f>
        <v/>
      </c>
      <c r="I952" s="5">
        <f>IF('ORDENES'!$A930="","",IF('ORDENES'!$AT930="","-",'ORDENES'!$AT930))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0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IF('ORDENES'!$A930="","",'ORDENES'!$AF930)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IF('ORDENES'!$A931="","",IF('ORDENES'!$AH931="","-",'ORDENES'!$AH931))</f>
        <v/>
      </c>
      <c r="D953" s="5">
        <f>IF('ORDENES'!$A931="","",IF('ORDENES'!$Z931="","-",'ORDENES'!$Z931))</f>
        <v/>
      </c>
      <c r="E953" s="5">
        <f>IF('ORDENES'!$A931="","",IF('ORDENES'!$X931="","-",'ORDENES'!$X931))</f>
        <v/>
      </c>
      <c r="F953" s="5">
        <f>IF('ORDENES'!$A931="","",IF('ORDENES'!$AA931="","-",'ORDENES'!$AA931))</f>
        <v/>
      </c>
      <c r="G953" s="5">
        <f>IF('ORDENES'!$A931="","",IF('ORDENES'!$Y931="","-",'ORDENES'!$Y931))</f>
        <v/>
      </c>
      <c r="H953" s="5">
        <f>IF('ORDENES'!$A931="","",IF('ORDENES'!$AG931="","-",'ORDENES'!$AG931))</f>
        <v/>
      </c>
      <c r="I953" s="5">
        <f>IF('ORDENES'!$A931="","",IF('ORDENES'!$AT931="","-",'ORDENES'!$AT931))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0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IF('ORDENES'!$A931="","",'ORDENES'!$AF931)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IF('ORDENES'!$A932="","",IF('ORDENES'!$AH932="","-",'ORDENES'!$AH932))</f>
        <v/>
      </c>
      <c r="D954" s="5">
        <f>IF('ORDENES'!$A932="","",IF('ORDENES'!$Z932="","-",'ORDENES'!$Z932))</f>
        <v/>
      </c>
      <c r="E954" s="5">
        <f>IF('ORDENES'!$A932="","",IF('ORDENES'!$X932="","-",'ORDENES'!$X932))</f>
        <v/>
      </c>
      <c r="F954" s="5">
        <f>IF('ORDENES'!$A932="","",IF('ORDENES'!$AA932="","-",'ORDENES'!$AA932))</f>
        <v/>
      </c>
      <c r="G954" s="5">
        <f>IF('ORDENES'!$A932="","",IF('ORDENES'!$Y932="","-",'ORDENES'!$Y932))</f>
        <v/>
      </c>
      <c r="H954" s="5">
        <f>IF('ORDENES'!$A932="","",IF('ORDENES'!$AG932="","-",'ORDENES'!$AG932))</f>
        <v/>
      </c>
      <c r="I954" s="5">
        <f>IF('ORDENES'!$A932="","",IF('ORDENES'!$AT932="","-",'ORDENES'!$AT932))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0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IF('ORDENES'!$A932="","",'ORDENES'!$AF932)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IF('ORDENES'!$A933="","",IF('ORDENES'!$AH933="","-",'ORDENES'!$AH933))</f>
        <v/>
      </c>
      <c r="D955" s="5">
        <f>IF('ORDENES'!$A933="","",IF('ORDENES'!$Z933="","-",'ORDENES'!$Z933))</f>
        <v/>
      </c>
      <c r="E955" s="5">
        <f>IF('ORDENES'!$A933="","",IF('ORDENES'!$X933="","-",'ORDENES'!$X933))</f>
        <v/>
      </c>
      <c r="F955" s="5">
        <f>IF('ORDENES'!$A933="","",IF('ORDENES'!$AA933="","-",'ORDENES'!$AA933))</f>
        <v/>
      </c>
      <c r="G955" s="5">
        <f>IF('ORDENES'!$A933="","",IF('ORDENES'!$Y933="","-",'ORDENES'!$Y933))</f>
        <v/>
      </c>
      <c r="H955" s="5">
        <f>IF('ORDENES'!$A933="","",IF('ORDENES'!$AG933="","-",'ORDENES'!$AG933))</f>
        <v/>
      </c>
      <c r="I955" s="5">
        <f>IF('ORDENES'!$A933="","",IF('ORDENES'!$AT933="","-",'ORDENES'!$AT933))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0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IF('ORDENES'!$A933="","",'ORDENES'!$AF933)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IF('ORDENES'!$A934="","",IF('ORDENES'!$AH934="","-",'ORDENES'!$AH934))</f>
        <v/>
      </c>
      <c r="D956" s="5">
        <f>IF('ORDENES'!$A934="","",IF('ORDENES'!$Z934="","-",'ORDENES'!$Z934))</f>
        <v/>
      </c>
      <c r="E956" s="5">
        <f>IF('ORDENES'!$A934="","",IF('ORDENES'!$X934="","-",'ORDENES'!$X934))</f>
        <v/>
      </c>
      <c r="F956" s="5">
        <f>IF('ORDENES'!$A934="","",IF('ORDENES'!$AA934="","-",'ORDENES'!$AA934))</f>
        <v/>
      </c>
      <c r="G956" s="5">
        <f>IF('ORDENES'!$A934="","",IF('ORDENES'!$Y934="","-",'ORDENES'!$Y934))</f>
        <v/>
      </c>
      <c r="H956" s="5">
        <f>IF('ORDENES'!$A934="","",IF('ORDENES'!$AG934="","-",'ORDENES'!$AG934))</f>
        <v/>
      </c>
      <c r="I956" s="5">
        <f>IF('ORDENES'!$A934="","",IF('ORDENES'!$AT934="","-",'ORDENES'!$AT934))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0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IF('ORDENES'!$A934="","",'ORDENES'!$AF934)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IF('ORDENES'!$A935="","",IF('ORDENES'!$AH935="","-",'ORDENES'!$AH935))</f>
        <v/>
      </c>
      <c r="D957" s="5">
        <f>IF('ORDENES'!$A935="","",IF('ORDENES'!$Z935="","-",'ORDENES'!$Z935))</f>
        <v/>
      </c>
      <c r="E957" s="5">
        <f>IF('ORDENES'!$A935="","",IF('ORDENES'!$X935="","-",'ORDENES'!$X935))</f>
        <v/>
      </c>
      <c r="F957" s="5">
        <f>IF('ORDENES'!$A935="","",IF('ORDENES'!$AA935="","-",'ORDENES'!$AA935))</f>
        <v/>
      </c>
      <c r="G957" s="5">
        <f>IF('ORDENES'!$A935="","",IF('ORDENES'!$Y935="","-",'ORDENES'!$Y935))</f>
        <v/>
      </c>
      <c r="H957" s="5">
        <f>IF('ORDENES'!$A935="","",IF('ORDENES'!$AG935="","-",'ORDENES'!$AG935))</f>
        <v/>
      </c>
      <c r="I957" s="5">
        <f>IF('ORDENES'!$A935="","",IF('ORDENES'!$AT935="","-",'ORDENES'!$AT935))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0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IF('ORDENES'!$A935="","",'ORDENES'!$AF935)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IF('ORDENES'!$A936="","",IF('ORDENES'!$AH936="","-",'ORDENES'!$AH936))</f>
        <v/>
      </c>
      <c r="D958" s="5">
        <f>IF('ORDENES'!$A936="","",IF('ORDENES'!$Z936="","-",'ORDENES'!$Z936))</f>
        <v/>
      </c>
      <c r="E958" s="5">
        <f>IF('ORDENES'!$A936="","",IF('ORDENES'!$X936="","-",'ORDENES'!$X936))</f>
        <v/>
      </c>
      <c r="F958" s="5">
        <f>IF('ORDENES'!$A936="","",IF('ORDENES'!$AA936="","-",'ORDENES'!$AA936))</f>
        <v/>
      </c>
      <c r="G958" s="5">
        <f>IF('ORDENES'!$A936="","",IF('ORDENES'!$Y936="","-",'ORDENES'!$Y936))</f>
        <v/>
      </c>
      <c r="H958" s="5">
        <f>IF('ORDENES'!$A936="","",IF('ORDENES'!$AG936="","-",'ORDENES'!$AG936))</f>
        <v/>
      </c>
      <c r="I958" s="5">
        <f>IF('ORDENES'!$A936="","",IF('ORDENES'!$AT936="","-",'ORDENES'!$AT936))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0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IF('ORDENES'!$A936="","",'ORDENES'!$AF936)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IF('ORDENES'!$A937="","",IF('ORDENES'!$AH937="","-",'ORDENES'!$AH937))</f>
        <v/>
      </c>
      <c r="D959" s="5">
        <f>IF('ORDENES'!$A937="","",IF('ORDENES'!$Z937="","-",'ORDENES'!$Z937))</f>
        <v/>
      </c>
      <c r="E959" s="5">
        <f>IF('ORDENES'!$A937="","",IF('ORDENES'!$X937="","-",'ORDENES'!$X937))</f>
        <v/>
      </c>
      <c r="F959" s="5">
        <f>IF('ORDENES'!$A937="","",IF('ORDENES'!$AA937="","-",'ORDENES'!$AA937))</f>
        <v/>
      </c>
      <c r="G959" s="5">
        <f>IF('ORDENES'!$A937="","",IF('ORDENES'!$Y937="","-",'ORDENES'!$Y937))</f>
        <v/>
      </c>
      <c r="H959" s="5">
        <f>IF('ORDENES'!$A937="","",IF('ORDENES'!$AG937="","-",'ORDENES'!$AG937))</f>
        <v/>
      </c>
      <c r="I959" s="5">
        <f>IF('ORDENES'!$A937="","",IF('ORDENES'!$AT937="","-",'ORDENES'!$AT937))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0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IF('ORDENES'!$A937="","",'ORDENES'!$AF937)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IF('ORDENES'!$A938="","",IF('ORDENES'!$AH938="","-",'ORDENES'!$AH938))</f>
        <v/>
      </c>
      <c r="D960" s="5">
        <f>IF('ORDENES'!$A938="","",IF('ORDENES'!$Z938="","-",'ORDENES'!$Z938))</f>
        <v/>
      </c>
      <c r="E960" s="5">
        <f>IF('ORDENES'!$A938="","",IF('ORDENES'!$X938="","-",'ORDENES'!$X938))</f>
        <v/>
      </c>
      <c r="F960" s="5">
        <f>IF('ORDENES'!$A938="","",IF('ORDENES'!$AA938="","-",'ORDENES'!$AA938))</f>
        <v/>
      </c>
      <c r="G960" s="5">
        <f>IF('ORDENES'!$A938="","",IF('ORDENES'!$Y938="","-",'ORDENES'!$Y938))</f>
        <v/>
      </c>
      <c r="H960" s="5">
        <f>IF('ORDENES'!$A938="","",IF('ORDENES'!$AG938="","-",'ORDENES'!$AG938))</f>
        <v/>
      </c>
      <c r="I960" s="5">
        <f>IF('ORDENES'!$A938="","",IF('ORDENES'!$AT938="","-",'ORDENES'!$AT938))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0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IF('ORDENES'!$A938="","",'ORDENES'!$AF938)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IF('ORDENES'!$A939="","",IF('ORDENES'!$AH939="","-",'ORDENES'!$AH939))</f>
        <v/>
      </c>
      <c r="D961" s="5">
        <f>IF('ORDENES'!$A939="","",IF('ORDENES'!$Z939="","-",'ORDENES'!$Z939))</f>
        <v/>
      </c>
      <c r="E961" s="5">
        <f>IF('ORDENES'!$A939="","",IF('ORDENES'!$X939="","-",'ORDENES'!$X939))</f>
        <v/>
      </c>
      <c r="F961" s="5">
        <f>IF('ORDENES'!$A939="","",IF('ORDENES'!$AA939="","-",'ORDENES'!$AA939))</f>
        <v/>
      </c>
      <c r="G961" s="5">
        <f>IF('ORDENES'!$A939="","",IF('ORDENES'!$Y939="","-",'ORDENES'!$Y939))</f>
        <v/>
      </c>
      <c r="H961" s="5">
        <f>IF('ORDENES'!$A939="","",IF('ORDENES'!$AG939="","-",'ORDENES'!$AG939))</f>
        <v/>
      </c>
      <c r="I961" s="5">
        <f>IF('ORDENES'!$A939="","",IF('ORDENES'!$AT939="","-",'ORDENES'!$AT939))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0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IF('ORDENES'!$A939="","",'ORDENES'!$AF939)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IF('ORDENES'!$A940="","",IF('ORDENES'!$AH940="","-",'ORDENES'!$AH940))</f>
        <v/>
      </c>
      <c r="D962" s="5">
        <f>IF('ORDENES'!$A940="","",IF('ORDENES'!$Z940="","-",'ORDENES'!$Z940))</f>
        <v/>
      </c>
      <c r="E962" s="5">
        <f>IF('ORDENES'!$A940="","",IF('ORDENES'!$X940="","-",'ORDENES'!$X940))</f>
        <v/>
      </c>
      <c r="F962" s="5">
        <f>IF('ORDENES'!$A940="","",IF('ORDENES'!$AA940="","-",'ORDENES'!$AA940))</f>
        <v/>
      </c>
      <c r="G962" s="5">
        <f>IF('ORDENES'!$A940="","",IF('ORDENES'!$Y940="","-",'ORDENES'!$Y940))</f>
        <v/>
      </c>
      <c r="H962" s="5">
        <f>IF('ORDENES'!$A940="","",IF('ORDENES'!$AG940="","-",'ORDENES'!$AG940))</f>
        <v/>
      </c>
      <c r="I962" s="5">
        <f>IF('ORDENES'!$A940="","",IF('ORDENES'!$AT940="","-",'ORDENES'!$AT940))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0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IF('ORDENES'!$A940="","",'ORDENES'!$AF940)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IF('ORDENES'!$A941="","",IF('ORDENES'!$AH941="","-",'ORDENES'!$AH941))</f>
        <v/>
      </c>
      <c r="D963" s="5">
        <f>IF('ORDENES'!$A941="","",IF('ORDENES'!$Z941="","-",'ORDENES'!$Z941))</f>
        <v/>
      </c>
      <c r="E963" s="5">
        <f>IF('ORDENES'!$A941="","",IF('ORDENES'!$X941="","-",'ORDENES'!$X941))</f>
        <v/>
      </c>
      <c r="F963" s="5">
        <f>IF('ORDENES'!$A941="","",IF('ORDENES'!$AA941="","-",'ORDENES'!$AA941))</f>
        <v/>
      </c>
      <c r="G963" s="5">
        <f>IF('ORDENES'!$A941="","",IF('ORDENES'!$Y941="","-",'ORDENES'!$Y941))</f>
        <v/>
      </c>
      <c r="H963" s="5">
        <f>IF('ORDENES'!$A941="","",IF('ORDENES'!$AG941="","-",'ORDENES'!$AG941))</f>
        <v/>
      </c>
      <c r="I963" s="5">
        <f>IF('ORDENES'!$A941="","",IF('ORDENES'!$AT941="","-",'ORDENES'!$AT941))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0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IF('ORDENES'!$A941="","",'ORDENES'!$AF941)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IF('ORDENES'!$A942="","",IF('ORDENES'!$AH942="","-",'ORDENES'!$AH942))</f>
        <v/>
      </c>
      <c r="D964" s="5">
        <f>IF('ORDENES'!$A942="","",IF('ORDENES'!$Z942="","-",'ORDENES'!$Z942))</f>
        <v/>
      </c>
      <c r="E964" s="5">
        <f>IF('ORDENES'!$A942="","",IF('ORDENES'!$X942="","-",'ORDENES'!$X942))</f>
        <v/>
      </c>
      <c r="F964" s="5">
        <f>IF('ORDENES'!$A942="","",IF('ORDENES'!$AA942="","-",'ORDENES'!$AA942))</f>
        <v/>
      </c>
      <c r="G964" s="5">
        <f>IF('ORDENES'!$A942="","",IF('ORDENES'!$Y942="","-",'ORDENES'!$Y942))</f>
        <v/>
      </c>
      <c r="H964" s="5">
        <f>IF('ORDENES'!$A942="","",IF('ORDENES'!$AG942="","-",'ORDENES'!$AG942))</f>
        <v/>
      </c>
      <c r="I964" s="5">
        <f>IF('ORDENES'!$A942="","",IF('ORDENES'!$AT942="","-",'ORDENES'!$AT942))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0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IF('ORDENES'!$A942="","",'ORDENES'!$AF942)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IF('ORDENES'!$A943="","",IF('ORDENES'!$AH943="","-",'ORDENES'!$AH943))</f>
        <v/>
      </c>
      <c r="D965" s="5">
        <f>IF('ORDENES'!$A943="","",IF('ORDENES'!$Z943="","-",'ORDENES'!$Z943))</f>
        <v/>
      </c>
      <c r="E965" s="5">
        <f>IF('ORDENES'!$A943="","",IF('ORDENES'!$X943="","-",'ORDENES'!$X943))</f>
        <v/>
      </c>
      <c r="F965" s="5">
        <f>IF('ORDENES'!$A943="","",IF('ORDENES'!$AA943="","-",'ORDENES'!$AA943))</f>
        <v/>
      </c>
      <c r="G965" s="5">
        <f>IF('ORDENES'!$A943="","",IF('ORDENES'!$Y943="","-",'ORDENES'!$Y943))</f>
        <v/>
      </c>
      <c r="H965" s="5">
        <f>IF('ORDENES'!$A943="","",IF('ORDENES'!$AG943="","-",'ORDENES'!$AG943))</f>
        <v/>
      </c>
      <c r="I965" s="5">
        <f>IF('ORDENES'!$A943="","",IF('ORDENES'!$AT943="","-",'ORDENES'!$AT943))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0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IF('ORDENES'!$A943="","",'ORDENES'!$AF943)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IF('ORDENES'!$A944="","",IF('ORDENES'!$AH944="","-",'ORDENES'!$AH944))</f>
        <v/>
      </c>
      <c r="D966" s="5">
        <f>IF('ORDENES'!$A944="","",IF('ORDENES'!$Z944="","-",'ORDENES'!$Z944))</f>
        <v/>
      </c>
      <c r="E966" s="5">
        <f>IF('ORDENES'!$A944="","",IF('ORDENES'!$X944="","-",'ORDENES'!$X944))</f>
        <v/>
      </c>
      <c r="F966" s="5">
        <f>IF('ORDENES'!$A944="","",IF('ORDENES'!$AA944="","-",'ORDENES'!$AA944))</f>
        <v/>
      </c>
      <c r="G966" s="5">
        <f>IF('ORDENES'!$A944="","",IF('ORDENES'!$Y944="","-",'ORDENES'!$Y944))</f>
        <v/>
      </c>
      <c r="H966" s="5">
        <f>IF('ORDENES'!$A944="","",IF('ORDENES'!$AG944="","-",'ORDENES'!$AG944))</f>
        <v/>
      </c>
      <c r="I966" s="5">
        <f>IF('ORDENES'!$A944="","",IF('ORDENES'!$AT944="","-",'ORDENES'!$AT944))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0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IF('ORDENES'!$A944="","",'ORDENES'!$AF944)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IF('ORDENES'!$A945="","",IF('ORDENES'!$AH945="","-",'ORDENES'!$AH945))</f>
        <v/>
      </c>
      <c r="D967" s="5">
        <f>IF('ORDENES'!$A945="","",IF('ORDENES'!$Z945="","-",'ORDENES'!$Z945))</f>
        <v/>
      </c>
      <c r="E967" s="5">
        <f>IF('ORDENES'!$A945="","",IF('ORDENES'!$X945="","-",'ORDENES'!$X945))</f>
        <v/>
      </c>
      <c r="F967" s="5">
        <f>IF('ORDENES'!$A945="","",IF('ORDENES'!$AA945="","-",'ORDENES'!$AA945))</f>
        <v/>
      </c>
      <c r="G967" s="5">
        <f>IF('ORDENES'!$A945="","",IF('ORDENES'!$Y945="","-",'ORDENES'!$Y945))</f>
        <v/>
      </c>
      <c r="H967" s="5">
        <f>IF('ORDENES'!$A945="","",IF('ORDENES'!$AG945="","-",'ORDENES'!$AG945))</f>
        <v/>
      </c>
      <c r="I967" s="5">
        <f>IF('ORDENES'!$A945="","",IF('ORDENES'!$AT945="","-",'ORDENES'!$AT945))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0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IF('ORDENES'!$A945="","",'ORDENES'!$AF945)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IF('ORDENES'!$A946="","",IF('ORDENES'!$AH946="","-",'ORDENES'!$AH946))</f>
        <v/>
      </c>
      <c r="D968" s="5">
        <f>IF('ORDENES'!$A946="","",IF('ORDENES'!$Z946="","-",'ORDENES'!$Z946))</f>
        <v/>
      </c>
      <c r="E968" s="5">
        <f>IF('ORDENES'!$A946="","",IF('ORDENES'!$X946="","-",'ORDENES'!$X946))</f>
        <v/>
      </c>
      <c r="F968" s="5">
        <f>IF('ORDENES'!$A946="","",IF('ORDENES'!$AA946="","-",'ORDENES'!$AA946))</f>
        <v/>
      </c>
      <c r="G968" s="5">
        <f>IF('ORDENES'!$A946="","",IF('ORDENES'!$Y946="","-",'ORDENES'!$Y946))</f>
        <v/>
      </c>
      <c r="H968" s="5">
        <f>IF('ORDENES'!$A946="","",IF('ORDENES'!$AG946="","-",'ORDENES'!$AG946))</f>
        <v/>
      </c>
      <c r="I968" s="5">
        <f>IF('ORDENES'!$A946="","",IF('ORDENES'!$AT946="","-",'ORDENES'!$AT946))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0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IF('ORDENES'!$A946="","",'ORDENES'!$AF946)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IF('ORDENES'!$A947="","",IF('ORDENES'!$AH947="","-",'ORDENES'!$AH947))</f>
        <v/>
      </c>
      <c r="D969" s="5">
        <f>IF('ORDENES'!$A947="","",IF('ORDENES'!$Z947="","-",'ORDENES'!$Z947))</f>
        <v/>
      </c>
      <c r="E969" s="5">
        <f>IF('ORDENES'!$A947="","",IF('ORDENES'!$X947="","-",'ORDENES'!$X947))</f>
        <v/>
      </c>
      <c r="F969" s="5">
        <f>IF('ORDENES'!$A947="","",IF('ORDENES'!$AA947="","-",'ORDENES'!$AA947))</f>
        <v/>
      </c>
      <c r="G969" s="5">
        <f>IF('ORDENES'!$A947="","",IF('ORDENES'!$Y947="","-",'ORDENES'!$Y947))</f>
        <v/>
      </c>
      <c r="H969" s="5">
        <f>IF('ORDENES'!$A947="","",IF('ORDENES'!$AG947="","-",'ORDENES'!$AG947))</f>
        <v/>
      </c>
      <c r="I969" s="5">
        <f>IF('ORDENES'!$A947="","",IF('ORDENES'!$AT947="","-",'ORDENES'!$AT947))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0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IF('ORDENES'!$A947="","",'ORDENES'!$AF947)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IF('ORDENES'!$A948="","",IF('ORDENES'!$AH948="","-",'ORDENES'!$AH948))</f>
        <v/>
      </c>
      <c r="D970" s="5">
        <f>IF('ORDENES'!$A948="","",IF('ORDENES'!$Z948="","-",'ORDENES'!$Z948))</f>
        <v/>
      </c>
      <c r="E970" s="5">
        <f>IF('ORDENES'!$A948="","",IF('ORDENES'!$X948="","-",'ORDENES'!$X948))</f>
        <v/>
      </c>
      <c r="F970" s="5">
        <f>IF('ORDENES'!$A948="","",IF('ORDENES'!$AA948="","-",'ORDENES'!$AA948))</f>
        <v/>
      </c>
      <c r="G970" s="5">
        <f>IF('ORDENES'!$A948="","",IF('ORDENES'!$Y948="","-",'ORDENES'!$Y948))</f>
        <v/>
      </c>
      <c r="H970" s="5">
        <f>IF('ORDENES'!$A948="","",IF('ORDENES'!$AG948="","-",'ORDENES'!$AG948))</f>
        <v/>
      </c>
      <c r="I970" s="5">
        <f>IF('ORDENES'!$A948="","",IF('ORDENES'!$AT948="","-",'ORDENES'!$AT948))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0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IF('ORDENES'!$A948="","",'ORDENES'!$AF948)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IF('ORDENES'!$A949="","",IF('ORDENES'!$AH949="","-",'ORDENES'!$AH949))</f>
        <v/>
      </c>
      <c r="D971" s="5">
        <f>IF('ORDENES'!$A949="","",IF('ORDENES'!$Z949="","-",'ORDENES'!$Z949))</f>
        <v/>
      </c>
      <c r="E971" s="5">
        <f>IF('ORDENES'!$A949="","",IF('ORDENES'!$X949="","-",'ORDENES'!$X949))</f>
        <v/>
      </c>
      <c r="F971" s="5">
        <f>IF('ORDENES'!$A949="","",IF('ORDENES'!$AA949="","-",'ORDENES'!$AA949))</f>
        <v/>
      </c>
      <c r="G971" s="5">
        <f>IF('ORDENES'!$A949="","",IF('ORDENES'!$Y949="","-",'ORDENES'!$Y949))</f>
        <v/>
      </c>
      <c r="H971" s="5">
        <f>IF('ORDENES'!$A949="","",IF('ORDENES'!$AG949="","-",'ORDENES'!$AG949))</f>
        <v/>
      </c>
      <c r="I971" s="5">
        <f>IF('ORDENES'!$A949="","",IF('ORDENES'!$AT949="","-",'ORDENES'!$AT949))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0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IF('ORDENES'!$A949="","",'ORDENES'!$AF949)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IF('ORDENES'!$A950="","",IF('ORDENES'!$AH950="","-",'ORDENES'!$AH950))</f>
        <v/>
      </c>
      <c r="D972" s="5">
        <f>IF('ORDENES'!$A950="","",IF('ORDENES'!$Z950="","-",'ORDENES'!$Z950))</f>
        <v/>
      </c>
      <c r="E972" s="5">
        <f>IF('ORDENES'!$A950="","",IF('ORDENES'!$X950="","-",'ORDENES'!$X950))</f>
        <v/>
      </c>
      <c r="F972" s="5">
        <f>IF('ORDENES'!$A950="","",IF('ORDENES'!$AA950="","-",'ORDENES'!$AA950))</f>
        <v/>
      </c>
      <c r="G972" s="5">
        <f>IF('ORDENES'!$A950="","",IF('ORDENES'!$Y950="","-",'ORDENES'!$Y950))</f>
        <v/>
      </c>
      <c r="H972" s="5">
        <f>IF('ORDENES'!$A950="","",IF('ORDENES'!$AG950="","-",'ORDENES'!$AG950))</f>
        <v/>
      </c>
      <c r="I972" s="5">
        <f>IF('ORDENES'!$A950="","",IF('ORDENES'!$AT950="","-",'ORDENES'!$AT950))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0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IF('ORDENES'!$A950="","",'ORDENES'!$AF950)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IF('ORDENES'!$A951="","",IF('ORDENES'!$AH951="","-",'ORDENES'!$AH951))</f>
        <v/>
      </c>
      <c r="D973" s="5">
        <f>IF('ORDENES'!$A951="","",IF('ORDENES'!$Z951="","-",'ORDENES'!$Z951))</f>
        <v/>
      </c>
      <c r="E973" s="5">
        <f>IF('ORDENES'!$A951="","",IF('ORDENES'!$X951="","-",'ORDENES'!$X951))</f>
        <v/>
      </c>
      <c r="F973" s="5">
        <f>IF('ORDENES'!$A951="","",IF('ORDENES'!$AA951="","-",'ORDENES'!$AA951))</f>
        <v/>
      </c>
      <c r="G973" s="5">
        <f>IF('ORDENES'!$A951="","",IF('ORDENES'!$Y951="","-",'ORDENES'!$Y951))</f>
        <v/>
      </c>
      <c r="H973" s="5">
        <f>IF('ORDENES'!$A951="","",IF('ORDENES'!$AG951="","-",'ORDENES'!$AG951))</f>
        <v/>
      </c>
      <c r="I973" s="5">
        <f>IF('ORDENES'!$A951="","",IF('ORDENES'!$AT951="","-",'ORDENES'!$AT951))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0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IF('ORDENES'!$A951="","",'ORDENES'!$AF951)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IF('ORDENES'!$A952="","",IF('ORDENES'!$AH952="","-",'ORDENES'!$AH952))</f>
        <v/>
      </c>
      <c r="D974" s="5">
        <f>IF('ORDENES'!$A952="","",IF('ORDENES'!$Z952="","-",'ORDENES'!$Z952))</f>
        <v/>
      </c>
      <c r="E974" s="5">
        <f>IF('ORDENES'!$A952="","",IF('ORDENES'!$X952="","-",'ORDENES'!$X952))</f>
        <v/>
      </c>
      <c r="F974" s="5">
        <f>IF('ORDENES'!$A952="","",IF('ORDENES'!$AA952="","-",'ORDENES'!$AA952))</f>
        <v/>
      </c>
      <c r="G974" s="5">
        <f>IF('ORDENES'!$A952="","",IF('ORDENES'!$Y952="","-",'ORDENES'!$Y952))</f>
        <v/>
      </c>
      <c r="H974" s="5">
        <f>IF('ORDENES'!$A952="","",IF('ORDENES'!$AG952="","-",'ORDENES'!$AG952))</f>
        <v/>
      </c>
      <c r="I974" s="5">
        <f>IF('ORDENES'!$A952="","",IF('ORDENES'!$AT952="","-",'ORDENES'!$AT952))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0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IF('ORDENES'!$A952="","",'ORDENES'!$AF952)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IF('ORDENES'!$A953="","",IF('ORDENES'!$AH953="","-",'ORDENES'!$AH953))</f>
        <v/>
      </c>
      <c r="D975" s="5">
        <f>IF('ORDENES'!$A953="","",IF('ORDENES'!$Z953="","-",'ORDENES'!$Z953))</f>
        <v/>
      </c>
      <c r="E975" s="5">
        <f>IF('ORDENES'!$A953="","",IF('ORDENES'!$X953="","-",'ORDENES'!$X953))</f>
        <v/>
      </c>
      <c r="F975" s="5">
        <f>IF('ORDENES'!$A953="","",IF('ORDENES'!$AA953="","-",'ORDENES'!$AA953))</f>
        <v/>
      </c>
      <c r="G975" s="5">
        <f>IF('ORDENES'!$A953="","",IF('ORDENES'!$Y953="","-",'ORDENES'!$Y953))</f>
        <v/>
      </c>
      <c r="H975" s="5">
        <f>IF('ORDENES'!$A953="","",IF('ORDENES'!$AG953="","-",'ORDENES'!$AG953))</f>
        <v/>
      </c>
      <c r="I975" s="5">
        <f>IF('ORDENES'!$A953="","",IF('ORDENES'!$AT953="","-",'ORDENES'!$AT953))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0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IF('ORDENES'!$A953="","",'ORDENES'!$AF953)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IF('ORDENES'!$A954="","",IF('ORDENES'!$AH954="","-",'ORDENES'!$AH954))</f>
        <v/>
      </c>
      <c r="D976" s="5">
        <f>IF('ORDENES'!$A954="","",IF('ORDENES'!$Z954="","-",'ORDENES'!$Z954))</f>
        <v/>
      </c>
      <c r="E976" s="5">
        <f>IF('ORDENES'!$A954="","",IF('ORDENES'!$X954="","-",'ORDENES'!$X954))</f>
        <v/>
      </c>
      <c r="F976" s="5">
        <f>IF('ORDENES'!$A954="","",IF('ORDENES'!$AA954="","-",'ORDENES'!$AA954))</f>
        <v/>
      </c>
      <c r="G976" s="5">
        <f>IF('ORDENES'!$A954="","",IF('ORDENES'!$Y954="","-",'ORDENES'!$Y954))</f>
        <v/>
      </c>
      <c r="H976" s="5">
        <f>IF('ORDENES'!$A954="","",IF('ORDENES'!$AG954="","-",'ORDENES'!$AG954))</f>
        <v/>
      </c>
      <c r="I976" s="5">
        <f>IF('ORDENES'!$A954="","",IF('ORDENES'!$AT954="","-",'ORDENES'!$AT954))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0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IF('ORDENES'!$A954="","",'ORDENES'!$AF954)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IF('ORDENES'!$A955="","",IF('ORDENES'!$AH955="","-",'ORDENES'!$AH955))</f>
        <v/>
      </c>
      <c r="D977" s="5">
        <f>IF('ORDENES'!$A955="","",IF('ORDENES'!$Z955="","-",'ORDENES'!$Z955))</f>
        <v/>
      </c>
      <c r="E977" s="5">
        <f>IF('ORDENES'!$A955="","",IF('ORDENES'!$X955="","-",'ORDENES'!$X955))</f>
        <v/>
      </c>
      <c r="F977" s="5">
        <f>IF('ORDENES'!$A955="","",IF('ORDENES'!$AA955="","-",'ORDENES'!$AA955))</f>
        <v/>
      </c>
      <c r="G977" s="5">
        <f>IF('ORDENES'!$A955="","",IF('ORDENES'!$Y955="","-",'ORDENES'!$Y955))</f>
        <v/>
      </c>
      <c r="H977" s="5">
        <f>IF('ORDENES'!$A955="","",IF('ORDENES'!$AG955="","-",'ORDENES'!$AG955))</f>
        <v/>
      </c>
      <c r="I977" s="5">
        <f>IF('ORDENES'!$A955="","",IF('ORDENES'!$AT955="","-",'ORDENES'!$AT955))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0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IF('ORDENES'!$A955="","",'ORDENES'!$AF955)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IF('ORDENES'!$A956="","",IF('ORDENES'!$AH956="","-",'ORDENES'!$AH956))</f>
        <v/>
      </c>
      <c r="D978" s="5">
        <f>IF('ORDENES'!$A956="","",IF('ORDENES'!$Z956="","-",'ORDENES'!$Z956))</f>
        <v/>
      </c>
      <c r="E978" s="5">
        <f>IF('ORDENES'!$A956="","",IF('ORDENES'!$X956="","-",'ORDENES'!$X956))</f>
        <v/>
      </c>
      <c r="F978" s="5">
        <f>IF('ORDENES'!$A956="","",IF('ORDENES'!$AA956="","-",'ORDENES'!$AA956))</f>
        <v/>
      </c>
      <c r="G978" s="5">
        <f>IF('ORDENES'!$A956="","",IF('ORDENES'!$Y956="","-",'ORDENES'!$Y956))</f>
        <v/>
      </c>
      <c r="H978" s="5">
        <f>IF('ORDENES'!$A956="","",IF('ORDENES'!$AG956="","-",'ORDENES'!$AG956))</f>
        <v/>
      </c>
      <c r="I978" s="5">
        <f>IF('ORDENES'!$A956="","",IF('ORDENES'!$AT956="","-",'ORDENES'!$AT956))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0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IF('ORDENES'!$A956="","",'ORDENES'!$AF956)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IF('ORDENES'!$A957="","",IF('ORDENES'!$AH957="","-",'ORDENES'!$AH957))</f>
        <v/>
      </c>
      <c r="D979" s="5">
        <f>IF('ORDENES'!$A957="","",IF('ORDENES'!$Z957="","-",'ORDENES'!$Z957))</f>
        <v/>
      </c>
      <c r="E979" s="5">
        <f>IF('ORDENES'!$A957="","",IF('ORDENES'!$X957="","-",'ORDENES'!$X957))</f>
        <v/>
      </c>
      <c r="F979" s="5">
        <f>IF('ORDENES'!$A957="","",IF('ORDENES'!$AA957="","-",'ORDENES'!$AA957))</f>
        <v/>
      </c>
      <c r="G979" s="5">
        <f>IF('ORDENES'!$A957="","",IF('ORDENES'!$Y957="","-",'ORDENES'!$Y957))</f>
        <v/>
      </c>
      <c r="H979" s="5">
        <f>IF('ORDENES'!$A957="","",IF('ORDENES'!$AG957="","-",'ORDENES'!$AG957))</f>
        <v/>
      </c>
      <c r="I979" s="5">
        <f>IF('ORDENES'!$A957="","",IF('ORDENES'!$AT957="","-",'ORDENES'!$AT957))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0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IF('ORDENES'!$A957="","",'ORDENES'!$AF957)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IF('ORDENES'!$A958="","",IF('ORDENES'!$AH958="","-",'ORDENES'!$AH958))</f>
        <v/>
      </c>
      <c r="D980" s="5">
        <f>IF('ORDENES'!$A958="","",IF('ORDENES'!$Z958="","-",'ORDENES'!$Z958))</f>
        <v/>
      </c>
      <c r="E980" s="5">
        <f>IF('ORDENES'!$A958="","",IF('ORDENES'!$X958="","-",'ORDENES'!$X958))</f>
        <v/>
      </c>
      <c r="F980" s="5">
        <f>IF('ORDENES'!$A958="","",IF('ORDENES'!$AA958="","-",'ORDENES'!$AA958))</f>
        <v/>
      </c>
      <c r="G980" s="5">
        <f>IF('ORDENES'!$A958="","",IF('ORDENES'!$Y958="","-",'ORDENES'!$Y958))</f>
        <v/>
      </c>
      <c r="H980" s="5">
        <f>IF('ORDENES'!$A958="","",IF('ORDENES'!$AG958="","-",'ORDENES'!$AG958))</f>
        <v/>
      </c>
      <c r="I980" s="5">
        <f>IF('ORDENES'!$A958="","",IF('ORDENES'!$AT958="","-",'ORDENES'!$AT958))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0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IF('ORDENES'!$A958="","",'ORDENES'!$AF958)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IF('ORDENES'!$A959="","",IF('ORDENES'!$AH959="","-",'ORDENES'!$AH959))</f>
        <v/>
      </c>
      <c r="D981" s="5">
        <f>IF('ORDENES'!$A959="","",IF('ORDENES'!$Z959="","-",'ORDENES'!$Z959))</f>
        <v/>
      </c>
      <c r="E981" s="5">
        <f>IF('ORDENES'!$A959="","",IF('ORDENES'!$X959="","-",'ORDENES'!$X959))</f>
        <v/>
      </c>
      <c r="F981" s="5">
        <f>IF('ORDENES'!$A959="","",IF('ORDENES'!$AA959="","-",'ORDENES'!$AA959))</f>
        <v/>
      </c>
      <c r="G981" s="5">
        <f>IF('ORDENES'!$A959="","",IF('ORDENES'!$Y959="","-",'ORDENES'!$Y959))</f>
        <v/>
      </c>
      <c r="H981" s="5">
        <f>IF('ORDENES'!$A959="","",IF('ORDENES'!$AG959="","-",'ORDENES'!$AG959))</f>
        <v/>
      </c>
      <c r="I981" s="5">
        <f>IF('ORDENES'!$A959="","",IF('ORDENES'!$AT959="","-",'ORDENES'!$AT959))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0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IF('ORDENES'!$A959="","",'ORDENES'!$AF959)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IF('ORDENES'!$A960="","",IF('ORDENES'!$AH960="","-",'ORDENES'!$AH960))</f>
        <v/>
      </c>
      <c r="D982" s="5">
        <f>IF('ORDENES'!$A960="","",IF('ORDENES'!$Z960="","-",'ORDENES'!$Z960))</f>
        <v/>
      </c>
      <c r="E982" s="5">
        <f>IF('ORDENES'!$A960="","",IF('ORDENES'!$X960="","-",'ORDENES'!$X960))</f>
        <v/>
      </c>
      <c r="F982" s="5">
        <f>IF('ORDENES'!$A960="","",IF('ORDENES'!$AA960="","-",'ORDENES'!$AA960))</f>
        <v/>
      </c>
      <c r="G982" s="5">
        <f>IF('ORDENES'!$A960="","",IF('ORDENES'!$Y960="","-",'ORDENES'!$Y960))</f>
        <v/>
      </c>
      <c r="H982" s="5">
        <f>IF('ORDENES'!$A960="","",IF('ORDENES'!$AG960="","-",'ORDENES'!$AG960))</f>
        <v/>
      </c>
      <c r="I982" s="5">
        <f>IF('ORDENES'!$A960="","",IF('ORDENES'!$AT960="","-",'ORDENES'!$AT960))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0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IF('ORDENES'!$A960="","",'ORDENES'!$AF960)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IF('ORDENES'!$A961="","",IF('ORDENES'!$AH961="","-",'ORDENES'!$AH961))</f>
        <v/>
      </c>
      <c r="D983" s="5">
        <f>IF('ORDENES'!$A961="","",IF('ORDENES'!$Z961="","-",'ORDENES'!$Z961))</f>
        <v/>
      </c>
      <c r="E983" s="5">
        <f>IF('ORDENES'!$A961="","",IF('ORDENES'!$X961="","-",'ORDENES'!$X961))</f>
        <v/>
      </c>
      <c r="F983" s="5">
        <f>IF('ORDENES'!$A961="","",IF('ORDENES'!$AA961="","-",'ORDENES'!$AA961))</f>
        <v/>
      </c>
      <c r="G983" s="5">
        <f>IF('ORDENES'!$A961="","",IF('ORDENES'!$Y961="","-",'ORDENES'!$Y961))</f>
        <v/>
      </c>
      <c r="H983" s="5">
        <f>IF('ORDENES'!$A961="","",IF('ORDENES'!$AG961="","-",'ORDENES'!$AG961))</f>
        <v/>
      </c>
      <c r="I983" s="5">
        <f>IF('ORDENES'!$A961="","",IF('ORDENES'!$AT961="","-",'ORDENES'!$AT961))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0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IF('ORDENES'!$A961="","",'ORDENES'!$AF961)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IF('ORDENES'!$A962="","",IF('ORDENES'!$AH962="","-",'ORDENES'!$AH962))</f>
        <v/>
      </c>
      <c r="D984" s="5">
        <f>IF('ORDENES'!$A962="","",IF('ORDENES'!$Z962="","-",'ORDENES'!$Z962))</f>
        <v/>
      </c>
      <c r="E984" s="5">
        <f>IF('ORDENES'!$A962="","",IF('ORDENES'!$X962="","-",'ORDENES'!$X962))</f>
        <v/>
      </c>
      <c r="F984" s="5">
        <f>IF('ORDENES'!$A962="","",IF('ORDENES'!$AA962="","-",'ORDENES'!$AA962))</f>
        <v/>
      </c>
      <c r="G984" s="5">
        <f>IF('ORDENES'!$A962="","",IF('ORDENES'!$Y962="","-",'ORDENES'!$Y962))</f>
        <v/>
      </c>
      <c r="H984" s="5">
        <f>IF('ORDENES'!$A962="","",IF('ORDENES'!$AG962="","-",'ORDENES'!$AG962))</f>
        <v/>
      </c>
      <c r="I984" s="5">
        <f>IF('ORDENES'!$A962="","",IF('ORDENES'!$AT962="","-",'ORDENES'!$AT962))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0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IF('ORDENES'!$A962="","",'ORDENES'!$AF962)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IF('ORDENES'!$A963="","",IF('ORDENES'!$AH963="","-",'ORDENES'!$AH963))</f>
        <v/>
      </c>
      <c r="D985" s="5">
        <f>IF('ORDENES'!$A963="","",IF('ORDENES'!$Z963="","-",'ORDENES'!$Z963))</f>
        <v/>
      </c>
      <c r="E985" s="5">
        <f>IF('ORDENES'!$A963="","",IF('ORDENES'!$X963="","-",'ORDENES'!$X963))</f>
        <v/>
      </c>
      <c r="F985" s="5">
        <f>IF('ORDENES'!$A963="","",IF('ORDENES'!$AA963="","-",'ORDENES'!$AA963))</f>
        <v/>
      </c>
      <c r="G985" s="5">
        <f>IF('ORDENES'!$A963="","",IF('ORDENES'!$Y963="","-",'ORDENES'!$Y963))</f>
        <v/>
      </c>
      <c r="H985" s="5">
        <f>IF('ORDENES'!$A963="","",IF('ORDENES'!$AG963="","-",'ORDENES'!$AG963))</f>
        <v/>
      </c>
      <c r="I985" s="5">
        <f>IF('ORDENES'!$A963="","",IF('ORDENES'!$AT963="","-",'ORDENES'!$AT963))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0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IF('ORDENES'!$A963="","",'ORDENES'!$AF963)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IF('ORDENES'!$A964="","",IF('ORDENES'!$AH964="","-",'ORDENES'!$AH964))</f>
        <v/>
      </c>
      <c r="D986" s="5">
        <f>IF('ORDENES'!$A964="","",IF('ORDENES'!$Z964="","-",'ORDENES'!$Z964))</f>
        <v/>
      </c>
      <c r="E986" s="5">
        <f>IF('ORDENES'!$A964="","",IF('ORDENES'!$X964="","-",'ORDENES'!$X964))</f>
        <v/>
      </c>
      <c r="F986" s="5">
        <f>IF('ORDENES'!$A964="","",IF('ORDENES'!$AA964="","-",'ORDENES'!$AA964))</f>
        <v/>
      </c>
      <c r="G986" s="5">
        <f>IF('ORDENES'!$A964="","",IF('ORDENES'!$Y964="","-",'ORDENES'!$Y964))</f>
        <v/>
      </c>
      <c r="H986" s="5">
        <f>IF('ORDENES'!$A964="","",IF('ORDENES'!$AG964="","-",'ORDENES'!$AG964))</f>
        <v/>
      </c>
      <c r="I986" s="5">
        <f>IF('ORDENES'!$A964="","",IF('ORDENES'!$AT964="","-",'ORDENES'!$AT964))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0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IF('ORDENES'!$A964="","",'ORDENES'!$AF964)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IF('ORDENES'!$A965="","",IF('ORDENES'!$AH965="","-",'ORDENES'!$AH965))</f>
        <v/>
      </c>
      <c r="D987" s="5">
        <f>IF('ORDENES'!$A965="","",IF('ORDENES'!$Z965="","-",'ORDENES'!$Z965))</f>
        <v/>
      </c>
      <c r="E987" s="5">
        <f>IF('ORDENES'!$A965="","",IF('ORDENES'!$X965="","-",'ORDENES'!$X965))</f>
        <v/>
      </c>
      <c r="F987" s="5">
        <f>IF('ORDENES'!$A965="","",IF('ORDENES'!$AA965="","-",'ORDENES'!$AA965))</f>
        <v/>
      </c>
      <c r="G987" s="5">
        <f>IF('ORDENES'!$A965="","",IF('ORDENES'!$Y965="","-",'ORDENES'!$Y965))</f>
        <v/>
      </c>
      <c r="H987" s="5">
        <f>IF('ORDENES'!$A965="","",IF('ORDENES'!$AG965="","-",'ORDENES'!$AG965))</f>
        <v/>
      </c>
      <c r="I987" s="5">
        <f>IF('ORDENES'!$A965="","",IF('ORDENES'!$AT965="","-",'ORDENES'!$AT965))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0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IF('ORDENES'!$A965="","",'ORDENES'!$AF965)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IF('ORDENES'!$A966="","",IF('ORDENES'!$AH966="","-",'ORDENES'!$AH966))</f>
        <v/>
      </c>
      <c r="D988" s="5">
        <f>IF('ORDENES'!$A966="","",IF('ORDENES'!$Z966="","-",'ORDENES'!$Z966))</f>
        <v/>
      </c>
      <c r="E988" s="5">
        <f>IF('ORDENES'!$A966="","",IF('ORDENES'!$X966="","-",'ORDENES'!$X966))</f>
        <v/>
      </c>
      <c r="F988" s="5">
        <f>IF('ORDENES'!$A966="","",IF('ORDENES'!$AA966="","-",'ORDENES'!$AA966))</f>
        <v/>
      </c>
      <c r="G988" s="5">
        <f>IF('ORDENES'!$A966="","",IF('ORDENES'!$Y966="","-",'ORDENES'!$Y966))</f>
        <v/>
      </c>
      <c r="H988" s="5">
        <f>IF('ORDENES'!$A966="","",IF('ORDENES'!$AG966="","-",'ORDENES'!$AG966))</f>
        <v/>
      </c>
      <c r="I988" s="5">
        <f>IF('ORDENES'!$A966="","",IF('ORDENES'!$AT966="","-",'ORDENES'!$AT966))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0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IF('ORDENES'!$A966="","",'ORDENES'!$AF966)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IF('ORDENES'!$A967="","",IF('ORDENES'!$AH967="","-",'ORDENES'!$AH967))</f>
        <v/>
      </c>
      <c r="D989" s="5">
        <f>IF('ORDENES'!$A967="","",IF('ORDENES'!$Z967="","-",'ORDENES'!$Z967))</f>
        <v/>
      </c>
      <c r="E989" s="5">
        <f>IF('ORDENES'!$A967="","",IF('ORDENES'!$X967="","-",'ORDENES'!$X967))</f>
        <v/>
      </c>
      <c r="F989" s="5">
        <f>IF('ORDENES'!$A967="","",IF('ORDENES'!$AA967="","-",'ORDENES'!$AA967))</f>
        <v/>
      </c>
      <c r="G989" s="5">
        <f>IF('ORDENES'!$A967="","",IF('ORDENES'!$Y967="","-",'ORDENES'!$Y967))</f>
        <v/>
      </c>
      <c r="H989" s="5">
        <f>IF('ORDENES'!$A967="","",IF('ORDENES'!$AG967="","-",'ORDENES'!$AG967))</f>
        <v/>
      </c>
      <c r="I989" s="5">
        <f>IF('ORDENES'!$A967="","",IF('ORDENES'!$AT967="","-",'ORDENES'!$AT967))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0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IF('ORDENES'!$A967="","",'ORDENES'!$AF967)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IF('ORDENES'!$A968="","",IF('ORDENES'!$AH968="","-",'ORDENES'!$AH968))</f>
        <v/>
      </c>
      <c r="D990" s="5">
        <f>IF('ORDENES'!$A968="","",IF('ORDENES'!$Z968="","-",'ORDENES'!$Z968))</f>
        <v/>
      </c>
      <c r="E990" s="5">
        <f>IF('ORDENES'!$A968="","",IF('ORDENES'!$X968="","-",'ORDENES'!$X968))</f>
        <v/>
      </c>
      <c r="F990" s="5">
        <f>IF('ORDENES'!$A968="","",IF('ORDENES'!$AA968="","-",'ORDENES'!$AA968))</f>
        <v/>
      </c>
      <c r="G990" s="5">
        <f>IF('ORDENES'!$A968="","",IF('ORDENES'!$Y968="","-",'ORDENES'!$Y968))</f>
        <v/>
      </c>
      <c r="H990" s="5">
        <f>IF('ORDENES'!$A968="","",IF('ORDENES'!$AG968="","-",'ORDENES'!$AG968))</f>
        <v/>
      </c>
      <c r="I990" s="5">
        <f>IF('ORDENES'!$A968="","",IF('ORDENES'!$AT968="","-",'ORDENES'!$AT968))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0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IF('ORDENES'!$A968="","",'ORDENES'!$AF968)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IF('ORDENES'!$A969="","",IF('ORDENES'!$AH969="","-",'ORDENES'!$AH969))</f>
        <v/>
      </c>
      <c r="D991" s="5">
        <f>IF('ORDENES'!$A969="","",IF('ORDENES'!$Z969="","-",'ORDENES'!$Z969))</f>
        <v/>
      </c>
      <c r="E991" s="5">
        <f>IF('ORDENES'!$A969="","",IF('ORDENES'!$X969="","-",'ORDENES'!$X969))</f>
        <v/>
      </c>
      <c r="F991" s="5">
        <f>IF('ORDENES'!$A969="","",IF('ORDENES'!$AA969="","-",'ORDENES'!$AA969))</f>
        <v/>
      </c>
      <c r="G991" s="5">
        <f>IF('ORDENES'!$A969="","",IF('ORDENES'!$Y969="","-",'ORDENES'!$Y969))</f>
        <v/>
      </c>
      <c r="H991" s="5">
        <f>IF('ORDENES'!$A969="","",IF('ORDENES'!$AG969="","-",'ORDENES'!$AG969))</f>
        <v/>
      </c>
      <c r="I991" s="5">
        <f>IF('ORDENES'!$A969="","",IF('ORDENES'!$AT969="","-",'ORDENES'!$AT969))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0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IF('ORDENES'!$A969="","",'ORDENES'!$AF969)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IF('ORDENES'!$A970="","",IF('ORDENES'!$AH970="","-",'ORDENES'!$AH970))</f>
        <v/>
      </c>
      <c r="D992" s="5">
        <f>IF('ORDENES'!$A970="","",IF('ORDENES'!$Z970="","-",'ORDENES'!$Z970))</f>
        <v/>
      </c>
      <c r="E992" s="5">
        <f>IF('ORDENES'!$A970="","",IF('ORDENES'!$X970="","-",'ORDENES'!$X970))</f>
        <v/>
      </c>
      <c r="F992" s="5">
        <f>IF('ORDENES'!$A970="","",IF('ORDENES'!$AA970="","-",'ORDENES'!$AA970))</f>
        <v/>
      </c>
      <c r="G992" s="5">
        <f>IF('ORDENES'!$A970="","",IF('ORDENES'!$Y970="","-",'ORDENES'!$Y970))</f>
        <v/>
      </c>
      <c r="H992" s="5">
        <f>IF('ORDENES'!$A970="","",IF('ORDENES'!$AG970="","-",'ORDENES'!$AG970))</f>
        <v/>
      </c>
      <c r="I992" s="5">
        <f>IF('ORDENES'!$A970="","",IF('ORDENES'!$AT970="","-",'ORDENES'!$AT970))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0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IF('ORDENES'!$A970="","",'ORDENES'!$AF970)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IF('ORDENES'!$A971="","",IF('ORDENES'!$AH971="","-",'ORDENES'!$AH971))</f>
        <v/>
      </c>
      <c r="D993" s="5">
        <f>IF('ORDENES'!$A971="","",IF('ORDENES'!$Z971="","-",'ORDENES'!$Z971))</f>
        <v/>
      </c>
      <c r="E993" s="5">
        <f>IF('ORDENES'!$A971="","",IF('ORDENES'!$X971="","-",'ORDENES'!$X971))</f>
        <v/>
      </c>
      <c r="F993" s="5">
        <f>IF('ORDENES'!$A971="","",IF('ORDENES'!$AA971="","-",'ORDENES'!$AA971))</f>
        <v/>
      </c>
      <c r="G993" s="5">
        <f>IF('ORDENES'!$A971="","",IF('ORDENES'!$Y971="","-",'ORDENES'!$Y971))</f>
        <v/>
      </c>
      <c r="H993" s="5">
        <f>IF('ORDENES'!$A971="","",IF('ORDENES'!$AG971="","-",'ORDENES'!$AG971))</f>
        <v/>
      </c>
      <c r="I993" s="5">
        <f>IF('ORDENES'!$A971="","",IF('ORDENES'!$AT971="","-",'ORDENES'!$AT971))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0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IF('ORDENES'!$A971="","",'ORDENES'!$AF971)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IF('ORDENES'!$A972="","",IF('ORDENES'!$AH972="","-",'ORDENES'!$AH972))</f>
        <v/>
      </c>
      <c r="D994" s="5">
        <f>IF('ORDENES'!$A972="","",IF('ORDENES'!$Z972="","-",'ORDENES'!$Z972))</f>
        <v/>
      </c>
      <c r="E994" s="5">
        <f>IF('ORDENES'!$A972="","",IF('ORDENES'!$X972="","-",'ORDENES'!$X972))</f>
        <v/>
      </c>
      <c r="F994" s="5">
        <f>IF('ORDENES'!$A972="","",IF('ORDENES'!$AA972="","-",'ORDENES'!$AA972))</f>
        <v/>
      </c>
      <c r="G994" s="5">
        <f>IF('ORDENES'!$A972="","",IF('ORDENES'!$Y972="","-",'ORDENES'!$Y972))</f>
        <v/>
      </c>
      <c r="H994" s="5">
        <f>IF('ORDENES'!$A972="","",IF('ORDENES'!$AG972="","-",'ORDENES'!$AG972))</f>
        <v/>
      </c>
      <c r="I994" s="5">
        <f>IF('ORDENES'!$A972="","",IF('ORDENES'!$AT972="","-",'ORDENES'!$AT972))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0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IF('ORDENES'!$A972="","",'ORDENES'!$AF972)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IF('ORDENES'!$A973="","",IF('ORDENES'!$AH973="","-",'ORDENES'!$AH973))</f>
        <v/>
      </c>
      <c r="D995" s="5">
        <f>IF('ORDENES'!$A973="","",IF('ORDENES'!$Z973="","-",'ORDENES'!$Z973))</f>
        <v/>
      </c>
      <c r="E995" s="5">
        <f>IF('ORDENES'!$A973="","",IF('ORDENES'!$X973="","-",'ORDENES'!$X973))</f>
        <v/>
      </c>
      <c r="F995" s="5">
        <f>IF('ORDENES'!$A973="","",IF('ORDENES'!$AA973="","-",'ORDENES'!$AA973))</f>
        <v/>
      </c>
      <c r="G995" s="5">
        <f>IF('ORDENES'!$A973="","",IF('ORDENES'!$Y973="","-",'ORDENES'!$Y973))</f>
        <v/>
      </c>
      <c r="H995" s="5">
        <f>IF('ORDENES'!$A973="","",IF('ORDENES'!$AG973="","-",'ORDENES'!$AG973))</f>
        <v/>
      </c>
      <c r="I995" s="5">
        <f>IF('ORDENES'!$A973="","",IF('ORDENES'!$AT973="","-",'ORDENES'!$AT973))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0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IF('ORDENES'!$A973="","",'ORDENES'!$AF973)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IF('ORDENES'!$A974="","",IF('ORDENES'!$AH974="","-",'ORDENES'!$AH974))</f>
        <v/>
      </c>
      <c r="D996" s="5">
        <f>IF('ORDENES'!$A974="","",IF('ORDENES'!$Z974="","-",'ORDENES'!$Z974))</f>
        <v/>
      </c>
      <c r="E996" s="5">
        <f>IF('ORDENES'!$A974="","",IF('ORDENES'!$X974="","-",'ORDENES'!$X974))</f>
        <v/>
      </c>
      <c r="F996" s="5">
        <f>IF('ORDENES'!$A974="","",IF('ORDENES'!$AA974="","-",'ORDENES'!$AA974))</f>
        <v/>
      </c>
      <c r="G996" s="5">
        <f>IF('ORDENES'!$A974="","",IF('ORDENES'!$Y974="","-",'ORDENES'!$Y974))</f>
        <v/>
      </c>
      <c r="H996" s="5">
        <f>IF('ORDENES'!$A974="","",IF('ORDENES'!$AG974="","-",'ORDENES'!$AG974))</f>
        <v/>
      </c>
      <c r="I996" s="5">
        <f>IF('ORDENES'!$A974="","",IF('ORDENES'!$AT974="","-",'ORDENES'!$AT974))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0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IF('ORDENES'!$A974="","",'ORDENES'!$AF974)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IF('ORDENES'!$A975="","",IF('ORDENES'!$AH975="","-",'ORDENES'!$AH975))</f>
        <v/>
      </c>
      <c r="D997" s="5">
        <f>IF('ORDENES'!$A975="","",IF('ORDENES'!$Z975="","-",'ORDENES'!$Z975))</f>
        <v/>
      </c>
      <c r="E997" s="5">
        <f>IF('ORDENES'!$A975="","",IF('ORDENES'!$X975="","-",'ORDENES'!$X975))</f>
        <v/>
      </c>
      <c r="F997" s="5">
        <f>IF('ORDENES'!$A975="","",IF('ORDENES'!$AA975="","-",'ORDENES'!$AA975))</f>
        <v/>
      </c>
      <c r="G997" s="5">
        <f>IF('ORDENES'!$A975="","",IF('ORDENES'!$Y975="","-",'ORDENES'!$Y975))</f>
        <v/>
      </c>
      <c r="H997" s="5">
        <f>IF('ORDENES'!$A975="","",IF('ORDENES'!$AG975="","-",'ORDENES'!$AG975))</f>
        <v/>
      </c>
      <c r="I997" s="5">
        <f>IF('ORDENES'!$A975="","",IF('ORDENES'!$AT975="","-",'ORDENES'!$AT975))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0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IF('ORDENES'!$A975="","",'ORDENES'!$AF975)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IF('ORDENES'!$A976="","",IF('ORDENES'!$AH976="","-",'ORDENES'!$AH976))</f>
        <v/>
      </c>
      <c r="D998" s="5">
        <f>IF('ORDENES'!$A976="","",IF('ORDENES'!$Z976="","-",'ORDENES'!$Z976))</f>
        <v/>
      </c>
      <c r="E998" s="5">
        <f>IF('ORDENES'!$A976="","",IF('ORDENES'!$X976="","-",'ORDENES'!$X976))</f>
        <v/>
      </c>
      <c r="F998" s="5">
        <f>IF('ORDENES'!$A976="","",IF('ORDENES'!$AA976="","-",'ORDENES'!$AA976))</f>
        <v/>
      </c>
      <c r="G998" s="5">
        <f>IF('ORDENES'!$A976="","",IF('ORDENES'!$Y976="","-",'ORDENES'!$Y976))</f>
        <v/>
      </c>
      <c r="H998" s="5">
        <f>IF('ORDENES'!$A976="","",IF('ORDENES'!$AG976="","-",'ORDENES'!$AG976))</f>
        <v/>
      </c>
      <c r="I998" s="5">
        <f>IF('ORDENES'!$A976="","",IF('ORDENES'!$AT976="","-",'ORDENES'!$AT976))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0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IF('ORDENES'!$A976="","",'ORDENES'!$AF976)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IF('ORDENES'!$A977="","",IF('ORDENES'!$AH977="","-",'ORDENES'!$AH977))</f>
        <v/>
      </c>
      <c r="D999" s="5">
        <f>IF('ORDENES'!$A977="","",IF('ORDENES'!$Z977="","-",'ORDENES'!$Z977))</f>
        <v/>
      </c>
      <c r="E999" s="5">
        <f>IF('ORDENES'!$A977="","",IF('ORDENES'!$X977="","-",'ORDENES'!$X977))</f>
        <v/>
      </c>
      <c r="F999" s="5">
        <f>IF('ORDENES'!$A977="","",IF('ORDENES'!$AA977="","-",'ORDENES'!$AA977))</f>
        <v/>
      </c>
      <c r="G999" s="5">
        <f>IF('ORDENES'!$A977="","",IF('ORDENES'!$Y977="","-",'ORDENES'!$Y977))</f>
        <v/>
      </c>
      <c r="H999" s="5">
        <f>IF('ORDENES'!$A977="","",IF('ORDENES'!$AG977="","-",'ORDENES'!$AG977))</f>
        <v/>
      </c>
      <c r="I999" s="5">
        <f>IF('ORDENES'!$A977="","",IF('ORDENES'!$AT977="","-",'ORDENES'!$AT977))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0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IF('ORDENES'!$A977="","",'ORDENES'!$AF977)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IF('ORDENES'!$A978="","",IF('ORDENES'!$AH978="","-",'ORDENES'!$AH978))</f>
        <v/>
      </c>
      <c r="D1000" s="5">
        <f>IF('ORDENES'!$A978="","",IF('ORDENES'!$Z978="","-",'ORDENES'!$Z978))</f>
        <v/>
      </c>
      <c r="E1000" s="5">
        <f>IF('ORDENES'!$A978="","",IF('ORDENES'!$X978="","-",'ORDENES'!$X978))</f>
        <v/>
      </c>
      <c r="F1000" s="5">
        <f>IF('ORDENES'!$A978="","",IF('ORDENES'!$AA978="","-",'ORDENES'!$AA978))</f>
        <v/>
      </c>
      <c r="G1000" s="5">
        <f>IF('ORDENES'!$A978="","",IF('ORDENES'!$Y978="","-",'ORDENES'!$Y978))</f>
        <v/>
      </c>
      <c r="H1000" s="5">
        <f>IF('ORDENES'!$A978="","",IF('ORDENES'!$AG978="","-",'ORDENES'!$AG978))</f>
        <v/>
      </c>
      <c r="I1000" s="5">
        <f>IF('ORDENES'!$A978="","",IF('ORDENES'!$AT978="","-",'ORDENES'!$AT978))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0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IF('ORDENES'!$A978="","",'ORDENES'!$AF978)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IF('ORDENES'!$A979="","",IF('ORDENES'!$AH979="","-",'ORDENES'!$AH979))</f>
        <v/>
      </c>
      <c r="D1001" s="5">
        <f>IF('ORDENES'!$A979="","",IF('ORDENES'!$Z979="","-",'ORDENES'!$Z979))</f>
        <v/>
      </c>
      <c r="E1001" s="5">
        <f>IF('ORDENES'!$A979="","",IF('ORDENES'!$X979="","-",'ORDENES'!$X979))</f>
        <v/>
      </c>
      <c r="F1001" s="5">
        <f>IF('ORDENES'!$A979="","",IF('ORDENES'!$AA979="","-",'ORDENES'!$AA979))</f>
        <v/>
      </c>
      <c r="G1001" s="5">
        <f>IF('ORDENES'!$A979="","",IF('ORDENES'!$Y979="","-",'ORDENES'!$Y979))</f>
        <v/>
      </c>
      <c r="H1001" s="5">
        <f>IF('ORDENES'!$A979="","",IF('ORDENES'!$AG979="","-",'ORDENES'!$AG979))</f>
        <v/>
      </c>
      <c r="I1001" s="5">
        <f>IF('ORDENES'!$A979="","",IF('ORDENES'!$AT979="","-",'ORDENES'!$AT979))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0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IF('ORDENES'!$A979="","",'ORDENES'!$AF979)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IF('ORDENES'!$A980="","",IF('ORDENES'!$AH980="","-",'ORDENES'!$AH980))</f>
        <v/>
      </c>
      <c r="D1002" s="5">
        <f>IF('ORDENES'!$A980="","",IF('ORDENES'!$Z980="","-",'ORDENES'!$Z980))</f>
        <v/>
      </c>
      <c r="E1002" s="5">
        <f>IF('ORDENES'!$A980="","",IF('ORDENES'!$X980="","-",'ORDENES'!$X980))</f>
        <v/>
      </c>
      <c r="F1002" s="5">
        <f>IF('ORDENES'!$A980="","",IF('ORDENES'!$AA980="","-",'ORDENES'!$AA980))</f>
        <v/>
      </c>
      <c r="G1002" s="5">
        <f>IF('ORDENES'!$A980="","",IF('ORDENES'!$Y980="","-",'ORDENES'!$Y980))</f>
        <v/>
      </c>
      <c r="H1002" s="5">
        <f>IF('ORDENES'!$A980="","",IF('ORDENES'!$AG980="","-",'ORDENES'!$AG980))</f>
        <v/>
      </c>
      <c r="I1002" s="5">
        <f>IF('ORDENES'!$A980="","",IF('ORDENES'!$AT980="","-",'ORDENES'!$AT980))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0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IF('ORDENES'!$A980="","",'ORDENES'!$AF980)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IF('ORDENES'!$A981="","",IF('ORDENES'!$AH981="","-",'ORDENES'!$AH981))</f>
        <v/>
      </c>
      <c r="D1003" s="5">
        <f>IF('ORDENES'!$A981="","",IF('ORDENES'!$Z981="","-",'ORDENES'!$Z981))</f>
        <v/>
      </c>
      <c r="E1003" s="5">
        <f>IF('ORDENES'!$A981="","",IF('ORDENES'!$X981="","-",'ORDENES'!$X981))</f>
        <v/>
      </c>
      <c r="F1003" s="5">
        <f>IF('ORDENES'!$A981="","",IF('ORDENES'!$AA981="","-",'ORDENES'!$AA981))</f>
        <v/>
      </c>
      <c r="G1003" s="5">
        <f>IF('ORDENES'!$A981="","",IF('ORDENES'!$Y981="","-",'ORDENES'!$Y981))</f>
        <v/>
      </c>
      <c r="H1003" s="5">
        <f>IF('ORDENES'!$A981="","",IF('ORDENES'!$AG981="","-",'ORDENES'!$AG981))</f>
        <v/>
      </c>
      <c r="I1003" s="5">
        <f>IF('ORDENES'!$A981="","",IF('ORDENES'!$AT981="","-",'ORDENES'!$AT981))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0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IF('ORDENES'!$A981="","",'ORDENES'!$AF981)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IF('ORDENES'!$A982="","",IF('ORDENES'!$AH982="","-",'ORDENES'!$AH982))</f>
        <v/>
      </c>
      <c r="D1004" s="5">
        <f>IF('ORDENES'!$A982="","",IF('ORDENES'!$Z982="","-",'ORDENES'!$Z982))</f>
        <v/>
      </c>
      <c r="E1004" s="5">
        <f>IF('ORDENES'!$A982="","",IF('ORDENES'!$X982="","-",'ORDENES'!$X982))</f>
        <v/>
      </c>
      <c r="F1004" s="5">
        <f>IF('ORDENES'!$A982="","",IF('ORDENES'!$AA982="","-",'ORDENES'!$AA982))</f>
        <v/>
      </c>
      <c r="G1004" s="5">
        <f>IF('ORDENES'!$A982="","",IF('ORDENES'!$Y982="","-",'ORDENES'!$Y982))</f>
        <v/>
      </c>
      <c r="H1004" s="5">
        <f>IF('ORDENES'!$A982="","",IF('ORDENES'!$AG982="","-",'ORDENES'!$AG982))</f>
        <v/>
      </c>
      <c r="I1004" s="5">
        <f>IF('ORDENES'!$A982="","",IF('ORDENES'!$AT982="","-",'ORDENES'!$AT982))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0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IF('ORDENES'!$A982="","",'ORDENES'!$AF982)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IF('ORDENES'!$A983="","",IF('ORDENES'!$AH983="","-",'ORDENES'!$AH983))</f>
        <v/>
      </c>
      <c r="D1005" s="5">
        <f>IF('ORDENES'!$A983="","",IF('ORDENES'!$Z983="","-",'ORDENES'!$Z983))</f>
        <v/>
      </c>
      <c r="E1005" s="5">
        <f>IF('ORDENES'!$A983="","",IF('ORDENES'!$X983="","-",'ORDENES'!$X983))</f>
        <v/>
      </c>
      <c r="F1005" s="5">
        <f>IF('ORDENES'!$A983="","",IF('ORDENES'!$AA983="","-",'ORDENES'!$AA983))</f>
        <v/>
      </c>
      <c r="G1005" s="5">
        <f>IF('ORDENES'!$A983="","",IF('ORDENES'!$Y983="","-",'ORDENES'!$Y983))</f>
        <v/>
      </c>
      <c r="H1005" s="5">
        <f>IF('ORDENES'!$A983="","",IF('ORDENES'!$AG983="","-",'ORDENES'!$AG983))</f>
        <v/>
      </c>
      <c r="I1005" s="5">
        <f>IF('ORDENES'!$A983="","",IF('ORDENES'!$AT983="","-",'ORDENES'!$AT983))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0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IF('ORDENES'!$A983="","",'ORDENES'!$AF983)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IF('ORDENES'!$A984="","",IF('ORDENES'!$AH984="","-",'ORDENES'!$AH984))</f>
        <v/>
      </c>
      <c r="D1006" s="5">
        <f>IF('ORDENES'!$A984="","",IF('ORDENES'!$Z984="","-",'ORDENES'!$Z984))</f>
        <v/>
      </c>
      <c r="E1006" s="5">
        <f>IF('ORDENES'!$A984="","",IF('ORDENES'!$X984="","-",'ORDENES'!$X984))</f>
        <v/>
      </c>
      <c r="F1006" s="5">
        <f>IF('ORDENES'!$A984="","",IF('ORDENES'!$AA984="","-",'ORDENES'!$AA984))</f>
        <v/>
      </c>
      <c r="G1006" s="5">
        <f>IF('ORDENES'!$A984="","",IF('ORDENES'!$Y984="","-",'ORDENES'!$Y984))</f>
        <v/>
      </c>
      <c r="H1006" s="5">
        <f>IF('ORDENES'!$A984="","",IF('ORDENES'!$AG984="","-",'ORDENES'!$AG984))</f>
        <v/>
      </c>
      <c r="I1006" s="5">
        <f>IF('ORDENES'!$A984="","",IF('ORDENES'!$AT984="","-",'ORDENES'!$AT984))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0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IF('ORDENES'!$A984="","",'ORDENES'!$AF984)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IF('ORDENES'!$A985="","",IF('ORDENES'!$AH985="","-",'ORDENES'!$AH985))</f>
        <v/>
      </c>
      <c r="D1007" s="5">
        <f>IF('ORDENES'!$A985="","",IF('ORDENES'!$Z985="","-",'ORDENES'!$Z985))</f>
        <v/>
      </c>
      <c r="E1007" s="5">
        <f>IF('ORDENES'!$A985="","",IF('ORDENES'!$X985="","-",'ORDENES'!$X985))</f>
        <v/>
      </c>
      <c r="F1007" s="5">
        <f>IF('ORDENES'!$A985="","",IF('ORDENES'!$AA985="","-",'ORDENES'!$AA985))</f>
        <v/>
      </c>
      <c r="G1007" s="5">
        <f>IF('ORDENES'!$A985="","",IF('ORDENES'!$Y985="","-",'ORDENES'!$Y985))</f>
        <v/>
      </c>
      <c r="H1007" s="5">
        <f>IF('ORDENES'!$A985="","",IF('ORDENES'!$AG985="","-",'ORDENES'!$AG985))</f>
        <v/>
      </c>
      <c r="I1007" s="5">
        <f>IF('ORDENES'!$A985="","",IF('ORDENES'!$AT985="","-",'ORDENES'!$AT985))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0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IF('ORDENES'!$A985="","",'ORDENES'!$AF985)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IF('ORDENES'!$A986="","",IF('ORDENES'!$AH986="","-",'ORDENES'!$AH986))</f>
        <v/>
      </c>
      <c r="D1008" s="5">
        <f>IF('ORDENES'!$A986="","",IF('ORDENES'!$Z986="","-",'ORDENES'!$Z986))</f>
        <v/>
      </c>
      <c r="E1008" s="5">
        <f>IF('ORDENES'!$A986="","",IF('ORDENES'!$X986="","-",'ORDENES'!$X986))</f>
        <v/>
      </c>
      <c r="F1008" s="5">
        <f>IF('ORDENES'!$A986="","",IF('ORDENES'!$AA986="","-",'ORDENES'!$AA986))</f>
        <v/>
      </c>
      <c r="G1008" s="5">
        <f>IF('ORDENES'!$A986="","",IF('ORDENES'!$Y986="","-",'ORDENES'!$Y986))</f>
        <v/>
      </c>
      <c r="H1008" s="5">
        <f>IF('ORDENES'!$A986="","",IF('ORDENES'!$AG986="","-",'ORDENES'!$AG986))</f>
        <v/>
      </c>
      <c r="I1008" s="5">
        <f>IF('ORDENES'!$A986="","",IF('ORDENES'!$AT986="","-",'ORDENES'!$AT986))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0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IF('ORDENES'!$A986="","",'ORDENES'!$AF986)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IF('ORDENES'!$A987="","",IF('ORDENES'!$AH987="","-",'ORDENES'!$AH987))</f>
        <v/>
      </c>
      <c r="D1009" s="5">
        <f>IF('ORDENES'!$A987="","",IF('ORDENES'!$Z987="","-",'ORDENES'!$Z987))</f>
        <v/>
      </c>
      <c r="E1009" s="5">
        <f>IF('ORDENES'!$A987="","",IF('ORDENES'!$X987="","-",'ORDENES'!$X987))</f>
        <v/>
      </c>
      <c r="F1009" s="5">
        <f>IF('ORDENES'!$A987="","",IF('ORDENES'!$AA987="","-",'ORDENES'!$AA987))</f>
        <v/>
      </c>
      <c r="G1009" s="5">
        <f>IF('ORDENES'!$A987="","",IF('ORDENES'!$Y987="","-",'ORDENES'!$Y987))</f>
        <v/>
      </c>
      <c r="H1009" s="5">
        <f>IF('ORDENES'!$A987="","",IF('ORDENES'!$AG987="","-",'ORDENES'!$AG987))</f>
        <v/>
      </c>
      <c r="I1009" s="5">
        <f>IF('ORDENES'!$A987="","",IF('ORDENES'!$AT987="","-",'ORDENES'!$AT987))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0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IF('ORDENES'!$A987="","",'ORDENES'!$AF987)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IF('ORDENES'!$A988="","",IF('ORDENES'!$AH988="","-",'ORDENES'!$AH988))</f>
        <v/>
      </c>
      <c r="D1010" s="5">
        <f>IF('ORDENES'!$A988="","",IF('ORDENES'!$Z988="","-",'ORDENES'!$Z988))</f>
        <v/>
      </c>
      <c r="E1010" s="5">
        <f>IF('ORDENES'!$A988="","",IF('ORDENES'!$X988="","-",'ORDENES'!$X988))</f>
        <v/>
      </c>
      <c r="F1010" s="5">
        <f>IF('ORDENES'!$A988="","",IF('ORDENES'!$AA988="","-",'ORDENES'!$AA988))</f>
        <v/>
      </c>
      <c r="G1010" s="5">
        <f>IF('ORDENES'!$A988="","",IF('ORDENES'!$Y988="","-",'ORDENES'!$Y988))</f>
        <v/>
      </c>
      <c r="H1010" s="5">
        <f>IF('ORDENES'!$A988="","",IF('ORDENES'!$AG988="","-",'ORDENES'!$AG988))</f>
        <v/>
      </c>
      <c r="I1010" s="5">
        <f>IF('ORDENES'!$A988="","",IF('ORDENES'!$AT988="","-",'ORDENES'!$AT988))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0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IF('ORDENES'!$A988="","",'ORDENES'!$AF988)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IF('ORDENES'!$A989="","",IF('ORDENES'!$AH989="","-",'ORDENES'!$AH989))</f>
        <v/>
      </c>
      <c r="D1011" s="5">
        <f>IF('ORDENES'!$A989="","",IF('ORDENES'!$Z989="","-",'ORDENES'!$Z989))</f>
        <v/>
      </c>
      <c r="E1011" s="5">
        <f>IF('ORDENES'!$A989="","",IF('ORDENES'!$X989="","-",'ORDENES'!$X989))</f>
        <v/>
      </c>
      <c r="F1011" s="5">
        <f>IF('ORDENES'!$A989="","",IF('ORDENES'!$AA989="","-",'ORDENES'!$AA989))</f>
        <v/>
      </c>
      <c r="G1011" s="5">
        <f>IF('ORDENES'!$A989="","",IF('ORDENES'!$Y989="","-",'ORDENES'!$Y989))</f>
        <v/>
      </c>
      <c r="H1011" s="5">
        <f>IF('ORDENES'!$A989="","",IF('ORDENES'!$AG989="","-",'ORDENES'!$AG989))</f>
        <v/>
      </c>
      <c r="I1011" s="5">
        <f>IF('ORDENES'!$A989="","",IF('ORDENES'!$AT989="","-",'ORDENES'!$AT989))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0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IF('ORDENES'!$A989="","",'ORDENES'!$AF989)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IF('ORDENES'!$A990="","",IF('ORDENES'!$AH990="","-",'ORDENES'!$AH990))</f>
        <v/>
      </c>
      <c r="D1012" s="5">
        <f>IF('ORDENES'!$A990="","",IF('ORDENES'!$Z990="","-",'ORDENES'!$Z990))</f>
        <v/>
      </c>
      <c r="E1012" s="5">
        <f>IF('ORDENES'!$A990="","",IF('ORDENES'!$X990="","-",'ORDENES'!$X990))</f>
        <v/>
      </c>
      <c r="F1012" s="5">
        <f>IF('ORDENES'!$A990="","",IF('ORDENES'!$AA990="","-",'ORDENES'!$AA990))</f>
        <v/>
      </c>
      <c r="G1012" s="5">
        <f>IF('ORDENES'!$A990="","",IF('ORDENES'!$Y990="","-",'ORDENES'!$Y990))</f>
        <v/>
      </c>
      <c r="H1012" s="5">
        <f>IF('ORDENES'!$A990="","",IF('ORDENES'!$AG990="","-",'ORDENES'!$AG990))</f>
        <v/>
      </c>
      <c r="I1012" s="5">
        <f>IF('ORDENES'!$A990="","",IF('ORDENES'!$AT990="","-",'ORDENES'!$AT990))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0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IF('ORDENES'!$A990="","",'ORDENES'!$AF990)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IF('ORDENES'!$A991="","",IF('ORDENES'!$AH991="","-",'ORDENES'!$AH991))</f>
        <v/>
      </c>
      <c r="D1013" s="5">
        <f>IF('ORDENES'!$A991="","",IF('ORDENES'!$Z991="","-",'ORDENES'!$Z991))</f>
        <v/>
      </c>
      <c r="E1013" s="5">
        <f>IF('ORDENES'!$A991="","",IF('ORDENES'!$X991="","-",'ORDENES'!$X991))</f>
        <v/>
      </c>
      <c r="F1013" s="5">
        <f>IF('ORDENES'!$A991="","",IF('ORDENES'!$AA991="","-",'ORDENES'!$AA991))</f>
        <v/>
      </c>
      <c r="G1013" s="5">
        <f>IF('ORDENES'!$A991="","",IF('ORDENES'!$Y991="","-",'ORDENES'!$Y991))</f>
        <v/>
      </c>
      <c r="H1013" s="5">
        <f>IF('ORDENES'!$A991="","",IF('ORDENES'!$AG991="","-",'ORDENES'!$AG991))</f>
        <v/>
      </c>
      <c r="I1013" s="5">
        <f>IF('ORDENES'!$A991="","",IF('ORDENES'!$AT991="","-",'ORDENES'!$AT991))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0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IF('ORDENES'!$A991="","",'ORDENES'!$AF991)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IF('ORDENES'!$A992="","",IF('ORDENES'!$AH992="","-",'ORDENES'!$AH992))</f>
        <v/>
      </c>
      <c r="D1014" s="5">
        <f>IF('ORDENES'!$A992="","",IF('ORDENES'!$Z992="","-",'ORDENES'!$Z992))</f>
        <v/>
      </c>
      <c r="E1014" s="5">
        <f>IF('ORDENES'!$A992="","",IF('ORDENES'!$X992="","-",'ORDENES'!$X992))</f>
        <v/>
      </c>
      <c r="F1014" s="5">
        <f>IF('ORDENES'!$A992="","",IF('ORDENES'!$AA992="","-",'ORDENES'!$AA992))</f>
        <v/>
      </c>
      <c r="G1014" s="5">
        <f>IF('ORDENES'!$A992="","",IF('ORDENES'!$Y992="","-",'ORDENES'!$Y992))</f>
        <v/>
      </c>
      <c r="H1014" s="5">
        <f>IF('ORDENES'!$A992="","",IF('ORDENES'!$AG992="","-",'ORDENES'!$AG992))</f>
        <v/>
      </c>
      <c r="I1014" s="5">
        <f>IF('ORDENES'!$A992="","",IF('ORDENES'!$AT992="","-",'ORDENES'!$AT992))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0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IF('ORDENES'!$A992="","",'ORDENES'!$AF992)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IF('ORDENES'!$A993="","",IF('ORDENES'!$AH993="","-",'ORDENES'!$AH993))</f>
        <v/>
      </c>
      <c r="D1015" s="5">
        <f>IF('ORDENES'!$A993="","",IF('ORDENES'!$Z993="","-",'ORDENES'!$Z993))</f>
        <v/>
      </c>
      <c r="E1015" s="5">
        <f>IF('ORDENES'!$A993="","",IF('ORDENES'!$X993="","-",'ORDENES'!$X993))</f>
        <v/>
      </c>
      <c r="F1015" s="5">
        <f>IF('ORDENES'!$A993="","",IF('ORDENES'!$AA993="","-",'ORDENES'!$AA993))</f>
        <v/>
      </c>
      <c r="G1015" s="5">
        <f>IF('ORDENES'!$A993="","",IF('ORDENES'!$Y993="","-",'ORDENES'!$Y993))</f>
        <v/>
      </c>
      <c r="H1015" s="5">
        <f>IF('ORDENES'!$A993="","",IF('ORDENES'!$AG993="","-",'ORDENES'!$AG993))</f>
        <v/>
      </c>
      <c r="I1015" s="5">
        <f>IF('ORDENES'!$A993="","",IF('ORDENES'!$AT993="","-",'ORDENES'!$AT993))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0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IF('ORDENES'!$A993="","",'ORDENES'!$AF993)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IF('ORDENES'!$A994="","",IF('ORDENES'!$AH994="","-",'ORDENES'!$AH994))</f>
        <v/>
      </c>
      <c r="D1016" s="5">
        <f>IF('ORDENES'!$A994="","",IF('ORDENES'!$Z994="","-",'ORDENES'!$Z994))</f>
        <v/>
      </c>
      <c r="E1016" s="5">
        <f>IF('ORDENES'!$A994="","",IF('ORDENES'!$X994="","-",'ORDENES'!$X994))</f>
        <v/>
      </c>
      <c r="F1016" s="5">
        <f>IF('ORDENES'!$A994="","",IF('ORDENES'!$AA994="","-",'ORDENES'!$AA994))</f>
        <v/>
      </c>
      <c r="G1016" s="5">
        <f>IF('ORDENES'!$A994="","",IF('ORDENES'!$Y994="","-",'ORDENES'!$Y994))</f>
        <v/>
      </c>
      <c r="H1016" s="5">
        <f>IF('ORDENES'!$A994="","",IF('ORDENES'!$AG994="","-",'ORDENES'!$AG994))</f>
        <v/>
      </c>
      <c r="I1016" s="5">
        <f>IF('ORDENES'!$A994="","",IF('ORDENES'!$AT994="","-",'ORDENES'!$AT994))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0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IF('ORDENES'!$A994="","",'ORDENES'!$AF994)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IF('ORDENES'!$A995="","",IF('ORDENES'!$AH995="","-",'ORDENES'!$AH995))</f>
        <v/>
      </c>
      <c r="D1017" s="5">
        <f>IF('ORDENES'!$A995="","",IF('ORDENES'!$Z995="","-",'ORDENES'!$Z995))</f>
        <v/>
      </c>
      <c r="E1017" s="5">
        <f>IF('ORDENES'!$A995="","",IF('ORDENES'!$X995="","-",'ORDENES'!$X995))</f>
        <v/>
      </c>
      <c r="F1017" s="5">
        <f>IF('ORDENES'!$A995="","",IF('ORDENES'!$AA995="","-",'ORDENES'!$AA995))</f>
        <v/>
      </c>
      <c r="G1017" s="5">
        <f>IF('ORDENES'!$A995="","",IF('ORDENES'!$Y995="","-",'ORDENES'!$Y995))</f>
        <v/>
      </c>
      <c r="H1017" s="5">
        <f>IF('ORDENES'!$A995="","",IF('ORDENES'!$AG995="","-",'ORDENES'!$AG995))</f>
        <v/>
      </c>
      <c r="I1017" s="5">
        <f>IF('ORDENES'!$A995="","",IF('ORDENES'!$AT995="","-",'ORDENES'!$AT995))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0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IF('ORDENES'!$A995="","",'ORDENES'!$AF995)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IF('ORDENES'!$A996="","",IF('ORDENES'!$AH996="","-",'ORDENES'!$AH996))</f>
        <v/>
      </c>
      <c r="D1018" s="5">
        <f>IF('ORDENES'!$A996="","",IF('ORDENES'!$Z996="","-",'ORDENES'!$Z996))</f>
        <v/>
      </c>
      <c r="E1018" s="5">
        <f>IF('ORDENES'!$A996="","",IF('ORDENES'!$X996="","-",'ORDENES'!$X996))</f>
        <v/>
      </c>
      <c r="F1018" s="5">
        <f>IF('ORDENES'!$A996="","",IF('ORDENES'!$AA996="","-",'ORDENES'!$AA996))</f>
        <v/>
      </c>
      <c r="G1018" s="5">
        <f>IF('ORDENES'!$A996="","",IF('ORDENES'!$Y996="","-",'ORDENES'!$Y996))</f>
        <v/>
      </c>
      <c r="H1018" s="5">
        <f>IF('ORDENES'!$A996="","",IF('ORDENES'!$AG996="","-",'ORDENES'!$AG996))</f>
        <v/>
      </c>
      <c r="I1018" s="5">
        <f>IF('ORDENES'!$A996="","",IF('ORDENES'!$AT996="","-",'ORDENES'!$AT996))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0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IF('ORDENES'!$A996="","",'ORDENES'!$AF996)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IF('ORDENES'!$A997="","",IF('ORDENES'!$AH997="","-",'ORDENES'!$AH997))</f>
        <v/>
      </c>
      <c r="D1019" s="5">
        <f>IF('ORDENES'!$A997="","",IF('ORDENES'!$Z997="","-",'ORDENES'!$Z997))</f>
        <v/>
      </c>
      <c r="E1019" s="5">
        <f>IF('ORDENES'!$A997="","",IF('ORDENES'!$X997="","-",'ORDENES'!$X997))</f>
        <v/>
      </c>
      <c r="F1019" s="5">
        <f>IF('ORDENES'!$A997="","",IF('ORDENES'!$AA997="","-",'ORDENES'!$AA997))</f>
        <v/>
      </c>
      <c r="G1019" s="5">
        <f>IF('ORDENES'!$A997="","",IF('ORDENES'!$Y997="","-",'ORDENES'!$Y997))</f>
        <v/>
      </c>
      <c r="H1019" s="5">
        <f>IF('ORDENES'!$A997="","",IF('ORDENES'!$AG997="","-",'ORDENES'!$AG997))</f>
        <v/>
      </c>
      <c r="I1019" s="5">
        <f>IF('ORDENES'!$A997="","",IF('ORDENES'!$AT997="","-",'ORDENES'!$AT997))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0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IF('ORDENES'!$A997="","",'ORDENES'!$AF997)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IF('ORDENES'!$A998="","",IF('ORDENES'!$AH998="","-",'ORDENES'!$AH998))</f>
        <v/>
      </c>
      <c r="D1020" s="5">
        <f>IF('ORDENES'!$A998="","",IF('ORDENES'!$Z998="","-",'ORDENES'!$Z998))</f>
        <v/>
      </c>
      <c r="E1020" s="5">
        <f>IF('ORDENES'!$A998="","",IF('ORDENES'!$X998="","-",'ORDENES'!$X998))</f>
        <v/>
      </c>
      <c r="F1020" s="5">
        <f>IF('ORDENES'!$A998="","",IF('ORDENES'!$AA998="","-",'ORDENES'!$AA998))</f>
        <v/>
      </c>
      <c r="G1020" s="5">
        <f>IF('ORDENES'!$A998="","",IF('ORDENES'!$Y998="","-",'ORDENES'!$Y998))</f>
        <v/>
      </c>
      <c r="H1020" s="5">
        <f>IF('ORDENES'!$A998="","",IF('ORDENES'!$AG998="","-",'ORDENES'!$AG998))</f>
        <v/>
      </c>
      <c r="I1020" s="5">
        <f>IF('ORDENES'!$A998="","",IF('ORDENES'!$AT998="","-",'ORDENES'!$AT998))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0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IF('ORDENES'!$A998="","",'ORDENES'!$AF998)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IF('ORDENES'!$A999="","",IF('ORDENES'!$AH999="","-",'ORDENES'!$AH999))</f>
        <v/>
      </c>
      <c r="D1021" s="5">
        <f>IF('ORDENES'!$A999="","",IF('ORDENES'!$Z999="","-",'ORDENES'!$Z999))</f>
        <v/>
      </c>
      <c r="E1021" s="5">
        <f>IF('ORDENES'!$A999="","",IF('ORDENES'!$X999="","-",'ORDENES'!$X999))</f>
        <v/>
      </c>
      <c r="F1021" s="5">
        <f>IF('ORDENES'!$A999="","",IF('ORDENES'!$AA999="","-",'ORDENES'!$AA999))</f>
        <v/>
      </c>
      <c r="G1021" s="5">
        <f>IF('ORDENES'!$A999="","",IF('ORDENES'!$Y999="","-",'ORDENES'!$Y999))</f>
        <v/>
      </c>
      <c r="H1021" s="5">
        <f>IF('ORDENES'!$A999="","",IF('ORDENES'!$AG999="","-",'ORDENES'!$AG999))</f>
        <v/>
      </c>
      <c r="I1021" s="5">
        <f>IF('ORDENES'!$A999="","",IF('ORDENES'!$AT999="","-",'ORDENES'!$AT999))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0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IF('ORDENES'!$A999="","",'ORDENES'!$AF999)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IF('ORDENES'!$A1000="","",IF('ORDENES'!$AH1000="","-",'ORDENES'!$AH1000))</f>
        <v/>
      </c>
      <c r="D1022" s="5">
        <f>IF('ORDENES'!$A1000="","",IF('ORDENES'!$Z1000="","-",'ORDENES'!$Z1000))</f>
        <v/>
      </c>
      <c r="E1022" s="5">
        <f>IF('ORDENES'!$A1000="","",IF('ORDENES'!$X1000="","-",'ORDENES'!$X1000))</f>
        <v/>
      </c>
      <c r="F1022" s="5">
        <f>IF('ORDENES'!$A1000="","",IF('ORDENES'!$AA1000="","-",'ORDENES'!$AA1000))</f>
        <v/>
      </c>
      <c r="G1022" s="5">
        <f>IF('ORDENES'!$A1000="","",IF('ORDENES'!$Y1000="","-",'ORDENES'!$Y1000))</f>
        <v/>
      </c>
      <c r="H1022" s="5">
        <f>IF('ORDENES'!$A1000="","",IF('ORDENES'!$AG1000="","-",'ORDENES'!$AG1000))</f>
        <v/>
      </c>
      <c r="I1022" s="5">
        <f>IF('ORDENES'!$A1000="","",IF('ORDENES'!$AT1000="","-",'ORDENES'!$AT1000))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0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IF('ORDENES'!$A1000="","",'ORDENES'!$AF1000)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IF('ORDENES'!$A1001="","",IF('ORDENES'!$AH1001="","-",'ORDENES'!$AH1001))</f>
        <v/>
      </c>
      <c r="D1023" s="5">
        <f>IF('ORDENES'!$A1001="","",IF('ORDENES'!$Z1001="","-",'ORDENES'!$Z1001))</f>
        <v/>
      </c>
      <c r="E1023" s="5">
        <f>IF('ORDENES'!$A1001="","",IF('ORDENES'!$X1001="","-",'ORDENES'!$X1001))</f>
        <v/>
      </c>
      <c r="F1023" s="5">
        <f>IF('ORDENES'!$A1001="","",IF('ORDENES'!$AA1001="","-",'ORDENES'!$AA1001))</f>
        <v/>
      </c>
      <c r="G1023" s="5">
        <f>IF('ORDENES'!$A1001="","",IF('ORDENES'!$Y1001="","-",'ORDENES'!$Y1001))</f>
        <v/>
      </c>
      <c r="H1023" s="5">
        <f>IF('ORDENES'!$A1001="","",IF('ORDENES'!$AG1001="","-",'ORDENES'!$AG1001))</f>
        <v/>
      </c>
      <c r="I1023" s="5">
        <f>IF('ORDENES'!$A1001="","",IF('ORDENES'!$AT1001="","-",'ORDENES'!$AT1001))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0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IF('ORDENES'!$A1001="","",'ORDENES'!$AF1001)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IF('ORDENES'!$A1002="","",IF('ORDENES'!$AH1002="","-",'ORDENES'!$AH1002))</f>
        <v/>
      </c>
      <c r="D1024" s="5">
        <f>IF('ORDENES'!$A1002="","",IF('ORDENES'!$Z1002="","-",'ORDENES'!$Z1002))</f>
        <v/>
      </c>
      <c r="E1024" s="5">
        <f>IF('ORDENES'!$A1002="","",IF('ORDENES'!$X1002="","-",'ORDENES'!$X1002))</f>
        <v/>
      </c>
      <c r="F1024" s="5">
        <f>IF('ORDENES'!$A1002="","",IF('ORDENES'!$AA1002="","-",'ORDENES'!$AA1002))</f>
        <v/>
      </c>
      <c r="G1024" s="5">
        <f>IF('ORDENES'!$A1002="","",IF('ORDENES'!$Y1002="","-",'ORDENES'!$Y1002))</f>
        <v/>
      </c>
      <c r="H1024" s="5">
        <f>IF('ORDENES'!$A1002="","",IF('ORDENES'!$AG1002="","-",'ORDENES'!$AG1002))</f>
        <v/>
      </c>
      <c r="I1024" s="5">
        <f>IF('ORDENES'!$A1002="","",IF('ORDENES'!$AT1002="","-",'ORDENES'!$AT1002))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0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IF('ORDENES'!$A1002="","",'ORDENES'!$AF1002)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IF('ORDENES'!$A1003="","",IF('ORDENES'!$AH1003="","-",'ORDENES'!$AH1003))</f>
        <v/>
      </c>
      <c r="D1025" s="5">
        <f>IF('ORDENES'!$A1003="","",IF('ORDENES'!$Z1003="","-",'ORDENES'!$Z1003))</f>
        <v/>
      </c>
      <c r="E1025" s="5">
        <f>IF('ORDENES'!$A1003="","",IF('ORDENES'!$X1003="","-",'ORDENES'!$X1003))</f>
        <v/>
      </c>
      <c r="F1025" s="5">
        <f>IF('ORDENES'!$A1003="","",IF('ORDENES'!$AA1003="","-",'ORDENES'!$AA1003))</f>
        <v/>
      </c>
      <c r="G1025" s="5">
        <f>IF('ORDENES'!$A1003="","",IF('ORDENES'!$Y1003="","-",'ORDENES'!$Y1003))</f>
        <v/>
      </c>
      <c r="H1025" s="5">
        <f>IF('ORDENES'!$A1003="","",IF('ORDENES'!$AG1003="","-",'ORDENES'!$AG1003))</f>
        <v/>
      </c>
      <c r="I1025" s="5">
        <f>IF('ORDENES'!$A1003="","",IF('ORDENES'!$AT1003="","-",'ORDENES'!$AT1003))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0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IF('ORDENES'!$A1003="","",'ORDENES'!$AF1003)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IF('ORDENES'!$A1004="","",IF('ORDENES'!$AH1004="","-",'ORDENES'!$AH1004))</f>
        <v/>
      </c>
      <c r="D1026" s="5">
        <f>IF('ORDENES'!$A1004="","",IF('ORDENES'!$Z1004="","-",'ORDENES'!$Z1004))</f>
        <v/>
      </c>
      <c r="E1026" s="5">
        <f>IF('ORDENES'!$A1004="","",IF('ORDENES'!$X1004="","-",'ORDENES'!$X1004))</f>
        <v/>
      </c>
      <c r="F1026" s="5">
        <f>IF('ORDENES'!$A1004="","",IF('ORDENES'!$AA1004="","-",'ORDENES'!$AA1004))</f>
        <v/>
      </c>
      <c r="G1026" s="5">
        <f>IF('ORDENES'!$A1004="","",IF('ORDENES'!$Y1004="","-",'ORDENES'!$Y1004))</f>
        <v/>
      </c>
      <c r="H1026" s="5">
        <f>IF('ORDENES'!$A1004="","",IF('ORDENES'!$AG1004="","-",'ORDENES'!$AG1004))</f>
        <v/>
      </c>
      <c r="I1026" s="5">
        <f>IF('ORDENES'!$A1004="","",IF('ORDENES'!$AT1004="","-",'ORDENES'!$AT1004))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0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IF('ORDENES'!$A1004="","",'ORDENES'!$AF1004)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IF('ORDENES'!$A1005="","",IF('ORDENES'!$AH1005="","-",'ORDENES'!$AH1005))</f>
        <v/>
      </c>
      <c r="D1027" s="5">
        <f>IF('ORDENES'!$A1005="","",IF('ORDENES'!$Z1005="","-",'ORDENES'!$Z1005))</f>
        <v/>
      </c>
      <c r="E1027" s="5">
        <f>IF('ORDENES'!$A1005="","",IF('ORDENES'!$X1005="","-",'ORDENES'!$X1005))</f>
        <v/>
      </c>
      <c r="F1027" s="5">
        <f>IF('ORDENES'!$A1005="","",IF('ORDENES'!$AA1005="","-",'ORDENES'!$AA1005))</f>
        <v/>
      </c>
      <c r="G1027" s="5">
        <f>IF('ORDENES'!$A1005="","",IF('ORDENES'!$Y1005="","-",'ORDENES'!$Y1005))</f>
        <v/>
      </c>
      <c r="H1027" s="5">
        <f>IF('ORDENES'!$A1005="","",IF('ORDENES'!$AG1005="","-",'ORDENES'!$AG1005))</f>
        <v/>
      </c>
      <c r="I1027" s="5">
        <f>IF('ORDENES'!$A1005="","",IF('ORDENES'!$AT1005="","-",'ORDENES'!$AT1005))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0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IF('ORDENES'!$A1005="","",'ORDENES'!$AF1005)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IF('ORDENES'!$A1006="","",IF('ORDENES'!$AH1006="","-",'ORDENES'!$AH1006))</f>
        <v/>
      </c>
      <c r="D1028" s="5">
        <f>IF('ORDENES'!$A1006="","",IF('ORDENES'!$Z1006="","-",'ORDENES'!$Z1006))</f>
        <v/>
      </c>
      <c r="E1028" s="5">
        <f>IF('ORDENES'!$A1006="","",IF('ORDENES'!$X1006="","-",'ORDENES'!$X1006))</f>
        <v/>
      </c>
      <c r="F1028" s="5">
        <f>IF('ORDENES'!$A1006="","",IF('ORDENES'!$AA1006="","-",'ORDENES'!$AA1006))</f>
        <v/>
      </c>
      <c r="G1028" s="5">
        <f>IF('ORDENES'!$A1006="","",IF('ORDENES'!$Y1006="","-",'ORDENES'!$Y1006))</f>
        <v/>
      </c>
      <c r="H1028" s="5">
        <f>IF('ORDENES'!$A1006="","",IF('ORDENES'!$AG1006="","-",'ORDENES'!$AG1006))</f>
        <v/>
      </c>
      <c r="I1028" s="5">
        <f>IF('ORDENES'!$A1006="","",IF('ORDENES'!$AT1006="","-",'ORDENES'!$AT1006))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0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IF('ORDENES'!$A1006="","",'ORDENES'!$AF1006)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IF('ORDENES'!$A1007="","",IF('ORDENES'!$AH1007="","-",'ORDENES'!$AH1007))</f>
        <v/>
      </c>
      <c r="D1029" s="5">
        <f>IF('ORDENES'!$A1007="","",IF('ORDENES'!$Z1007="","-",'ORDENES'!$Z1007))</f>
        <v/>
      </c>
      <c r="E1029" s="5">
        <f>IF('ORDENES'!$A1007="","",IF('ORDENES'!$X1007="","-",'ORDENES'!$X1007))</f>
        <v/>
      </c>
      <c r="F1029" s="5">
        <f>IF('ORDENES'!$A1007="","",IF('ORDENES'!$AA1007="","-",'ORDENES'!$AA1007))</f>
        <v/>
      </c>
      <c r="G1029" s="5">
        <f>IF('ORDENES'!$A1007="","",IF('ORDENES'!$Y1007="","-",'ORDENES'!$Y1007))</f>
        <v/>
      </c>
      <c r="H1029" s="5">
        <f>IF('ORDENES'!$A1007="","",IF('ORDENES'!$AG1007="","-",'ORDENES'!$AG1007))</f>
        <v/>
      </c>
      <c r="I1029" s="5">
        <f>IF('ORDENES'!$A1007="","",IF('ORDENES'!$AT1007="","-",'ORDENES'!$AT1007))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0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IF('ORDENES'!$A1007="","",'ORDENES'!$AF1007)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IF('ORDENES'!$A1008="","",IF('ORDENES'!$AH1008="","-",'ORDENES'!$AH1008))</f>
        <v/>
      </c>
      <c r="D1030" s="5">
        <f>IF('ORDENES'!$A1008="","",IF('ORDENES'!$Z1008="","-",'ORDENES'!$Z1008))</f>
        <v/>
      </c>
      <c r="E1030" s="5">
        <f>IF('ORDENES'!$A1008="","",IF('ORDENES'!$X1008="","-",'ORDENES'!$X1008))</f>
        <v/>
      </c>
      <c r="F1030" s="5">
        <f>IF('ORDENES'!$A1008="","",IF('ORDENES'!$AA1008="","-",'ORDENES'!$AA1008))</f>
        <v/>
      </c>
      <c r="G1030" s="5">
        <f>IF('ORDENES'!$A1008="","",IF('ORDENES'!$Y1008="","-",'ORDENES'!$Y1008))</f>
        <v/>
      </c>
      <c r="H1030" s="5">
        <f>IF('ORDENES'!$A1008="","",IF('ORDENES'!$AG1008="","-",'ORDENES'!$AG1008))</f>
        <v/>
      </c>
      <c r="I1030" s="5">
        <f>IF('ORDENES'!$A1008="","",IF('ORDENES'!$AT1008="","-",'ORDENES'!$AT1008))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0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IF('ORDENES'!$A1008="","",'ORDENES'!$AF1008)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IF('ORDENES'!$A1009="","",IF('ORDENES'!$AH1009="","-",'ORDENES'!$AH1009))</f>
        <v/>
      </c>
      <c r="D1031" s="5">
        <f>IF('ORDENES'!$A1009="","",IF('ORDENES'!$Z1009="","-",'ORDENES'!$Z1009))</f>
        <v/>
      </c>
      <c r="E1031" s="5">
        <f>IF('ORDENES'!$A1009="","",IF('ORDENES'!$X1009="","-",'ORDENES'!$X1009))</f>
        <v/>
      </c>
      <c r="F1031" s="5">
        <f>IF('ORDENES'!$A1009="","",IF('ORDENES'!$AA1009="","-",'ORDENES'!$AA1009))</f>
        <v/>
      </c>
      <c r="G1031" s="5">
        <f>IF('ORDENES'!$A1009="","",IF('ORDENES'!$Y1009="","-",'ORDENES'!$Y1009))</f>
        <v/>
      </c>
      <c r="H1031" s="5">
        <f>IF('ORDENES'!$A1009="","",IF('ORDENES'!$AG1009="","-",'ORDENES'!$AG1009))</f>
        <v/>
      </c>
      <c r="I1031" s="5">
        <f>IF('ORDENES'!$A1009="","",IF('ORDENES'!$AT1009="","-",'ORDENES'!$AT1009))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0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IF('ORDENES'!$A1009="","",'ORDENES'!$AF1009)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IF('ORDENES'!$A1010="","",IF('ORDENES'!$AH1010="","-",'ORDENES'!$AH1010))</f>
        <v/>
      </c>
      <c r="D1032" s="5">
        <f>IF('ORDENES'!$A1010="","",IF('ORDENES'!$Z1010="","-",'ORDENES'!$Z1010))</f>
        <v/>
      </c>
      <c r="E1032" s="5">
        <f>IF('ORDENES'!$A1010="","",IF('ORDENES'!$X1010="","-",'ORDENES'!$X1010))</f>
        <v/>
      </c>
      <c r="F1032" s="5">
        <f>IF('ORDENES'!$A1010="","",IF('ORDENES'!$AA1010="","-",'ORDENES'!$AA1010))</f>
        <v/>
      </c>
      <c r="G1032" s="5">
        <f>IF('ORDENES'!$A1010="","",IF('ORDENES'!$Y1010="","-",'ORDENES'!$Y1010))</f>
        <v/>
      </c>
      <c r="H1032" s="5">
        <f>IF('ORDENES'!$A1010="","",IF('ORDENES'!$AG1010="","-",'ORDENES'!$AG1010))</f>
        <v/>
      </c>
      <c r="I1032" s="5">
        <f>IF('ORDENES'!$A1010="","",IF('ORDENES'!$AT1010="","-",'ORDENES'!$AT1010))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0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IF('ORDENES'!$A1010="","",'ORDENES'!$AF1010)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IF('ORDENES'!$A1011="","",IF('ORDENES'!$AH1011="","-",'ORDENES'!$AH1011))</f>
        <v/>
      </c>
      <c r="D1033" s="5">
        <f>IF('ORDENES'!$A1011="","",IF('ORDENES'!$Z1011="","-",'ORDENES'!$Z1011))</f>
        <v/>
      </c>
      <c r="E1033" s="5">
        <f>IF('ORDENES'!$A1011="","",IF('ORDENES'!$X1011="","-",'ORDENES'!$X1011))</f>
        <v/>
      </c>
      <c r="F1033" s="5">
        <f>IF('ORDENES'!$A1011="","",IF('ORDENES'!$AA1011="","-",'ORDENES'!$AA1011))</f>
        <v/>
      </c>
      <c r="G1033" s="5">
        <f>IF('ORDENES'!$A1011="","",IF('ORDENES'!$Y1011="","-",'ORDENES'!$Y1011))</f>
        <v/>
      </c>
      <c r="H1033" s="5">
        <f>IF('ORDENES'!$A1011="","",IF('ORDENES'!$AG1011="","-",'ORDENES'!$AG1011))</f>
        <v/>
      </c>
      <c r="I1033" s="5">
        <f>IF('ORDENES'!$A1011="","",IF('ORDENES'!$AT1011="","-",'ORDENES'!$AT1011))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0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IF('ORDENES'!$A1011="","",'ORDENES'!$AF1011)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IF('ORDENES'!$A1012="","",IF('ORDENES'!$AH1012="","-",'ORDENES'!$AH1012))</f>
        <v/>
      </c>
      <c r="D1034" s="5">
        <f>IF('ORDENES'!$A1012="","",IF('ORDENES'!$Z1012="","-",'ORDENES'!$Z1012))</f>
        <v/>
      </c>
      <c r="E1034" s="5">
        <f>IF('ORDENES'!$A1012="","",IF('ORDENES'!$X1012="","-",'ORDENES'!$X1012))</f>
        <v/>
      </c>
      <c r="F1034" s="5">
        <f>IF('ORDENES'!$A1012="","",IF('ORDENES'!$AA1012="","-",'ORDENES'!$AA1012))</f>
        <v/>
      </c>
      <c r="G1034" s="5">
        <f>IF('ORDENES'!$A1012="","",IF('ORDENES'!$Y1012="","-",'ORDENES'!$Y1012))</f>
        <v/>
      </c>
      <c r="H1034" s="5">
        <f>IF('ORDENES'!$A1012="","",IF('ORDENES'!$AG1012="","-",'ORDENES'!$AG1012))</f>
        <v/>
      </c>
      <c r="I1034" s="5">
        <f>IF('ORDENES'!$A1012="","",IF('ORDENES'!$AT1012="","-",'ORDENES'!$AT1012))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0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IF('ORDENES'!$A1012="","",'ORDENES'!$AF1012)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IF('ORDENES'!$A1013="","",IF('ORDENES'!$AH1013="","-",'ORDENES'!$AH1013))</f>
        <v/>
      </c>
      <c r="D1035" s="5">
        <f>IF('ORDENES'!$A1013="","",IF('ORDENES'!$Z1013="","-",'ORDENES'!$Z1013))</f>
        <v/>
      </c>
      <c r="E1035" s="5">
        <f>IF('ORDENES'!$A1013="","",IF('ORDENES'!$X1013="","-",'ORDENES'!$X1013))</f>
        <v/>
      </c>
      <c r="F1035" s="5">
        <f>IF('ORDENES'!$A1013="","",IF('ORDENES'!$AA1013="","-",'ORDENES'!$AA1013))</f>
        <v/>
      </c>
      <c r="G1035" s="5">
        <f>IF('ORDENES'!$A1013="","",IF('ORDENES'!$Y1013="","-",'ORDENES'!$Y1013))</f>
        <v/>
      </c>
      <c r="H1035" s="5">
        <f>IF('ORDENES'!$A1013="","",IF('ORDENES'!$AG1013="","-",'ORDENES'!$AG1013))</f>
        <v/>
      </c>
      <c r="I1035" s="5">
        <f>IF('ORDENES'!$A1013="","",IF('ORDENES'!$AT1013="","-",'ORDENES'!$AT1013))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0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IF('ORDENES'!$A1013="","",'ORDENES'!$AF1013)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IF('ORDENES'!$A1014="","",IF('ORDENES'!$AH1014="","-",'ORDENES'!$AH1014))</f>
        <v/>
      </c>
      <c r="D1036" s="5">
        <f>IF('ORDENES'!$A1014="","",IF('ORDENES'!$Z1014="","-",'ORDENES'!$Z1014))</f>
        <v/>
      </c>
      <c r="E1036" s="5">
        <f>IF('ORDENES'!$A1014="","",IF('ORDENES'!$X1014="","-",'ORDENES'!$X1014))</f>
        <v/>
      </c>
      <c r="F1036" s="5">
        <f>IF('ORDENES'!$A1014="","",IF('ORDENES'!$AA1014="","-",'ORDENES'!$AA1014))</f>
        <v/>
      </c>
      <c r="G1036" s="5">
        <f>IF('ORDENES'!$A1014="","",IF('ORDENES'!$Y1014="","-",'ORDENES'!$Y1014))</f>
        <v/>
      </c>
      <c r="H1036" s="5">
        <f>IF('ORDENES'!$A1014="","",IF('ORDENES'!$AG1014="","-",'ORDENES'!$AG1014))</f>
        <v/>
      </c>
      <c r="I1036" s="5">
        <f>IF('ORDENES'!$A1014="","",IF('ORDENES'!$AT1014="","-",'ORDENES'!$AT1014))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0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IF('ORDENES'!$A1014="","",'ORDENES'!$AF1014)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IF('ORDENES'!$A1015="","",IF('ORDENES'!$AH1015="","-",'ORDENES'!$AH1015))</f>
        <v/>
      </c>
      <c r="D1037" s="5">
        <f>IF('ORDENES'!$A1015="","",IF('ORDENES'!$Z1015="","-",'ORDENES'!$Z1015))</f>
        <v/>
      </c>
      <c r="E1037" s="5">
        <f>IF('ORDENES'!$A1015="","",IF('ORDENES'!$X1015="","-",'ORDENES'!$X1015))</f>
        <v/>
      </c>
      <c r="F1037" s="5">
        <f>IF('ORDENES'!$A1015="","",IF('ORDENES'!$AA1015="","-",'ORDENES'!$AA1015))</f>
        <v/>
      </c>
      <c r="G1037" s="5">
        <f>IF('ORDENES'!$A1015="","",IF('ORDENES'!$Y1015="","-",'ORDENES'!$Y1015))</f>
        <v/>
      </c>
      <c r="H1037" s="5">
        <f>IF('ORDENES'!$A1015="","",IF('ORDENES'!$AG1015="","-",'ORDENES'!$AG1015))</f>
        <v/>
      </c>
      <c r="I1037" s="5">
        <f>IF('ORDENES'!$A1015="","",IF('ORDENES'!$AT1015="","-",'ORDENES'!$AT1015))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0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IF('ORDENES'!$A1015="","",'ORDENES'!$AF1015)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IF('ORDENES'!$A1016="","",IF('ORDENES'!$AH1016="","-",'ORDENES'!$AH1016))</f>
        <v/>
      </c>
      <c r="D1038" s="5">
        <f>IF('ORDENES'!$A1016="","",IF('ORDENES'!$Z1016="","-",'ORDENES'!$Z1016))</f>
        <v/>
      </c>
      <c r="E1038" s="5">
        <f>IF('ORDENES'!$A1016="","",IF('ORDENES'!$X1016="","-",'ORDENES'!$X1016))</f>
        <v/>
      </c>
      <c r="F1038" s="5">
        <f>IF('ORDENES'!$A1016="","",IF('ORDENES'!$AA1016="","-",'ORDENES'!$AA1016))</f>
        <v/>
      </c>
      <c r="G1038" s="5">
        <f>IF('ORDENES'!$A1016="","",IF('ORDENES'!$Y1016="","-",'ORDENES'!$Y1016))</f>
        <v/>
      </c>
      <c r="H1038" s="5">
        <f>IF('ORDENES'!$A1016="","",IF('ORDENES'!$AG1016="","-",'ORDENES'!$AG1016))</f>
        <v/>
      </c>
      <c r="I1038" s="5">
        <f>IF('ORDENES'!$A1016="","",IF('ORDENES'!$AT1016="","-",'ORDENES'!$AT1016))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0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IF('ORDENES'!$A1016="","",'ORDENES'!$AF1016)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IF('ORDENES'!$A1017="","",IF('ORDENES'!$AH1017="","-",'ORDENES'!$AH1017))</f>
        <v/>
      </c>
      <c r="D1039" s="5">
        <f>IF('ORDENES'!$A1017="","",IF('ORDENES'!$Z1017="","-",'ORDENES'!$Z1017))</f>
        <v/>
      </c>
      <c r="E1039" s="5">
        <f>IF('ORDENES'!$A1017="","",IF('ORDENES'!$X1017="","-",'ORDENES'!$X1017))</f>
        <v/>
      </c>
      <c r="F1039" s="5">
        <f>IF('ORDENES'!$A1017="","",IF('ORDENES'!$AA1017="","-",'ORDENES'!$AA1017))</f>
        <v/>
      </c>
      <c r="G1039" s="5">
        <f>IF('ORDENES'!$A1017="","",IF('ORDENES'!$Y1017="","-",'ORDENES'!$Y1017))</f>
        <v/>
      </c>
      <c r="H1039" s="5">
        <f>IF('ORDENES'!$A1017="","",IF('ORDENES'!$AG1017="","-",'ORDENES'!$AG1017))</f>
        <v/>
      </c>
      <c r="I1039" s="5">
        <f>IF('ORDENES'!$A1017="","",IF('ORDENES'!$AT1017="","-",'ORDENES'!$AT1017))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0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IF('ORDENES'!$A1017="","",'ORDENES'!$AF1017)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IF('ORDENES'!$A1018="","",IF('ORDENES'!$AH1018="","-",'ORDENES'!$AH1018))</f>
        <v/>
      </c>
      <c r="D1040" s="5">
        <f>IF('ORDENES'!$A1018="","",IF('ORDENES'!$Z1018="","-",'ORDENES'!$Z1018))</f>
        <v/>
      </c>
      <c r="E1040" s="5">
        <f>IF('ORDENES'!$A1018="","",IF('ORDENES'!$X1018="","-",'ORDENES'!$X1018))</f>
        <v/>
      </c>
      <c r="F1040" s="5">
        <f>IF('ORDENES'!$A1018="","",IF('ORDENES'!$AA1018="","-",'ORDENES'!$AA1018))</f>
        <v/>
      </c>
      <c r="G1040" s="5">
        <f>IF('ORDENES'!$A1018="","",IF('ORDENES'!$Y1018="","-",'ORDENES'!$Y1018))</f>
        <v/>
      </c>
      <c r="H1040" s="5">
        <f>IF('ORDENES'!$A1018="","",IF('ORDENES'!$AG1018="","-",'ORDENES'!$AG1018))</f>
        <v/>
      </c>
      <c r="I1040" s="5">
        <f>IF('ORDENES'!$A1018="","",IF('ORDENES'!$AT1018="","-",'ORDENES'!$AT1018))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0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IF('ORDENES'!$A1018="","",'ORDENES'!$AF1018)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IF('ORDENES'!$A1019="","",IF('ORDENES'!$AH1019="","-",'ORDENES'!$AH1019))</f>
        <v/>
      </c>
      <c r="D1041" s="5">
        <f>IF('ORDENES'!$A1019="","",IF('ORDENES'!$Z1019="","-",'ORDENES'!$Z1019))</f>
        <v/>
      </c>
      <c r="E1041" s="5">
        <f>IF('ORDENES'!$A1019="","",IF('ORDENES'!$X1019="","-",'ORDENES'!$X1019))</f>
        <v/>
      </c>
      <c r="F1041" s="5">
        <f>IF('ORDENES'!$A1019="","",IF('ORDENES'!$AA1019="","-",'ORDENES'!$AA1019))</f>
        <v/>
      </c>
      <c r="G1041" s="5">
        <f>IF('ORDENES'!$A1019="","",IF('ORDENES'!$Y1019="","-",'ORDENES'!$Y1019))</f>
        <v/>
      </c>
      <c r="H1041" s="5">
        <f>IF('ORDENES'!$A1019="","",IF('ORDENES'!$AG1019="","-",'ORDENES'!$AG1019))</f>
        <v/>
      </c>
      <c r="I1041" s="5">
        <f>IF('ORDENES'!$A1019="","",IF('ORDENES'!$AT1019="","-",'ORDENES'!$AT1019))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0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IF('ORDENES'!$A1019="","",'ORDENES'!$AF1019)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IF('ORDENES'!$A1020="","",IF('ORDENES'!$AH1020="","-",'ORDENES'!$AH1020))</f>
        <v/>
      </c>
      <c r="D1042" s="5">
        <f>IF('ORDENES'!$A1020="","",IF('ORDENES'!$Z1020="","-",'ORDENES'!$Z1020))</f>
        <v/>
      </c>
      <c r="E1042" s="5">
        <f>IF('ORDENES'!$A1020="","",IF('ORDENES'!$X1020="","-",'ORDENES'!$X1020))</f>
        <v/>
      </c>
      <c r="F1042" s="5">
        <f>IF('ORDENES'!$A1020="","",IF('ORDENES'!$AA1020="","-",'ORDENES'!$AA1020))</f>
        <v/>
      </c>
      <c r="G1042" s="5">
        <f>IF('ORDENES'!$A1020="","",IF('ORDENES'!$Y1020="","-",'ORDENES'!$Y1020))</f>
        <v/>
      </c>
      <c r="H1042" s="5">
        <f>IF('ORDENES'!$A1020="","",IF('ORDENES'!$AG1020="","-",'ORDENES'!$AG1020))</f>
        <v/>
      </c>
      <c r="I1042" s="5">
        <f>IF('ORDENES'!$A1020="","",IF('ORDENES'!$AT1020="","-",'ORDENES'!$AT1020))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0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IF('ORDENES'!$A1020="","",'ORDENES'!$AF1020)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IF('ORDENES'!$A1021="","",IF('ORDENES'!$AH1021="","-",'ORDENES'!$AH1021))</f>
        <v/>
      </c>
      <c r="D1043" s="5">
        <f>IF('ORDENES'!$A1021="","",IF('ORDENES'!$Z1021="","-",'ORDENES'!$Z1021))</f>
        <v/>
      </c>
      <c r="E1043" s="5">
        <f>IF('ORDENES'!$A1021="","",IF('ORDENES'!$X1021="","-",'ORDENES'!$X1021))</f>
        <v/>
      </c>
      <c r="F1043" s="5">
        <f>IF('ORDENES'!$A1021="","",IF('ORDENES'!$AA1021="","-",'ORDENES'!$AA1021))</f>
        <v/>
      </c>
      <c r="G1043" s="5">
        <f>IF('ORDENES'!$A1021="","",IF('ORDENES'!$Y1021="","-",'ORDENES'!$Y1021))</f>
        <v/>
      </c>
      <c r="H1043" s="5">
        <f>IF('ORDENES'!$A1021="","",IF('ORDENES'!$AG1021="","-",'ORDENES'!$AG1021))</f>
        <v/>
      </c>
      <c r="I1043" s="5">
        <f>IF('ORDENES'!$A1021="","",IF('ORDENES'!$AT1021="","-",'ORDENES'!$AT1021))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0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IF('ORDENES'!$A1021="","",'ORDENES'!$AF1021)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IF('ORDENES'!$A1022="","",IF('ORDENES'!$AH1022="","-",'ORDENES'!$AH1022))</f>
        <v/>
      </c>
      <c r="D1044" s="5">
        <f>IF('ORDENES'!$A1022="","",IF('ORDENES'!$Z1022="","-",'ORDENES'!$Z1022))</f>
        <v/>
      </c>
      <c r="E1044" s="5">
        <f>IF('ORDENES'!$A1022="","",IF('ORDENES'!$X1022="","-",'ORDENES'!$X1022))</f>
        <v/>
      </c>
      <c r="F1044" s="5">
        <f>IF('ORDENES'!$A1022="","",IF('ORDENES'!$AA1022="","-",'ORDENES'!$AA1022))</f>
        <v/>
      </c>
      <c r="G1044" s="5">
        <f>IF('ORDENES'!$A1022="","",IF('ORDENES'!$Y1022="","-",'ORDENES'!$Y1022))</f>
        <v/>
      </c>
      <c r="H1044" s="5">
        <f>IF('ORDENES'!$A1022="","",IF('ORDENES'!$AG1022="","-",'ORDENES'!$AG1022))</f>
        <v/>
      </c>
      <c r="I1044" s="5">
        <f>IF('ORDENES'!$A1022="","",IF('ORDENES'!$AT1022="","-",'ORDENES'!$AT1022))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0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IF('ORDENES'!$A1022="","",'ORDENES'!$AF1022)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IF('ORDENES'!$A1023="","",IF('ORDENES'!$AH1023="","-",'ORDENES'!$AH1023))</f>
        <v/>
      </c>
      <c r="D1045" s="5">
        <f>IF('ORDENES'!$A1023="","",IF('ORDENES'!$Z1023="","-",'ORDENES'!$Z1023))</f>
        <v/>
      </c>
      <c r="E1045" s="5">
        <f>IF('ORDENES'!$A1023="","",IF('ORDENES'!$X1023="","-",'ORDENES'!$X1023))</f>
        <v/>
      </c>
      <c r="F1045" s="5">
        <f>IF('ORDENES'!$A1023="","",IF('ORDENES'!$AA1023="","-",'ORDENES'!$AA1023))</f>
        <v/>
      </c>
      <c r="G1045" s="5">
        <f>IF('ORDENES'!$A1023="","",IF('ORDENES'!$Y1023="","-",'ORDENES'!$Y1023))</f>
        <v/>
      </c>
      <c r="H1045" s="5">
        <f>IF('ORDENES'!$A1023="","",IF('ORDENES'!$AG1023="","-",'ORDENES'!$AG1023))</f>
        <v/>
      </c>
      <c r="I1045" s="5">
        <f>IF('ORDENES'!$A1023="","",IF('ORDENES'!$AT1023="","-",'ORDENES'!$AT1023))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0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IF('ORDENES'!$A1023="","",'ORDENES'!$AF1023)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IF('ORDENES'!$A1024="","",IF('ORDENES'!$AH1024="","-",'ORDENES'!$AH1024))</f>
        <v/>
      </c>
      <c r="D1046" s="5">
        <f>IF('ORDENES'!$A1024="","",IF('ORDENES'!$Z1024="","-",'ORDENES'!$Z1024))</f>
        <v/>
      </c>
      <c r="E1046" s="5">
        <f>IF('ORDENES'!$A1024="","",IF('ORDENES'!$X1024="","-",'ORDENES'!$X1024))</f>
        <v/>
      </c>
      <c r="F1046" s="5">
        <f>IF('ORDENES'!$A1024="","",IF('ORDENES'!$AA1024="","-",'ORDENES'!$AA1024))</f>
        <v/>
      </c>
      <c r="G1046" s="5">
        <f>IF('ORDENES'!$A1024="","",IF('ORDENES'!$Y1024="","-",'ORDENES'!$Y1024))</f>
        <v/>
      </c>
      <c r="H1046" s="5">
        <f>IF('ORDENES'!$A1024="","",IF('ORDENES'!$AG1024="","-",'ORDENES'!$AG1024))</f>
        <v/>
      </c>
      <c r="I1046" s="5">
        <f>IF('ORDENES'!$A1024="","",IF('ORDENES'!$AT1024="","-",'ORDENES'!$AT1024))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0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IF('ORDENES'!$A1024="","",'ORDENES'!$AF1024)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IF('ORDENES'!$A1025="","",IF('ORDENES'!$AH1025="","-",'ORDENES'!$AH1025))</f>
        <v/>
      </c>
      <c r="D1047" s="5">
        <f>IF('ORDENES'!$A1025="","",IF('ORDENES'!$Z1025="","-",'ORDENES'!$Z1025))</f>
        <v/>
      </c>
      <c r="E1047" s="5">
        <f>IF('ORDENES'!$A1025="","",IF('ORDENES'!$X1025="","-",'ORDENES'!$X1025))</f>
        <v/>
      </c>
      <c r="F1047" s="5">
        <f>IF('ORDENES'!$A1025="","",IF('ORDENES'!$AA1025="","-",'ORDENES'!$AA1025))</f>
        <v/>
      </c>
      <c r="G1047" s="5">
        <f>IF('ORDENES'!$A1025="","",IF('ORDENES'!$Y1025="","-",'ORDENES'!$Y1025))</f>
        <v/>
      </c>
      <c r="H1047" s="5">
        <f>IF('ORDENES'!$A1025="","",IF('ORDENES'!$AG1025="","-",'ORDENES'!$AG1025))</f>
        <v/>
      </c>
      <c r="I1047" s="5">
        <f>IF('ORDENES'!$A1025="","",IF('ORDENES'!$AT1025="","-",'ORDENES'!$AT1025))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0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IF('ORDENES'!$A1025="","",'ORDENES'!$AF1025)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IF('ORDENES'!$A1026="","",IF('ORDENES'!$AH1026="","-",'ORDENES'!$AH1026))</f>
        <v/>
      </c>
      <c r="D1048" s="5">
        <f>IF('ORDENES'!$A1026="","",IF('ORDENES'!$Z1026="","-",'ORDENES'!$Z1026))</f>
        <v/>
      </c>
      <c r="E1048" s="5">
        <f>IF('ORDENES'!$A1026="","",IF('ORDENES'!$X1026="","-",'ORDENES'!$X1026))</f>
        <v/>
      </c>
      <c r="F1048" s="5">
        <f>IF('ORDENES'!$A1026="","",IF('ORDENES'!$AA1026="","-",'ORDENES'!$AA1026))</f>
        <v/>
      </c>
      <c r="G1048" s="5">
        <f>IF('ORDENES'!$A1026="","",IF('ORDENES'!$Y1026="","-",'ORDENES'!$Y1026))</f>
        <v/>
      </c>
      <c r="H1048" s="5">
        <f>IF('ORDENES'!$A1026="","",IF('ORDENES'!$AG1026="","-",'ORDENES'!$AG1026))</f>
        <v/>
      </c>
      <c r="I1048" s="5">
        <f>IF('ORDENES'!$A1026="","",IF('ORDENES'!$AT1026="","-",'ORDENES'!$AT1026))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0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IF('ORDENES'!$A1026="","",'ORDENES'!$AF1026)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IF('ORDENES'!$A1027="","",IF('ORDENES'!$AH1027="","-",'ORDENES'!$AH1027))</f>
        <v/>
      </c>
      <c r="D1049" s="5">
        <f>IF('ORDENES'!$A1027="","",IF('ORDENES'!$Z1027="","-",'ORDENES'!$Z1027))</f>
        <v/>
      </c>
      <c r="E1049" s="5">
        <f>IF('ORDENES'!$A1027="","",IF('ORDENES'!$X1027="","-",'ORDENES'!$X1027))</f>
        <v/>
      </c>
      <c r="F1049" s="5">
        <f>IF('ORDENES'!$A1027="","",IF('ORDENES'!$AA1027="","-",'ORDENES'!$AA1027))</f>
        <v/>
      </c>
      <c r="G1049" s="5">
        <f>IF('ORDENES'!$A1027="","",IF('ORDENES'!$Y1027="","-",'ORDENES'!$Y1027))</f>
        <v/>
      </c>
      <c r="H1049" s="5">
        <f>IF('ORDENES'!$A1027="","",IF('ORDENES'!$AG1027="","-",'ORDENES'!$AG1027))</f>
        <v/>
      </c>
      <c r="I1049" s="5">
        <f>IF('ORDENES'!$A1027="","",IF('ORDENES'!$AT1027="","-",'ORDENES'!$AT1027))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0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IF('ORDENES'!$A1027="","",'ORDENES'!$AF1027)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IF('ORDENES'!$A1028="","",IF('ORDENES'!$AH1028="","-",'ORDENES'!$AH1028))</f>
        <v/>
      </c>
      <c r="D1050" s="5">
        <f>IF('ORDENES'!$A1028="","",IF('ORDENES'!$Z1028="","-",'ORDENES'!$Z1028))</f>
        <v/>
      </c>
      <c r="E1050" s="5">
        <f>IF('ORDENES'!$A1028="","",IF('ORDENES'!$X1028="","-",'ORDENES'!$X1028))</f>
        <v/>
      </c>
      <c r="F1050" s="5">
        <f>IF('ORDENES'!$A1028="","",IF('ORDENES'!$AA1028="","-",'ORDENES'!$AA1028))</f>
        <v/>
      </c>
      <c r="G1050" s="5">
        <f>IF('ORDENES'!$A1028="","",IF('ORDENES'!$Y1028="","-",'ORDENES'!$Y1028))</f>
        <v/>
      </c>
      <c r="H1050" s="5">
        <f>IF('ORDENES'!$A1028="","",IF('ORDENES'!$AG1028="","-",'ORDENES'!$AG1028))</f>
        <v/>
      </c>
      <c r="I1050" s="5">
        <f>IF('ORDENES'!$A1028="","",IF('ORDENES'!$AT1028="","-",'ORDENES'!$AT1028))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0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IF('ORDENES'!$A1028="","",'ORDENES'!$AF1028)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IF('ORDENES'!$A1029="","",IF('ORDENES'!$AH1029="","-",'ORDENES'!$AH1029))</f>
        <v/>
      </c>
      <c r="D1051" s="5">
        <f>IF('ORDENES'!$A1029="","",IF('ORDENES'!$Z1029="","-",'ORDENES'!$Z1029))</f>
        <v/>
      </c>
      <c r="E1051" s="5">
        <f>IF('ORDENES'!$A1029="","",IF('ORDENES'!$X1029="","-",'ORDENES'!$X1029))</f>
        <v/>
      </c>
      <c r="F1051" s="5">
        <f>IF('ORDENES'!$A1029="","",IF('ORDENES'!$AA1029="","-",'ORDENES'!$AA1029))</f>
        <v/>
      </c>
      <c r="G1051" s="5">
        <f>IF('ORDENES'!$A1029="","",IF('ORDENES'!$Y1029="","-",'ORDENES'!$Y1029))</f>
        <v/>
      </c>
      <c r="H1051" s="5">
        <f>IF('ORDENES'!$A1029="","",IF('ORDENES'!$AG1029="","-",'ORDENES'!$AG1029))</f>
        <v/>
      </c>
      <c r="I1051" s="5">
        <f>IF('ORDENES'!$A1029="","",IF('ORDENES'!$AT1029="","-",'ORDENES'!$AT1029))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0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IF('ORDENES'!$A1029="","",'ORDENES'!$AF1029)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IF('ORDENES'!$A1030="","",IF('ORDENES'!$AH1030="","-",'ORDENES'!$AH1030))</f>
        <v/>
      </c>
      <c r="D1052" s="5">
        <f>IF('ORDENES'!$A1030="","",IF('ORDENES'!$Z1030="","-",'ORDENES'!$Z1030))</f>
        <v/>
      </c>
      <c r="E1052" s="5">
        <f>IF('ORDENES'!$A1030="","",IF('ORDENES'!$X1030="","-",'ORDENES'!$X1030))</f>
        <v/>
      </c>
      <c r="F1052" s="5">
        <f>IF('ORDENES'!$A1030="","",IF('ORDENES'!$AA1030="","-",'ORDENES'!$AA1030))</f>
        <v/>
      </c>
      <c r="G1052" s="5">
        <f>IF('ORDENES'!$A1030="","",IF('ORDENES'!$Y1030="","-",'ORDENES'!$Y1030))</f>
        <v/>
      </c>
      <c r="H1052" s="5">
        <f>IF('ORDENES'!$A1030="","",IF('ORDENES'!$AG1030="","-",'ORDENES'!$AG1030))</f>
        <v/>
      </c>
      <c r="I1052" s="5">
        <f>IF('ORDENES'!$A1030="","",IF('ORDENES'!$AT1030="","-",'ORDENES'!$AT1030))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0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IF('ORDENES'!$A1030="","",'ORDENES'!$AF1030)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IF('ORDENES'!$A1031="","",IF('ORDENES'!$AH1031="","-",'ORDENES'!$AH1031))</f>
        <v/>
      </c>
      <c r="D1053" s="5">
        <f>IF('ORDENES'!$A1031="","",IF('ORDENES'!$Z1031="","-",'ORDENES'!$Z1031))</f>
        <v/>
      </c>
      <c r="E1053" s="5">
        <f>IF('ORDENES'!$A1031="","",IF('ORDENES'!$X1031="","-",'ORDENES'!$X1031))</f>
        <v/>
      </c>
      <c r="F1053" s="5">
        <f>IF('ORDENES'!$A1031="","",IF('ORDENES'!$AA1031="","-",'ORDENES'!$AA1031))</f>
        <v/>
      </c>
      <c r="G1053" s="5">
        <f>IF('ORDENES'!$A1031="","",IF('ORDENES'!$Y1031="","-",'ORDENES'!$Y1031))</f>
        <v/>
      </c>
      <c r="H1053" s="5">
        <f>IF('ORDENES'!$A1031="","",IF('ORDENES'!$AG1031="","-",'ORDENES'!$AG1031))</f>
        <v/>
      </c>
      <c r="I1053" s="5">
        <f>IF('ORDENES'!$A1031="","",IF('ORDENES'!$AT1031="","-",'ORDENES'!$AT1031))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0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IF('ORDENES'!$A1031="","",'ORDENES'!$AF1031)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IF('ORDENES'!$A1032="","",IF('ORDENES'!$AH1032="","-",'ORDENES'!$AH1032))</f>
        <v/>
      </c>
      <c r="D1054" s="5">
        <f>IF('ORDENES'!$A1032="","",IF('ORDENES'!$Z1032="","-",'ORDENES'!$Z1032))</f>
        <v/>
      </c>
      <c r="E1054" s="5">
        <f>IF('ORDENES'!$A1032="","",IF('ORDENES'!$X1032="","-",'ORDENES'!$X1032))</f>
        <v/>
      </c>
      <c r="F1054" s="5">
        <f>IF('ORDENES'!$A1032="","",IF('ORDENES'!$AA1032="","-",'ORDENES'!$AA1032))</f>
        <v/>
      </c>
      <c r="G1054" s="5">
        <f>IF('ORDENES'!$A1032="","",IF('ORDENES'!$Y1032="","-",'ORDENES'!$Y1032))</f>
        <v/>
      </c>
      <c r="H1054" s="5">
        <f>IF('ORDENES'!$A1032="","",IF('ORDENES'!$AG1032="","-",'ORDENES'!$AG1032))</f>
        <v/>
      </c>
      <c r="I1054" s="5">
        <f>IF('ORDENES'!$A1032="","",IF('ORDENES'!$AT1032="","-",'ORDENES'!$AT1032))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0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IF('ORDENES'!$A1032="","",'ORDENES'!$AF1032)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IF('ORDENES'!$A1033="","",IF('ORDENES'!$AH1033="","-",'ORDENES'!$AH1033))</f>
        <v/>
      </c>
      <c r="D1055" s="5">
        <f>IF('ORDENES'!$A1033="","",IF('ORDENES'!$Z1033="","-",'ORDENES'!$Z1033))</f>
        <v/>
      </c>
      <c r="E1055" s="5">
        <f>IF('ORDENES'!$A1033="","",IF('ORDENES'!$X1033="","-",'ORDENES'!$X1033))</f>
        <v/>
      </c>
      <c r="F1055" s="5">
        <f>IF('ORDENES'!$A1033="","",IF('ORDENES'!$AA1033="","-",'ORDENES'!$AA1033))</f>
        <v/>
      </c>
      <c r="G1055" s="5">
        <f>IF('ORDENES'!$A1033="","",IF('ORDENES'!$Y1033="","-",'ORDENES'!$Y1033))</f>
        <v/>
      </c>
      <c r="H1055" s="5">
        <f>IF('ORDENES'!$A1033="","",IF('ORDENES'!$AG1033="","-",'ORDENES'!$AG1033))</f>
        <v/>
      </c>
      <c r="I1055" s="5">
        <f>IF('ORDENES'!$A1033="","",IF('ORDENES'!$AT1033="","-",'ORDENES'!$AT1033))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0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IF('ORDENES'!$A1033="","",'ORDENES'!$AF1033)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IF('ORDENES'!$A1034="","",IF('ORDENES'!$AH1034="","-",'ORDENES'!$AH1034))</f>
        <v/>
      </c>
      <c r="D1056" s="5">
        <f>IF('ORDENES'!$A1034="","",IF('ORDENES'!$Z1034="","-",'ORDENES'!$Z1034))</f>
        <v/>
      </c>
      <c r="E1056" s="5">
        <f>IF('ORDENES'!$A1034="","",IF('ORDENES'!$X1034="","-",'ORDENES'!$X1034))</f>
        <v/>
      </c>
      <c r="F1056" s="5">
        <f>IF('ORDENES'!$A1034="","",IF('ORDENES'!$AA1034="","-",'ORDENES'!$AA1034))</f>
        <v/>
      </c>
      <c r="G1056" s="5">
        <f>IF('ORDENES'!$A1034="","",IF('ORDENES'!$Y1034="","-",'ORDENES'!$Y1034))</f>
        <v/>
      </c>
      <c r="H1056" s="5">
        <f>IF('ORDENES'!$A1034="","",IF('ORDENES'!$AG1034="","-",'ORDENES'!$AG1034))</f>
        <v/>
      </c>
      <c r="I1056" s="5">
        <f>IF('ORDENES'!$A1034="","",IF('ORDENES'!$AT1034="","-",'ORDENES'!$AT1034))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0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IF('ORDENES'!$A1034="","",'ORDENES'!$AF1034)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IF('ORDENES'!$A1035="","",IF('ORDENES'!$AH1035="","-",'ORDENES'!$AH1035))</f>
        <v/>
      </c>
      <c r="D1057" s="5">
        <f>IF('ORDENES'!$A1035="","",IF('ORDENES'!$Z1035="","-",'ORDENES'!$Z1035))</f>
        <v/>
      </c>
      <c r="E1057" s="5">
        <f>IF('ORDENES'!$A1035="","",IF('ORDENES'!$X1035="","-",'ORDENES'!$X1035))</f>
        <v/>
      </c>
      <c r="F1057" s="5">
        <f>IF('ORDENES'!$A1035="","",IF('ORDENES'!$AA1035="","-",'ORDENES'!$AA1035))</f>
        <v/>
      </c>
      <c r="G1057" s="5">
        <f>IF('ORDENES'!$A1035="","",IF('ORDENES'!$Y1035="","-",'ORDENES'!$Y1035))</f>
        <v/>
      </c>
      <c r="H1057" s="5">
        <f>IF('ORDENES'!$A1035="","",IF('ORDENES'!$AG1035="","-",'ORDENES'!$AG1035))</f>
        <v/>
      </c>
      <c r="I1057" s="5">
        <f>IF('ORDENES'!$A1035="","",IF('ORDENES'!$AT1035="","-",'ORDENES'!$AT1035))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0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IF('ORDENES'!$A1035="","",'ORDENES'!$AF1035)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IF('ORDENES'!$A1036="","",IF('ORDENES'!$AH1036="","-",'ORDENES'!$AH1036))</f>
        <v/>
      </c>
      <c r="D1058" s="5">
        <f>IF('ORDENES'!$A1036="","",IF('ORDENES'!$Z1036="","-",'ORDENES'!$Z1036))</f>
        <v/>
      </c>
      <c r="E1058" s="5">
        <f>IF('ORDENES'!$A1036="","",IF('ORDENES'!$X1036="","-",'ORDENES'!$X1036))</f>
        <v/>
      </c>
      <c r="F1058" s="5">
        <f>IF('ORDENES'!$A1036="","",IF('ORDENES'!$AA1036="","-",'ORDENES'!$AA1036))</f>
        <v/>
      </c>
      <c r="G1058" s="5">
        <f>IF('ORDENES'!$A1036="","",IF('ORDENES'!$Y1036="","-",'ORDENES'!$Y1036))</f>
        <v/>
      </c>
      <c r="H1058" s="5">
        <f>IF('ORDENES'!$A1036="","",IF('ORDENES'!$AG1036="","-",'ORDENES'!$AG1036))</f>
        <v/>
      </c>
      <c r="I1058" s="5">
        <f>IF('ORDENES'!$A1036="","",IF('ORDENES'!$AT1036="","-",'ORDENES'!$AT1036))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0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IF('ORDENES'!$A1036="","",'ORDENES'!$AF1036)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IF('ORDENES'!$A1037="","",IF('ORDENES'!$AH1037="","-",'ORDENES'!$AH1037))</f>
        <v/>
      </c>
      <c r="D1059" s="5">
        <f>IF('ORDENES'!$A1037="","",IF('ORDENES'!$Z1037="","-",'ORDENES'!$Z1037))</f>
        <v/>
      </c>
      <c r="E1059" s="5">
        <f>IF('ORDENES'!$A1037="","",IF('ORDENES'!$X1037="","-",'ORDENES'!$X1037))</f>
        <v/>
      </c>
      <c r="F1059" s="5">
        <f>IF('ORDENES'!$A1037="","",IF('ORDENES'!$AA1037="","-",'ORDENES'!$AA1037))</f>
        <v/>
      </c>
      <c r="G1059" s="5">
        <f>IF('ORDENES'!$A1037="","",IF('ORDENES'!$Y1037="","-",'ORDENES'!$Y1037))</f>
        <v/>
      </c>
      <c r="H1059" s="5">
        <f>IF('ORDENES'!$A1037="","",IF('ORDENES'!$AG1037="","-",'ORDENES'!$AG1037))</f>
        <v/>
      </c>
      <c r="I1059" s="5">
        <f>IF('ORDENES'!$A1037="","",IF('ORDENES'!$AT1037="","-",'ORDENES'!$AT1037))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0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IF('ORDENES'!$A1037="","",'ORDENES'!$AF1037)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IF('ORDENES'!$A1038="","",IF('ORDENES'!$AH1038="","-",'ORDENES'!$AH1038))</f>
        <v/>
      </c>
      <c r="D1060" s="5">
        <f>IF('ORDENES'!$A1038="","",IF('ORDENES'!$Z1038="","-",'ORDENES'!$Z1038))</f>
        <v/>
      </c>
      <c r="E1060" s="5">
        <f>IF('ORDENES'!$A1038="","",IF('ORDENES'!$X1038="","-",'ORDENES'!$X1038))</f>
        <v/>
      </c>
      <c r="F1060" s="5">
        <f>IF('ORDENES'!$A1038="","",IF('ORDENES'!$AA1038="","-",'ORDENES'!$AA1038))</f>
        <v/>
      </c>
      <c r="G1060" s="5">
        <f>IF('ORDENES'!$A1038="","",IF('ORDENES'!$Y1038="","-",'ORDENES'!$Y1038))</f>
        <v/>
      </c>
      <c r="H1060" s="5">
        <f>IF('ORDENES'!$A1038="","",IF('ORDENES'!$AG1038="","-",'ORDENES'!$AG1038))</f>
        <v/>
      </c>
      <c r="I1060" s="5">
        <f>IF('ORDENES'!$A1038="","",IF('ORDENES'!$AT1038="","-",'ORDENES'!$AT1038))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0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IF('ORDENES'!$A1038="","",'ORDENES'!$AF1038)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IF('ORDENES'!$A1039="","",IF('ORDENES'!$AH1039="","-",'ORDENES'!$AH1039))</f>
        <v/>
      </c>
      <c r="D1061" s="5">
        <f>IF('ORDENES'!$A1039="","",IF('ORDENES'!$Z1039="","-",'ORDENES'!$Z1039))</f>
        <v/>
      </c>
      <c r="E1061" s="5">
        <f>IF('ORDENES'!$A1039="","",IF('ORDENES'!$X1039="","-",'ORDENES'!$X1039))</f>
        <v/>
      </c>
      <c r="F1061" s="5">
        <f>IF('ORDENES'!$A1039="","",IF('ORDENES'!$AA1039="","-",'ORDENES'!$AA1039))</f>
        <v/>
      </c>
      <c r="G1061" s="5">
        <f>IF('ORDENES'!$A1039="","",IF('ORDENES'!$Y1039="","-",'ORDENES'!$Y1039))</f>
        <v/>
      </c>
      <c r="H1061" s="5">
        <f>IF('ORDENES'!$A1039="","",IF('ORDENES'!$AG1039="","-",'ORDENES'!$AG1039))</f>
        <v/>
      </c>
      <c r="I1061" s="5">
        <f>IF('ORDENES'!$A1039="","",IF('ORDENES'!$AT1039="","-",'ORDENES'!$AT1039))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0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IF('ORDENES'!$A1039="","",'ORDENES'!$AF1039)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IF('ORDENES'!$A1040="","",IF('ORDENES'!$AH1040="","-",'ORDENES'!$AH1040))</f>
        <v/>
      </c>
      <c r="D1062" s="5">
        <f>IF('ORDENES'!$A1040="","",IF('ORDENES'!$Z1040="","-",'ORDENES'!$Z1040))</f>
        <v/>
      </c>
      <c r="E1062" s="5">
        <f>IF('ORDENES'!$A1040="","",IF('ORDENES'!$X1040="","-",'ORDENES'!$X1040))</f>
        <v/>
      </c>
      <c r="F1062" s="5">
        <f>IF('ORDENES'!$A1040="","",IF('ORDENES'!$AA1040="","-",'ORDENES'!$AA1040))</f>
        <v/>
      </c>
      <c r="G1062" s="5">
        <f>IF('ORDENES'!$A1040="","",IF('ORDENES'!$Y1040="","-",'ORDENES'!$Y1040))</f>
        <v/>
      </c>
      <c r="H1062" s="5">
        <f>IF('ORDENES'!$A1040="","",IF('ORDENES'!$AG1040="","-",'ORDENES'!$AG1040))</f>
        <v/>
      </c>
      <c r="I1062" s="5">
        <f>IF('ORDENES'!$A1040="","",IF('ORDENES'!$AT1040="","-",'ORDENES'!$AT1040))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0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IF('ORDENES'!$A1040="","",'ORDENES'!$AF1040)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IF('ORDENES'!$A1041="","",IF('ORDENES'!$AH1041="","-",'ORDENES'!$AH1041))</f>
        <v/>
      </c>
      <c r="D1063" s="5">
        <f>IF('ORDENES'!$A1041="","",IF('ORDENES'!$Z1041="","-",'ORDENES'!$Z1041))</f>
        <v/>
      </c>
      <c r="E1063" s="5">
        <f>IF('ORDENES'!$A1041="","",IF('ORDENES'!$X1041="","-",'ORDENES'!$X1041))</f>
        <v/>
      </c>
      <c r="F1063" s="5">
        <f>IF('ORDENES'!$A1041="","",IF('ORDENES'!$AA1041="","-",'ORDENES'!$AA1041))</f>
        <v/>
      </c>
      <c r="G1063" s="5">
        <f>IF('ORDENES'!$A1041="","",IF('ORDENES'!$Y1041="","-",'ORDENES'!$Y1041))</f>
        <v/>
      </c>
      <c r="H1063" s="5">
        <f>IF('ORDENES'!$A1041="","",IF('ORDENES'!$AG1041="","-",'ORDENES'!$AG1041))</f>
        <v/>
      </c>
      <c r="I1063" s="5">
        <f>IF('ORDENES'!$A1041="","",IF('ORDENES'!$AT1041="","-",'ORDENES'!$AT1041))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0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IF('ORDENES'!$A1041="","",'ORDENES'!$AF1041)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IF('ORDENES'!$A1042="","",IF('ORDENES'!$AH1042="","-",'ORDENES'!$AH1042))</f>
        <v/>
      </c>
      <c r="D1064" s="5">
        <f>IF('ORDENES'!$A1042="","",IF('ORDENES'!$Z1042="","-",'ORDENES'!$Z1042))</f>
        <v/>
      </c>
      <c r="E1064" s="5">
        <f>IF('ORDENES'!$A1042="","",IF('ORDENES'!$X1042="","-",'ORDENES'!$X1042))</f>
        <v/>
      </c>
      <c r="F1064" s="5">
        <f>IF('ORDENES'!$A1042="","",IF('ORDENES'!$AA1042="","-",'ORDENES'!$AA1042))</f>
        <v/>
      </c>
      <c r="G1064" s="5">
        <f>IF('ORDENES'!$A1042="","",IF('ORDENES'!$Y1042="","-",'ORDENES'!$Y1042))</f>
        <v/>
      </c>
      <c r="H1064" s="5">
        <f>IF('ORDENES'!$A1042="","",IF('ORDENES'!$AG1042="","-",'ORDENES'!$AG1042))</f>
        <v/>
      </c>
      <c r="I1064" s="5">
        <f>IF('ORDENES'!$A1042="","",IF('ORDENES'!$AT1042="","-",'ORDENES'!$AT1042))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0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IF('ORDENES'!$A1042="","",'ORDENES'!$AF1042)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IF('ORDENES'!$A1043="","",IF('ORDENES'!$AH1043="","-",'ORDENES'!$AH1043))</f>
        <v/>
      </c>
      <c r="D1065" s="5">
        <f>IF('ORDENES'!$A1043="","",IF('ORDENES'!$Z1043="","-",'ORDENES'!$Z1043))</f>
        <v/>
      </c>
      <c r="E1065" s="5">
        <f>IF('ORDENES'!$A1043="","",IF('ORDENES'!$X1043="","-",'ORDENES'!$X1043))</f>
        <v/>
      </c>
      <c r="F1065" s="5">
        <f>IF('ORDENES'!$A1043="","",IF('ORDENES'!$AA1043="","-",'ORDENES'!$AA1043))</f>
        <v/>
      </c>
      <c r="G1065" s="5">
        <f>IF('ORDENES'!$A1043="","",IF('ORDENES'!$Y1043="","-",'ORDENES'!$Y1043))</f>
        <v/>
      </c>
      <c r="H1065" s="5">
        <f>IF('ORDENES'!$A1043="","",IF('ORDENES'!$AG1043="","-",'ORDENES'!$AG1043))</f>
        <v/>
      </c>
      <c r="I1065" s="5">
        <f>IF('ORDENES'!$A1043="","",IF('ORDENES'!$AT1043="","-",'ORDENES'!$AT1043))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0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IF('ORDENES'!$A1043="","",'ORDENES'!$AF1043)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IF('ORDENES'!$A1044="","",IF('ORDENES'!$AH1044="","-",'ORDENES'!$AH1044))</f>
        <v/>
      </c>
      <c r="D1066" s="5">
        <f>IF('ORDENES'!$A1044="","",IF('ORDENES'!$Z1044="","-",'ORDENES'!$Z1044))</f>
        <v/>
      </c>
      <c r="E1066" s="5">
        <f>IF('ORDENES'!$A1044="","",IF('ORDENES'!$X1044="","-",'ORDENES'!$X1044))</f>
        <v/>
      </c>
      <c r="F1066" s="5">
        <f>IF('ORDENES'!$A1044="","",IF('ORDENES'!$AA1044="","-",'ORDENES'!$AA1044))</f>
        <v/>
      </c>
      <c r="G1066" s="5">
        <f>IF('ORDENES'!$A1044="","",IF('ORDENES'!$Y1044="","-",'ORDENES'!$Y1044))</f>
        <v/>
      </c>
      <c r="H1066" s="5">
        <f>IF('ORDENES'!$A1044="","",IF('ORDENES'!$AG1044="","-",'ORDENES'!$AG1044))</f>
        <v/>
      </c>
      <c r="I1066" s="5">
        <f>IF('ORDENES'!$A1044="","",IF('ORDENES'!$AT1044="","-",'ORDENES'!$AT1044))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0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IF('ORDENES'!$A1044="","",'ORDENES'!$AF1044)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IF('ORDENES'!$A1045="","",IF('ORDENES'!$AH1045="","-",'ORDENES'!$AH1045))</f>
        <v/>
      </c>
      <c r="D1067" s="5">
        <f>IF('ORDENES'!$A1045="","",IF('ORDENES'!$Z1045="","-",'ORDENES'!$Z1045))</f>
        <v/>
      </c>
      <c r="E1067" s="5">
        <f>IF('ORDENES'!$A1045="","",IF('ORDENES'!$X1045="","-",'ORDENES'!$X1045))</f>
        <v/>
      </c>
      <c r="F1067" s="5">
        <f>IF('ORDENES'!$A1045="","",IF('ORDENES'!$AA1045="","-",'ORDENES'!$AA1045))</f>
        <v/>
      </c>
      <c r="G1067" s="5">
        <f>IF('ORDENES'!$A1045="","",IF('ORDENES'!$Y1045="","-",'ORDENES'!$Y1045))</f>
        <v/>
      </c>
      <c r="H1067" s="5">
        <f>IF('ORDENES'!$A1045="","",IF('ORDENES'!$AG1045="","-",'ORDENES'!$AG1045))</f>
        <v/>
      </c>
      <c r="I1067" s="5">
        <f>IF('ORDENES'!$A1045="","",IF('ORDENES'!$AT1045="","-",'ORDENES'!$AT1045))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0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IF('ORDENES'!$A1045="","",'ORDENES'!$AF1045)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IF('ORDENES'!$A1046="","",IF('ORDENES'!$AH1046="","-",'ORDENES'!$AH1046))</f>
        <v/>
      </c>
      <c r="D1068" s="5">
        <f>IF('ORDENES'!$A1046="","",IF('ORDENES'!$Z1046="","-",'ORDENES'!$Z1046))</f>
        <v/>
      </c>
      <c r="E1068" s="5">
        <f>IF('ORDENES'!$A1046="","",IF('ORDENES'!$X1046="","-",'ORDENES'!$X1046))</f>
        <v/>
      </c>
      <c r="F1068" s="5">
        <f>IF('ORDENES'!$A1046="","",IF('ORDENES'!$AA1046="","-",'ORDENES'!$AA1046))</f>
        <v/>
      </c>
      <c r="G1068" s="5">
        <f>IF('ORDENES'!$A1046="","",IF('ORDENES'!$Y1046="","-",'ORDENES'!$Y1046))</f>
        <v/>
      </c>
      <c r="H1068" s="5">
        <f>IF('ORDENES'!$A1046="","",IF('ORDENES'!$AG1046="","-",'ORDENES'!$AG1046))</f>
        <v/>
      </c>
      <c r="I1068" s="5">
        <f>IF('ORDENES'!$A1046="","",IF('ORDENES'!$AT1046="","-",'ORDENES'!$AT1046))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0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IF('ORDENES'!$A1046="","",'ORDENES'!$AF1046)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IF('ORDENES'!$A1047="","",IF('ORDENES'!$AH1047="","-",'ORDENES'!$AH1047))</f>
        <v/>
      </c>
      <c r="D1069" s="5">
        <f>IF('ORDENES'!$A1047="","",IF('ORDENES'!$Z1047="","-",'ORDENES'!$Z1047))</f>
        <v/>
      </c>
      <c r="E1069" s="5">
        <f>IF('ORDENES'!$A1047="","",IF('ORDENES'!$X1047="","-",'ORDENES'!$X1047))</f>
        <v/>
      </c>
      <c r="F1069" s="5">
        <f>IF('ORDENES'!$A1047="","",IF('ORDENES'!$AA1047="","-",'ORDENES'!$AA1047))</f>
        <v/>
      </c>
      <c r="G1069" s="5">
        <f>IF('ORDENES'!$A1047="","",IF('ORDENES'!$Y1047="","-",'ORDENES'!$Y1047))</f>
        <v/>
      </c>
      <c r="H1069" s="5">
        <f>IF('ORDENES'!$A1047="","",IF('ORDENES'!$AG1047="","-",'ORDENES'!$AG1047))</f>
        <v/>
      </c>
      <c r="I1069" s="5">
        <f>IF('ORDENES'!$A1047="","",IF('ORDENES'!$AT1047="","-",'ORDENES'!$AT1047))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0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IF('ORDENES'!$A1047="","",'ORDENES'!$AF1047)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IF('ORDENES'!$A1048="","",IF('ORDENES'!$AH1048="","-",'ORDENES'!$AH1048))</f>
        <v/>
      </c>
      <c r="D1070" s="5">
        <f>IF('ORDENES'!$A1048="","",IF('ORDENES'!$Z1048="","-",'ORDENES'!$Z1048))</f>
        <v/>
      </c>
      <c r="E1070" s="5">
        <f>IF('ORDENES'!$A1048="","",IF('ORDENES'!$X1048="","-",'ORDENES'!$X1048))</f>
        <v/>
      </c>
      <c r="F1070" s="5">
        <f>IF('ORDENES'!$A1048="","",IF('ORDENES'!$AA1048="","-",'ORDENES'!$AA1048))</f>
        <v/>
      </c>
      <c r="G1070" s="5">
        <f>IF('ORDENES'!$A1048="","",IF('ORDENES'!$Y1048="","-",'ORDENES'!$Y1048))</f>
        <v/>
      </c>
      <c r="H1070" s="5">
        <f>IF('ORDENES'!$A1048="","",IF('ORDENES'!$AG1048="","-",'ORDENES'!$AG1048))</f>
        <v/>
      </c>
      <c r="I1070" s="5">
        <f>IF('ORDENES'!$A1048="","",IF('ORDENES'!$AT1048="","-",'ORDENES'!$AT1048))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0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IF('ORDENES'!$A1048="","",'ORDENES'!$AF1048)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IF('ORDENES'!$A1049="","",IF('ORDENES'!$AH1049="","-",'ORDENES'!$AH1049))</f>
        <v/>
      </c>
      <c r="D1071" s="5">
        <f>IF('ORDENES'!$A1049="","",IF('ORDENES'!$Z1049="","-",'ORDENES'!$Z1049))</f>
        <v/>
      </c>
      <c r="E1071" s="5">
        <f>IF('ORDENES'!$A1049="","",IF('ORDENES'!$X1049="","-",'ORDENES'!$X1049))</f>
        <v/>
      </c>
      <c r="F1071" s="5">
        <f>IF('ORDENES'!$A1049="","",IF('ORDENES'!$AA1049="","-",'ORDENES'!$AA1049))</f>
        <v/>
      </c>
      <c r="G1071" s="5">
        <f>IF('ORDENES'!$A1049="","",IF('ORDENES'!$Y1049="","-",'ORDENES'!$Y1049))</f>
        <v/>
      </c>
      <c r="H1071" s="5">
        <f>IF('ORDENES'!$A1049="","",IF('ORDENES'!$AG1049="","-",'ORDENES'!$AG1049))</f>
        <v/>
      </c>
      <c r="I1071" s="5">
        <f>IF('ORDENES'!$A1049="","",IF('ORDENES'!$AT1049="","-",'ORDENES'!$AT1049))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0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IF('ORDENES'!$A1049="","",'ORDENES'!$AF1049)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IF('ORDENES'!$A1050="","",IF('ORDENES'!$AH1050="","-",'ORDENES'!$AH1050))</f>
        <v/>
      </c>
      <c r="D1072" s="5">
        <f>IF('ORDENES'!$A1050="","",IF('ORDENES'!$Z1050="","-",'ORDENES'!$Z1050))</f>
        <v/>
      </c>
      <c r="E1072" s="5">
        <f>IF('ORDENES'!$A1050="","",IF('ORDENES'!$X1050="","-",'ORDENES'!$X1050))</f>
        <v/>
      </c>
      <c r="F1072" s="5">
        <f>IF('ORDENES'!$A1050="","",IF('ORDENES'!$AA1050="","-",'ORDENES'!$AA1050))</f>
        <v/>
      </c>
      <c r="G1072" s="5">
        <f>IF('ORDENES'!$A1050="","",IF('ORDENES'!$Y1050="","-",'ORDENES'!$Y1050))</f>
        <v/>
      </c>
      <c r="H1072" s="5">
        <f>IF('ORDENES'!$A1050="","",IF('ORDENES'!$AG1050="","-",'ORDENES'!$AG1050))</f>
        <v/>
      </c>
      <c r="I1072" s="5">
        <f>IF('ORDENES'!$A1050="","",IF('ORDENES'!$AT1050="","-",'ORDENES'!$AT1050))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0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IF('ORDENES'!$A1050="","",'ORDENES'!$AF1050)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IF('ORDENES'!$A1051="","",IF('ORDENES'!$AH1051="","-",'ORDENES'!$AH1051))</f>
        <v/>
      </c>
      <c r="D1073" s="5">
        <f>IF('ORDENES'!$A1051="","",IF('ORDENES'!$Z1051="","-",'ORDENES'!$Z1051))</f>
        <v/>
      </c>
      <c r="E1073" s="5">
        <f>IF('ORDENES'!$A1051="","",IF('ORDENES'!$X1051="","-",'ORDENES'!$X1051))</f>
        <v/>
      </c>
      <c r="F1073" s="5">
        <f>IF('ORDENES'!$A1051="","",IF('ORDENES'!$AA1051="","-",'ORDENES'!$AA1051))</f>
        <v/>
      </c>
      <c r="G1073" s="5">
        <f>IF('ORDENES'!$A1051="","",IF('ORDENES'!$Y1051="","-",'ORDENES'!$Y1051))</f>
        <v/>
      </c>
      <c r="H1073" s="5">
        <f>IF('ORDENES'!$A1051="","",IF('ORDENES'!$AG1051="","-",'ORDENES'!$AG1051))</f>
        <v/>
      </c>
      <c r="I1073" s="5">
        <f>IF('ORDENES'!$A1051="","",IF('ORDENES'!$AT1051="","-",'ORDENES'!$AT1051))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0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IF('ORDENES'!$A1051="","",'ORDENES'!$AF1051)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IF('ORDENES'!$A1052="","",IF('ORDENES'!$AH1052="","-",'ORDENES'!$AH1052))</f>
        <v/>
      </c>
      <c r="D1074" s="5">
        <f>IF('ORDENES'!$A1052="","",IF('ORDENES'!$Z1052="","-",'ORDENES'!$Z1052))</f>
        <v/>
      </c>
      <c r="E1074" s="5">
        <f>IF('ORDENES'!$A1052="","",IF('ORDENES'!$X1052="","-",'ORDENES'!$X1052))</f>
        <v/>
      </c>
      <c r="F1074" s="5">
        <f>IF('ORDENES'!$A1052="","",IF('ORDENES'!$AA1052="","-",'ORDENES'!$AA1052))</f>
        <v/>
      </c>
      <c r="G1074" s="5">
        <f>IF('ORDENES'!$A1052="","",IF('ORDENES'!$Y1052="","-",'ORDENES'!$Y1052))</f>
        <v/>
      </c>
      <c r="H1074" s="5">
        <f>IF('ORDENES'!$A1052="","",IF('ORDENES'!$AG1052="","-",'ORDENES'!$AG1052))</f>
        <v/>
      </c>
      <c r="I1074" s="5">
        <f>IF('ORDENES'!$A1052="","",IF('ORDENES'!$AT1052="","-",'ORDENES'!$AT1052))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0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IF('ORDENES'!$A1052="","",'ORDENES'!$AF1052)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IF('ORDENES'!$A1053="","",IF('ORDENES'!$AH1053="","-",'ORDENES'!$AH1053))</f>
        <v/>
      </c>
      <c r="D1075" s="5">
        <f>IF('ORDENES'!$A1053="","",IF('ORDENES'!$Z1053="","-",'ORDENES'!$Z1053))</f>
        <v/>
      </c>
      <c r="E1075" s="5">
        <f>IF('ORDENES'!$A1053="","",IF('ORDENES'!$X1053="","-",'ORDENES'!$X1053))</f>
        <v/>
      </c>
      <c r="F1075" s="5">
        <f>IF('ORDENES'!$A1053="","",IF('ORDENES'!$AA1053="","-",'ORDENES'!$AA1053))</f>
        <v/>
      </c>
      <c r="G1075" s="5">
        <f>IF('ORDENES'!$A1053="","",IF('ORDENES'!$Y1053="","-",'ORDENES'!$Y1053))</f>
        <v/>
      </c>
      <c r="H1075" s="5">
        <f>IF('ORDENES'!$A1053="","",IF('ORDENES'!$AG1053="","-",'ORDENES'!$AG1053))</f>
        <v/>
      </c>
      <c r="I1075" s="5">
        <f>IF('ORDENES'!$A1053="","",IF('ORDENES'!$AT1053="","-",'ORDENES'!$AT1053))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0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IF('ORDENES'!$A1053="","",'ORDENES'!$AF1053)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IF('ORDENES'!$A1054="","",IF('ORDENES'!$AH1054="","-",'ORDENES'!$AH1054))</f>
        <v/>
      </c>
      <c r="D1076" s="5">
        <f>IF('ORDENES'!$A1054="","",IF('ORDENES'!$Z1054="","-",'ORDENES'!$Z1054))</f>
        <v/>
      </c>
      <c r="E1076" s="5">
        <f>IF('ORDENES'!$A1054="","",IF('ORDENES'!$X1054="","-",'ORDENES'!$X1054))</f>
        <v/>
      </c>
      <c r="F1076" s="5">
        <f>IF('ORDENES'!$A1054="","",IF('ORDENES'!$AA1054="","-",'ORDENES'!$AA1054))</f>
        <v/>
      </c>
      <c r="G1076" s="5">
        <f>IF('ORDENES'!$A1054="","",IF('ORDENES'!$Y1054="","-",'ORDENES'!$Y1054))</f>
        <v/>
      </c>
      <c r="H1076" s="5">
        <f>IF('ORDENES'!$A1054="","",IF('ORDENES'!$AG1054="","-",'ORDENES'!$AG1054))</f>
        <v/>
      </c>
      <c r="I1076" s="5">
        <f>IF('ORDENES'!$A1054="","",IF('ORDENES'!$AT1054="","-",'ORDENES'!$AT1054))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0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IF('ORDENES'!$A1054="","",'ORDENES'!$AF1054)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IF('ORDENES'!$A1055="","",IF('ORDENES'!$AH1055="","-",'ORDENES'!$AH1055))</f>
        <v/>
      </c>
      <c r="D1077" s="5">
        <f>IF('ORDENES'!$A1055="","",IF('ORDENES'!$Z1055="","-",'ORDENES'!$Z1055))</f>
        <v/>
      </c>
      <c r="E1077" s="5">
        <f>IF('ORDENES'!$A1055="","",IF('ORDENES'!$X1055="","-",'ORDENES'!$X1055))</f>
        <v/>
      </c>
      <c r="F1077" s="5">
        <f>IF('ORDENES'!$A1055="","",IF('ORDENES'!$AA1055="","-",'ORDENES'!$AA1055))</f>
        <v/>
      </c>
      <c r="G1077" s="5">
        <f>IF('ORDENES'!$A1055="","",IF('ORDENES'!$Y1055="","-",'ORDENES'!$Y1055))</f>
        <v/>
      </c>
      <c r="H1077" s="5">
        <f>IF('ORDENES'!$A1055="","",IF('ORDENES'!$AG1055="","-",'ORDENES'!$AG1055))</f>
        <v/>
      </c>
      <c r="I1077" s="5">
        <f>IF('ORDENES'!$A1055="","",IF('ORDENES'!$AT1055="","-",'ORDENES'!$AT1055))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0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IF('ORDENES'!$A1055="","",'ORDENES'!$AF1055)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IF('ORDENES'!$A1056="","",IF('ORDENES'!$AH1056="","-",'ORDENES'!$AH1056))</f>
        <v/>
      </c>
      <c r="D1078" s="5">
        <f>IF('ORDENES'!$A1056="","",IF('ORDENES'!$Z1056="","-",'ORDENES'!$Z1056))</f>
        <v/>
      </c>
      <c r="E1078" s="5">
        <f>IF('ORDENES'!$A1056="","",IF('ORDENES'!$X1056="","-",'ORDENES'!$X1056))</f>
        <v/>
      </c>
      <c r="F1078" s="5">
        <f>IF('ORDENES'!$A1056="","",IF('ORDENES'!$AA1056="","-",'ORDENES'!$AA1056))</f>
        <v/>
      </c>
      <c r="G1078" s="5">
        <f>IF('ORDENES'!$A1056="","",IF('ORDENES'!$Y1056="","-",'ORDENES'!$Y1056))</f>
        <v/>
      </c>
      <c r="H1078" s="5">
        <f>IF('ORDENES'!$A1056="","",IF('ORDENES'!$AG1056="","-",'ORDENES'!$AG1056))</f>
        <v/>
      </c>
      <c r="I1078" s="5">
        <f>IF('ORDENES'!$A1056="","",IF('ORDENES'!$AT1056="","-",'ORDENES'!$AT1056))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0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IF('ORDENES'!$A1056="","",'ORDENES'!$AF1056)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IF('ORDENES'!$A1057="","",IF('ORDENES'!$AH1057="","-",'ORDENES'!$AH1057))</f>
        <v/>
      </c>
      <c r="D1079" s="5">
        <f>IF('ORDENES'!$A1057="","",IF('ORDENES'!$Z1057="","-",'ORDENES'!$Z1057))</f>
        <v/>
      </c>
      <c r="E1079" s="5">
        <f>IF('ORDENES'!$A1057="","",IF('ORDENES'!$X1057="","-",'ORDENES'!$X1057))</f>
        <v/>
      </c>
      <c r="F1079" s="5">
        <f>IF('ORDENES'!$A1057="","",IF('ORDENES'!$AA1057="","-",'ORDENES'!$AA1057))</f>
        <v/>
      </c>
      <c r="G1079" s="5">
        <f>IF('ORDENES'!$A1057="","",IF('ORDENES'!$Y1057="","-",'ORDENES'!$Y1057))</f>
        <v/>
      </c>
      <c r="H1079" s="5">
        <f>IF('ORDENES'!$A1057="","",IF('ORDENES'!$AG1057="","-",'ORDENES'!$AG1057))</f>
        <v/>
      </c>
      <c r="I1079" s="5">
        <f>IF('ORDENES'!$A1057="","",IF('ORDENES'!$AT1057="","-",'ORDENES'!$AT1057))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0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IF('ORDENES'!$A1057="","",'ORDENES'!$AF1057)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IF('ORDENES'!$A1058="","",IF('ORDENES'!$AH1058="","-",'ORDENES'!$AH1058))</f>
        <v/>
      </c>
      <c r="D1080" s="5">
        <f>IF('ORDENES'!$A1058="","",IF('ORDENES'!$Z1058="","-",'ORDENES'!$Z1058))</f>
        <v/>
      </c>
      <c r="E1080" s="5">
        <f>IF('ORDENES'!$A1058="","",IF('ORDENES'!$X1058="","-",'ORDENES'!$X1058))</f>
        <v/>
      </c>
      <c r="F1080" s="5">
        <f>IF('ORDENES'!$A1058="","",IF('ORDENES'!$AA1058="","-",'ORDENES'!$AA1058))</f>
        <v/>
      </c>
      <c r="G1080" s="5">
        <f>IF('ORDENES'!$A1058="","",IF('ORDENES'!$Y1058="","-",'ORDENES'!$Y1058))</f>
        <v/>
      </c>
      <c r="H1080" s="5">
        <f>IF('ORDENES'!$A1058="","",IF('ORDENES'!$AG1058="","-",'ORDENES'!$AG1058))</f>
        <v/>
      </c>
      <c r="I1080" s="5">
        <f>IF('ORDENES'!$A1058="","",IF('ORDENES'!$AT1058="","-",'ORDENES'!$AT1058))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0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IF('ORDENES'!$A1058="","",'ORDENES'!$AF1058)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IF('ORDENES'!$A1059="","",IF('ORDENES'!$AH1059="","-",'ORDENES'!$AH1059))</f>
        <v/>
      </c>
      <c r="D1081" s="5">
        <f>IF('ORDENES'!$A1059="","",IF('ORDENES'!$Z1059="","-",'ORDENES'!$Z1059))</f>
        <v/>
      </c>
      <c r="E1081" s="5">
        <f>IF('ORDENES'!$A1059="","",IF('ORDENES'!$X1059="","-",'ORDENES'!$X1059))</f>
        <v/>
      </c>
      <c r="F1081" s="5">
        <f>IF('ORDENES'!$A1059="","",IF('ORDENES'!$AA1059="","-",'ORDENES'!$AA1059))</f>
        <v/>
      </c>
      <c r="G1081" s="5">
        <f>IF('ORDENES'!$A1059="","",IF('ORDENES'!$Y1059="","-",'ORDENES'!$Y1059))</f>
        <v/>
      </c>
      <c r="H1081" s="5">
        <f>IF('ORDENES'!$A1059="","",IF('ORDENES'!$AG1059="","-",'ORDENES'!$AG1059))</f>
        <v/>
      </c>
      <c r="I1081" s="5">
        <f>IF('ORDENES'!$A1059="","",IF('ORDENES'!$AT1059="","-",'ORDENES'!$AT1059))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0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IF('ORDENES'!$A1059="","",'ORDENES'!$AF1059)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IF('ORDENES'!$A1060="","",IF('ORDENES'!$AH1060="","-",'ORDENES'!$AH1060))</f>
        <v/>
      </c>
      <c r="D1082" s="5">
        <f>IF('ORDENES'!$A1060="","",IF('ORDENES'!$Z1060="","-",'ORDENES'!$Z1060))</f>
        <v/>
      </c>
      <c r="E1082" s="5">
        <f>IF('ORDENES'!$A1060="","",IF('ORDENES'!$X1060="","-",'ORDENES'!$X1060))</f>
        <v/>
      </c>
      <c r="F1082" s="5">
        <f>IF('ORDENES'!$A1060="","",IF('ORDENES'!$AA1060="","-",'ORDENES'!$AA1060))</f>
        <v/>
      </c>
      <c r="G1082" s="5">
        <f>IF('ORDENES'!$A1060="","",IF('ORDENES'!$Y1060="","-",'ORDENES'!$Y1060))</f>
        <v/>
      </c>
      <c r="H1082" s="5">
        <f>IF('ORDENES'!$A1060="","",IF('ORDENES'!$AG1060="","-",'ORDENES'!$AG1060))</f>
        <v/>
      </c>
      <c r="I1082" s="5">
        <f>IF('ORDENES'!$A1060="","",IF('ORDENES'!$AT1060="","-",'ORDENES'!$AT1060))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0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IF('ORDENES'!$A1060="","",'ORDENES'!$AF1060)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IF('ORDENES'!$A1061="","",IF('ORDENES'!$AH1061="","-",'ORDENES'!$AH1061))</f>
        <v/>
      </c>
      <c r="D1083" s="5">
        <f>IF('ORDENES'!$A1061="","",IF('ORDENES'!$Z1061="","-",'ORDENES'!$Z1061))</f>
        <v/>
      </c>
      <c r="E1083" s="5">
        <f>IF('ORDENES'!$A1061="","",IF('ORDENES'!$X1061="","-",'ORDENES'!$X1061))</f>
        <v/>
      </c>
      <c r="F1083" s="5">
        <f>IF('ORDENES'!$A1061="","",IF('ORDENES'!$AA1061="","-",'ORDENES'!$AA1061))</f>
        <v/>
      </c>
      <c r="G1083" s="5">
        <f>IF('ORDENES'!$A1061="","",IF('ORDENES'!$Y1061="","-",'ORDENES'!$Y1061))</f>
        <v/>
      </c>
      <c r="H1083" s="5">
        <f>IF('ORDENES'!$A1061="","",IF('ORDENES'!$AG1061="","-",'ORDENES'!$AG1061))</f>
        <v/>
      </c>
      <c r="I1083" s="5">
        <f>IF('ORDENES'!$A1061="","",IF('ORDENES'!$AT1061="","-",'ORDENES'!$AT1061))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0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IF('ORDENES'!$A1061="","",'ORDENES'!$AF1061)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IF('ORDENES'!$A1062="","",IF('ORDENES'!$AH1062="","-",'ORDENES'!$AH1062))</f>
        <v/>
      </c>
      <c r="D1084" s="5">
        <f>IF('ORDENES'!$A1062="","",IF('ORDENES'!$Z1062="","-",'ORDENES'!$Z1062))</f>
        <v/>
      </c>
      <c r="E1084" s="5">
        <f>IF('ORDENES'!$A1062="","",IF('ORDENES'!$X1062="","-",'ORDENES'!$X1062))</f>
        <v/>
      </c>
      <c r="F1084" s="5">
        <f>IF('ORDENES'!$A1062="","",IF('ORDENES'!$AA1062="","-",'ORDENES'!$AA1062))</f>
        <v/>
      </c>
      <c r="G1084" s="5">
        <f>IF('ORDENES'!$A1062="","",IF('ORDENES'!$Y1062="","-",'ORDENES'!$Y1062))</f>
        <v/>
      </c>
      <c r="H1084" s="5">
        <f>IF('ORDENES'!$A1062="","",IF('ORDENES'!$AG1062="","-",'ORDENES'!$AG1062))</f>
        <v/>
      </c>
      <c r="I1084" s="5">
        <f>IF('ORDENES'!$A1062="","",IF('ORDENES'!$AT1062="","-",'ORDENES'!$AT1062))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0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IF('ORDENES'!$A1062="","",'ORDENES'!$AF1062)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IF('ORDENES'!$A1063="","",IF('ORDENES'!$AH1063="","-",'ORDENES'!$AH1063))</f>
        <v/>
      </c>
      <c r="D1085" s="5">
        <f>IF('ORDENES'!$A1063="","",IF('ORDENES'!$Z1063="","-",'ORDENES'!$Z1063))</f>
        <v/>
      </c>
      <c r="E1085" s="5">
        <f>IF('ORDENES'!$A1063="","",IF('ORDENES'!$X1063="","-",'ORDENES'!$X1063))</f>
        <v/>
      </c>
      <c r="F1085" s="5">
        <f>IF('ORDENES'!$A1063="","",IF('ORDENES'!$AA1063="","-",'ORDENES'!$AA1063))</f>
        <v/>
      </c>
      <c r="G1085" s="5">
        <f>IF('ORDENES'!$A1063="","",IF('ORDENES'!$Y1063="","-",'ORDENES'!$Y1063))</f>
        <v/>
      </c>
      <c r="H1085" s="5">
        <f>IF('ORDENES'!$A1063="","",IF('ORDENES'!$AG1063="","-",'ORDENES'!$AG1063))</f>
        <v/>
      </c>
      <c r="I1085" s="5">
        <f>IF('ORDENES'!$A1063="","",IF('ORDENES'!$AT1063="","-",'ORDENES'!$AT1063))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0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IF('ORDENES'!$A1063="","",'ORDENES'!$AF1063)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IF('ORDENES'!$A1064="","",IF('ORDENES'!$AH1064="","-",'ORDENES'!$AH1064))</f>
        <v/>
      </c>
      <c r="D1086" s="5">
        <f>IF('ORDENES'!$A1064="","",IF('ORDENES'!$Z1064="","-",'ORDENES'!$Z1064))</f>
        <v/>
      </c>
      <c r="E1086" s="5">
        <f>IF('ORDENES'!$A1064="","",IF('ORDENES'!$X1064="","-",'ORDENES'!$X1064))</f>
        <v/>
      </c>
      <c r="F1086" s="5">
        <f>IF('ORDENES'!$A1064="","",IF('ORDENES'!$AA1064="","-",'ORDENES'!$AA1064))</f>
        <v/>
      </c>
      <c r="G1086" s="5">
        <f>IF('ORDENES'!$A1064="","",IF('ORDENES'!$Y1064="","-",'ORDENES'!$Y1064))</f>
        <v/>
      </c>
      <c r="H1086" s="5">
        <f>IF('ORDENES'!$A1064="","",IF('ORDENES'!$AG1064="","-",'ORDENES'!$AG1064))</f>
        <v/>
      </c>
      <c r="I1086" s="5">
        <f>IF('ORDENES'!$A1064="","",IF('ORDENES'!$AT1064="","-",'ORDENES'!$AT1064))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0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IF('ORDENES'!$A1064="","",'ORDENES'!$AF1064)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IF('ORDENES'!$A1065="","",IF('ORDENES'!$AH1065="","-",'ORDENES'!$AH1065))</f>
        <v/>
      </c>
      <c r="D1087" s="5">
        <f>IF('ORDENES'!$A1065="","",IF('ORDENES'!$Z1065="","-",'ORDENES'!$Z1065))</f>
        <v/>
      </c>
      <c r="E1087" s="5">
        <f>IF('ORDENES'!$A1065="","",IF('ORDENES'!$X1065="","-",'ORDENES'!$X1065))</f>
        <v/>
      </c>
      <c r="F1087" s="5">
        <f>IF('ORDENES'!$A1065="","",IF('ORDENES'!$AA1065="","-",'ORDENES'!$AA1065))</f>
        <v/>
      </c>
      <c r="G1087" s="5">
        <f>IF('ORDENES'!$A1065="","",IF('ORDENES'!$Y1065="","-",'ORDENES'!$Y1065))</f>
        <v/>
      </c>
      <c r="H1087" s="5">
        <f>IF('ORDENES'!$A1065="","",IF('ORDENES'!$AG1065="","-",'ORDENES'!$AG1065))</f>
        <v/>
      </c>
      <c r="I1087" s="5">
        <f>IF('ORDENES'!$A1065="","",IF('ORDENES'!$AT1065="","-",'ORDENES'!$AT1065))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0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IF('ORDENES'!$A1065="","",'ORDENES'!$AF1065)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IF('ORDENES'!$A1066="","",IF('ORDENES'!$AH1066="","-",'ORDENES'!$AH1066))</f>
        <v/>
      </c>
      <c r="D1088" s="5">
        <f>IF('ORDENES'!$A1066="","",IF('ORDENES'!$Z1066="","-",'ORDENES'!$Z1066))</f>
        <v/>
      </c>
      <c r="E1088" s="5">
        <f>IF('ORDENES'!$A1066="","",IF('ORDENES'!$X1066="","-",'ORDENES'!$X1066))</f>
        <v/>
      </c>
      <c r="F1088" s="5">
        <f>IF('ORDENES'!$A1066="","",IF('ORDENES'!$AA1066="","-",'ORDENES'!$AA1066))</f>
        <v/>
      </c>
      <c r="G1088" s="5">
        <f>IF('ORDENES'!$A1066="","",IF('ORDENES'!$Y1066="","-",'ORDENES'!$Y1066))</f>
        <v/>
      </c>
      <c r="H1088" s="5">
        <f>IF('ORDENES'!$A1066="","",IF('ORDENES'!$AG1066="","-",'ORDENES'!$AG1066))</f>
        <v/>
      </c>
      <c r="I1088" s="5">
        <f>IF('ORDENES'!$A1066="","",IF('ORDENES'!$AT1066="","-",'ORDENES'!$AT1066))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0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IF('ORDENES'!$A1066="","",'ORDENES'!$AF1066)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IF('ORDENES'!$A1067="","",IF('ORDENES'!$AH1067="","-",'ORDENES'!$AH1067))</f>
        <v/>
      </c>
      <c r="D1089" s="5">
        <f>IF('ORDENES'!$A1067="","",IF('ORDENES'!$Z1067="","-",'ORDENES'!$Z1067))</f>
        <v/>
      </c>
      <c r="E1089" s="5">
        <f>IF('ORDENES'!$A1067="","",IF('ORDENES'!$X1067="","-",'ORDENES'!$X1067))</f>
        <v/>
      </c>
      <c r="F1089" s="5">
        <f>IF('ORDENES'!$A1067="","",IF('ORDENES'!$AA1067="","-",'ORDENES'!$AA1067))</f>
        <v/>
      </c>
      <c r="G1089" s="5">
        <f>IF('ORDENES'!$A1067="","",IF('ORDENES'!$Y1067="","-",'ORDENES'!$Y1067))</f>
        <v/>
      </c>
      <c r="H1089" s="5">
        <f>IF('ORDENES'!$A1067="","",IF('ORDENES'!$AG1067="","-",'ORDENES'!$AG1067))</f>
        <v/>
      </c>
      <c r="I1089" s="5">
        <f>IF('ORDENES'!$A1067="","",IF('ORDENES'!$AT1067="","-",'ORDENES'!$AT1067))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0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IF('ORDENES'!$A1067="","",'ORDENES'!$AF1067)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IF('ORDENES'!$A1068="","",IF('ORDENES'!$AH1068="","-",'ORDENES'!$AH1068))</f>
        <v/>
      </c>
      <c r="D1090" s="5">
        <f>IF('ORDENES'!$A1068="","",IF('ORDENES'!$Z1068="","-",'ORDENES'!$Z1068))</f>
        <v/>
      </c>
      <c r="E1090" s="5">
        <f>IF('ORDENES'!$A1068="","",IF('ORDENES'!$X1068="","-",'ORDENES'!$X1068))</f>
        <v/>
      </c>
      <c r="F1090" s="5">
        <f>IF('ORDENES'!$A1068="","",IF('ORDENES'!$AA1068="","-",'ORDENES'!$AA1068))</f>
        <v/>
      </c>
      <c r="G1090" s="5">
        <f>IF('ORDENES'!$A1068="","",IF('ORDENES'!$Y1068="","-",'ORDENES'!$Y1068))</f>
        <v/>
      </c>
      <c r="H1090" s="5">
        <f>IF('ORDENES'!$A1068="","",IF('ORDENES'!$AG1068="","-",'ORDENES'!$AG1068))</f>
        <v/>
      </c>
      <c r="I1090" s="5">
        <f>IF('ORDENES'!$A1068="","",IF('ORDENES'!$AT1068="","-",'ORDENES'!$AT1068))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0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IF('ORDENES'!$A1068="","",'ORDENES'!$AF1068)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IF('ORDENES'!$A1069="","",IF('ORDENES'!$AH1069="","-",'ORDENES'!$AH1069))</f>
        <v/>
      </c>
      <c r="D1091" s="5">
        <f>IF('ORDENES'!$A1069="","",IF('ORDENES'!$Z1069="","-",'ORDENES'!$Z1069))</f>
        <v/>
      </c>
      <c r="E1091" s="5">
        <f>IF('ORDENES'!$A1069="","",IF('ORDENES'!$X1069="","-",'ORDENES'!$X1069))</f>
        <v/>
      </c>
      <c r="F1091" s="5">
        <f>IF('ORDENES'!$A1069="","",IF('ORDENES'!$AA1069="","-",'ORDENES'!$AA1069))</f>
        <v/>
      </c>
      <c r="G1091" s="5">
        <f>IF('ORDENES'!$A1069="","",IF('ORDENES'!$Y1069="","-",'ORDENES'!$Y1069))</f>
        <v/>
      </c>
      <c r="H1091" s="5">
        <f>IF('ORDENES'!$A1069="","",IF('ORDENES'!$AG1069="","-",'ORDENES'!$AG1069))</f>
        <v/>
      </c>
      <c r="I1091" s="5">
        <f>IF('ORDENES'!$A1069="","",IF('ORDENES'!$AT1069="","-",'ORDENES'!$AT1069))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0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IF('ORDENES'!$A1069="","",'ORDENES'!$AF1069)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IF('ORDENES'!$A1070="","",IF('ORDENES'!$AH1070="","-",'ORDENES'!$AH1070))</f>
        <v/>
      </c>
      <c r="D1092" s="5">
        <f>IF('ORDENES'!$A1070="","",IF('ORDENES'!$Z1070="","-",'ORDENES'!$Z1070))</f>
        <v/>
      </c>
      <c r="E1092" s="5">
        <f>IF('ORDENES'!$A1070="","",IF('ORDENES'!$X1070="","-",'ORDENES'!$X1070))</f>
        <v/>
      </c>
      <c r="F1092" s="5">
        <f>IF('ORDENES'!$A1070="","",IF('ORDENES'!$AA1070="","-",'ORDENES'!$AA1070))</f>
        <v/>
      </c>
      <c r="G1092" s="5">
        <f>IF('ORDENES'!$A1070="","",IF('ORDENES'!$Y1070="","-",'ORDENES'!$Y1070))</f>
        <v/>
      </c>
      <c r="H1092" s="5">
        <f>IF('ORDENES'!$A1070="","",IF('ORDENES'!$AG1070="","-",'ORDENES'!$AG1070))</f>
        <v/>
      </c>
      <c r="I1092" s="5">
        <f>IF('ORDENES'!$A1070="","",IF('ORDENES'!$AT1070="","-",'ORDENES'!$AT1070))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0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IF('ORDENES'!$A1070="","",'ORDENES'!$AF1070)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IF('ORDENES'!$A1071="","",IF('ORDENES'!$AH1071="","-",'ORDENES'!$AH1071))</f>
        <v/>
      </c>
      <c r="D1093" s="5">
        <f>IF('ORDENES'!$A1071="","",IF('ORDENES'!$Z1071="","-",'ORDENES'!$Z1071))</f>
        <v/>
      </c>
      <c r="E1093" s="5">
        <f>IF('ORDENES'!$A1071="","",IF('ORDENES'!$X1071="","-",'ORDENES'!$X1071))</f>
        <v/>
      </c>
      <c r="F1093" s="5">
        <f>IF('ORDENES'!$A1071="","",IF('ORDENES'!$AA1071="","-",'ORDENES'!$AA1071))</f>
        <v/>
      </c>
      <c r="G1093" s="5">
        <f>IF('ORDENES'!$A1071="","",IF('ORDENES'!$Y1071="","-",'ORDENES'!$Y1071))</f>
        <v/>
      </c>
      <c r="H1093" s="5">
        <f>IF('ORDENES'!$A1071="","",IF('ORDENES'!$AG1071="","-",'ORDENES'!$AG1071))</f>
        <v/>
      </c>
      <c r="I1093" s="5">
        <f>IF('ORDENES'!$A1071="","",IF('ORDENES'!$AT1071="","-",'ORDENES'!$AT1071))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0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IF('ORDENES'!$A1071="","",'ORDENES'!$AF1071)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IF('ORDENES'!$A1072="","",IF('ORDENES'!$AH1072="","-",'ORDENES'!$AH1072))</f>
        <v/>
      </c>
      <c r="D1094" s="5">
        <f>IF('ORDENES'!$A1072="","",IF('ORDENES'!$Z1072="","-",'ORDENES'!$Z1072))</f>
        <v/>
      </c>
      <c r="E1094" s="5">
        <f>IF('ORDENES'!$A1072="","",IF('ORDENES'!$X1072="","-",'ORDENES'!$X1072))</f>
        <v/>
      </c>
      <c r="F1094" s="5">
        <f>IF('ORDENES'!$A1072="","",IF('ORDENES'!$AA1072="","-",'ORDENES'!$AA1072))</f>
        <v/>
      </c>
      <c r="G1094" s="5">
        <f>IF('ORDENES'!$A1072="","",IF('ORDENES'!$Y1072="","-",'ORDENES'!$Y1072))</f>
        <v/>
      </c>
      <c r="H1094" s="5">
        <f>IF('ORDENES'!$A1072="","",IF('ORDENES'!$AG1072="","-",'ORDENES'!$AG1072))</f>
        <v/>
      </c>
      <c r="I1094" s="5">
        <f>IF('ORDENES'!$A1072="","",IF('ORDENES'!$AT1072="","-",'ORDENES'!$AT1072))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0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IF('ORDENES'!$A1072="","",'ORDENES'!$AF1072)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IF('ORDENES'!$A1073="","",IF('ORDENES'!$AH1073="","-",'ORDENES'!$AH1073))</f>
        <v/>
      </c>
      <c r="D1095" s="5">
        <f>IF('ORDENES'!$A1073="","",IF('ORDENES'!$Z1073="","-",'ORDENES'!$Z1073))</f>
        <v/>
      </c>
      <c r="E1095" s="5">
        <f>IF('ORDENES'!$A1073="","",IF('ORDENES'!$X1073="","-",'ORDENES'!$X1073))</f>
        <v/>
      </c>
      <c r="F1095" s="5">
        <f>IF('ORDENES'!$A1073="","",IF('ORDENES'!$AA1073="","-",'ORDENES'!$AA1073))</f>
        <v/>
      </c>
      <c r="G1095" s="5">
        <f>IF('ORDENES'!$A1073="","",IF('ORDENES'!$Y1073="","-",'ORDENES'!$Y1073))</f>
        <v/>
      </c>
      <c r="H1095" s="5">
        <f>IF('ORDENES'!$A1073="","",IF('ORDENES'!$AG1073="","-",'ORDENES'!$AG1073))</f>
        <v/>
      </c>
      <c r="I1095" s="5">
        <f>IF('ORDENES'!$A1073="","",IF('ORDENES'!$AT1073="","-",'ORDENES'!$AT1073))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0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IF('ORDENES'!$A1073="","",'ORDENES'!$AF1073)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IF('ORDENES'!$A1074="","",IF('ORDENES'!$AH1074="","-",'ORDENES'!$AH1074))</f>
        <v/>
      </c>
      <c r="D1096" s="5">
        <f>IF('ORDENES'!$A1074="","",IF('ORDENES'!$Z1074="","-",'ORDENES'!$Z1074))</f>
        <v/>
      </c>
      <c r="E1096" s="5">
        <f>IF('ORDENES'!$A1074="","",IF('ORDENES'!$X1074="","-",'ORDENES'!$X1074))</f>
        <v/>
      </c>
      <c r="F1096" s="5">
        <f>IF('ORDENES'!$A1074="","",IF('ORDENES'!$AA1074="","-",'ORDENES'!$AA1074))</f>
        <v/>
      </c>
      <c r="G1096" s="5">
        <f>IF('ORDENES'!$A1074="","",IF('ORDENES'!$Y1074="","-",'ORDENES'!$Y1074))</f>
        <v/>
      </c>
      <c r="H1096" s="5">
        <f>IF('ORDENES'!$A1074="","",IF('ORDENES'!$AG1074="","-",'ORDENES'!$AG1074))</f>
        <v/>
      </c>
      <c r="I1096" s="5">
        <f>IF('ORDENES'!$A1074="","",IF('ORDENES'!$AT1074="","-",'ORDENES'!$AT1074))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0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IF('ORDENES'!$A1074="","",'ORDENES'!$AF1074)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IF('ORDENES'!$A1075="","",IF('ORDENES'!$AH1075="","-",'ORDENES'!$AH1075))</f>
        <v/>
      </c>
      <c r="D1097" s="5">
        <f>IF('ORDENES'!$A1075="","",IF('ORDENES'!$Z1075="","-",'ORDENES'!$Z1075))</f>
        <v/>
      </c>
      <c r="E1097" s="5">
        <f>IF('ORDENES'!$A1075="","",IF('ORDENES'!$X1075="","-",'ORDENES'!$X1075))</f>
        <v/>
      </c>
      <c r="F1097" s="5">
        <f>IF('ORDENES'!$A1075="","",IF('ORDENES'!$AA1075="","-",'ORDENES'!$AA1075))</f>
        <v/>
      </c>
      <c r="G1097" s="5">
        <f>IF('ORDENES'!$A1075="","",IF('ORDENES'!$Y1075="","-",'ORDENES'!$Y1075))</f>
        <v/>
      </c>
      <c r="H1097" s="5">
        <f>IF('ORDENES'!$A1075="","",IF('ORDENES'!$AG1075="","-",'ORDENES'!$AG1075))</f>
        <v/>
      </c>
      <c r="I1097" s="5">
        <f>IF('ORDENES'!$A1075="","",IF('ORDENES'!$AT1075="","-",'ORDENES'!$AT1075))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0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IF('ORDENES'!$A1075="","",'ORDENES'!$AF1075)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IF('ORDENES'!$A1076="","",IF('ORDENES'!$AH1076="","-",'ORDENES'!$AH1076))</f>
        <v/>
      </c>
      <c r="D1098" s="5">
        <f>IF('ORDENES'!$A1076="","",IF('ORDENES'!$Z1076="","-",'ORDENES'!$Z1076))</f>
        <v/>
      </c>
      <c r="E1098" s="5">
        <f>IF('ORDENES'!$A1076="","",IF('ORDENES'!$X1076="","-",'ORDENES'!$X1076))</f>
        <v/>
      </c>
      <c r="F1098" s="5">
        <f>IF('ORDENES'!$A1076="","",IF('ORDENES'!$AA1076="","-",'ORDENES'!$AA1076))</f>
        <v/>
      </c>
      <c r="G1098" s="5">
        <f>IF('ORDENES'!$A1076="","",IF('ORDENES'!$Y1076="","-",'ORDENES'!$Y1076))</f>
        <v/>
      </c>
      <c r="H1098" s="5">
        <f>IF('ORDENES'!$A1076="","",IF('ORDENES'!$AG1076="","-",'ORDENES'!$AG1076))</f>
        <v/>
      </c>
      <c r="I1098" s="5">
        <f>IF('ORDENES'!$A1076="","",IF('ORDENES'!$AT1076="","-",'ORDENES'!$AT1076))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0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IF('ORDENES'!$A1076="","",'ORDENES'!$AF1076)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IF('ORDENES'!$A1077="","",IF('ORDENES'!$AH1077="","-",'ORDENES'!$AH1077))</f>
        <v/>
      </c>
      <c r="D1099" s="5">
        <f>IF('ORDENES'!$A1077="","",IF('ORDENES'!$Z1077="","-",'ORDENES'!$Z1077))</f>
        <v/>
      </c>
      <c r="E1099" s="5">
        <f>IF('ORDENES'!$A1077="","",IF('ORDENES'!$X1077="","-",'ORDENES'!$X1077))</f>
        <v/>
      </c>
      <c r="F1099" s="5">
        <f>IF('ORDENES'!$A1077="","",IF('ORDENES'!$AA1077="","-",'ORDENES'!$AA1077))</f>
        <v/>
      </c>
      <c r="G1099" s="5">
        <f>IF('ORDENES'!$A1077="","",IF('ORDENES'!$Y1077="","-",'ORDENES'!$Y1077))</f>
        <v/>
      </c>
      <c r="H1099" s="5">
        <f>IF('ORDENES'!$A1077="","",IF('ORDENES'!$AG1077="","-",'ORDENES'!$AG1077))</f>
        <v/>
      </c>
      <c r="I1099" s="5">
        <f>IF('ORDENES'!$A1077="","",IF('ORDENES'!$AT1077="","-",'ORDENES'!$AT1077))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0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IF('ORDENES'!$A1077="","",'ORDENES'!$AF1077)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IF('ORDENES'!$A1078="","",IF('ORDENES'!$AH1078="","-",'ORDENES'!$AH1078))</f>
        <v/>
      </c>
      <c r="D1100" s="5">
        <f>IF('ORDENES'!$A1078="","",IF('ORDENES'!$Z1078="","-",'ORDENES'!$Z1078))</f>
        <v/>
      </c>
      <c r="E1100" s="5">
        <f>IF('ORDENES'!$A1078="","",IF('ORDENES'!$X1078="","-",'ORDENES'!$X1078))</f>
        <v/>
      </c>
      <c r="F1100" s="5">
        <f>IF('ORDENES'!$A1078="","",IF('ORDENES'!$AA1078="","-",'ORDENES'!$AA1078))</f>
        <v/>
      </c>
      <c r="G1100" s="5">
        <f>IF('ORDENES'!$A1078="","",IF('ORDENES'!$Y1078="","-",'ORDENES'!$Y1078))</f>
        <v/>
      </c>
      <c r="H1100" s="5">
        <f>IF('ORDENES'!$A1078="","",IF('ORDENES'!$AG1078="","-",'ORDENES'!$AG1078))</f>
        <v/>
      </c>
      <c r="I1100" s="5">
        <f>IF('ORDENES'!$A1078="","",IF('ORDENES'!$AT1078="","-",'ORDENES'!$AT1078))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0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IF('ORDENES'!$A1078="","",'ORDENES'!$AF1078)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IF('ORDENES'!$A1079="","",IF('ORDENES'!$AH1079="","-",'ORDENES'!$AH1079))</f>
        <v/>
      </c>
      <c r="D1101" s="5">
        <f>IF('ORDENES'!$A1079="","",IF('ORDENES'!$Z1079="","-",'ORDENES'!$Z1079))</f>
        <v/>
      </c>
      <c r="E1101" s="5">
        <f>IF('ORDENES'!$A1079="","",IF('ORDENES'!$X1079="","-",'ORDENES'!$X1079))</f>
        <v/>
      </c>
      <c r="F1101" s="5">
        <f>IF('ORDENES'!$A1079="","",IF('ORDENES'!$AA1079="","-",'ORDENES'!$AA1079))</f>
        <v/>
      </c>
      <c r="G1101" s="5">
        <f>IF('ORDENES'!$A1079="","",IF('ORDENES'!$Y1079="","-",'ORDENES'!$Y1079))</f>
        <v/>
      </c>
      <c r="H1101" s="5">
        <f>IF('ORDENES'!$A1079="","",IF('ORDENES'!$AG1079="","-",'ORDENES'!$AG1079))</f>
        <v/>
      </c>
      <c r="I1101" s="5">
        <f>IF('ORDENES'!$A1079="","",IF('ORDENES'!$AT1079="","-",'ORDENES'!$AT1079))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0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IF('ORDENES'!$A1079="","",'ORDENES'!$AF1079)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IF('ORDENES'!$A1080="","",IF('ORDENES'!$AH1080="","-",'ORDENES'!$AH1080))</f>
        <v/>
      </c>
      <c r="D1102" s="5">
        <f>IF('ORDENES'!$A1080="","",IF('ORDENES'!$Z1080="","-",'ORDENES'!$Z1080))</f>
        <v/>
      </c>
      <c r="E1102" s="5">
        <f>IF('ORDENES'!$A1080="","",IF('ORDENES'!$X1080="","-",'ORDENES'!$X1080))</f>
        <v/>
      </c>
      <c r="F1102" s="5">
        <f>IF('ORDENES'!$A1080="","",IF('ORDENES'!$AA1080="","-",'ORDENES'!$AA1080))</f>
        <v/>
      </c>
      <c r="G1102" s="5">
        <f>IF('ORDENES'!$A1080="","",IF('ORDENES'!$Y1080="","-",'ORDENES'!$Y1080))</f>
        <v/>
      </c>
      <c r="H1102" s="5">
        <f>IF('ORDENES'!$A1080="","",IF('ORDENES'!$AG1080="","-",'ORDENES'!$AG1080))</f>
        <v/>
      </c>
      <c r="I1102" s="5">
        <f>IF('ORDENES'!$A1080="","",IF('ORDENES'!$AT1080="","-",'ORDENES'!$AT1080))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0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IF('ORDENES'!$A1080="","",'ORDENES'!$AF1080)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IF('ORDENES'!$A1081="","",IF('ORDENES'!$AH1081="","-",'ORDENES'!$AH1081))</f>
        <v/>
      </c>
      <c r="D1103" s="5">
        <f>IF('ORDENES'!$A1081="","",IF('ORDENES'!$Z1081="","-",'ORDENES'!$Z1081))</f>
        <v/>
      </c>
      <c r="E1103" s="5">
        <f>IF('ORDENES'!$A1081="","",IF('ORDENES'!$X1081="","-",'ORDENES'!$X1081))</f>
        <v/>
      </c>
      <c r="F1103" s="5">
        <f>IF('ORDENES'!$A1081="","",IF('ORDENES'!$AA1081="","-",'ORDENES'!$AA1081))</f>
        <v/>
      </c>
      <c r="G1103" s="5">
        <f>IF('ORDENES'!$A1081="","",IF('ORDENES'!$Y1081="","-",'ORDENES'!$Y1081))</f>
        <v/>
      </c>
      <c r="H1103" s="5">
        <f>IF('ORDENES'!$A1081="","",IF('ORDENES'!$AG1081="","-",'ORDENES'!$AG1081))</f>
        <v/>
      </c>
      <c r="I1103" s="5">
        <f>IF('ORDENES'!$A1081="","",IF('ORDENES'!$AT1081="","-",'ORDENES'!$AT1081))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0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IF('ORDENES'!$A1081="","",'ORDENES'!$AF1081)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IF('ORDENES'!$A1082="","",IF('ORDENES'!$AH1082="","-",'ORDENES'!$AH1082))</f>
        <v/>
      </c>
      <c r="D1104" s="5">
        <f>IF('ORDENES'!$A1082="","",IF('ORDENES'!$Z1082="","-",'ORDENES'!$Z1082))</f>
        <v/>
      </c>
      <c r="E1104" s="5">
        <f>IF('ORDENES'!$A1082="","",IF('ORDENES'!$X1082="","-",'ORDENES'!$X1082))</f>
        <v/>
      </c>
      <c r="F1104" s="5">
        <f>IF('ORDENES'!$A1082="","",IF('ORDENES'!$AA1082="","-",'ORDENES'!$AA1082))</f>
        <v/>
      </c>
      <c r="G1104" s="5">
        <f>IF('ORDENES'!$A1082="","",IF('ORDENES'!$Y1082="","-",'ORDENES'!$Y1082))</f>
        <v/>
      </c>
      <c r="H1104" s="5">
        <f>IF('ORDENES'!$A1082="","",IF('ORDENES'!$AG1082="","-",'ORDENES'!$AG1082))</f>
        <v/>
      </c>
      <c r="I1104" s="5">
        <f>IF('ORDENES'!$A1082="","",IF('ORDENES'!$AT1082="","-",'ORDENES'!$AT1082))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0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IF('ORDENES'!$A1082="","",'ORDENES'!$AF1082)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IF('ORDENES'!$A1083="","",IF('ORDENES'!$AH1083="","-",'ORDENES'!$AH1083))</f>
        <v/>
      </c>
      <c r="D1105" s="5">
        <f>IF('ORDENES'!$A1083="","",IF('ORDENES'!$Z1083="","-",'ORDENES'!$Z1083))</f>
        <v/>
      </c>
      <c r="E1105" s="5">
        <f>IF('ORDENES'!$A1083="","",IF('ORDENES'!$X1083="","-",'ORDENES'!$X1083))</f>
        <v/>
      </c>
      <c r="F1105" s="5">
        <f>IF('ORDENES'!$A1083="","",IF('ORDENES'!$AA1083="","-",'ORDENES'!$AA1083))</f>
        <v/>
      </c>
      <c r="G1105" s="5">
        <f>IF('ORDENES'!$A1083="","",IF('ORDENES'!$Y1083="","-",'ORDENES'!$Y1083))</f>
        <v/>
      </c>
      <c r="H1105" s="5">
        <f>IF('ORDENES'!$A1083="","",IF('ORDENES'!$AG1083="","-",'ORDENES'!$AG1083))</f>
        <v/>
      </c>
      <c r="I1105" s="5">
        <f>IF('ORDENES'!$A1083="","",IF('ORDENES'!$AT1083="","-",'ORDENES'!$AT1083))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0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IF('ORDENES'!$A1083="","",'ORDENES'!$AF1083)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IF('ORDENES'!$A1084="","",IF('ORDENES'!$AH1084="","-",'ORDENES'!$AH1084))</f>
        <v/>
      </c>
      <c r="D1106" s="5">
        <f>IF('ORDENES'!$A1084="","",IF('ORDENES'!$Z1084="","-",'ORDENES'!$Z1084))</f>
        <v/>
      </c>
      <c r="E1106" s="5">
        <f>IF('ORDENES'!$A1084="","",IF('ORDENES'!$X1084="","-",'ORDENES'!$X1084))</f>
        <v/>
      </c>
      <c r="F1106" s="5">
        <f>IF('ORDENES'!$A1084="","",IF('ORDENES'!$AA1084="","-",'ORDENES'!$AA1084))</f>
        <v/>
      </c>
      <c r="G1106" s="5">
        <f>IF('ORDENES'!$A1084="","",IF('ORDENES'!$Y1084="","-",'ORDENES'!$Y1084))</f>
        <v/>
      </c>
      <c r="H1106" s="5">
        <f>IF('ORDENES'!$A1084="","",IF('ORDENES'!$AG1084="","-",'ORDENES'!$AG1084))</f>
        <v/>
      </c>
      <c r="I1106" s="5">
        <f>IF('ORDENES'!$A1084="","",IF('ORDENES'!$AT1084="","-",'ORDENES'!$AT1084))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0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IF('ORDENES'!$A1084="","",'ORDENES'!$AF1084)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IF('ORDENES'!$A1085="","",IF('ORDENES'!$AH1085="","-",'ORDENES'!$AH1085))</f>
        <v/>
      </c>
      <c r="D1107" s="5">
        <f>IF('ORDENES'!$A1085="","",IF('ORDENES'!$Z1085="","-",'ORDENES'!$Z1085))</f>
        <v/>
      </c>
      <c r="E1107" s="5">
        <f>IF('ORDENES'!$A1085="","",IF('ORDENES'!$X1085="","-",'ORDENES'!$X1085))</f>
        <v/>
      </c>
      <c r="F1107" s="5">
        <f>IF('ORDENES'!$A1085="","",IF('ORDENES'!$AA1085="","-",'ORDENES'!$AA1085))</f>
        <v/>
      </c>
      <c r="G1107" s="5">
        <f>IF('ORDENES'!$A1085="","",IF('ORDENES'!$Y1085="","-",'ORDENES'!$Y1085))</f>
        <v/>
      </c>
      <c r="H1107" s="5">
        <f>IF('ORDENES'!$A1085="","",IF('ORDENES'!$AG1085="","-",'ORDENES'!$AG1085))</f>
        <v/>
      </c>
      <c r="I1107" s="5">
        <f>IF('ORDENES'!$A1085="","",IF('ORDENES'!$AT1085="","-",'ORDENES'!$AT1085))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0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IF('ORDENES'!$A1085="","",'ORDENES'!$AF1085)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IF('ORDENES'!$A1086="","",IF('ORDENES'!$AH1086="","-",'ORDENES'!$AH1086))</f>
        <v/>
      </c>
      <c r="D1108" s="5">
        <f>IF('ORDENES'!$A1086="","",IF('ORDENES'!$Z1086="","-",'ORDENES'!$Z1086))</f>
        <v/>
      </c>
      <c r="E1108" s="5">
        <f>IF('ORDENES'!$A1086="","",IF('ORDENES'!$X1086="","-",'ORDENES'!$X1086))</f>
        <v/>
      </c>
      <c r="F1108" s="5">
        <f>IF('ORDENES'!$A1086="","",IF('ORDENES'!$AA1086="","-",'ORDENES'!$AA1086))</f>
        <v/>
      </c>
      <c r="G1108" s="5">
        <f>IF('ORDENES'!$A1086="","",IF('ORDENES'!$Y1086="","-",'ORDENES'!$Y1086))</f>
        <v/>
      </c>
      <c r="H1108" s="5">
        <f>IF('ORDENES'!$A1086="","",IF('ORDENES'!$AG1086="","-",'ORDENES'!$AG1086))</f>
        <v/>
      </c>
      <c r="I1108" s="5">
        <f>IF('ORDENES'!$A1086="","",IF('ORDENES'!$AT1086="","-",'ORDENES'!$AT1086))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0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IF('ORDENES'!$A1086="","",'ORDENES'!$AF1086)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IF('ORDENES'!$A1087="","",IF('ORDENES'!$AH1087="","-",'ORDENES'!$AH1087))</f>
        <v/>
      </c>
      <c r="D1109" s="5">
        <f>IF('ORDENES'!$A1087="","",IF('ORDENES'!$Z1087="","-",'ORDENES'!$Z1087))</f>
        <v/>
      </c>
      <c r="E1109" s="5">
        <f>IF('ORDENES'!$A1087="","",IF('ORDENES'!$X1087="","-",'ORDENES'!$X1087))</f>
        <v/>
      </c>
      <c r="F1109" s="5">
        <f>IF('ORDENES'!$A1087="","",IF('ORDENES'!$AA1087="","-",'ORDENES'!$AA1087))</f>
        <v/>
      </c>
      <c r="G1109" s="5">
        <f>IF('ORDENES'!$A1087="","",IF('ORDENES'!$Y1087="","-",'ORDENES'!$Y1087))</f>
        <v/>
      </c>
      <c r="H1109" s="5">
        <f>IF('ORDENES'!$A1087="","",IF('ORDENES'!$AG1087="","-",'ORDENES'!$AG1087))</f>
        <v/>
      </c>
      <c r="I1109" s="5">
        <f>IF('ORDENES'!$A1087="","",IF('ORDENES'!$AT1087="","-",'ORDENES'!$AT1087))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0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IF('ORDENES'!$A1087="","",'ORDENES'!$AF1087)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IF('ORDENES'!$A1088="","",IF('ORDENES'!$AH1088="","-",'ORDENES'!$AH1088))</f>
        <v/>
      </c>
      <c r="D1110" s="5">
        <f>IF('ORDENES'!$A1088="","",IF('ORDENES'!$Z1088="","-",'ORDENES'!$Z1088))</f>
        <v/>
      </c>
      <c r="E1110" s="5">
        <f>IF('ORDENES'!$A1088="","",IF('ORDENES'!$X1088="","-",'ORDENES'!$X1088))</f>
        <v/>
      </c>
      <c r="F1110" s="5">
        <f>IF('ORDENES'!$A1088="","",IF('ORDENES'!$AA1088="","-",'ORDENES'!$AA1088))</f>
        <v/>
      </c>
      <c r="G1110" s="5">
        <f>IF('ORDENES'!$A1088="","",IF('ORDENES'!$Y1088="","-",'ORDENES'!$Y1088))</f>
        <v/>
      </c>
      <c r="H1110" s="5">
        <f>IF('ORDENES'!$A1088="","",IF('ORDENES'!$AG1088="","-",'ORDENES'!$AG1088))</f>
        <v/>
      </c>
      <c r="I1110" s="5">
        <f>IF('ORDENES'!$A1088="","",IF('ORDENES'!$AT1088="","-",'ORDENES'!$AT1088))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0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IF('ORDENES'!$A1088="","",'ORDENES'!$AF1088)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IF('ORDENES'!$A1089="","",IF('ORDENES'!$AH1089="","-",'ORDENES'!$AH1089))</f>
        <v/>
      </c>
      <c r="D1111" s="5">
        <f>IF('ORDENES'!$A1089="","",IF('ORDENES'!$Z1089="","-",'ORDENES'!$Z1089))</f>
        <v/>
      </c>
      <c r="E1111" s="5">
        <f>IF('ORDENES'!$A1089="","",IF('ORDENES'!$X1089="","-",'ORDENES'!$X1089))</f>
        <v/>
      </c>
      <c r="F1111" s="5">
        <f>IF('ORDENES'!$A1089="","",IF('ORDENES'!$AA1089="","-",'ORDENES'!$AA1089))</f>
        <v/>
      </c>
      <c r="G1111" s="5">
        <f>IF('ORDENES'!$A1089="","",IF('ORDENES'!$Y1089="","-",'ORDENES'!$Y1089))</f>
        <v/>
      </c>
      <c r="H1111" s="5">
        <f>IF('ORDENES'!$A1089="","",IF('ORDENES'!$AG1089="","-",'ORDENES'!$AG1089))</f>
        <v/>
      </c>
      <c r="I1111" s="5">
        <f>IF('ORDENES'!$A1089="","",IF('ORDENES'!$AT1089="","-",'ORDENES'!$AT1089))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0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IF('ORDENES'!$A1089="","",'ORDENES'!$AF1089)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IF('ORDENES'!$A1090="","",IF('ORDENES'!$AH1090="","-",'ORDENES'!$AH1090))</f>
        <v/>
      </c>
      <c r="D1112" s="5">
        <f>IF('ORDENES'!$A1090="","",IF('ORDENES'!$Z1090="","-",'ORDENES'!$Z1090))</f>
        <v/>
      </c>
      <c r="E1112" s="5">
        <f>IF('ORDENES'!$A1090="","",IF('ORDENES'!$X1090="","-",'ORDENES'!$X1090))</f>
        <v/>
      </c>
      <c r="F1112" s="5">
        <f>IF('ORDENES'!$A1090="","",IF('ORDENES'!$AA1090="","-",'ORDENES'!$AA1090))</f>
        <v/>
      </c>
      <c r="G1112" s="5">
        <f>IF('ORDENES'!$A1090="","",IF('ORDENES'!$Y1090="","-",'ORDENES'!$Y1090))</f>
        <v/>
      </c>
      <c r="H1112" s="5">
        <f>IF('ORDENES'!$A1090="","",IF('ORDENES'!$AG1090="","-",'ORDENES'!$AG1090))</f>
        <v/>
      </c>
      <c r="I1112" s="5">
        <f>IF('ORDENES'!$A1090="","",IF('ORDENES'!$AT1090="","-",'ORDENES'!$AT1090))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0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IF('ORDENES'!$A1090="","",'ORDENES'!$AF1090)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IF('ORDENES'!$A1091="","",IF('ORDENES'!$AH1091="","-",'ORDENES'!$AH1091))</f>
        <v/>
      </c>
      <c r="D1113" s="5">
        <f>IF('ORDENES'!$A1091="","",IF('ORDENES'!$Z1091="","-",'ORDENES'!$Z1091))</f>
        <v/>
      </c>
      <c r="E1113" s="5">
        <f>IF('ORDENES'!$A1091="","",IF('ORDENES'!$X1091="","-",'ORDENES'!$X1091))</f>
        <v/>
      </c>
      <c r="F1113" s="5">
        <f>IF('ORDENES'!$A1091="","",IF('ORDENES'!$AA1091="","-",'ORDENES'!$AA1091))</f>
        <v/>
      </c>
      <c r="G1113" s="5">
        <f>IF('ORDENES'!$A1091="","",IF('ORDENES'!$Y1091="","-",'ORDENES'!$Y1091))</f>
        <v/>
      </c>
      <c r="H1113" s="5">
        <f>IF('ORDENES'!$A1091="","",IF('ORDENES'!$AG1091="","-",'ORDENES'!$AG1091))</f>
        <v/>
      </c>
      <c r="I1113" s="5">
        <f>IF('ORDENES'!$A1091="","",IF('ORDENES'!$AT1091="","-",'ORDENES'!$AT1091))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0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IF('ORDENES'!$A1091="","",'ORDENES'!$AF1091)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IF('ORDENES'!$A1092="","",IF('ORDENES'!$AH1092="","-",'ORDENES'!$AH1092))</f>
        <v/>
      </c>
      <c r="D1114" s="5">
        <f>IF('ORDENES'!$A1092="","",IF('ORDENES'!$Z1092="","-",'ORDENES'!$Z1092))</f>
        <v/>
      </c>
      <c r="E1114" s="5">
        <f>IF('ORDENES'!$A1092="","",IF('ORDENES'!$X1092="","-",'ORDENES'!$X1092))</f>
        <v/>
      </c>
      <c r="F1114" s="5">
        <f>IF('ORDENES'!$A1092="","",IF('ORDENES'!$AA1092="","-",'ORDENES'!$AA1092))</f>
        <v/>
      </c>
      <c r="G1114" s="5">
        <f>IF('ORDENES'!$A1092="","",IF('ORDENES'!$Y1092="","-",'ORDENES'!$Y1092))</f>
        <v/>
      </c>
      <c r="H1114" s="5">
        <f>IF('ORDENES'!$A1092="","",IF('ORDENES'!$AG1092="","-",'ORDENES'!$AG1092))</f>
        <v/>
      </c>
      <c r="I1114" s="5">
        <f>IF('ORDENES'!$A1092="","",IF('ORDENES'!$AT1092="","-",'ORDENES'!$AT1092))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0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IF('ORDENES'!$A1092="","",'ORDENES'!$AF1092)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IF('ORDENES'!$A1093="","",IF('ORDENES'!$AH1093="","-",'ORDENES'!$AH1093))</f>
        <v/>
      </c>
      <c r="D1115" s="5">
        <f>IF('ORDENES'!$A1093="","",IF('ORDENES'!$Z1093="","-",'ORDENES'!$Z1093))</f>
        <v/>
      </c>
      <c r="E1115" s="5">
        <f>IF('ORDENES'!$A1093="","",IF('ORDENES'!$X1093="","-",'ORDENES'!$X1093))</f>
        <v/>
      </c>
      <c r="F1115" s="5">
        <f>IF('ORDENES'!$A1093="","",IF('ORDENES'!$AA1093="","-",'ORDENES'!$AA1093))</f>
        <v/>
      </c>
      <c r="G1115" s="5">
        <f>IF('ORDENES'!$A1093="","",IF('ORDENES'!$Y1093="","-",'ORDENES'!$Y1093))</f>
        <v/>
      </c>
      <c r="H1115" s="5">
        <f>IF('ORDENES'!$A1093="","",IF('ORDENES'!$AG1093="","-",'ORDENES'!$AG1093))</f>
        <v/>
      </c>
      <c r="I1115" s="5">
        <f>IF('ORDENES'!$A1093="","",IF('ORDENES'!$AT1093="","-",'ORDENES'!$AT1093))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0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IF('ORDENES'!$A1093="","",'ORDENES'!$AF1093)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IF('ORDENES'!$A1094="","",IF('ORDENES'!$AH1094="","-",'ORDENES'!$AH1094))</f>
        <v/>
      </c>
      <c r="D1116" s="5">
        <f>IF('ORDENES'!$A1094="","",IF('ORDENES'!$Z1094="","-",'ORDENES'!$Z1094))</f>
        <v/>
      </c>
      <c r="E1116" s="5">
        <f>IF('ORDENES'!$A1094="","",IF('ORDENES'!$X1094="","-",'ORDENES'!$X1094))</f>
        <v/>
      </c>
      <c r="F1116" s="5">
        <f>IF('ORDENES'!$A1094="","",IF('ORDENES'!$AA1094="","-",'ORDENES'!$AA1094))</f>
        <v/>
      </c>
      <c r="G1116" s="5">
        <f>IF('ORDENES'!$A1094="","",IF('ORDENES'!$Y1094="","-",'ORDENES'!$Y1094))</f>
        <v/>
      </c>
      <c r="H1116" s="5">
        <f>IF('ORDENES'!$A1094="","",IF('ORDENES'!$AG1094="","-",'ORDENES'!$AG1094))</f>
        <v/>
      </c>
      <c r="I1116" s="5">
        <f>IF('ORDENES'!$A1094="","",IF('ORDENES'!$AT1094="","-",'ORDENES'!$AT1094))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0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IF('ORDENES'!$A1094="","",'ORDENES'!$AF1094)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IF('ORDENES'!$A1095="","",IF('ORDENES'!$AH1095="","-",'ORDENES'!$AH1095))</f>
        <v/>
      </c>
      <c r="D1117" s="5">
        <f>IF('ORDENES'!$A1095="","",IF('ORDENES'!$Z1095="","-",'ORDENES'!$Z1095))</f>
        <v/>
      </c>
      <c r="E1117" s="5">
        <f>IF('ORDENES'!$A1095="","",IF('ORDENES'!$X1095="","-",'ORDENES'!$X1095))</f>
        <v/>
      </c>
      <c r="F1117" s="5">
        <f>IF('ORDENES'!$A1095="","",IF('ORDENES'!$AA1095="","-",'ORDENES'!$AA1095))</f>
        <v/>
      </c>
      <c r="G1117" s="5">
        <f>IF('ORDENES'!$A1095="","",IF('ORDENES'!$Y1095="","-",'ORDENES'!$Y1095))</f>
        <v/>
      </c>
      <c r="H1117" s="5">
        <f>IF('ORDENES'!$A1095="","",IF('ORDENES'!$AG1095="","-",'ORDENES'!$AG1095))</f>
        <v/>
      </c>
      <c r="I1117" s="5">
        <f>IF('ORDENES'!$A1095="","",IF('ORDENES'!$AT1095="","-",'ORDENES'!$AT1095))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0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IF('ORDENES'!$A1095="","",'ORDENES'!$AF1095)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IF('ORDENES'!$A1096="","",IF('ORDENES'!$AH1096="","-",'ORDENES'!$AH1096))</f>
        <v/>
      </c>
      <c r="D1118" s="5">
        <f>IF('ORDENES'!$A1096="","",IF('ORDENES'!$Z1096="","-",'ORDENES'!$Z1096))</f>
        <v/>
      </c>
      <c r="E1118" s="5">
        <f>IF('ORDENES'!$A1096="","",IF('ORDENES'!$X1096="","-",'ORDENES'!$X1096))</f>
        <v/>
      </c>
      <c r="F1118" s="5">
        <f>IF('ORDENES'!$A1096="","",IF('ORDENES'!$AA1096="","-",'ORDENES'!$AA1096))</f>
        <v/>
      </c>
      <c r="G1118" s="5">
        <f>IF('ORDENES'!$A1096="","",IF('ORDENES'!$Y1096="","-",'ORDENES'!$Y1096))</f>
        <v/>
      </c>
      <c r="H1118" s="5">
        <f>IF('ORDENES'!$A1096="","",IF('ORDENES'!$AG1096="","-",'ORDENES'!$AG1096))</f>
        <v/>
      </c>
      <c r="I1118" s="5">
        <f>IF('ORDENES'!$A1096="","",IF('ORDENES'!$AT1096="","-",'ORDENES'!$AT1096))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0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IF('ORDENES'!$A1096="","",'ORDENES'!$AF1096)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IF('ORDENES'!$A1097="","",IF('ORDENES'!$AH1097="","-",'ORDENES'!$AH1097))</f>
        <v/>
      </c>
      <c r="D1119" s="5">
        <f>IF('ORDENES'!$A1097="","",IF('ORDENES'!$Z1097="","-",'ORDENES'!$Z1097))</f>
        <v/>
      </c>
      <c r="E1119" s="5">
        <f>IF('ORDENES'!$A1097="","",IF('ORDENES'!$X1097="","-",'ORDENES'!$X1097))</f>
        <v/>
      </c>
      <c r="F1119" s="5">
        <f>IF('ORDENES'!$A1097="","",IF('ORDENES'!$AA1097="","-",'ORDENES'!$AA1097))</f>
        <v/>
      </c>
      <c r="G1119" s="5">
        <f>IF('ORDENES'!$A1097="","",IF('ORDENES'!$Y1097="","-",'ORDENES'!$Y1097))</f>
        <v/>
      </c>
      <c r="H1119" s="5">
        <f>IF('ORDENES'!$A1097="","",IF('ORDENES'!$AG1097="","-",'ORDENES'!$AG1097))</f>
        <v/>
      </c>
      <c r="I1119" s="5">
        <f>IF('ORDENES'!$A1097="","",IF('ORDENES'!$AT1097="","-",'ORDENES'!$AT1097))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0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IF('ORDENES'!$A1097="","",'ORDENES'!$AF1097)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IF('ORDENES'!$A1098="","",IF('ORDENES'!$AH1098="","-",'ORDENES'!$AH1098))</f>
        <v/>
      </c>
      <c r="D1120" s="5">
        <f>IF('ORDENES'!$A1098="","",IF('ORDENES'!$Z1098="","-",'ORDENES'!$Z1098))</f>
        <v/>
      </c>
      <c r="E1120" s="5">
        <f>IF('ORDENES'!$A1098="","",IF('ORDENES'!$X1098="","-",'ORDENES'!$X1098))</f>
        <v/>
      </c>
      <c r="F1120" s="5">
        <f>IF('ORDENES'!$A1098="","",IF('ORDENES'!$AA1098="","-",'ORDENES'!$AA1098))</f>
        <v/>
      </c>
      <c r="G1120" s="5">
        <f>IF('ORDENES'!$A1098="","",IF('ORDENES'!$Y1098="","-",'ORDENES'!$Y1098))</f>
        <v/>
      </c>
      <c r="H1120" s="5">
        <f>IF('ORDENES'!$A1098="","",IF('ORDENES'!$AG1098="","-",'ORDENES'!$AG1098))</f>
        <v/>
      </c>
      <c r="I1120" s="5">
        <f>IF('ORDENES'!$A1098="","",IF('ORDENES'!$AT1098="","-",'ORDENES'!$AT1098))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0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IF('ORDENES'!$A1098="","",'ORDENES'!$AF1098)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IF('ORDENES'!$A1099="","",IF('ORDENES'!$AH1099="","-",'ORDENES'!$AH1099))</f>
        <v/>
      </c>
      <c r="D1121" s="5">
        <f>IF('ORDENES'!$A1099="","",IF('ORDENES'!$Z1099="","-",'ORDENES'!$Z1099))</f>
        <v/>
      </c>
      <c r="E1121" s="5">
        <f>IF('ORDENES'!$A1099="","",IF('ORDENES'!$X1099="","-",'ORDENES'!$X1099))</f>
        <v/>
      </c>
      <c r="F1121" s="5">
        <f>IF('ORDENES'!$A1099="","",IF('ORDENES'!$AA1099="","-",'ORDENES'!$AA1099))</f>
        <v/>
      </c>
      <c r="G1121" s="5">
        <f>IF('ORDENES'!$A1099="","",IF('ORDENES'!$Y1099="","-",'ORDENES'!$Y1099))</f>
        <v/>
      </c>
      <c r="H1121" s="5">
        <f>IF('ORDENES'!$A1099="","",IF('ORDENES'!$AG1099="","-",'ORDENES'!$AG1099))</f>
        <v/>
      </c>
      <c r="I1121" s="5">
        <f>IF('ORDENES'!$A1099="","",IF('ORDENES'!$AT1099="","-",'ORDENES'!$AT1099))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0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IF('ORDENES'!$A1099="","",'ORDENES'!$AF1099)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IF('ORDENES'!$A1100="","",IF('ORDENES'!$AH1100="","-",'ORDENES'!$AH1100))</f>
        <v/>
      </c>
      <c r="D1122" s="5">
        <f>IF('ORDENES'!$A1100="","",IF('ORDENES'!$Z1100="","-",'ORDENES'!$Z1100))</f>
        <v/>
      </c>
      <c r="E1122" s="5">
        <f>IF('ORDENES'!$A1100="","",IF('ORDENES'!$X1100="","-",'ORDENES'!$X1100))</f>
        <v/>
      </c>
      <c r="F1122" s="5">
        <f>IF('ORDENES'!$A1100="","",IF('ORDENES'!$AA1100="","-",'ORDENES'!$AA1100))</f>
        <v/>
      </c>
      <c r="G1122" s="5">
        <f>IF('ORDENES'!$A1100="","",IF('ORDENES'!$Y1100="","-",'ORDENES'!$Y1100))</f>
        <v/>
      </c>
      <c r="H1122" s="5">
        <f>IF('ORDENES'!$A1100="","",IF('ORDENES'!$AG1100="","-",'ORDENES'!$AG1100))</f>
        <v/>
      </c>
      <c r="I1122" s="5">
        <f>IF('ORDENES'!$A1100="","",IF('ORDENES'!$AT1100="","-",'ORDENES'!$AT1100))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0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IF('ORDENES'!$A1100="","",'ORDENES'!$AF1100)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IF('ORDENES'!$A1101="","",IF('ORDENES'!$AH1101="","-",'ORDENES'!$AH1101))</f>
        <v/>
      </c>
      <c r="D1123" s="5">
        <f>IF('ORDENES'!$A1101="","",IF('ORDENES'!$Z1101="","-",'ORDENES'!$Z1101))</f>
        <v/>
      </c>
      <c r="E1123" s="5">
        <f>IF('ORDENES'!$A1101="","",IF('ORDENES'!$X1101="","-",'ORDENES'!$X1101))</f>
        <v/>
      </c>
      <c r="F1123" s="5">
        <f>IF('ORDENES'!$A1101="","",IF('ORDENES'!$AA1101="","-",'ORDENES'!$AA1101))</f>
        <v/>
      </c>
      <c r="G1123" s="5">
        <f>IF('ORDENES'!$A1101="","",IF('ORDENES'!$Y1101="","-",'ORDENES'!$Y1101))</f>
        <v/>
      </c>
      <c r="H1123" s="5">
        <f>IF('ORDENES'!$A1101="","",IF('ORDENES'!$AG1101="","-",'ORDENES'!$AG1101))</f>
        <v/>
      </c>
      <c r="I1123" s="5">
        <f>IF('ORDENES'!$A1101="","",IF('ORDENES'!$AT1101="","-",'ORDENES'!$AT1101))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0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IF('ORDENES'!$A1101="","",'ORDENES'!$AF1101)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IF('ORDENES'!$A1102="","",IF('ORDENES'!$AH1102="","-",'ORDENES'!$AH1102))</f>
        <v/>
      </c>
      <c r="D1124" s="5">
        <f>IF('ORDENES'!$A1102="","",IF('ORDENES'!$Z1102="","-",'ORDENES'!$Z1102))</f>
        <v/>
      </c>
      <c r="E1124" s="5">
        <f>IF('ORDENES'!$A1102="","",IF('ORDENES'!$X1102="","-",'ORDENES'!$X1102))</f>
        <v/>
      </c>
      <c r="F1124" s="5">
        <f>IF('ORDENES'!$A1102="","",IF('ORDENES'!$AA1102="","-",'ORDENES'!$AA1102))</f>
        <v/>
      </c>
      <c r="G1124" s="5">
        <f>IF('ORDENES'!$A1102="","",IF('ORDENES'!$Y1102="","-",'ORDENES'!$Y1102))</f>
        <v/>
      </c>
      <c r="H1124" s="5">
        <f>IF('ORDENES'!$A1102="","",IF('ORDENES'!$AG1102="","-",'ORDENES'!$AG1102))</f>
        <v/>
      </c>
      <c r="I1124" s="5">
        <f>IF('ORDENES'!$A1102="","",IF('ORDENES'!$AT1102="","-",'ORDENES'!$AT1102))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0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IF('ORDENES'!$A1102="","",'ORDENES'!$AF1102)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IF('ORDENES'!$A1103="","",IF('ORDENES'!$AH1103="","-",'ORDENES'!$AH1103))</f>
        <v/>
      </c>
      <c r="D1125" s="5">
        <f>IF('ORDENES'!$A1103="","",IF('ORDENES'!$Z1103="","-",'ORDENES'!$Z1103))</f>
        <v/>
      </c>
      <c r="E1125" s="5">
        <f>IF('ORDENES'!$A1103="","",IF('ORDENES'!$X1103="","-",'ORDENES'!$X1103))</f>
        <v/>
      </c>
      <c r="F1125" s="5">
        <f>IF('ORDENES'!$A1103="","",IF('ORDENES'!$AA1103="","-",'ORDENES'!$AA1103))</f>
        <v/>
      </c>
      <c r="G1125" s="5">
        <f>IF('ORDENES'!$A1103="","",IF('ORDENES'!$Y1103="","-",'ORDENES'!$Y1103))</f>
        <v/>
      </c>
      <c r="H1125" s="5">
        <f>IF('ORDENES'!$A1103="","",IF('ORDENES'!$AG1103="","-",'ORDENES'!$AG1103))</f>
        <v/>
      </c>
      <c r="I1125" s="5">
        <f>IF('ORDENES'!$A1103="","",IF('ORDENES'!$AT1103="","-",'ORDENES'!$AT1103))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0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IF('ORDENES'!$A1103="","",'ORDENES'!$AF1103)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IF('ORDENES'!$A1104="","",IF('ORDENES'!$AH1104="","-",'ORDENES'!$AH1104))</f>
        <v/>
      </c>
      <c r="D1126" s="5">
        <f>IF('ORDENES'!$A1104="","",IF('ORDENES'!$Z1104="","-",'ORDENES'!$Z1104))</f>
        <v/>
      </c>
      <c r="E1126" s="5">
        <f>IF('ORDENES'!$A1104="","",IF('ORDENES'!$X1104="","-",'ORDENES'!$X1104))</f>
        <v/>
      </c>
      <c r="F1126" s="5">
        <f>IF('ORDENES'!$A1104="","",IF('ORDENES'!$AA1104="","-",'ORDENES'!$AA1104))</f>
        <v/>
      </c>
      <c r="G1126" s="5">
        <f>IF('ORDENES'!$A1104="","",IF('ORDENES'!$Y1104="","-",'ORDENES'!$Y1104))</f>
        <v/>
      </c>
      <c r="H1126" s="5">
        <f>IF('ORDENES'!$A1104="","",IF('ORDENES'!$AG1104="","-",'ORDENES'!$AG1104))</f>
        <v/>
      </c>
      <c r="I1126" s="5">
        <f>IF('ORDENES'!$A1104="","",IF('ORDENES'!$AT1104="","-",'ORDENES'!$AT1104))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0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IF('ORDENES'!$A1104="","",'ORDENES'!$AF1104)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IF('ORDENES'!$A1105="","",IF('ORDENES'!$AH1105="","-",'ORDENES'!$AH1105))</f>
        <v/>
      </c>
      <c r="D1127" s="5">
        <f>IF('ORDENES'!$A1105="","",IF('ORDENES'!$Z1105="","-",'ORDENES'!$Z1105))</f>
        <v/>
      </c>
      <c r="E1127" s="5">
        <f>IF('ORDENES'!$A1105="","",IF('ORDENES'!$X1105="","-",'ORDENES'!$X1105))</f>
        <v/>
      </c>
      <c r="F1127" s="5">
        <f>IF('ORDENES'!$A1105="","",IF('ORDENES'!$AA1105="","-",'ORDENES'!$AA1105))</f>
        <v/>
      </c>
      <c r="G1127" s="5">
        <f>IF('ORDENES'!$A1105="","",IF('ORDENES'!$Y1105="","-",'ORDENES'!$Y1105))</f>
        <v/>
      </c>
      <c r="H1127" s="5">
        <f>IF('ORDENES'!$A1105="","",IF('ORDENES'!$AG1105="","-",'ORDENES'!$AG1105))</f>
        <v/>
      </c>
      <c r="I1127" s="5">
        <f>IF('ORDENES'!$A1105="","",IF('ORDENES'!$AT1105="","-",'ORDENES'!$AT1105))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0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IF('ORDENES'!$A1105="","",'ORDENES'!$AF1105)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IF('ORDENES'!$A1106="","",IF('ORDENES'!$AH1106="","-",'ORDENES'!$AH1106))</f>
        <v/>
      </c>
      <c r="D1128" s="5">
        <f>IF('ORDENES'!$A1106="","",IF('ORDENES'!$Z1106="","-",'ORDENES'!$Z1106))</f>
        <v/>
      </c>
      <c r="E1128" s="5">
        <f>IF('ORDENES'!$A1106="","",IF('ORDENES'!$X1106="","-",'ORDENES'!$X1106))</f>
        <v/>
      </c>
      <c r="F1128" s="5">
        <f>IF('ORDENES'!$A1106="","",IF('ORDENES'!$AA1106="","-",'ORDENES'!$AA1106))</f>
        <v/>
      </c>
      <c r="G1128" s="5">
        <f>IF('ORDENES'!$A1106="","",IF('ORDENES'!$Y1106="","-",'ORDENES'!$Y1106))</f>
        <v/>
      </c>
      <c r="H1128" s="5">
        <f>IF('ORDENES'!$A1106="","",IF('ORDENES'!$AG1106="","-",'ORDENES'!$AG1106))</f>
        <v/>
      </c>
      <c r="I1128" s="5">
        <f>IF('ORDENES'!$A1106="","",IF('ORDENES'!$AT1106="","-",'ORDENES'!$AT1106))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0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IF('ORDENES'!$A1106="","",'ORDENES'!$AF1106)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IF('ORDENES'!$A1107="","",IF('ORDENES'!$AH1107="","-",'ORDENES'!$AH1107))</f>
        <v/>
      </c>
      <c r="D1129" s="5">
        <f>IF('ORDENES'!$A1107="","",IF('ORDENES'!$Z1107="","-",'ORDENES'!$Z1107))</f>
        <v/>
      </c>
      <c r="E1129" s="5">
        <f>IF('ORDENES'!$A1107="","",IF('ORDENES'!$X1107="","-",'ORDENES'!$X1107))</f>
        <v/>
      </c>
      <c r="F1129" s="5">
        <f>IF('ORDENES'!$A1107="","",IF('ORDENES'!$AA1107="","-",'ORDENES'!$AA1107))</f>
        <v/>
      </c>
      <c r="G1129" s="5">
        <f>IF('ORDENES'!$A1107="","",IF('ORDENES'!$Y1107="","-",'ORDENES'!$Y1107))</f>
        <v/>
      </c>
      <c r="H1129" s="5">
        <f>IF('ORDENES'!$A1107="","",IF('ORDENES'!$AG1107="","-",'ORDENES'!$AG1107))</f>
        <v/>
      </c>
      <c r="I1129" s="5">
        <f>IF('ORDENES'!$A1107="","",IF('ORDENES'!$AT1107="","-",'ORDENES'!$AT1107))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0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IF('ORDENES'!$A1107="","",'ORDENES'!$AF1107)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IF('ORDENES'!$A1108="","",IF('ORDENES'!$AH1108="","-",'ORDENES'!$AH1108))</f>
        <v/>
      </c>
      <c r="D1130" s="5">
        <f>IF('ORDENES'!$A1108="","",IF('ORDENES'!$Z1108="","-",'ORDENES'!$Z1108))</f>
        <v/>
      </c>
      <c r="E1130" s="5">
        <f>IF('ORDENES'!$A1108="","",IF('ORDENES'!$X1108="","-",'ORDENES'!$X1108))</f>
        <v/>
      </c>
      <c r="F1130" s="5">
        <f>IF('ORDENES'!$A1108="","",IF('ORDENES'!$AA1108="","-",'ORDENES'!$AA1108))</f>
        <v/>
      </c>
      <c r="G1130" s="5">
        <f>IF('ORDENES'!$A1108="","",IF('ORDENES'!$Y1108="","-",'ORDENES'!$Y1108))</f>
        <v/>
      </c>
      <c r="H1130" s="5">
        <f>IF('ORDENES'!$A1108="","",IF('ORDENES'!$AG1108="","-",'ORDENES'!$AG1108))</f>
        <v/>
      </c>
      <c r="I1130" s="5">
        <f>IF('ORDENES'!$A1108="","",IF('ORDENES'!$AT1108="","-",'ORDENES'!$AT1108))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0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IF('ORDENES'!$A1108="","",'ORDENES'!$AF1108)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IF('ORDENES'!$A1109="","",IF('ORDENES'!$AH1109="","-",'ORDENES'!$AH1109))</f>
        <v/>
      </c>
      <c r="D1131" s="5">
        <f>IF('ORDENES'!$A1109="","",IF('ORDENES'!$Z1109="","-",'ORDENES'!$Z1109))</f>
        <v/>
      </c>
      <c r="E1131" s="5">
        <f>IF('ORDENES'!$A1109="","",IF('ORDENES'!$X1109="","-",'ORDENES'!$X1109))</f>
        <v/>
      </c>
      <c r="F1131" s="5">
        <f>IF('ORDENES'!$A1109="","",IF('ORDENES'!$AA1109="","-",'ORDENES'!$AA1109))</f>
        <v/>
      </c>
      <c r="G1131" s="5">
        <f>IF('ORDENES'!$A1109="","",IF('ORDENES'!$Y1109="","-",'ORDENES'!$Y1109))</f>
        <v/>
      </c>
      <c r="H1131" s="5">
        <f>IF('ORDENES'!$A1109="","",IF('ORDENES'!$AG1109="","-",'ORDENES'!$AG1109))</f>
        <v/>
      </c>
      <c r="I1131" s="5">
        <f>IF('ORDENES'!$A1109="","",IF('ORDENES'!$AT1109="","-",'ORDENES'!$AT1109))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0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IF('ORDENES'!$A1109="","",'ORDENES'!$AF1109)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IF('ORDENES'!$A1110="","",IF('ORDENES'!$AH1110="","-",'ORDENES'!$AH1110))</f>
        <v/>
      </c>
      <c r="D1132" s="5">
        <f>IF('ORDENES'!$A1110="","",IF('ORDENES'!$Z1110="","-",'ORDENES'!$Z1110))</f>
        <v/>
      </c>
      <c r="E1132" s="5">
        <f>IF('ORDENES'!$A1110="","",IF('ORDENES'!$X1110="","-",'ORDENES'!$X1110))</f>
        <v/>
      </c>
      <c r="F1132" s="5">
        <f>IF('ORDENES'!$A1110="","",IF('ORDENES'!$AA1110="","-",'ORDENES'!$AA1110))</f>
        <v/>
      </c>
      <c r="G1132" s="5">
        <f>IF('ORDENES'!$A1110="","",IF('ORDENES'!$Y1110="","-",'ORDENES'!$Y1110))</f>
        <v/>
      </c>
      <c r="H1132" s="5">
        <f>IF('ORDENES'!$A1110="","",IF('ORDENES'!$AG1110="","-",'ORDENES'!$AG1110))</f>
        <v/>
      </c>
      <c r="I1132" s="5">
        <f>IF('ORDENES'!$A1110="","",IF('ORDENES'!$AT1110="","-",'ORDENES'!$AT1110))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0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IF('ORDENES'!$A1110="","",'ORDENES'!$AF1110)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IF('ORDENES'!$A1111="","",IF('ORDENES'!$AH1111="","-",'ORDENES'!$AH1111))</f>
        <v/>
      </c>
      <c r="D1133" s="5">
        <f>IF('ORDENES'!$A1111="","",IF('ORDENES'!$Z1111="","-",'ORDENES'!$Z1111))</f>
        <v/>
      </c>
      <c r="E1133" s="5">
        <f>IF('ORDENES'!$A1111="","",IF('ORDENES'!$X1111="","-",'ORDENES'!$X1111))</f>
        <v/>
      </c>
      <c r="F1133" s="5">
        <f>IF('ORDENES'!$A1111="","",IF('ORDENES'!$AA1111="","-",'ORDENES'!$AA1111))</f>
        <v/>
      </c>
      <c r="G1133" s="5">
        <f>IF('ORDENES'!$A1111="","",IF('ORDENES'!$Y1111="","-",'ORDENES'!$Y1111))</f>
        <v/>
      </c>
      <c r="H1133" s="5">
        <f>IF('ORDENES'!$A1111="","",IF('ORDENES'!$AG1111="","-",'ORDENES'!$AG1111))</f>
        <v/>
      </c>
      <c r="I1133" s="5">
        <f>IF('ORDENES'!$A1111="","",IF('ORDENES'!$AT1111="","-",'ORDENES'!$AT1111))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0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IF('ORDENES'!$A1111="","",'ORDENES'!$AF1111)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IF('ORDENES'!$A1112="","",IF('ORDENES'!$AH1112="","-",'ORDENES'!$AH1112))</f>
        <v/>
      </c>
      <c r="D1134" s="5">
        <f>IF('ORDENES'!$A1112="","",IF('ORDENES'!$Z1112="","-",'ORDENES'!$Z1112))</f>
        <v/>
      </c>
      <c r="E1134" s="5">
        <f>IF('ORDENES'!$A1112="","",IF('ORDENES'!$X1112="","-",'ORDENES'!$X1112))</f>
        <v/>
      </c>
      <c r="F1134" s="5">
        <f>IF('ORDENES'!$A1112="","",IF('ORDENES'!$AA1112="","-",'ORDENES'!$AA1112))</f>
        <v/>
      </c>
      <c r="G1134" s="5">
        <f>IF('ORDENES'!$A1112="","",IF('ORDENES'!$Y1112="","-",'ORDENES'!$Y1112))</f>
        <v/>
      </c>
      <c r="H1134" s="5">
        <f>IF('ORDENES'!$A1112="","",IF('ORDENES'!$AG1112="","-",'ORDENES'!$AG1112))</f>
        <v/>
      </c>
      <c r="I1134" s="5">
        <f>IF('ORDENES'!$A1112="","",IF('ORDENES'!$AT1112="","-",'ORDENES'!$AT1112))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0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IF('ORDENES'!$A1112="","",'ORDENES'!$AF1112)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IF('ORDENES'!$A1113="","",IF('ORDENES'!$AH1113="","-",'ORDENES'!$AH1113))</f>
        <v/>
      </c>
      <c r="D1135" s="5">
        <f>IF('ORDENES'!$A1113="","",IF('ORDENES'!$Z1113="","-",'ORDENES'!$Z1113))</f>
        <v/>
      </c>
      <c r="E1135" s="5">
        <f>IF('ORDENES'!$A1113="","",IF('ORDENES'!$X1113="","-",'ORDENES'!$X1113))</f>
        <v/>
      </c>
      <c r="F1135" s="5">
        <f>IF('ORDENES'!$A1113="","",IF('ORDENES'!$AA1113="","-",'ORDENES'!$AA1113))</f>
        <v/>
      </c>
      <c r="G1135" s="5">
        <f>IF('ORDENES'!$A1113="","",IF('ORDENES'!$Y1113="","-",'ORDENES'!$Y1113))</f>
        <v/>
      </c>
      <c r="H1135" s="5">
        <f>IF('ORDENES'!$A1113="","",IF('ORDENES'!$AG1113="","-",'ORDENES'!$AG1113))</f>
        <v/>
      </c>
      <c r="I1135" s="5">
        <f>IF('ORDENES'!$A1113="","",IF('ORDENES'!$AT1113="","-",'ORDENES'!$AT1113))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0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IF('ORDENES'!$A1113="","",'ORDENES'!$AF1113)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IF('ORDENES'!$A1114="","",IF('ORDENES'!$AH1114="","-",'ORDENES'!$AH1114))</f>
        <v/>
      </c>
      <c r="D1136" s="5">
        <f>IF('ORDENES'!$A1114="","",IF('ORDENES'!$Z1114="","-",'ORDENES'!$Z1114))</f>
        <v/>
      </c>
      <c r="E1136" s="5">
        <f>IF('ORDENES'!$A1114="","",IF('ORDENES'!$X1114="","-",'ORDENES'!$X1114))</f>
        <v/>
      </c>
      <c r="F1136" s="5">
        <f>IF('ORDENES'!$A1114="","",IF('ORDENES'!$AA1114="","-",'ORDENES'!$AA1114))</f>
        <v/>
      </c>
      <c r="G1136" s="5">
        <f>IF('ORDENES'!$A1114="","",IF('ORDENES'!$Y1114="","-",'ORDENES'!$Y1114))</f>
        <v/>
      </c>
      <c r="H1136" s="5">
        <f>IF('ORDENES'!$A1114="","",IF('ORDENES'!$AG1114="","-",'ORDENES'!$AG1114))</f>
        <v/>
      </c>
      <c r="I1136" s="5">
        <f>IF('ORDENES'!$A1114="","",IF('ORDENES'!$AT1114="","-",'ORDENES'!$AT1114))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0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IF('ORDENES'!$A1114="","",'ORDENES'!$AF1114)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IF('ORDENES'!$A1115="","",IF('ORDENES'!$AH1115="","-",'ORDENES'!$AH1115))</f>
        <v/>
      </c>
      <c r="D1137" s="5">
        <f>IF('ORDENES'!$A1115="","",IF('ORDENES'!$Z1115="","-",'ORDENES'!$Z1115))</f>
        <v/>
      </c>
      <c r="E1137" s="5">
        <f>IF('ORDENES'!$A1115="","",IF('ORDENES'!$X1115="","-",'ORDENES'!$X1115))</f>
        <v/>
      </c>
      <c r="F1137" s="5">
        <f>IF('ORDENES'!$A1115="","",IF('ORDENES'!$AA1115="","-",'ORDENES'!$AA1115))</f>
        <v/>
      </c>
      <c r="G1137" s="5">
        <f>IF('ORDENES'!$A1115="","",IF('ORDENES'!$Y1115="","-",'ORDENES'!$Y1115))</f>
        <v/>
      </c>
      <c r="H1137" s="5">
        <f>IF('ORDENES'!$A1115="","",IF('ORDENES'!$AG1115="","-",'ORDENES'!$AG1115))</f>
        <v/>
      </c>
      <c r="I1137" s="5">
        <f>IF('ORDENES'!$A1115="","",IF('ORDENES'!$AT1115="","-",'ORDENES'!$AT1115))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0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IF('ORDENES'!$A1115="","",'ORDENES'!$AF1115)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IF('ORDENES'!$A1116="","",IF('ORDENES'!$AH1116="","-",'ORDENES'!$AH1116))</f>
        <v/>
      </c>
      <c r="D1138" s="5">
        <f>IF('ORDENES'!$A1116="","",IF('ORDENES'!$Z1116="","-",'ORDENES'!$Z1116))</f>
        <v/>
      </c>
      <c r="E1138" s="5">
        <f>IF('ORDENES'!$A1116="","",IF('ORDENES'!$X1116="","-",'ORDENES'!$X1116))</f>
        <v/>
      </c>
      <c r="F1138" s="5">
        <f>IF('ORDENES'!$A1116="","",IF('ORDENES'!$AA1116="","-",'ORDENES'!$AA1116))</f>
        <v/>
      </c>
      <c r="G1138" s="5">
        <f>IF('ORDENES'!$A1116="","",IF('ORDENES'!$Y1116="","-",'ORDENES'!$Y1116))</f>
        <v/>
      </c>
      <c r="H1138" s="5">
        <f>IF('ORDENES'!$A1116="","",IF('ORDENES'!$AG1116="","-",'ORDENES'!$AG1116))</f>
        <v/>
      </c>
      <c r="I1138" s="5">
        <f>IF('ORDENES'!$A1116="","",IF('ORDENES'!$AT1116="","-",'ORDENES'!$AT1116))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0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IF('ORDENES'!$A1116="","",'ORDENES'!$AF1116)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IF('ORDENES'!$A1117="","",IF('ORDENES'!$AH1117="","-",'ORDENES'!$AH1117))</f>
        <v/>
      </c>
      <c r="D1139" s="5">
        <f>IF('ORDENES'!$A1117="","",IF('ORDENES'!$Z1117="","-",'ORDENES'!$Z1117))</f>
        <v/>
      </c>
      <c r="E1139" s="5">
        <f>IF('ORDENES'!$A1117="","",IF('ORDENES'!$X1117="","-",'ORDENES'!$X1117))</f>
        <v/>
      </c>
      <c r="F1139" s="5">
        <f>IF('ORDENES'!$A1117="","",IF('ORDENES'!$AA1117="","-",'ORDENES'!$AA1117))</f>
        <v/>
      </c>
      <c r="G1139" s="5">
        <f>IF('ORDENES'!$A1117="","",IF('ORDENES'!$Y1117="","-",'ORDENES'!$Y1117))</f>
        <v/>
      </c>
      <c r="H1139" s="5">
        <f>IF('ORDENES'!$A1117="","",IF('ORDENES'!$AG1117="","-",'ORDENES'!$AG1117))</f>
        <v/>
      </c>
      <c r="I1139" s="5">
        <f>IF('ORDENES'!$A1117="","",IF('ORDENES'!$AT1117="","-",'ORDENES'!$AT1117))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0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IF('ORDENES'!$A1117="","",'ORDENES'!$AF1117)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IF('ORDENES'!$A1118="","",IF('ORDENES'!$AH1118="","-",'ORDENES'!$AH1118))</f>
        <v/>
      </c>
      <c r="D1140" s="5">
        <f>IF('ORDENES'!$A1118="","",IF('ORDENES'!$Z1118="","-",'ORDENES'!$Z1118))</f>
        <v/>
      </c>
      <c r="E1140" s="5">
        <f>IF('ORDENES'!$A1118="","",IF('ORDENES'!$X1118="","-",'ORDENES'!$X1118))</f>
        <v/>
      </c>
      <c r="F1140" s="5">
        <f>IF('ORDENES'!$A1118="","",IF('ORDENES'!$AA1118="","-",'ORDENES'!$AA1118))</f>
        <v/>
      </c>
      <c r="G1140" s="5">
        <f>IF('ORDENES'!$A1118="","",IF('ORDENES'!$Y1118="","-",'ORDENES'!$Y1118))</f>
        <v/>
      </c>
      <c r="H1140" s="5">
        <f>IF('ORDENES'!$A1118="","",IF('ORDENES'!$AG1118="","-",'ORDENES'!$AG1118))</f>
        <v/>
      </c>
      <c r="I1140" s="5">
        <f>IF('ORDENES'!$A1118="","",IF('ORDENES'!$AT1118="","-",'ORDENES'!$AT1118))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0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IF('ORDENES'!$A1118="","",'ORDENES'!$AF1118)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IF('ORDENES'!$A1119="","",IF('ORDENES'!$AH1119="","-",'ORDENES'!$AH1119))</f>
        <v/>
      </c>
      <c r="D1141" s="5">
        <f>IF('ORDENES'!$A1119="","",IF('ORDENES'!$Z1119="","-",'ORDENES'!$Z1119))</f>
        <v/>
      </c>
      <c r="E1141" s="5">
        <f>IF('ORDENES'!$A1119="","",IF('ORDENES'!$X1119="","-",'ORDENES'!$X1119))</f>
        <v/>
      </c>
      <c r="F1141" s="5">
        <f>IF('ORDENES'!$A1119="","",IF('ORDENES'!$AA1119="","-",'ORDENES'!$AA1119))</f>
        <v/>
      </c>
      <c r="G1141" s="5">
        <f>IF('ORDENES'!$A1119="","",IF('ORDENES'!$Y1119="","-",'ORDENES'!$Y1119))</f>
        <v/>
      </c>
      <c r="H1141" s="5">
        <f>IF('ORDENES'!$A1119="","",IF('ORDENES'!$AG1119="","-",'ORDENES'!$AG1119))</f>
        <v/>
      </c>
      <c r="I1141" s="5">
        <f>IF('ORDENES'!$A1119="","",IF('ORDENES'!$AT1119="","-",'ORDENES'!$AT1119))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0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IF('ORDENES'!$A1119="","",'ORDENES'!$AF1119)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IF('ORDENES'!$A1120="","",IF('ORDENES'!$AH1120="","-",'ORDENES'!$AH1120))</f>
        <v/>
      </c>
      <c r="D1142" s="5">
        <f>IF('ORDENES'!$A1120="","",IF('ORDENES'!$Z1120="","-",'ORDENES'!$Z1120))</f>
        <v/>
      </c>
      <c r="E1142" s="5">
        <f>IF('ORDENES'!$A1120="","",IF('ORDENES'!$X1120="","-",'ORDENES'!$X1120))</f>
        <v/>
      </c>
      <c r="F1142" s="5">
        <f>IF('ORDENES'!$A1120="","",IF('ORDENES'!$AA1120="","-",'ORDENES'!$AA1120))</f>
        <v/>
      </c>
      <c r="G1142" s="5">
        <f>IF('ORDENES'!$A1120="","",IF('ORDENES'!$Y1120="","-",'ORDENES'!$Y1120))</f>
        <v/>
      </c>
      <c r="H1142" s="5">
        <f>IF('ORDENES'!$A1120="","",IF('ORDENES'!$AG1120="","-",'ORDENES'!$AG1120))</f>
        <v/>
      </c>
      <c r="I1142" s="5">
        <f>IF('ORDENES'!$A1120="","",IF('ORDENES'!$AT1120="","-",'ORDENES'!$AT1120))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0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IF('ORDENES'!$A1120="","",'ORDENES'!$AF1120)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IF('ORDENES'!$A1121="","",IF('ORDENES'!$AH1121="","-",'ORDENES'!$AH1121))</f>
        <v/>
      </c>
      <c r="D1143" s="5">
        <f>IF('ORDENES'!$A1121="","",IF('ORDENES'!$Z1121="","-",'ORDENES'!$Z1121))</f>
        <v/>
      </c>
      <c r="E1143" s="5">
        <f>IF('ORDENES'!$A1121="","",IF('ORDENES'!$X1121="","-",'ORDENES'!$X1121))</f>
        <v/>
      </c>
      <c r="F1143" s="5">
        <f>IF('ORDENES'!$A1121="","",IF('ORDENES'!$AA1121="","-",'ORDENES'!$AA1121))</f>
        <v/>
      </c>
      <c r="G1143" s="5">
        <f>IF('ORDENES'!$A1121="","",IF('ORDENES'!$Y1121="","-",'ORDENES'!$Y1121))</f>
        <v/>
      </c>
      <c r="H1143" s="5">
        <f>IF('ORDENES'!$A1121="","",IF('ORDENES'!$AG1121="","-",'ORDENES'!$AG1121))</f>
        <v/>
      </c>
      <c r="I1143" s="5">
        <f>IF('ORDENES'!$A1121="","",IF('ORDENES'!$AT1121="","-",'ORDENES'!$AT1121))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0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IF('ORDENES'!$A1121="","",'ORDENES'!$AF1121)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IF('ORDENES'!$A1122="","",IF('ORDENES'!$AH1122="","-",'ORDENES'!$AH1122))</f>
        <v/>
      </c>
      <c r="D1144" s="5">
        <f>IF('ORDENES'!$A1122="","",IF('ORDENES'!$Z1122="","-",'ORDENES'!$Z1122))</f>
        <v/>
      </c>
      <c r="E1144" s="5">
        <f>IF('ORDENES'!$A1122="","",IF('ORDENES'!$X1122="","-",'ORDENES'!$X1122))</f>
        <v/>
      </c>
      <c r="F1144" s="5">
        <f>IF('ORDENES'!$A1122="","",IF('ORDENES'!$AA1122="","-",'ORDENES'!$AA1122))</f>
        <v/>
      </c>
      <c r="G1144" s="5">
        <f>IF('ORDENES'!$A1122="","",IF('ORDENES'!$Y1122="","-",'ORDENES'!$Y1122))</f>
        <v/>
      </c>
      <c r="H1144" s="5">
        <f>IF('ORDENES'!$A1122="","",IF('ORDENES'!$AG1122="","-",'ORDENES'!$AG1122))</f>
        <v/>
      </c>
      <c r="I1144" s="5">
        <f>IF('ORDENES'!$A1122="","",IF('ORDENES'!$AT1122="","-",'ORDENES'!$AT1122))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0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IF('ORDENES'!$A1122="","",'ORDENES'!$AF1122)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IF('ORDENES'!$A1123="","",IF('ORDENES'!$AH1123="","-",'ORDENES'!$AH1123))</f>
        <v/>
      </c>
      <c r="D1145" s="5">
        <f>IF('ORDENES'!$A1123="","",IF('ORDENES'!$Z1123="","-",'ORDENES'!$Z1123))</f>
        <v/>
      </c>
      <c r="E1145" s="5">
        <f>IF('ORDENES'!$A1123="","",IF('ORDENES'!$X1123="","-",'ORDENES'!$X1123))</f>
        <v/>
      </c>
      <c r="F1145" s="5">
        <f>IF('ORDENES'!$A1123="","",IF('ORDENES'!$AA1123="","-",'ORDENES'!$AA1123))</f>
        <v/>
      </c>
      <c r="G1145" s="5">
        <f>IF('ORDENES'!$A1123="","",IF('ORDENES'!$Y1123="","-",'ORDENES'!$Y1123))</f>
        <v/>
      </c>
      <c r="H1145" s="5">
        <f>IF('ORDENES'!$A1123="","",IF('ORDENES'!$AG1123="","-",'ORDENES'!$AG1123))</f>
        <v/>
      </c>
      <c r="I1145" s="5">
        <f>IF('ORDENES'!$A1123="","",IF('ORDENES'!$AT1123="","-",'ORDENES'!$AT1123))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0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IF('ORDENES'!$A1123="","",'ORDENES'!$AF1123)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IF('ORDENES'!$A1124="","",IF('ORDENES'!$AH1124="","-",'ORDENES'!$AH1124))</f>
        <v/>
      </c>
      <c r="D1146" s="5">
        <f>IF('ORDENES'!$A1124="","",IF('ORDENES'!$Z1124="","-",'ORDENES'!$Z1124))</f>
        <v/>
      </c>
      <c r="E1146" s="5">
        <f>IF('ORDENES'!$A1124="","",IF('ORDENES'!$X1124="","-",'ORDENES'!$X1124))</f>
        <v/>
      </c>
      <c r="F1146" s="5">
        <f>IF('ORDENES'!$A1124="","",IF('ORDENES'!$AA1124="","-",'ORDENES'!$AA1124))</f>
        <v/>
      </c>
      <c r="G1146" s="5">
        <f>IF('ORDENES'!$A1124="","",IF('ORDENES'!$Y1124="","-",'ORDENES'!$Y1124))</f>
        <v/>
      </c>
      <c r="H1146" s="5">
        <f>IF('ORDENES'!$A1124="","",IF('ORDENES'!$AG1124="","-",'ORDENES'!$AG1124))</f>
        <v/>
      </c>
      <c r="I1146" s="5">
        <f>IF('ORDENES'!$A1124="","",IF('ORDENES'!$AT1124="","-",'ORDENES'!$AT1124))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0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IF('ORDENES'!$A1124="","",'ORDENES'!$AF1124)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IF('ORDENES'!$A1125="","",IF('ORDENES'!$AH1125="","-",'ORDENES'!$AH1125))</f>
        <v/>
      </c>
      <c r="D1147" s="5">
        <f>IF('ORDENES'!$A1125="","",IF('ORDENES'!$Z1125="","-",'ORDENES'!$Z1125))</f>
        <v/>
      </c>
      <c r="E1147" s="5">
        <f>IF('ORDENES'!$A1125="","",IF('ORDENES'!$X1125="","-",'ORDENES'!$X1125))</f>
        <v/>
      </c>
      <c r="F1147" s="5">
        <f>IF('ORDENES'!$A1125="","",IF('ORDENES'!$AA1125="","-",'ORDENES'!$AA1125))</f>
        <v/>
      </c>
      <c r="G1147" s="5">
        <f>IF('ORDENES'!$A1125="","",IF('ORDENES'!$Y1125="","-",'ORDENES'!$Y1125))</f>
        <v/>
      </c>
      <c r="H1147" s="5">
        <f>IF('ORDENES'!$A1125="","",IF('ORDENES'!$AG1125="","-",'ORDENES'!$AG1125))</f>
        <v/>
      </c>
      <c r="I1147" s="5">
        <f>IF('ORDENES'!$A1125="","",IF('ORDENES'!$AT1125="","-",'ORDENES'!$AT1125))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0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IF('ORDENES'!$A1125="","",'ORDENES'!$AF1125)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IF('ORDENES'!$A1126="","",IF('ORDENES'!$AH1126="","-",'ORDENES'!$AH1126))</f>
        <v/>
      </c>
      <c r="D1148" s="5">
        <f>IF('ORDENES'!$A1126="","",IF('ORDENES'!$Z1126="","-",'ORDENES'!$Z1126))</f>
        <v/>
      </c>
      <c r="E1148" s="5">
        <f>IF('ORDENES'!$A1126="","",IF('ORDENES'!$X1126="","-",'ORDENES'!$X1126))</f>
        <v/>
      </c>
      <c r="F1148" s="5">
        <f>IF('ORDENES'!$A1126="","",IF('ORDENES'!$AA1126="","-",'ORDENES'!$AA1126))</f>
        <v/>
      </c>
      <c r="G1148" s="5">
        <f>IF('ORDENES'!$A1126="","",IF('ORDENES'!$Y1126="","-",'ORDENES'!$Y1126))</f>
        <v/>
      </c>
      <c r="H1148" s="5">
        <f>IF('ORDENES'!$A1126="","",IF('ORDENES'!$AG1126="","-",'ORDENES'!$AG1126))</f>
        <v/>
      </c>
      <c r="I1148" s="5">
        <f>IF('ORDENES'!$A1126="","",IF('ORDENES'!$AT1126="","-",'ORDENES'!$AT1126))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0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IF('ORDENES'!$A1126="","",'ORDENES'!$AF1126)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IF('ORDENES'!$A1127="","",IF('ORDENES'!$AH1127="","-",'ORDENES'!$AH1127))</f>
        <v/>
      </c>
      <c r="D1149" s="5">
        <f>IF('ORDENES'!$A1127="","",IF('ORDENES'!$Z1127="","-",'ORDENES'!$Z1127))</f>
        <v/>
      </c>
      <c r="E1149" s="5">
        <f>IF('ORDENES'!$A1127="","",IF('ORDENES'!$X1127="","-",'ORDENES'!$X1127))</f>
        <v/>
      </c>
      <c r="F1149" s="5">
        <f>IF('ORDENES'!$A1127="","",IF('ORDENES'!$AA1127="","-",'ORDENES'!$AA1127))</f>
        <v/>
      </c>
      <c r="G1149" s="5">
        <f>IF('ORDENES'!$A1127="","",IF('ORDENES'!$Y1127="","-",'ORDENES'!$Y1127))</f>
        <v/>
      </c>
      <c r="H1149" s="5">
        <f>IF('ORDENES'!$A1127="","",IF('ORDENES'!$AG1127="","-",'ORDENES'!$AG1127))</f>
        <v/>
      </c>
      <c r="I1149" s="5">
        <f>IF('ORDENES'!$A1127="","",IF('ORDENES'!$AT1127="","-",'ORDENES'!$AT1127))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0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IF('ORDENES'!$A1127="","",'ORDENES'!$AF1127)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IF('ORDENES'!$A1128="","",IF('ORDENES'!$AH1128="","-",'ORDENES'!$AH1128))</f>
        <v/>
      </c>
      <c r="D1150" s="5">
        <f>IF('ORDENES'!$A1128="","",IF('ORDENES'!$Z1128="","-",'ORDENES'!$Z1128))</f>
        <v/>
      </c>
      <c r="E1150" s="5">
        <f>IF('ORDENES'!$A1128="","",IF('ORDENES'!$X1128="","-",'ORDENES'!$X1128))</f>
        <v/>
      </c>
      <c r="F1150" s="5">
        <f>IF('ORDENES'!$A1128="","",IF('ORDENES'!$AA1128="","-",'ORDENES'!$AA1128))</f>
        <v/>
      </c>
      <c r="G1150" s="5">
        <f>IF('ORDENES'!$A1128="","",IF('ORDENES'!$Y1128="","-",'ORDENES'!$Y1128))</f>
        <v/>
      </c>
      <c r="H1150" s="5">
        <f>IF('ORDENES'!$A1128="","",IF('ORDENES'!$AG1128="","-",'ORDENES'!$AG1128))</f>
        <v/>
      </c>
      <c r="I1150" s="5">
        <f>IF('ORDENES'!$A1128="","",IF('ORDENES'!$AT1128="","-",'ORDENES'!$AT1128))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0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IF('ORDENES'!$A1128="","",'ORDENES'!$AF1128)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IF('ORDENES'!$A1129="","",IF('ORDENES'!$AH1129="","-",'ORDENES'!$AH1129))</f>
        <v/>
      </c>
      <c r="D1151" s="5">
        <f>IF('ORDENES'!$A1129="","",IF('ORDENES'!$Z1129="","-",'ORDENES'!$Z1129))</f>
        <v/>
      </c>
      <c r="E1151" s="5">
        <f>IF('ORDENES'!$A1129="","",IF('ORDENES'!$X1129="","-",'ORDENES'!$X1129))</f>
        <v/>
      </c>
      <c r="F1151" s="5">
        <f>IF('ORDENES'!$A1129="","",IF('ORDENES'!$AA1129="","-",'ORDENES'!$AA1129))</f>
        <v/>
      </c>
      <c r="G1151" s="5">
        <f>IF('ORDENES'!$A1129="","",IF('ORDENES'!$Y1129="","-",'ORDENES'!$Y1129))</f>
        <v/>
      </c>
      <c r="H1151" s="5">
        <f>IF('ORDENES'!$A1129="","",IF('ORDENES'!$AG1129="","-",'ORDENES'!$AG1129))</f>
        <v/>
      </c>
      <c r="I1151" s="5">
        <f>IF('ORDENES'!$A1129="","",IF('ORDENES'!$AT1129="","-",'ORDENES'!$AT1129))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0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IF('ORDENES'!$A1129="","",'ORDENES'!$AF1129)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IF('ORDENES'!$A1130="","",IF('ORDENES'!$AH1130="","-",'ORDENES'!$AH1130))</f>
        <v/>
      </c>
      <c r="D1152" s="5">
        <f>IF('ORDENES'!$A1130="","",IF('ORDENES'!$Z1130="","-",'ORDENES'!$Z1130))</f>
        <v/>
      </c>
      <c r="E1152" s="5">
        <f>IF('ORDENES'!$A1130="","",IF('ORDENES'!$X1130="","-",'ORDENES'!$X1130))</f>
        <v/>
      </c>
      <c r="F1152" s="5">
        <f>IF('ORDENES'!$A1130="","",IF('ORDENES'!$AA1130="","-",'ORDENES'!$AA1130))</f>
        <v/>
      </c>
      <c r="G1152" s="5">
        <f>IF('ORDENES'!$A1130="","",IF('ORDENES'!$Y1130="","-",'ORDENES'!$Y1130))</f>
        <v/>
      </c>
      <c r="H1152" s="5">
        <f>IF('ORDENES'!$A1130="","",IF('ORDENES'!$AG1130="","-",'ORDENES'!$AG1130))</f>
        <v/>
      </c>
      <c r="I1152" s="5">
        <f>IF('ORDENES'!$A1130="","",IF('ORDENES'!$AT1130="","-",'ORDENES'!$AT1130))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0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IF('ORDENES'!$A1130="","",'ORDENES'!$AF1130)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IF('ORDENES'!$A1131="","",IF('ORDENES'!$AH1131="","-",'ORDENES'!$AH1131))</f>
        <v/>
      </c>
      <c r="D1153" s="5">
        <f>IF('ORDENES'!$A1131="","",IF('ORDENES'!$Z1131="","-",'ORDENES'!$Z1131))</f>
        <v/>
      </c>
      <c r="E1153" s="5">
        <f>IF('ORDENES'!$A1131="","",IF('ORDENES'!$X1131="","-",'ORDENES'!$X1131))</f>
        <v/>
      </c>
      <c r="F1153" s="5">
        <f>IF('ORDENES'!$A1131="","",IF('ORDENES'!$AA1131="","-",'ORDENES'!$AA1131))</f>
        <v/>
      </c>
      <c r="G1153" s="5">
        <f>IF('ORDENES'!$A1131="","",IF('ORDENES'!$Y1131="","-",'ORDENES'!$Y1131))</f>
        <v/>
      </c>
      <c r="H1153" s="5">
        <f>IF('ORDENES'!$A1131="","",IF('ORDENES'!$AG1131="","-",'ORDENES'!$AG1131))</f>
        <v/>
      </c>
      <c r="I1153" s="5">
        <f>IF('ORDENES'!$A1131="","",IF('ORDENES'!$AT1131="","-",'ORDENES'!$AT1131))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0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IF('ORDENES'!$A1131="","",'ORDENES'!$AF1131)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IF('ORDENES'!$A1132="","",IF('ORDENES'!$AH1132="","-",'ORDENES'!$AH1132))</f>
        <v/>
      </c>
      <c r="D1154" s="5">
        <f>IF('ORDENES'!$A1132="","",IF('ORDENES'!$Z1132="","-",'ORDENES'!$Z1132))</f>
        <v/>
      </c>
      <c r="E1154" s="5">
        <f>IF('ORDENES'!$A1132="","",IF('ORDENES'!$X1132="","-",'ORDENES'!$X1132))</f>
        <v/>
      </c>
      <c r="F1154" s="5">
        <f>IF('ORDENES'!$A1132="","",IF('ORDENES'!$AA1132="","-",'ORDENES'!$AA1132))</f>
        <v/>
      </c>
      <c r="G1154" s="5">
        <f>IF('ORDENES'!$A1132="","",IF('ORDENES'!$Y1132="","-",'ORDENES'!$Y1132))</f>
        <v/>
      </c>
      <c r="H1154" s="5">
        <f>IF('ORDENES'!$A1132="","",IF('ORDENES'!$AG1132="","-",'ORDENES'!$AG1132))</f>
        <v/>
      </c>
      <c r="I1154" s="5">
        <f>IF('ORDENES'!$A1132="","",IF('ORDENES'!$AT1132="","-",'ORDENES'!$AT1132))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0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IF('ORDENES'!$A1132="","",'ORDENES'!$AF1132)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IF('ORDENES'!$A1133="","",IF('ORDENES'!$AH1133="","-",'ORDENES'!$AH1133))</f>
        <v/>
      </c>
      <c r="D1155" s="5">
        <f>IF('ORDENES'!$A1133="","",IF('ORDENES'!$Z1133="","-",'ORDENES'!$Z1133))</f>
        <v/>
      </c>
      <c r="E1155" s="5">
        <f>IF('ORDENES'!$A1133="","",IF('ORDENES'!$X1133="","-",'ORDENES'!$X1133))</f>
        <v/>
      </c>
      <c r="F1155" s="5">
        <f>IF('ORDENES'!$A1133="","",IF('ORDENES'!$AA1133="","-",'ORDENES'!$AA1133))</f>
        <v/>
      </c>
      <c r="G1155" s="5">
        <f>IF('ORDENES'!$A1133="","",IF('ORDENES'!$Y1133="","-",'ORDENES'!$Y1133))</f>
        <v/>
      </c>
      <c r="H1155" s="5">
        <f>IF('ORDENES'!$A1133="","",IF('ORDENES'!$AG1133="","-",'ORDENES'!$AG1133))</f>
        <v/>
      </c>
      <c r="I1155" s="5">
        <f>IF('ORDENES'!$A1133="","",IF('ORDENES'!$AT1133="","-",'ORDENES'!$AT1133))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0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IF('ORDENES'!$A1133="","",'ORDENES'!$AF1133)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IF('ORDENES'!$A1134="","",IF('ORDENES'!$AH1134="","-",'ORDENES'!$AH1134))</f>
        <v/>
      </c>
      <c r="D1156" s="5">
        <f>IF('ORDENES'!$A1134="","",IF('ORDENES'!$Z1134="","-",'ORDENES'!$Z1134))</f>
        <v/>
      </c>
      <c r="E1156" s="5">
        <f>IF('ORDENES'!$A1134="","",IF('ORDENES'!$X1134="","-",'ORDENES'!$X1134))</f>
        <v/>
      </c>
      <c r="F1156" s="5">
        <f>IF('ORDENES'!$A1134="","",IF('ORDENES'!$AA1134="","-",'ORDENES'!$AA1134))</f>
        <v/>
      </c>
      <c r="G1156" s="5">
        <f>IF('ORDENES'!$A1134="","",IF('ORDENES'!$Y1134="","-",'ORDENES'!$Y1134))</f>
        <v/>
      </c>
      <c r="H1156" s="5">
        <f>IF('ORDENES'!$A1134="","",IF('ORDENES'!$AG1134="","-",'ORDENES'!$AG1134))</f>
        <v/>
      </c>
      <c r="I1156" s="5">
        <f>IF('ORDENES'!$A1134="","",IF('ORDENES'!$AT1134="","-",'ORDENES'!$AT1134))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0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IF('ORDENES'!$A1134="","",'ORDENES'!$AF1134)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IF('ORDENES'!$A1135="","",IF('ORDENES'!$AH1135="","-",'ORDENES'!$AH1135))</f>
        <v/>
      </c>
      <c r="D1157" s="5">
        <f>IF('ORDENES'!$A1135="","",IF('ORDENES'!$Z1135="","-",'ORDENES'!$Z1135))</f>
        <v/>
      </c>
      <c r="E1157" s="5">
        <f>IF('ORDENES'!$A1135="","",IF('ORDENES'!$X1135="","-",'ORDENES'!$X1135))</f>
        <v/>
      </c>
      <c r="F1157" s="5">
        <f>IF('ORDENES'!$A1135="","",IF('ORDENES'!$AA1135="","-",'ORDENES'!$AA1135))</f>
        <v/>
      </c>
      <c r="G1157" s="5">
        <f>IF('ORDENES'!$A1135="","",IF('ORDENES'!$Y1135="","-",'ORDENES'!$Y1135))</f>
        <v/>
      </c>
      <c r="H1157" s="5">
        <f>IF('ORDENES'!$A1135="","",IF('ORDENES'!$AG1135="","-",'ORDENES'!$AG1135))</f>
        <v/>
      </c>
      <c r="I1157" s="5">
        <f>IF('ORDENES'!$A1135="","",IF('ORDENES'!$AT1135="","-",'ORDENES'!$AT1135))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0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IF('ORDENES'!$A1135="","",'ORDENES'!$AF1135)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IF('ORDENES'!$A1136="","",IF('ORDENES'!$AH1136="","-",'ORDENES'!$AH1136))</f>
        <v/>
      </c>
      <c r="D1158" s="5">
        <f>IF('ORDENES'!$A1136="","",IF('ORDENES'!$Z1136="","-",'ORDENES'!$Z1136))</f>
        <v/>
      </c>
      <c r="E1158" s="5">
        <f>IF('ORDENES'!$A1136="","",IF('ORDENES'!$X1136="","-",'ORDENES'!$X1136))</f>
        <v/>
      </c>
      <c r="F1158" s="5">
        <f>IF('ORDENES'!$A1136="","",IF('ORDENES'!$AA1136="","-",'ORDENES'!$AA1136))</f>
        <v/>
      </c>
      <c r="G1158" s="5">
        <f>IF('ORDENES'!$A1136="","",IF('ORDENES'!$Y1136="","-",'ORDENES'!$Y1136))</f>
        <v/>
      </c>
      <c r="H1158" s="5">
        <f>IF('ORDENES'!$A1136="","",IF('ORDENES'!$AG1136="","-",'ORDENES'!$AG1136))</f>
        <v/>
      </c>
      <c r="I1158" s="5">
        <f>IF('ORDENES'!$A1136="","",IF('ORDENES'!$AT1136="","-",'ORDENES'!$AT1136))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0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IF('ORDENES'!$A1136="","",'ORDENES'!$AF1136)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IF('ORDENES'!$A1137="","",IF('ORDENES'!$AH1137="","-",'ORDENES'!$AH1137))</f>
        <v/>
      </c>
      <c r="D1159" s="5">
        <f>IF('ORDENES'!$A1137="","",IF('ORDENES'!$Z1137="","-",'ORDENES'!$Z1137))</f>
        <v/>
      </c>
      <c r="E1159" s="5">
        <f>IF('ORDENES'!$A1137="","",IF('ORDENES'!$X1137="","-",'ORDENES'!$X1137))</f>
        <v/>
      </c>
      <c r="F1159" s="5">
        <f>IF('ORDENES'!$A1137="","",IF('ORDENES'!$AA1137="","-",'ORDENES'!$AA1137))</f>
        <v/>
      </c>
      <c r="G1159" s="5">
        <f>IF('ORDENES'!$A1137="","",IF('ORDENES'!$Y1137="","-",'ORDENES'!$Y1137))</f>
        <v/>
      </c>
      <c r="H1159" s="5">
        <f>IF('ORDENES'!$A1137="","",IF('ORDENES'!$AG1137="","-",'ORDENES'!$AG1137))</f>
        <v/>
      </c>
      <c r="I1159" s="5">
        <f>IF('ORDENES'!$A1137="","",IF('ORDENES'!$AT1137="","-",'ORDENES'!$AT1137))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0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IF('ORDENES'!$A1137="","",'ORDENES'!$AF1137)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IF('ORDENES'!$A1138="","",IF('ORDENES'!$AH1138="","-",'ORDENES'!$AH1138))</f>
        <v/>
      </c>
      <c r="D1160" s="5">
        <f>IF('ORDENES'!$A1138="","",IF('ORDENES'!$Z1138="","-",'ORDENES'!$Z1138))</f>
        <v/>
      </c>
      <c r="E1160" s="5">
        <f>IF('ORDENES'!$A1138="","",IF('ORDENES'!$X1138="","-",'ORDENES'!$X1138))</f>
        <v/>
      </c>
      <c r="F1160" s="5">
        <f>IF('ORDENES'!$A1138="","",IF('ORDENES'!$AA1138="","-",'ORDENES'!$AA1138))</f>
        <v/>
      </c>
      <c r="G1160" s="5">
        <f>IF('ORDENES'!$A1138="","",IF('ORDENES'!$Y1138="","-",'ORDENES'!$Y1138))</f>
        <v/>
      </c>
      <c r="H1160" s="5">
        <f>IF('ORDENES'!$A1138="","",IF('ORDENES'!$AG1138="","-",'ORDENES'!$AG1138))</f>
        <v/>
      </c>
      <c r="I1160" s="5">
        <f>IF('ORDENES'!$A1138="","",IF('ORDENES'!$AT1138="","-",'ORDENES'!$AT1138))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0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IF('ORDENES'!$A1138="","",'ORDENES'!$AF1138)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IF('ORDENES'!$A1139="","",IF('ORDENES'!$AH1139="","-",'ORDENES'!$AH1139))</f>
        <v/>
      </c>
      <c r="D1161" s="5">
        <f>IF('ORDENES'!$A1139="","",IF('ORDENES'!$Z1139="","-",'ORDENES'!$Z1139))</f>
        <v/>
      </c>
      <c r="E1161" s="5">
        <f>IF('ORDENES'!$A1139="","",IF('ORDENES'!$X1139="","-",'ORDENES'!$X1139))</f>
        <v/>
      </c>
      <c r="F1161" s="5">
        <f>IF('ORDENES'!$A1139="","",IF('ORDENES'!$AA1139="","-",'ORDENES'!$AA1139))</f>
        <v/>
      </c>
      <c r="G1161" s="5">
        <f>IF('ORDENES'!$A1139="","",IF('ORDENES'!$Y1139="","-",'ORDENES'!$Y1139))</f>
        <v/>
      </c>
      <c r="H1161" s="5">
        <f>IF('ORDENES'!$A1139="","",IF('ORDENES'!$AG1139="","-",'ORDENES'!$AG1139))</f>
        <v/>
      </c>
      <c r="I1161" s="5">
        <f>IF('ORDENES'!$A1139="","",IF('ORDENES'!$AT1139="","-",'ORDENES'!$AT1139))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0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IF('ORDENES'!$A1139="","",'ORDENES'!$AF1139)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IF('ORDENES'!$A1140="","",IF('ORDENES'!$AH1140="","-",'ORDENES'!$AH1140))</f>
        <v/>
      </c>
      <c r="D1162" s="5">
        <f>IF('ORDENES'!$A1140="","",IF('ORDENES'!$Z1140="","-",'ORDENES'!$Z1140))</f>
        <v/>
      </c>
      <c r="E1162" s="5">
        <f>IF('ORDENES'!$A1140="","",IF('ORDENES'!$X1140="","-",'ORDENES'!$X1140))</f>
        <v/>
      </c>
      <c r="F1162" s="5">
        <f>IF('ORDENES'!$A1140="","",IF('ORDENES'!$AA1140="","-",'ORDENES'!$AA1140))</f>
        <v/>
      </c>
      <c r="G1162" s="5">
        <f>IF('ORDENES'!$A1140="","",IF('ORDENES'!$Y1140="","-",'ORDENES'!$Y1140))</f>
        <v/>
      </c>
      <c r="H1162" s="5">
        <f>IF('ORDENES'!$A1140="","",IF('ORDENES'!$AG1140="","-",'ORDENES'!$AG1140))</f>
        <v/>
      </c>
      <c r="I1162" s="5">
        <f>IF('ORDENES'!$A1140="","",IF('ORDENES'!$AT1140="","-",'ORDENES'!$AT1140))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0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IF('ORDENES'!$A1140="","",'ORDENES'!$AF1140)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IF('ORDENES'!$A1141="","",IF('ORDENES'!$AH1141="","-",'ORDENES'!$AH1141))</f>
        <v/>
      </c>
      <c r="D1163" s="5">
        <f>IF('ORDENES'!$A1141="","",IF('ORDENES'!$Z1141="","-",'ORDENES'!$Z1141))</f>
        <v/>
      </c>
      <c r="E1163" s="5">
        <f>IF('ORDENES'!$A1141="","",IF('ORDENES'!$X1141="","-",'ORDENES'!$X1141))</f>
        <v/>
      </c>
      <c r="F1163" s="5">
        <f>IF('ORDENES'!$A1141="","",IF('ORDENES'!$AA1141="","-",'ORDENES'!$AA1141))</f>
        <v/>
      </c>
      <c r="G1163" s="5">
        <f>IF('ORDENES'!$A1141="","",IF('ORDENES'!$Y1141="","-",'ORDENES'!$Y1141))</f>
        <v/>
      </c>
      <c r="H1163" s="5">
        <f>IF('ORDENES'!$A1141="","",IF('ORDENES'!$AG1141="","-",'ORDENES'!$AG1141))</f>
        <v/>
      </c>
      <c r="I1163" s="5">
        <f>IF('ORDENES'!$A1141="","",IF('ORDENES'!$AT1141="","-",'ORDENES'!$AT1141))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0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IF('ORDENES'!$A1141="","",'ORDENES'!$AF1141)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IF('ORDENES'!$A1142="","",IF('ORDENES'!$AH1142="","-",'ORDENES'!$AH1142))</f>
        <v/>
      </c>
      <c r="D1164" s="5">
        <f>IF('ORDENES'!$A1142="","",IF('ORDENES'!$Z1142="","-",'ORDENES'!$Z1142))</f>
        <v/>
      </c>
      <c r="E1164" s="5">
        <f>IF('ORDENES'!$A1142="","",IF('ORDENES'!$X1142="","-",'ORDENES'!$X1142))</f>
        <v/>
      </c>
      <c r="F1164" s="5">
        <f>IF('ORDENES'!$A1142="","",IF('ORDENES'!$AA1142="","-",'ORDENES'!$AA1142))</f>
        <v/>
      </c>
      <c r="G1164" s="5">
        <f>IF('ORDENES'!$A1142="","",IF('ORDENES'!$Y1142="","-",'ORDENES'!$Y1142))</f>
        <v/>
      </c>
      <c r="H1164" s="5">
        <f>IF('ORDENES'!$A1142="","",IF('ORDENES'!$AG1142="","-",'ORDENES'!$AG1142))</f>
        <v/>
      </c>
      <c r="I1164" s="5">
        <f>IF('ORDENES'!$A1142="","",IF('ORDENES'!$AT1142="","-",'ORDENES'!$AT1142))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0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IF('ORDENES'!$A1142="","",'ORDENES'!$AF1142)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IF('ORDENES'!$A1143="","",IF('ORDENES'!$AH1143="","-",'ORDENES'!$AH1143))</f>
        <v/>
      </c>
      <c r="D1165" s="5">
        <f>IF('ORDENES'!$A1143="","",IF('ORDENES'!$Z1143="","-",'ORDENES'!$Z1143))</f>
        <v/>
      </c>
      <c r="E1165" s="5">
        <f>IF('ORDENES'!$A1143="","",IF('ORDENES'!$X1143="","-",'ORDENES'!$X1143))</f>
        <v/>
      </c>
      <c r="F1165" s="5">
        <f>IF('ORDENES'!$A1143="","",IF('ORDENES'!$AA1143="","-",'ORDENES'!$AA1143))</f>
        <v/>
      </c>
      <c r="G1165" s="5">
        <f>IF('ORDENES'!$A1143="","",IF('ORDENES'!$Y1143="","-",'ORDENES'!$Y1143))</f>
        <v/>
      </c>
      <c r="H1165" s="5">
        <f>IF('ORDENES'!$A1143="","",IF('ORDENES'!$AG1143="","-",'ORDENES'!$AG1143))</f>
        <v/>
      </c>
      <c r="I1165" s="5">
        <f>IF('ORDENES'!$A1143="","",IF('ORDENES'!$AT1143="","-",'ORDENES'!$AT1143))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0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IF('ORDENES'!$A1143="","",'ORDENES'!$AF1143)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IF('ORDENES'!$A1144="","",IF('ORDENES'!$AH1144="","-",'ORDENES'!$AH1144))</f>
        <v/>
      </c>
      <c r="D1166" s="5">
        <f>IF('ORDENES'!$A1144="","",IF('ORDENES'!$Z1144="","-",'ORDENES'!$Z1144))</f>
        <v/>
      </c>
      <c r="E1166" s="5">
        <f>IF('ORDENES'!$A1144="","",IF('ORDENES'!$X1144="","-",'ORDENES'!$X1144))</f>
        <v/>
      </c>
      <c r="F1166" s="5">
        <f>IF('ORDENES'!$A1144="","",IF('ORDENES'!$AA1144="","-",'ORDENES'!$AA1144))</f>
        <v/>
      </c>
      <c r="G1166" s="5">
        <f>IF('ORDENES'!$A1144="","",IF('ORDENES'!$Y1144="","-",'ORDENES'!$Y1144))</f>
        <v/>
      </c>
      <c r="H1166" s="5">
        <f>IF('ORDENES'!$A1144="","",IF('ORDENES'!$AG1144="","-",'ORDENES'!$AG1144))</f>
        <v/>
      </c>
      <c r="I1166" s="5">
        <f>IF('ORDENES'!$A1144="","",IF('ORDENES'!$AT1144="","-",'ORDENES'!$AT1144))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0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IF('ORDENES'!$A1144="","",'ORDENES'!$AF1144)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IF('ORDENES'!$A1145="","",IF('ORDENES'!$AH1145="","-",'ORDENES'!$AH1145))</f>
        <v/>
      </c>
      <c r="D1167" s="5">
        <f>IF('ORDENES'!$A1145="","",IF('ORDENES'!$Z1145="","-",'ORDENES'!$Z1145))</f>
        <v/>
      </c>
      <c r="E1167" s="5">
        <f>IF('ORDENES'!$A1145="","",IF('ORDENES'!$X1145="","-",'ORDENES'!$X1145))</f>
        <v/>
      </c>
      <c r="F1167" s="5">
        <f>IF('ORDENES'!$A1145="","",IF('ORDENES'!$AA1145="","-",'ORDENES'!$AA1145))</f>
        <v/>
      </c>
      <c r="G1167" s="5">
        <f>IF('ORDENES'!$A1145="","",IF('ORDENES'!$Y1145="","-",'ORDENES'!$Y1145))</f>
        <v/>
      </c>
      <c r="H1167" s="5">
        <f>IF('ORDENES'!$A1145="","",IF('ORDENES'!$AG1145="","-",'ORDENES'!$AG1145))</f>
        <v/>
      </c>
      <c r="I1167" s="5">
        <f>IF('ORDENES'!$A1145="","",IF('ORDENES'!$AT1145="","-",'ORDENES'!$AT1145))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0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IF('ORDENES'!$A1145="","",'ORDENES'!$AF1145)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IF('ORDENES'!$A1146="","",IF('ORDENES'!$AH1146="","-",'ORDENES'!$AH1146))</f>
        <v/>
      </c>
      <c r="D1168" s="5">
        <f>IF('ORDENES'!$A1146="","",IF('ORDENES'!$Z1146="","-",'ORDENES'!$Z1146))</f>
        <v/>
      </c>
      <c r="E1168" s="5">
        <f>IF('ORDENES'!$A1146="","",IF('ORDENES'!$X1146="","-",'ORDENES'!$X1146))</f>
        <v/>
      </c>
      <c r="F1168" s="5">
        <f>IF('ORDENES'!$A1146="","",IF('ORDENES'!$AA1146="","-",'ORDENES'!$AA1146))</f>
        <v/>
      </c>
      <c r="G1168" s="5">
        <f>IF('ORDENES'!$A1146="","",IF('ORDENES'!$Y1146="","-",'ORDENES'!$Y1146))</f>
        <v/>
      </c>
      <c r="H1168" s="5">
        <f>IF('ORDENES'!$A1146="","",IF('ORDENES'!$AG1146="","-",'ORDENES'!$AG1146))</f>
        <v/>
      </c>
      <c r="I1168" s="5">
        <f>IF('ORDENES'!$A1146="","",IF('ORDENES'!$AT1146="","-",'ORDENES'!$AT1146))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0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IF('ORDENES'!$A1146="","",'ORDENES'!$AF1146)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IF('ORDENES'!$A1147="","",IF('ORDENES'!$AH1147="","-",'ORDENES'!$AH1147))</f>
        <v/>
      </c>
      <c r="D1169" s="5">
        <f>IF('ORDENES'!$A1147="","",IF('ORDENES'!$Z1147="","-",'ORDENES'!$Z1147))</f>
        <v/>
      </c>
      <c r="E1169" s="5">
        <f>IF('ORDENES'!$A1147="","",IF('ORDENES'!$X1147="","-",'ORDENES'!$X1147))</f>
        <v/>
      </c>
      <c r="F1169" s="5">
        <f>IF('ORDENES'!$A1147="","",IF('ORDENES'!$AA1147="","-",'ORDENES'!$AA1147))</f>
        <v/>
      </c>
      <c r="G1169" s="5">
        <f>IF('ORDENES'!$A1147="","",IF('ORDENES'!$Y1147="","-",'ORDENES'!$Y1147))</f>
        <v/>
      </c>
      <c r="H1169" s="5">
        <f>IF('ORDENES'!$A1147="","",IF('ORDENES'!$AG1147="","-",'ORDENES'!$AG1147))</f>
        <v/>
      </c>
      <c r="I1169" s="5">
        <f>IF('ORDENES'!$A1147="","",IF('ORDENES'!$AT1147="","-",'ORDENES'!$AT1147))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0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IF('ORDENES'!$A1147="","",'ORDENES'!$AF1147)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IF('ORDENES'!$A1148="","",IF('ORDENES'!$AH1148="","-",'ORDENES'!$AH1148))</f>
        <v/>
      </c>
      <c r="D1170" s="5">
        <f>IF('ORDENES'!$A1148="","",IF('ORDENES'!$Z1148="","-",'ORDENES'!$Z1148))</f>
        <v/>
      </c>
      <c r="E1170" s="5">
        <f>IF('ORDENES'!$A1148="","",IF('ORDENES'!$X1148="","-",'ORDENES'!$X1148))</f>
        <v/>
      </c>
      <c r="F1170" s="5">
        <f>IF('ORDENES'!$A1148="","",IF('ORDENES'!$AA1148="","-",'ORDENES'!$AA1148))</f>
        <v/>
      </c>
      <c r="G1170" s="5">
        <f>IF('ORDENES'!$A1148="","",IF('ORDENES'!$Y1148="","-",'ORDENES'!$Y1148))</f>
        <v/>
      </c>
      <c r="H1170" s="5">
        <f>IF('ORDENES'!$A1148="","",IF('ORDENES'!$AG1148="","-",'ORDENES'!$AG1148))</f>
        <v/>
      </c>
      <c r="I1170" s="5">
        <f>IF('ORDENES'!$A1148="","",IF('ORDENES'!$AT1148="","-",'ORDENES'!$AT1148))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0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IF('ORDENES'!$A1148="","",'ORDENES'!$AF1148)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IF('ORDENES'!$A1149="","",IF('ORDENES'!$AH1149="","-",'ORDENES'!$AH1149))</f>
        <v/>
      </c>
      <c r="D1171" s="5">
        <f>IF('ORDENES'!$A1149="","",IF('ORDENES'!$Z1149="","-",'ORDENES'!$Z1149))</f>
        <v/>
      </c>
      <c r="E1171" s="5">
        <f>IF('ORDENES'!$A1149="","",IF('ORDENES'!$X1149="","-",'ORDENES'!$X1149))</f>
        <v/>
      </c>
      <c r="F1171" s="5">
        <f>IF('ORDENES'!$A1149="","",IF('ORDENES'!$AA1149="","-",'ORDENES'!$AA1149))</f>
        <v/>
      </c>
      <c r="G1171" s="5">
        <f>IF('ORDENES'!$A1149="","",IF('ORDENES'!$Y1149="","-",'ORDENES'!$Y1149))</f>
        <v/>
      </c>
      <c r="H1171" s="5">
        <f>IF('ORDENES'!$A1149="","",IF('ORDENES'!$AG1149="","-",'ORDENES'!$AG1149))</f>
        <v/>
      </c>
      <c r="I1171" s="5">
        <f>IF('ORDENES'!$A1149="","",IF('ORDENES'!$AT1149="","-",'ORDENES'!$AT1149))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0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IF('ORDENES'!$A1149="","",'ORDENES'!$AF1149)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IF('ORDENES'!$A1150="","",IF('ORDENES'!$AH1150="","-",'ORDENES'!$AH1150))</f>
        <v/>
      </c>
      <c r="D1172" s="5">
        <f>IF('ORDENES'!$A1150="","",IF('ORDENES'!$Z1150="","-",'ORDENES'!$Z1150))</f>
        <v/>
      </c>
      <c r="E1172" s="5">
        <f>IF('ORDENES'!$A1150="","",IF('ORDENES'!$X1150="","-",'ORDENES'!$X1150))</f>
        <v/>
      </c>
      <c r="F1172" s="5">
        <f>IF('ORDENES'!$A1150="","",IF('ORDENES'!$AA1150="","-",'ORDENES'!$AA1150))</f>
        <v/>
      </c>
      <c r="G1172" s="5">
        <f>IF('ORDENES'!$A1150="","",IF('ORDENES'!$Y1150="","-",'ORDENES'!$Y1150))</f>
        <v/>
      </c>
      <c r="H1172" s="5">
        <f>IF('ORDENES'!$A1150="","",IF('ORDENES'!$AG1150="","-",'ORDENES'!$AG1150))</f>
        <v/>
      </c>
      <c r="I1172" s="5">
        <f>IF('ORDENES'!$A1150="","",IF('ORDENES'!$AT1150="","-",'ORDENES'!$AT1150))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0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IF('ORDENES'!$A1150="","",'ORDENES'!$AF1150)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IF('ORDENES'!$A1151="","",IF('ORDENES'!$AH1151="","-",'ORDENES'!$AH1151))</f>
        <v/>
      </c>
      <c r="D1173" s="5">
        <f>IF('ORDENES'!$A1151="","",IF('ORDENES'!$Z1151="","-",'ORDENES'!$Z1151))</f>
        <v/>
      </c>
      <c r="E1173" s="5">
        <f>IF('ORDENES'!$A1151="","",IF('ORDENES'!$X1151="","-",'ORDENES'!$X1151))</f>
        <v/>
      </c>
      <c r="F1173" s="5">
        <f>IF('ORDENES'!$A1151="","",IF('ORDENES'!$AA1151="","-",'ORDENES'!$AA1151))</f>
        <v/>
      </c>
      <c r="G1173" s="5">
        <f>IF('ORDENES'!$A1151="","",IF('ORDENES'!$Y1151="","-",'ORDENES'!$Y1151))</f>
        <v/>
      </c>
      <c r="H1173" s="5">
        <f>IF('ORDENES'!$A1151="","",IF('ORDENES'!$AG1151="","-",'ORDENES'!$AG1151))</f>
        <v/>
      </c>
      <c r="I1173" s="5">
        <f>IF('ORDENES'!$A1151="","",IF('ORDENES'!$AT1151="","-",'ORDENES'!$AT1151))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0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IF('ORDENES'!$A1151="","",'ORDENES'!$AF1151)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IF('ORDENES'!$A1152="","",IF('ORDENES'!$AH1152="","-",'ORDENES'!$AH1152))</f>
        <v/>
      </c>
      <c r="D1174" s="5">
        <f>IF('ORDENES'!$A1152="","",IF('ORDENES'!$Z1152="","-",'ORDENES'!$Z1152))</f>
        <v/>
      </c>
      <c r="E1174" s="5">
        <f>IF('ORDENES'!$A1152="","",IF('ORDENES'!$X1152="","-",'ORDENES'!$X1152))</f>
        <v/>
      </c>
      <c r="F1174" s="5">
        <f>IF('ORDENES'!$A1152="","",IF('ORDENES'!$AA1152="","-",'ORDENES'!$AA1152))</f>
        <v/>
      </c>
      <c r="G1174" s="5">
        <f>IF('ORDENES'!$A1152="","",IF('ORDENES'!$Y1152="","-",'ORDENES'!$Y1152))</f>
        <v/>
      </c>
      <c r="H1174" s="5">
        <f>IF('ORDENES'!$A1152="","",IF('ORDENES'!$AG1152="","-",'ORDENES'!$AG1152))</f>
        <v/>
      </c>
      <c r="I1174" s="5">
        <f>IF('ORDENES'!$A1152="","",IF('ORDENES'!$AT1152="","-",'ORDENES'!$AT1152))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0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IF('ORDENES'!$A1152="","",'ORDENES'!$AF1152)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IF('ORDENES'!$A1153="","",IF('ORDENES'!$AH1153="","-",'ORDENES'!$AH1153))</f>
        <v/>
      </c>
      <c r="D1175" s="5">
        <f>IF('ORDENES'!$A1153="","",IF('ORDENES'!$Z1153="","-",'ORDENES'!$Z1153))</f>
        <v/>
      </c>
      <c r="E1175" s="5">
        <f>IF('ORDENES'!$A1153="","",IF('ORDENES'!$X1153="","-",'ORDENES'!$X1153))</f>
        <v/>
      </c>
      <c r="F1175" s="5">
        <f>IF('ORDENES'!$A1153="","",IF('ORDENES'!$AA1153="","-",'ORDENES'!$AA1153))</f>
        <v/>
      </c>
      <c r="G1175" s="5">
        <f>IF('ORDENES'!$A1153="","",IF('ORDENES'!$Y1153="","-",'ORDENES'!$Y1153))</f>
        <v/>
      </c>
      <c r="H1175" s="5">
        <f>IF('ORDENES'!$A1153="","",IF('ORDENES'!$AG1153="","-",'ORDENES'!$AG1153))</f>
        <v/>
      </c>
      <c r="I1175" s="5">
        <f>IF('ORDENES'!$A1153="","",IF('ORDENES'!$AT1153="","-",'ORDENES'!$AT1153))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0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IF('ORDENES'!$A1153="","",'ORDENES'!$AF1153)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IF('ORDENES'!$A1154="","",IF('ORDENES'!$AH1154="","-",'ORDENES'!$AH1154))</f>
        <v/>
      </c>
      <c r="D1176" s="5">
        <f>IF('ORDENES'!$A1154="","",IF('ORDENES'!$Z1154="","-",'ORDENES'!$Z1154))</f>
        <v/>
      </c>
      <c r="E1176" s="5">
        <f>IF('ORDENES'!$A1154="","",IF('ORDENES'!$X1154="","-",'ORDENES'!$X1154))</f>
        <v/>
      </c>
      <c r="F1176" s="5">
        <f>IF('ORDENES'!$A1154="","",IF('ORDENES'!$AA1154="","-",'ORDENES'!$AA1154))</f>
        <v/>
      </c>
      <c r="G1176" s="5">
        <f>IF('ORDENES'!$A1154="","",IF('ORDENES'!$Y1154="","-",'ORDENES'!$Y1154))</f>
        <v/>
      </c>
      <c r="H1176" s="5">
        <f>IF('ORDENES'!$A1154="","",IF('ORDENES'!$AG1154="","-",'ORDENES'!$AG1154))</f>
        <v/>
      </c>
      <c r="I1176" s="5">
        <f>IF('ORDENES'!$A1154="","",IF('ORDENES'!$AT1154="","-",'ORDENES'!$AT1154))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0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IF('ORDENES'!$A1154="","",'ORDENES'!$AF1154)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IF('ORDENES'!$A1155="","",IF('ORDENES'!$AH1155="","-",'ORDENES'!$AH1155))</f>
        <v/>
      </c>
      <c r="D1177" s="5">
        <f>IF('ORDENES'!$A1155="","",IF('ORDENES'!$Z1155="","-",'ORDENES'!$Z1155))</f>
        <v/>
      </c>
      <c r="E1177" s="5">
        <f>IF('ORDENES'!$A1155="","",IF('ORDENES'!$X1155="","-",'ORDENES'!$X1155))</f>
        <v/>
      </c>
      <c r="F1177" s="5">
        <f>IF('ORDENES'!$A1155="","",IF('ORDENES'!$AA1155="","-",'ORDENES'!$AA1155))</f>
        <v/>
      </c>
      <c r="G1177" s="5">
        <f>IF('ORDENES'!$A1155="","",IF('ORDENES'!$Y1155="","-",'ORDENES'!$Y1155))</f>
        <v/>
      </c>
      <c r="H1177" s="5">
        <f>IF('ORDENES'!$A1155="","",IF('ORDENES'!$AG1155="","-",'ORDENES'!$AG1155))</f>
        <v/>
      </c>
      <c r="I1177" s="5">
        <f>IF('ORDENES'!$A1155="","",IF('ORDENES'!$AT1155="","-",'ORDENES'!$AT1155))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0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IF('ORDENES'!$A1155="","",'ORDENES'!$AF1155)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IF('ORDENES'!$A1156="","",IF('ORDENES'!$AH1156="","-",'ORDENES'!$AH1156))</f>
        <v/>
      </c>
      <c r="D1178" s="5">
        <f>IF('ORDENES'!$A1156="","",IF('ORDENES'!$Z1156="","-",'ORDENES'!$Z1156))</f>
        <v/>
      </c>
      <c r="E1178" s="5">
        <f>IF('ORDENES'!$A1156="","",IF('ORDENES'!$X1156="","-",'ORDENES'!$X1156))</f>
        <v/>
      </c>
      <c r="F1178" s="5">
        <f>IF('ORDENES'!$A1156="","",IF('ORDENES'!$AA1156="","-",'ORDENES'!$AA1156))</f>
        <v/>
      </c>
      <c r="G1178" s="5">
        <f>IF('ORDENES'!$A1156="","",IF('ORDENES'!$Y1156="","-",'ORDENES'!$Y1156))</f>
        <v/>
      </c>
      <c r="H1178" s="5">
        <f>IF('ORDENES'!$A1156="","",IF('ORDENES'!$AG1156="","-",'ORDENES'!$AG1156))</f>
        <v/>
      </c>
      <c r="I1178" s="5">
        <f>IF('ORDENES'!$A1156="","",IF('ORDENES'!$AT1156="","-",'ORDENES'!$AT1156))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0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IF('ORDENES'!$A1156="","",'ORDENES'!$AF1156)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IF('ORDENES'!$A1157="","",IF('ORDENES'!$AH1157="","-",'ORDENES'!$AH1157))</f>
        <v/>
      </c>
      <c r="D1179" s="5">
        <f>IF('ORDENES'!$A1157="","",IF('ORDENES'!$Z1157="","-",'ORDENES'!$Z1157))</f>
        <v/>
      </c>
      <c r="E1179" s="5">
        <f>IF('ORDENES'!$A1157="","",IF('ORDENES'!$X1157="","-",'ORDENES'!$X1157))</f>
        <v/>
      </c>
      <c r="F1179" s="5">
        <f>IF('ORDENES'!$A1157="","",IF('ORDENES'!$AA1157="","-",'ORDENES'!$AA1157))</f>
        <v/>
      </c>
      <c r="G1179" s="5">
        <f>IF('ORDENES'!$A1157="","",IF('ORDENES'!$Y1157="","-",'ORDENES'!$Y1157))</f>
        <v/>
      </c>
      <c r="H1179" s="5">
        <f>IF('ORDENES'!$A1157="","",IF('ORDENES'!$AG1157="","-",'ORDENES'!$AG1157))</f>
        <v/>
      </c>
      <c r="I1179" s="5">
        <f>IF('ORDENES'!$A1157="","",IF('ORDENES'!$AT1157="","-",'ORDENES'!$AT1157))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0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IF('ORDENES'!$A1157="","",'ORDENES'!$AF1157)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IF('ORDENES'!$A1158="","",IF('ORDENES'!$AH1158="","-",'ORDENES'!$AH1158))</f>
        <v/>
      </c>
      <c r="D1180" s="5">
        <f>IF('ORDENES'!$A1158="","",IF('ORDENES'!$Z1158="","-",'ORDENES'!$Z1158))</f>
        <v/>
      </c>
      <c r="E1180" s="5">
        <f>IF('ORDENES'!$A1158="","",IF('ORDENES'!$X1158="","-",'ORDENES'!$X1158))</f>
        <v/>
      </c>
      <c r="F1180" s="5">
        <f>IF('ORDENES'!$A1158="","",IF('ORDENES'!$AA1158="","-",'ORDENES'!$AA1158))</f>
        <v/>
      </c>
      <c r="G1180" s="5">
        <f>IF('ORDENES'!$A1158="","",IF('ORDENES'!$Y1158="","-",'ORDENES'!$Y1158))</f>
        <v/>
      </c>
      <c r="H1180" s="5">
        <f>IF('ORDENES'!$A1158="","",IF('ORDENES'!$AG1158="","-",'ORDENES'!$AG1158))</f>
        <v/>
      </c>
      <c r="I1180" s="5">
        <f>IF('ORDENES'!$A1158="","",IF('ORDENES'!$AT1158="","-",'ORDENES'!$AT1158))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0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IF('ORDENES'!$A1158="","",'ORDENES'!$AF1158)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IF('ORDENES'!$A1159="","",IF('ORDENES'!$AH1159="","-",'ORDENES'!$AH1159))</f>
        <v/>
      </c>
      <c r="D1181" s="5">
        <f>IF('ORDENES'!$A1159="","",IF('ORDENES'!$Z1159="","-",'ORDENES'!$Z1159))</f>
        <v/>
      </c>
      <c r="E1181" s="5">
        <f>IF('ORDENES'!$A1159="","",IF('ORDENES'!$X1159="","-",'ORDENES'!$X1159))</f>
        <v/>
      </c>
      <c r="F1181" s="5">
        <f>IF('ORDENES'!$A1159="","",IF('ORDENES'!$AA1159="","-",'ORDENES'!$AA1159))</f>
        <v/>
      </c>
      <c r="G1181" s="5">
        <f>IF('ORDENES'!$A1159="","",IF('ORDENES'!$Y1159="","-",'ORDENES'!$Y1159))</f>
        <v/>
      </c>
      <c r="H1181" s="5">
        <f>IF('ORDENES'!$A1159="","",IF('ORDENES'!$AG1159="","-",'ORDENES'!$AG1159))</f>
        <v/>
      </c>
      <c r="I1181" s="5">
        <f>IF('ORDENES'!$A1159="","",IF('ORDENES'!$AT1159="","-",'ORDENES'!$AT1159))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0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IF('ORDENES'!$A1159="","",'ORDENES'!$AF1159)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IF('ORDENES'!$A1160="","",IF('ORDENES'!$AH1160="","-",'ORDENES'!$AH1160))</f>
        <v/>
      </c>
      <c r="D1182" s="5">
        <f>IF('ORDENES'!$A1160="","",IF('ORDENES'!$Z1160="","-",'ORDENES'!$Z1160))</f>
        <v/>
      </c>
      <c r="E1182" s="5">
        <f>IF('ORDENES'!$A1160="","",IF('ORDENES'!$X1160="","-",'ORDENES'!$X1160))</f>
        <v/>
      </c>
      <c r="F1182" s="5">
        <f>IF('ORDENES'!$A1160="","",IF('ORDENES'!$AA1160="","-",'ORDENES'!$AA1160))</f>
        <v/>
      </c>
      <c r="G1182" s="5">
        <f>IF('ORDENES'!$A1160="","",IF('ORDENES'!$Y1160="","-",'ORDENES'!$Y1160))</f>
        <v/>
      </c>
      <c r="H1182" s="5">
        <f>IF('ORDENES'!$A1160="","",IF('ORDENES'!$AG1160="","-",'ORDENES'!$AG1160))</f>
        <v/>
      </c>
      <c r="I1182" s="5">
        <f>IF('ORDENES'!$A1160="","",IF('ORDENES'!$AT1160="","-",'ORDENES'!$AT1160))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0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IF('ORDENES'!$A1160="","",'ORDENES'!$AF1160)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IF('ORDENES'!$A1161="","",IF('ORDENES'!$AH1161="","-",'ORDENES'!$AH1161))</f>
        <v/>
      </c>
      <c r="D1183" s="5">
        <f>IF('ORDENES'!$A1161="","",IF('ORDENES'!$Z1161="","-",'ORDENES'!$Z1161))</f>
        <v/>
      </c>
      <c r="E1183" s="5">
        <f>IF('ORDENES'!$A1161="","",IF('ORDENES'!$X1161="","-",'ORDENES'!$X1161))</f>
        <v/>
      </c>
      <c r="F1183" s="5">
        <f>IF('ORDENES'!$A1161="","",IF('ORDENES'!$AA1161="","-",'ORDENES'!$AA1161))</f>
        <v/>
      </c>
      <c r="G1183" s="5">
        <f>IF('ORDENES'!$A1161="","",IF('ORDENES'!$Y1161="","-",'ORDENES'!$Y1161))</f>
        <v/>
      </c>
      <c r="H1183" s="5">
        <f>IF('ORDENES'!$A1161="","",IF('ORDENES'!$AG1161="","-",'ORDENES'!$AG1161))</f>
        <v/>
      </c>
      <c r="I1183" s="5">
        <f>IF('ORDENES'!$A1161="","",IF('ORDENES'!$AT1161="","-",'ORDENES'!$AT1161))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0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IF('ORDENES'!$A1161="","",'ORDENES'!$AF1161)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IF('ORDENES'!$A1162="","",IF('ORDENES'!$AH1162="","-",'ORDENES'!$AH1162))</f>
        <v/>
      </c>
      <c r="D1184" s="5">
        <f>IF('ORDENES'!$A1162="","",IF('ORDENES'!$Z1162="","-",'ORDENES'!$Z1162))</f>
        <v/>
      </c>
      <c r="E1184" s="5">
        <f>IF('ORDENES'!$A1162="","",IF('ORDENES'!$X1162="","-",'ORDENES'!$X1162))</f>
        <v/>
      </c>
      <c r="F1184" s="5">
        <f>IF('ORDENES'!$A1162="","",IF('ORDENES'!$AA1162="","-",'ORDENES'!$AA1162))</f>
        <v/>
      </c>
      <c r="G1184" s="5">
        <f>IF('ORDENES'!$A1162="","",IF('ORDENES'!$Y1162="","-",'ORDENES'!$Y1162))</f>
        <v/>
      </c>
      <c r="H1184" s="5">
        <f>IF('ORDENES'!$A1162="","",IF('ORDENES'!$AG1162="","-",'ORDENES'!$AG1162))</f>
        <v/>
      </c>
      <c r="I1184" s="5">
        <f>IF('ORDENES'!$A1162="","",IF('ORDENES'!$AT1162="","-",'ORDENES'!$AT1162))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0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IF('ORDENES'!$A1162="","",'ORDENES'!$AF1162)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IF('ORDENES'!$A1163="","",IF('ORDENES'!$AH1163="","-",'ORDENES'!$AH1163))</f>
        <v/>
      </c>
      <c r="D1185" s="5">
        <f>IF('ORDENES'!$A1163="","",IF('ORDENES'!$Z1163="","-",'ORDENES'!$Z1163))</f>
        <v/>
      </c>
      <c r="E1185" s="5">
        <f>IF('ORDENES'!$A1163="","",IF('ORDENES'!$X1163="","-",'ORDENES'!$X1163))</f>
        <v/>
      </c>
      <c r="F1185" s="5">
        <f>IF('ORDENES'!$A1163="","",IF('ORDENES'!$AA1163="","-",'ORDENES'!$AA1163))</f>
        <v/>
      </c>
      <c r="G1185" s="5">
        <f>IF('ORDENES'!$A1163="","",IF('ORDENES'!$Y1163="","-",'ORDENES'!$Y1163))</f>
        <v/>
      </c>
      <c r="H1185" s="5">
        <f>IF('ORDENES'!$A1163="","",IF('ORDENES'!$AG1163="","-",'ORDENES'!$AG1163))</f>
        <v/>
      </c>
      <c r="I1185" s="5">
        <f>IF('ORDENES'!$A1163="","",IF('ORDENES'!$AT1163="","-",'ORDENES'!$AT1163))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0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IF('ORDENES'!$A1163="","",'ORDENES'!$AF1163)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IF('ORDENES'!$A1164="","",IF('ORDENES'!$AH1164="","-",'ORDENES'!$AH1164))</f>
        <v/>
      </c>
      <c r="D1186" s="5">
        <f>IF('ORDENES'!$A1164="","",IF('ORDENES'!$Z1164="","-",'ORDENES'!$Z1164))</f>
        <v/>
      </c>
      <c r="E1186" s="5">
        <f>IF('ORDENES'!$A1164="","",IF('ORDENES'!$X1164="","-",'ORDENES'!$X1164))</f>
        <v/>
      </c>
      <c r="F1186" s="5">
        <f>IF('ORDENES'!$A1164="","",IF('ORDENES'!$AA1164="","-",'ORDENES'!$AA1164))</f>
        <v/>
      </c>
      <c r="G1186" s="5">
        <f>IF('ORDENES'!$A1164="","",IF('ORDENES'!$Y1164="","-",'ORDENES'!$Y1164))</f>
        <v/>
      </c>
      <c r="H1186" s="5">
        <f>IF('ORDENES'!$A1164="","",IF('ORDENES'!$AG1164="","-",'ORDENES'!$AG1164))</f>
        <v/>
      </c>
      <c r="I1186" s="5">
        <f>IF('ORDENES'!$A1164="","",IF('ORDENES'!$AT1164="","-",'ORDENES'!$AT1164))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0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IF('ORDENES'!$A1164="","",'ORDENES'!$AF1164)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IF('ORDENES'!$A1165="","",IF('ORDENES'!$AH1165="","-",'ORDENES'!$AH1165))</f>
        <v/>
      </c>
      <c r="D1187" s="5">
        <f>IF('ORDENES'!$A1165="","",IF('ORDENES'!$Z1165="","-",'ORDENES'!$Z1165))</f>
        <v/>
      </c>
      <c r="E1187" s="5">
        <f>IF('ORDENES'!$A1165="","",IF('ORDENES'!$X1165="","-",'ORDENES'!$X1165))</f>
        <v/>
      </c>
      <c r="F1187" s="5">
        <f>IF('ORDENES'!$A1165="","",IF('ORDENES'!$AA1165="","-",'ORDENES'!$AA1165))</f>
        <v/>
      </c>
      <c r="G1187" s="5">
        <f>IF('ORDENES'!$A1165="","",IF('ORDENES'!$Y1165="","-",'ORDENES'!$Y1165))</f>
        <v/>
      </c>
      <c r="H1187" s="5">
        <f>IF('ORDENES'!$A1165="","",IF('ORDENES'!$AG1165="","-",'ORDENES'!$AG1165))</f>
        <v/>
      </c>
      <c r="I1187" s="5">
        <f>IF('ORDENES'!$A1165="","",IF('ORDENES'!$AT1165="","-",'ORDENES'!$AT1165))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0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IF('ORDENES'!$A1165="","",'ORDENES'!$AF1165)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IF('ORDENES'!$A1166="","",IF('ORDENES'!$AH1166="","-",'ORDENES'!$AH1166))</f>
        <v/>
      </c>
      <c r="D1188" s="5">
        <f>IF('ORDENES'!$A1166="","",IF('ORDENES'!$Z1166="","-",'ORDENES'!$Z1166))</f>
        <v/>
      </c>
      <c r="E1188" s="5">
        <f>IF('ORDENES'!$A1166="","",IF('ORDENES'!$X1166="","-",'ORDENES'!$X1166))</f>
        <v/>
      </c>
      <c r="F1188" s="5">
        <f>IF('ORDENES'!$A1166="","",IF('ORDENES'!$AA1166="","-",'ORDENES'!$AA1166))</f>
        <v/>
      </c>
      <c r="G1188" s="5">
        <f>IF('ORDENES'!$A1166="","",IF('ORDENES'!$Y1166="","-",'ORDENES'!$Y1166))</f>
        <v/>
      </c>
      <c r="H1188" s="5">
        <f>IF('ORDENES'!$A1166="","",IF('ORDENES'!$AG1166="","-",'ORDENES'!$AG1166))</f>
        <v/>
      </c>
      <c r="I1188" s="5">
        <f>IF('ORDENES'!$A1166="","",IF('ORDENES'!$AT1166="","-",'ORDENES'!$AT1166))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0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IF('ORDENES'!$A1166="","",'ORDENES'!$AF1166)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IF('ORDENES'!$A1167="","",IF('ORDENES'!$AH1167="","-",'ORDENES'!$AH1167))</f>
        <v/>
      </c>
      <c r="D1189" s="5">
        <f>IF('ORDENES'!$A1167="","",IF('ORDENES'!$Z1167="","-",'ORDENES'!$Z1167))</f>
        <v/>
      </c>
      <c r="E1189" s="5">
        <f>IF('ORDENES'!$A1167="","",IF('ORDENES'!$X1167="","-",'ORDENES'!$X1167))</f>
        <v/>
      </c>
      <c r="F1189" s="5">
        <f>IF('ORDENES'!$A1167="","",IF('ORDENES'!$AA1167="","-",'ORDENES'!$AA1167))</f>
        <v/>
      </c>
      <c r="G1189" s="5">
        <f>IF('ORDENES'!$A1167="","",IF('ORDENES'!$Y1167="","-",'ORDENES'!$Y1167))</f>
        <v/>
      </c>
      <c r="H1189" s="5">
        <f>IF('ORDENES'!$A1167="","",IF('ORDENES'!$AG1167="","-",'ORDENES'!$AG1167))</f>
        <v/>
      </c>
      <c r="I1189" s="5">
        <f>IF('ORDENES'!$A1167="","",IF('ORDENES'!$AT1167="","-",'ORDENES'!$AT1167))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0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IF('ORDENES'!$A1167="","",'ORDENES'!$AF1167)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IF('ORDENES'!$A1168="","",IF('ORDENES'!$AH1168="","-",'ORDENES'!$AH1168))</f>
        <v/>
      </c>
      <c r="D1190" s="5">
        <f>IF('ORDENES'!$A1168="","",IF('ORDENES'!$Z1168="","-",'ORDENES'!$Z1168))</f>
        <v/>
      </c>
      <c r="E1190" s="5">
        <f>IF('ORDENES'!$A1168="","",IF('ORDENES'!$X1168="","-",'ORDENES'!$X1168))</f>
        <v/>
      </c>
      <c r="F1190" s="5">
        <f>IF('ORDENES'!$A1168="","",IF('ORDENES'!$AA1168="","-",'ORDENES'!$AA1168))</f>
        <v/>
      </c>
      <c r="G1190" s="5">
        <f>IF('ORDENES'!$A1168="","",IF('ORDENES'!$Y1168="","-",'ORDENES'!$Y1168))</f>
        <v/>
      </c>
      <c r="H1190" s="5">
        <f>IF('ORDENES'!$A1168="","",IF('ORDENES'!$AG1168="","-",'ORDENES'!$AG1168))</f>
        <v/>
      </c>
      <c r="I1190" s="5">
        <f>IF('ORDENES'!$A1168="","",IF('ORDENES'!$AT1168="","-",'ORDENES'!$AT1168))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0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IF('ORDENES'!$A1168="","",'ORDENES'!$AF1168)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IF('ORDENES'!$A1169="","",IF('ORDENES'!$AH1169="","-",'ORDENES'!$AH1169))</f>
        <v/>
      </c>
      <c r="D1191" s="5">
        <f>IF('ORDENES'!$A1169="","",IF('ORDENES'!$Z1169="","-",'ORDENES'!$Z1169))</f>
        <v/>
      </c>
      <c r="E1191" s="5">
        <f>IF('ORDENES'!$A1169="","",IF('ORDENES'!$X1169="","-",'ORDENES'!$X1169))</f>
        <v/>
      </c>
      <c r="F1191" s="5">
        <f>IF('ORDENES'!$A1169="","",IF('ORDENES'!$AA1169="","-",'ORDENES'!$AA1169))</f>
        <v/>
      </c>
      <c r="G1191" s="5">
        <f>IF('ORDENES'!$A1169="","",IF('ORDENES'!$Y1169="","-",'ORDENES'!$Y1169))</f>
        <v/>
      </c>
      <c r="H1191" s="5">
        <f>IF('ORDENES'!$A1169="","",IF('ORDENES'!$AG1169="","-",'ORDENES'!$AG1169))</f>
        <v/>
      </c>
      <c r="I1191" s="5">
        <f>IF('ORDENES'!$A1169="","",IF('ORDENES'!$AT1169="","-",'ORDENES'!$AT1169))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0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IF('ORDENES'!$A1169="","",'ORDENES'!$AF1169)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IF('ORDENES'!$A1170="","",IF('ORDENES'!$AH1170="","-",'ORDENES'!$AH1170))</f>
        <v/>
      </c>
      <c r="D1192" s="5">
        <f>IF('ORDENES'!$A1170="","",IF('ORDENES'!$Z1170="","-",'ORDENES'!$Z1170))</f>
        <v/>
      </c>
      <c r="E1192" s="5">
        <f>IF('ORDENES'!$A1170="","",IF('ORDENES'!$X1170="","-",'ORDENES'!$X1170))</f>
        <v/>
      </c>
      <c r="F1192" s="5">
        <f>IF('ORDENES'!$A1170="","",IF('ORDENES'!$AA1170="","-",'ORDENES'!$AA1170))</f>
        <v/>
      </c>
      <c r="G1192" s="5">
        <f>IF('ORDENES'!$A1170="","",IF('ORDENES'!$Y1170="","-",'ORDENES'!$Y1170))</f>
        <v/>
      </c>
      <c r="H1192" s="5">
        <f>IF('ORDENES'!$A1170="","",IF('ORDENES'!$AG1170="","-",'ORDENES'!$AG1170))</f>
        <v/>
      </c>
      <c r="I1192" s="5">
        <f>IF('ORDENES'!$A1170="","",IF('ORDENES'!$AT1170="","-",'ORDENES'!$AT1170))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0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IF('ORDENES'!$A1170="","",'ORDENES'!$AF1170)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IF('ORDENES'!$A1171="","",IF('ORDENES'!$AH1171="","-",'ORDENES'!$AH1171))</f>
        <v/>
      </c>
      <c r="D1193" s="5">
        <f>IF('ORDENES'!$A1171="","",IF('ORDENES'!$Z1171="","-",'ORDENES'!$Z1171))</f>
        <v/>
      </c>
      <c r="E1193" s="5">
        <f>IF('ORDENES'!$A1171="","",IF('ORDENES'!$X1171="","-",'ORDENES'!$X1171))</f>
        <v/>
      </c>
      <c r="F1193" s="5">
        <f>IF('ORDENES'!$A1171="","",IF('ORDENES'!$AA1171="","-",'ORDENES'!$AA1171))</f>
        <v/>
      </c>
      <c r="G1193" s="5">
        <f>IF('ORDENES'!$A1171="","",IF('ORDENES'!$Y1171="","-",'ORDENES'!$Y1171))</f>
        <v/>
      </c>
      <c r="H1193" s="5">
        <f>IF('ORDENES'!$A1171="","",IF('ORDENES'!$AG1171="","-",'ORDENES'!$AG1171))</f>
        <v/>
      </c>
      <c r="I1193" s="5">
        <f>IF('ORDENES'!$A1171="","",IF('ORDENES'!$AT1171="","-",'ORDENES'!$AT1171))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0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IF('ORDENES'!$A1171="","",'ORDENES'!$AF1171)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IF('ORDENES'!$A1172="","",IF('ORDENES'!$AH1172="","-",'ORDENES'!$AH1172))</f>
        <v/>
      </c>
      <c r="D1194" s="5">
        <f>IF('ORDENES'!$A1172="","",IF('ORDENES'!$Z1172="","-",'ORDENES'!$Z1172))</f>
        <v/>
      </c>
      <c r="E1194" s="5">
        <f>IF('ORDENES'!$A1172="","",IF('ORDENES'!$X1172="","-",'ORDENES'!$X1172))</f>
        <v/>
      </c>
      <c r="F1194" s="5">
        <f>IF('ORDENES'!$A1172="","",IF('ORDENES'!$AA1172="","-",'ORDENES'!$AA1172))</f>
        <v/>
      </c>
      <c r="G1194" s="5">
        <f>IF('ORDENES'!$A1172="","",IF('ORDENES'!$Y1172="","-",'ORDENES'!$Y1172))</f>
        <v/>
      </c>
      <c r="H1194" s="5">
        <f>IF('ORDENES'!$A1172="","",IF('ORDENES'!$AG1172="","-",'ORDENES'!$AG1172))</f>
        <v/>
      </c>
      <c r="I1194" s="5">
        <f>IF('ORDENES'!$A1172="","",IF('ORDENES'!$AT1172="","-",'ORDENES'!$AT1172))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0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IF('ORDENES'!$A1172="","",'ORDENES'!$AF1172)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IF('ORDENES'!$A1173="","",IF('ORDENES'!$AH1173="","-",'ORDENES'!$AH1173))</f>
        <v/>
      </c>
      <c r="D1195" s="5">
        <f>IF('ORDENES'!$A1173="","",IF('ORDENES'!$Z1173="","-",'ORDENES'!$Z1173))</f>
        <v/>
      </c>
      <c r="E1195" s="5">
        <f>IF('ORDENES'!$A1173="","",IF('ORDENES'!$X1173="","-",'ORDENES'!$X1173))</f>
        <v/>
      </c>
      <c r="F1195" s="5">
        <f>IF('ORDENES'!$A1173="","",IF('ORDENES'!$AA1173="","-",'ORDENES'!$AA1173))</f>
        <v/>
      </c>
      <c r="G1195" s="5">
        <f>IF('ORDENES'!$A1173="","",IF('ORDENES'!$Y1173="","-",'ORDENES'!$Y1173))</f>
        <v/>
      </c>
      <c r="H1195" s="5">
        <f>IF('ORDENES'!$A1173="","",IF('ORDENES'!$AG1173="","-",'ORDENES'!$AG1173))</f>
        <v/>
      </c>
      <c r="I1195" s="5">
        <f>IF('ORDENES'!$A1173="","",IF('ORDENES'!$AT1173="","-",'ORDENES'!$AT1173))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0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IF('ORDENES'!$A1173="","",'ORDENES'!$AF1173)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IF('ORDENES'!$A1174="","",IF('ORDENES'!$AH1174="","-",'ORDENES'!$AH1174))</f>
        <v/>
      </c>
      <c r="D1196" s="5">
        <f>IF('ORDENES'!$A1174="","",IF('ORDENES'!$Z1174="","-",'ORDENES'!$Z1174))</f>
        <v/>
      </c>
      <c r="E1196" s="5">
        <f>IF('ORDENES'!$A1174="","",IF('ORDENES'!$X1174="","-",'ORDENES'!$X1174))</f>
        <v/>
      </c>
      <c r="F1196" s="5">
        <f>IF('ORDENES'!$A1174="","",IF('ORDENES'!$AA1174="","-",'ORDENES'!$AA1174))</f>
        <v/>
      </c>
      <c r="G1196" s="5">
        <f>IF('ORDENES'!$A1174="","",IF('ORDENES'!$Y1174="","-",'ORDENES'!$Y1174))</f>
        <v/>
      </c>
      <c r="H1196" s="5">
        <f>IF('ORDENES'!$A1174="","",IF('ORDENES'!$AG1174="","-",'ORDENES'!$AG1174))</f>
        <v/>
      </c>
      <c r="I1196" s="5">
        <f>IF('ORDENES'!$A1174="","",IF('ORDENES'!$AT1174="","-",'ORDENES'!$AT1174))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0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IF('ORDENES'!$A1174="","",'ORDENES'!$AF1174)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IF('ORDENES'!$A1175="","",IF('ORDENES'!$AH1175="","-",'ORDENES'!$AH1175))</f>
        <v/>
      </c>
      <c r="D1197" s="5">
        <f>IF('ORDENES'!$A1175="","",IF('ORDENES'!$Z1175="","-",'ORDENES'!$Z1175))</f>
        <v/>
      </c>
      <c r="E1197" s="5">
        <f>IF('ORDENES'!$A1175="","",IF('ORDENES'!$X1175="","-",'ORDENES'!$X1175))</f>
        <v/>
      </c>
      <c r="F1197" s="5">
        <f>IF('ORDENES'!$A1175="","",IF('ORDENES'!$AA1175="","-",'ORDENES'!$AA1175))</f>
        <v/>
      </c>
      <c r="G1197" s="5">
        <f>IF('ORDENES'!$A1175="","",IF('ORDENES'!$Y1175="","-",'ORDENES'!$Y1175))</f>
        <v/>
      </c>
      <c r="H1197" s="5">
        <f>IF('ORDENES'!$A1175="","",IF('ORDENES'!$AG1175="","-",'ORDENES'!$AG1175))</f>
        <v/>
      </c>
      <c r="I1197" s="5">
        <f>IF('ORDENES'!$A1175="","",IF('ORDENES'!$AT1175="","-",'ORDENES'!$AT1175))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0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IF('ORDENES'!$A1175="","",'ORDENES'!$AF1175)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IF('ORDENES'!$A1176="","",IF('ORDENES'!$AH1176="","-",'ORDENES'!$AH1176))</f>
        <v/>
      </c>
      <c r="D1198" s="5">
        <f>IF('ORDENES'!$A1176="","",IF('ORDENES'!$Z1176="","-",'ORDENES'!$Z1176))</f>
        <v/>
      </c>
      <c r="E1198" s="5">
        <f>IF('ORDENES'!$A1176="","",IF('ORDENES'!$X1176="","-",'ORDENES'!$X1176))</f>
        <v/>
      </c>
      <c r="F1198" s="5">
        <f>IF('ORDENES'!$A1176="","",IF('ORDENES'!$AA1176="","-",'ORDENES'!$AA1176))</f>
        <v/>
      </c>
      <c r="G1198" s="5">
        <f>IF('ORDENES'!$A1176="","",IF('ORDENES'!$Y1176="","-",'ORDENES'!$Y1176))</f>
        <v/>
      </c>
      <c r="H1198" s="5">
        <f>IF('ORDENES'!$A1176="","",IF('ORDENES'!$AG1176="","-",'ORDENES'!$AG1176))</f>
        <v/>
      </c>
      <c r="I1198" s="5">
        <f>IF('ORDENES'!$A1176="","",IF('ORDENES'!$AT1176="","-",'ORDENES'!$AT1176))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0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IF('ORDENES'!$A1176="","",'ORDENES'!$AF1176)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IF('ORDENES'!$A1177="","",IF('ORDENES'!$AH1177="","-",'ORDENES'!$AH1177))</f>
        <v/>
      </c>
      <c r="D1199" s="5">
        <f>IF('ORDENES'!$A1177="","",IF('ORDENES'!$Z1177="","-",'ORDENES'!$Z1177))</f>
        <v/>
      </c>
      <c r="E1199" s="5">
        <f>IF('ORDENES'!$A1177="","",IF('ORDENES'!$X1177="","-",'ORDENES'!$X1177))</f>
        <v/>
      </c>
      <c r="F1199" s="5">
        <f>IF('ORDENES'!$A1177="","",IF('ORDENES'!$AA1177="","-",'ORDENES'!$AA1177))</f>
        <v/>
      </c>
      <c r="G1199" s="5">
        <f>IF('ORDENES'!$A1177="","",IF('ORDENES'!$Y1177="","-",'ORDENES'!$Y1177))</f>
        <v/>
      </c>
      <c r="H1199" s="5">
        <f>IF('ORDENES'!$A1177="","",IF('ORDENES'!$AG1177="","-",'ORDENES'!$AG1177))</f>
        <v/>
      </c>
      <c r="I1199" s="5">
        <f>IF('ORDENES'!$A1177="","",IF('ORDENES'!$AT1177="","-",'ORDENES'!$AT1177))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0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IF('ORDENES'!$A1177="","",'ORDENES'!$AF1177)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IF('ORDENES'!$A1178="","",IF('ORDENES'!$AH1178="","-",'ORDENES'!$AH1178))</f>
        <v/>
      </c>
      <c r="D1200" s="5">
        <f>IF('ORDENES'!$A1178="","",IF('ORDENES'!$Z1178="","-",'ORDENES'!$Z1178))</f>
        <v/>
      </c>
      <c r="E1200" s="5">
        <f>IF('ORDENES'!$A1178="","",IF('ORDENES'!$X1178="","-",'ORDENES'!$X1178))</f>
        <v/>
      </c>
      <c r="F1200" s="5">
        <f>IF('ORDENES'!$A1178="","",IF('ORDENES'!$AA1178="","-",'ORDENES'!$AA1178))</f>
        <v/>
      </c>
      <c r="G1200" s="5">
        <f>IF('ORDENES'!$A1178="","",IF('ORDENES'!$Y1178="","-",'ORDENES'!$Y1178))</f>
        <v/>
      </c>
      <c r="H1200" s="5">
        <f>IF('ORDENES'!$A1178="","",IF('ORDENES'!$AG1178="","-",'ORDENES'!$AG1178))</f>
        <v/>
      </c>
      <c r="I1200" s="5">
        <f>IF('ORDENES'!$A1178="","",IF('ORDENES'!$AT1178="","-",'ORDENES'!$AT1178))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0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IF('ORDENES'!$A1178="","",'ORDENES'!$AF1178)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IF('ORDENES'!$A1179="","",IF('ORDENES'!$AH1179="","-",'ORDENES'!$AH1179))</f>
        <v/>
      </c>
      <c r="D1201" s="5">
        <f>IF('ORDENES'!$A1179="","",IF('ORDENES'!$Z1179="","-",'ORDENES'!$Z1179))</f>
        <v/>
      </c>
      <c r="E1201" s="5">
        <f>IF('ORDENES'!$A1179="","",IF('ORDENES'!$X1179="","-",'ORDENES'!$X1179))</f>
        <v/>
      </c>
      <c r="F1201" s="5">
        <f>IF('ORDENES'!$A1179="","",IF('ORDENES'!$AA1179="","-",'ORDENES'!$AA1179))</f>
        <v/>
      </c>
      <c r="G1201" s="5">
        <f>IF('ORDENES'!$A1179="","",IF('ORDENES'!$Y1179="","-",'ORDENES'!$Y1179))</f>
        <v/>
      </c>
      <c r="H1201" s="5">
        <f>IF('ORDENES'!$A1179="","",IF('ORDENES'!$AG1179="","-",'ORDENES'!$AG1179))</f>
        <v/>
      </c>
      <c r="I1201" s="5">
        <f>IF('ORDENES'!$A1179="","",IF('ORDENES'!$AT1179="","-",'ORDENES'!$AT1179))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0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IF('ORDENES'!$A1179="","",'ORDENES'!$AF1179)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IF('ORDENES'!$A1180="","",IF('ORDENES'!$AH1180="","-",'ORDENES'!$AH1180))</f>
        <v/>
      </c>
      <c r="D1202" s="5">
        <f>IF('ORDENES'!$A1180="","",IF('ORDENES'!$Z1180="","-",'ORDENES'!$Z1180))</f>
        <v/>
      </c>
      <c r="E1202" s="5">
        <f>IF('ORDENES'!$A1180="","",IF('ORDENES'!$X1180="","-",'ORDENES'!$X1180))</f>
        <v/>
      </c>
      <c r="F1202" s="5">
        <f>IF('ORDENES'!$A1180="","",IF('ORDENES'!$AA1180="","-",'ORDENES'!$AA1180))</f>
        <v/>
      </c>
      <c r="G1202" s="5">
        <f>IF('ORDENES'!$A1180="","",IF('ORDENES'!$Y1180="","-",'ORDENES'!$Y1180))</f>
        <v/>
      </c>
      <c r="H1202" s="5">
        <f>IF('ORDENES'!$A1180="","",IF('ORDENES'!$AG1180="","-",'ORDENES'!$AG1180))</f>
        <v/>
      </c>
      <c r="I1202" s="5">
        <f>IF('ORDENES'!$A1180="","",IF('ORDENES'!$AT1180="","-",'ORDENES'!$AT1180))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0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IF('ORDENES'!$A1180="","",'ORDENES'!$AF1180)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IF('ORDENES'!$A1181="","",IF('ORDENES'!$AH1181="","-",'ORDENES'!$AH1181))</f>
        <v/>
      </c>
      <c r="D1203" s="5">
        <f>IF('ORDENES'!$A1181="","",IF('ORDENES'!$Z1181="","-",'ORDENES'!$Z1181))</f>
        <v/>
      </c>
      <c r="E1203" s="5">
        <f>IF('ORDENES'!$A1181="","",IF('ORDENES'!$X1181="","-",'ORDENES'!$X1181))</f>
        <v/>
      </c>
      <c r="F1203" s="5">
        <f>IF('ORDENES'!$A1181="","",IF('ORDENES'!$AA1181="","-",'ORDENES'!$AA1181))</f>
        <v/>
      </c>
      <c r="G1203" s="5">
        <f>IF('ORDENES'!$A1181="","",IF('ORDENES'!$Y1181="","-",'ORDENES'!$Y1181))</f>
        <v/>
      </c>
      <c r="H1203" s="5">
        <f>IF('ORDENES'!$A1181="","",IF('ORDENES'!$AG1181="","-",'ORDENES'!$AG1181))</f>
        <v/>
      </c>
      <c r="I1203" s="5">
        <f>IF('ORDENES'!$A1181="","",IF('ORDENES'!$AT1181="","-",'ORDENES'!$AT1181))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0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IF('ORDENES'!$A1181="","",'ORDENES'!$AF1181)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IF('ORDENES'!$A1182="","",IF('ORDENES'!$AH1182="","-",'ORDENES'!$AH1182))</f>
        <v/>
      </c>
      <c r="D1204" s="5">
        <f>IF('ORDENES'!$A1182="","",IF('ORDENES'!$Z1182="","-",'ORDENES'!$Z1182))</f>
        <v/>
      </c>
      <c r="E1204" s="5">
        <f>IF('ORDENES'!$A1182="","",IF('ORDENES'!$X1182="","-",'ORDENES'!$X1182))</f>
        <v/>
      </c>
      <c r="F1204" s="5">
        <f>IF('ORDENES'!$A1182="","",IF('ORDENES'!$AA1182="","-",'ORDENES'!$AA1182))</f>
        <v/>
      </c>
      <c r="G1204" s="5">
        <f>IF('ORDENES'!$A1182="","",IF('ORDENES'!$Y1182="","-",'ORDENES'!$Y1182))</f>
        <v/>
      </c>
      <c r="H1204" s="5">
        <f>IF('ORDENES'!$A1182="","",IF('ORDENES'!$AG1182="","-",'ORDENES'!$AG1182))</f>
        <v/>
      </c>
      <c r="I1204" s="5">
        <f>IF('ORDENES'!$A1182="","",IF('ORDENES'!$AT1182="","-",'ORDENES'!$AT1182))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0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IF('ORDENES'!$A1182="","",'ORDENES'!$AF1182)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IF('ORDENES'!$A1183="","",IF('ORDENES'!$AH1183="","-",'ORDENES'!$AH1183))</f>
        <v/>
      </c>
      <c r="D1205" s="5">
        <f>IF('ORDENES'!$A1183="","",IF('ORDENES'!$Z1183="","-",'ORDENES'!$Z1183))</f>
        <v/>
      </c>
      <c r="E1205" s="5">
        <f>IF('ORDENES'!$A1183="","",IF('ORDENES'!$X1183="","-",'ORDENES'!$X1183))</f>
        <v/>
      </c>
      <c r="F1205" s="5">
        <f>IF('ORDENES'!$A1183="","",IF('ORDENES'!$AA1183="","-",'ORDENES'!$AA1183))</f>
        <v/>
      </c>
      <c r="G1205" s="5">
        <f>IF('ORDENES'!$A1183="","",IF('ORDENES'!$Y1183="","-",'ORDENES'!$Y1183))</f>
        <v/>
      </c>
      <c r="H1205" s="5">
        <f>IF('ORDENES'!$A1183="","",IF('ORDENES'!$AG1183="","-",'ORDENES'!$AG1183))</f>
        <v/>
      </c>
      <c r="I1205" s="5">
        <f>IF('ORDENES'!$A1183="","",IF('ORDENES'!$AT1183="","-",'ORDENES'!$AT1183))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0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IF('ORDENES'!$A1183="","",'ORDENES'!$AF1183)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IF('ORDENES'!$A1184="","",IF('ORDENES'!$AH1184="","-",'ORDENES'!$AH1184))</f>
        <v/>
      </c>
      <c r="D1206" s="5">
        <f>IF('ORDENES'!$A1184="","",IF('ORDENES'!$Z1184="","-",'ORDENES'!$Z1184))</f>
        <v/>
      </c>
      <c r="E1206" s="5">
        <f>IF('ORDENES'!$A1184="","",IF('ORDENES'!$X1184="","-",'ORDENES'!$X1184))</f>
        <v/>
      </c>
      <c r="F1206" s="5">
        <f>IF('ORDENES'!$A1184="","",IF('ORDENES'!$AA1184="","-",'ORDENES'!$AA1184))</f>
        <v/>
      </c>
      <c r="G1206" s="5">
        <f>IF('ORDENES'!$A1184="","",IF('ORDENES'!$Y1184="","-",'ORDENES'!$Y1184))</f>
        <v/>
      </c>
      <c r="H1206" s="5">
        <f>IF('ORDENES'!$A1184="","",IF('ORDENES'!$AG1184="","-",'ORDENES'!$AG1184))</f>
        <v/>
      </c>
      <c r="I1206" s="5">
        <f>IF('ORDENES'!$A1184="","",IF('ORDENES'!$AT1184="","-",'ORDENES'!$AT1184))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0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IF('ORDENES'!$A1184="","",'ORDENES'!$AF1184)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IF('ORDENES'!$A1185="","",IF('ORDENES'!$AH1185="","-",'ORDENES'!$AH1185))</f>
        <v/>
      </c>
      <c r="D1207" s="5">
        <f>IF('ORDENES'!$A1185="","",IF('ORDENES'!$Z1185="","-",'ORDENES'!$Z1185))</f>
        <v/>
      </c>
      <c r="E1207" s="5">
        <f>IF('ORDENES'!$A1185="","",IF('ORDENES'!$X1185="","-",'ORDENES'!$X1185))</f>
        <v/>
      </c>
      <c r="F1207" s="5">
        <f>IF('ORDENES'!$A1185="","",IF('ORDENES'!$AA1185="","-",'ORDENES'!$AA1185))</f>
        <v/>
      </c>
      <c r="G1207" s="5">
        <f>IF('ORDENES'!$A1185="","",IF('ORDENES'!$Y1185="","-",'ORDENES'!$Y1185))</f>
        <v/>
      </c>
      <c r="H1207" s="5">
        <f>IF('ORDENES'!$A1185="","",IF('ORDENES'!$AG1185="","-",'ORDENES'!$AG1185))</f>
        <v/>
      </c>
      <c r="I1207" s="5">
        <f>IF('ORDENES'!$A1185="","",IF('ORDENES'!$AT1185="","-",'ORDENES'!$AT1185))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0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IF('ORDENES'!$A1185="","",'ORDENES'!$AF1185)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IF('ORDENES'!$A1186="","",IF('ORDENES'!$AH1186="","-",'ORDENES'!$AH1186))</f>
        <v/>
      </c>
      <c r="D1208" s="5">
        <f>IF('ORDENES'!$A1186="","",IF('ORDENES'!$Z1186="","-",'ORDENES'!$Z1186))</f>
        <v/>
      </c>
      <c r="E1208" s="5">
        <f>IF('ORDENES'!$A1186="","",IF('ORDENES'!$X1186="","-",'ORDENES'!$X1186))</f>
        <v/>
      </c>
      <c r="F1208" s="5">
        <f>IF('ORDENES'!$A1186="","",IF('ORDENES'!$AA1186="","-",'ORDENES'!$AA1186))</f>
        <v/>
      </c>
      <c r="G1208" s="5">
        <f>IF('ORDENES'!$A1186="","",IF('ORDENES'!$Y1186="","-",'ORDENES'!$Y1186))</f>
        <v/>
      </c>
      <c r="H1208" s="5">
        <f>IF('ORDENES'!$A1186="","",IF('ORDENES'!$AG1186="","-",'ORDENES'!$AG1186))</f>
        <v/>
      </c>
      <c r="I1208" s="5">
        <f>IF('ORDENES'!$A1186="","",IF('ORDENES'!$AT1186="","-",'ORDENES'!$AT1186))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0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IF('ORDENES'!$A1186="","",'ORDENES'!$AF1186)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IF('ORDENES'!$A1187="","",IF('ORDENES'!$AH1187="","-",'ORDENES'!$AH1187))</f>
        <v/>
      </c>
      <c r="D1209" s="5">
        <f>IF('ORDENES'!$A1187="","",IF('ORDENES'!$Z1187="","-",'ORDENES'!$Z1187))</f>
        <v/>
      </c>
      <c r="E1209" s="5">
        <f>IF('ORDENES'!$A1187="","",IF('ORDENES'!$X1187="","-",'ORDENES'!$X1187))</f>
        <v/>
      </c>
      <c r="F1209" s="5">
        <f>IF('ORDENES'!$A1187="","",IF('ORDENES'!$AA1187="","-",'ORDENES'!$AA1187))</f>
        <v/>
      </c>
      <c r="G1209" s="5">
        <f>IF('ORDENES'!$A1187="","",IF('ORDENES'!$Y1187="","-",'ORDENES'!$Y1187))</f>
        <v/>
      </c>
      <c r="H1209" s="5">
        <f>IF('ORDENES'!$A1187="","",IF('ORDENES'!$AG1187="","-",'ORDENES'!$AG1187))</f>
        <v/>
      </c>
      <c r="I1209" s="5">
        <f>IF('ORDENES'!$A1187="","",IF('ORDENES'!$AT1187="","-",'ORDENES'!$AT1187))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0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IF('ORDENES'!$A1187="","",'ORDENES'!$AF1187)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IF('ORDENES'!$A1188="","",IF('ORDENES'!$AH1188="","-",'ORDENES'!$AH1188))</f>
        <v/>
      </c>
      <c r="D1210" s="5">
        <f>IF('ORDENES'!$A1188="","",IF('ORDENES'!$Z1188="","-",'ORDENES'!$Z1188))</f>
        <v/>
      </c>
      <c r="E1210" s="5">
        <f>IF('ORDENES'!$A1188="","",IF('ORDENES'!$X1188="","-",'ORDENES'!$X1188))</f>
        <v/>
      </c>
      <c r="F1210" s="5">
        <f>IF('ORDENES'!$A1188="","",IF('ORDENES'!$AA1188="","-",'ORDENES'!$AA1188))</f>
        <v/>
      </c>
      <c r="G1210" s="5">
        <f>IF('ORDENES'!$A1188="","",IF('ORDENES'!$Y1188="","-",'ORDENES'!$Y1188))</f>
        <v/>
      </c>
      <c r="H1210" s="5">
        <f>IF('ORDENES'!$A1188="","",IF('ORDENES'!$AG1188="","-",'ORDENES'!$AG1188))</f>
        <v/>
      </c>
      <c r="I1210" s="5">
        <f>IF('ORDENES'!$A1188="","",IF('ORDENES'!$AT1188="","-",'ORDENES'!$AT1188))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0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IF('ORDENES'!$A1188="","",'ORDENES'!$AF1188)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IF('ORDENES'!$A1189="","",IF('ORDENES'!$AH1189="","-",'ORDENES'!$AH1189))</f>
        <v/>
      </c>
      <c r="D1211" s="5">
        <f>IF('ORDENES'!$A1189="","",IF('ORDENES'!$Z1189="","-",'ORDENES'!$Z1189))</f>
        <v/>
      </c>
      <c r="E1211" s="5">
        <f>IF('ORDENES'!$A1189="","",IF('ORDENES'!$X1189="","-",'ORDENES'!$X1189))</f>
        <v/>
      </c>
      <c r="F1211" s="5">
        <f>IF('ORDENES'!$A1189="","",IF('ORDENES'!$AA1189="","-",'ORDENES'!$AA1189))</f>
        <v/>
      </c>
      <c r="G1211" s="5">
        <f>IF('ORDENES'!$A1189="","",IF('ORDENES'!$Y1189="","-",'ORDENES'!$Y1189))</f>
        <v/>
      </c>
      <c r="H1211" s="5">
        <f>IF('ORDENES'!$A1189="","",IF('ORDENES'!$AG1189="","-",'ORDENES'!$AG1189))</f>
        <v/>
      </c>
      <c r="I1211" s="5">
        <f>IF('ORDENES'!$A1189="","",IF('ORDENES'!$AT1189="","-",'ORDENES'!$AT1189))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0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IF('ORDENES'!$A1189="","",'ORDENES'!$AF1189)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IF('ORDENES'!$A1190="","",IF('ORDENES'!$AH1190="","-",'ORDENES'!$AH1190))</f>
        <v/>
      </c>
      <c r="D1212" s="5">
        <f>IF('ORDENES'!$A1190="","",IF('ORDENES'!$Z1190="","-",'ORDENES'!$Z1190))</f>
        <v/>
      </c>
      <c r="E1212" s="5">
        <f>IF('ORDENES'!$A1190="","",IF('ORDENES'!$X1190="","-",'ORDENES'!$X1190))</f>
        <v/>
      </c>
      <c r="F1212" s="5">
        <f>IF('ORDENES'!$A1190="","",IF('ORDENES'!$AA1190="","-",'ORDENES'!$AA1190))</f>
        <v/>
      </c>
      <c r="G1212" s="5">
        <f>IF('ORDENES'!$A1190="","",IF('ORDENES'!$Y1190="","-",'ORDENES'!$Y1190))</f>
        <v/>
      </c>
      <c r="H1212" s="5">
        <f>IF('ORDENES'!$A1190="","",IF('ORDENES'!$AG1190="","-",'ORDENES'!$AG1190))</f>
        <v/>
      </c>
      <c r="I1212" s="5">
        <f>IF('ORDENES'!$A1190="","",IF('ORDENES'!$AT1190="","-",'ORDENES'!$AT1190))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0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IF('ORDENES'!$A1190="","",'ORDENES'!$AF1190)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IF('ORDENES'!$A1191="","",IF('ORDENES'!$AH1191="","-",'ORDENES'!$AH1191))</f>
        <v/>
      </c>
      <c r="D1213" s="5">
        <f>IF('ORDENES'!$A1191="","",IF('ORDENES'!$Z1191="","-",'ORDENES'!$Z1191))</f>
        <v/>
      </c>
      <c r="E1213" s="5">
        <f>IF('ORDENES'!$A1191="","",IF('ORDENES'!$X1191="","-",'ORDENES'!$X1191))</f>
        <v/>
      </c>
      <c r="F1213" s="5">
        <f>IF('ORDENES'!$A1191="","",IF('ORDENES'!$AA1191="","-",'ORDENES'!$AA1191))</f>
        <v/>
      </c>
      <c r="G1213" s="5">
        <f>IF('ORDENES'!$A1191="","",IF('ORDENES'!$Y1191="","-",'ORDENES'!$Y1191))</f>
        <v/>
      </c>
      <c r="H1213" s="5">
        <f>IF('ORDENES'!$A1191="","",IF('ORDENES'!$AG1191="","-",'ORDENES'!$AG1191))</f>
        <v/>
      </c>
      <c r="I1213" s="5">
        <f>IF('ORDENES'!$A1191="","",IF('ORDENES'!$AT1191="","-",'ORDENES'!$AT1191))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0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IF('ORDENES'!$A1191="","",'ORDENES'!$AF1191)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IF('ORDENES'!$A1192="","",IF('ORDENES'!$AH1192="","-",'ORDENES'!$AH1192))</f>
        <v/>
      </c>
      <c r="D1214" s="5">
        <f>IF('ORDENES'!$A1192="","",IF('ORDENES'!$Z1192="","-",'ORDENES'!$Z1192))</f>
        <v/>
      </c>
      <c r="E1214" s="5">
        <f>IF('ORDENES'!$A1192="","",IF('ORDENES'!$X1192="","-",'ORDENES'!$X1192))</f>
        <v/>
      </c>
      <c r="F1214" s="5">
        <f>IF('ORDENES'!$A1192="","",IF('ORDENES'!$AA1192="","-",'ORDENES'!$AA1192))</f>
        <v/>
      </c>
      <c r="G1214" s="5">
        <f>IF('ORDENES'!$A1192="","",IF('ORDENES'!$Y1192="","-",'ORDENES'!$Y1192))</f>
        <v/>
      </c>
      <c r="H1214" s="5">
        <f>IF('ORDENES'!$A1192="","",IF('ORDENES'!$AG1192="","-",'ORDENES'!$AG1192))</f>
        <v/>
      </c>
      <c r="I1214" s="5">
        <f>IF('ORDENES'!$A1192="","",IF('ORDENES'!$AT1192="","-",'ORDENES'!$AT1192))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0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IF('ORDENES'!$A1192="","",'ORDENES'!$AF1192)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IF('ORDENES'!$A1193="","",IF('ORDENES'!$AH1193="","-",'ORDENES'!$AH1193))</f>
        <v/>
      </c>
      <c r="D1215" s="5">
        <f>IF('ORDENES'!$A1193="","",IF('ORDENES'!$Z1193="","-",'ORDENES'!$Z1193))</f>
        <v/>
      </c>
      <c r="E1215" s="5">
        <f>IF('ORDENES'!$A1193="","",IF('ORDENES'!$X1193="","-",'ORDENES'!$X1193))</f>
        <v/>
      </c>
      <c r="F1215" s="5">
        <f>IF('ORDENES'!$A1193="","",IF('ORDENES'!$AA1193="","-",'ORDENES'!$AA1193))</f>
        <v/>
      </c>
      <c r="G1215" s="5">
        <f>IF('ORDENES'!$A1193="","",IF('ORDENES'!$Y1193="","-",'ORDENES'!$Y1193))</f>
        <v/>
      </c>
      <c r="H1215" s="5">
        <f>IF('ORDENES'!$A1193="","",IF('ORDENES'!$AG1193="","-",'ORDENES'!$AG1193))</f>
        <v/>
      </c>
      <c r="I1215" s="5">
        <f>IF('ORDENES'!$A1193="","",IF('ORDENES'!$AT1193="","-",'ORDENES'!$AT1193))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0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IF('ORDENES'!$A1193="","",'ORDENES'!$AF1193)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IF('ORDENES'!$A1194="","",IF('ORDENES'!$AH1194="","-",'ORDENES'!$AH1194))</f>
        <v/>
      </c>
      <c r="D1216" s="5">
        <f>IF('ORDENES'!$A1194="","",IF('ORDENES'!$Z1194="","-",'ORDENES'!$Z1194))</f>
        <v/>
      </c>
      <c r="E1216" s="5">
        <f>IF('ORDENES'!$A1194="","",IF('ORDENES'!$X1194="","-",'ORDENES'!$X1194))</f>
        <v/>
      </c>
      <c r="F1216" s="5">
        <f>IF('ORDENES'!$A1194="","",IF('ORDENES'!$AA1194="","-",'ORDENES'!$AA1194))</f>
        <v/>
      </c>
      <c r="G1216" s="5">
        <f>IF('ORDENES'!$A1194="","",IF('ORDENES'!$Y1194="","-",'ORDENES'!$Y1194))</f>
        <v/>
      </c>
      <c r="H1216" s="5">
        <f>IF('ORDENES'!$A1194="","",IF('ORDENES'!$AG1194="","-",'ORDENES'!$AG1194))</f>
        <v/>
      </c>
      <c r="I1216" s="5">
        <f>IF('ORDENES'!$A1194="","",IF('ORDENES'!$AT1194="","-",'ORDENES'!$AT1194))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0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IF('ORDENES'!$A1194="","",'ORDENES'!$AF1194)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IF('ORDENES'!$A1195="","",IF('ORDENES'!$AH1195="","-",'ORDENES'!$AH1195))</f>
        <v/>
      </c>
      <c r="D1217" s="5">
        <f>IF('ORDENES'!$A1195="","",IF('ORDENES'!$Z1195="","-",'ORDENES'!$Z1195))</f>
        <v/>
      </c>
      <c r="E1217" s="5">
        <f>IF('ORDENES'!$A1195="","",IF('ORDENES'!$X1195="","-",'ORDENES'!$X1195))</f>
        <v/>
      </c>
      <c r="F1217" s="5">
        <f>IF('ORDENES'!$A1195="","",IF('ORDENES'!$AA1195="","-",'ORDENES'!$AA1195))</f>
        <v/>
      </c>
      <c r="G1217" s="5">
        <f>IF('ORDENES'!$A1195="","",IF('ORDENES'!$Y1195="","-",'ORDENES'!$Y1195))</f>
        <v/>
      </c>
      <c r="H1217" s="5">
        <f>IF('ORDENES'!$A1195="","",IF('ORDENES'!$AG1195="","-",'ORDENES'!$AG1195))</f>
        <v/>
      </c>
      <c r="I1217" s="5">
        <f>IF('ORDENES'!$A1195="","",IF('ORDENES'!$AT1195="","-",'ORDENES'!$AT1195))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0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IF('ORDENES'!$A1195="","",'ORDENES'!$AF1195)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IF('ORDENES'!$A1196="","",IF('ORDENES'!$AH1196="","-",'ORDENES'!$AH1196))</f>
        <v/>
      </c>
      <c r="D1218" s="5">
        <f>IF('ORDENES'!$A1196="","",IF('ORDENES'!$Z1196="","-",'ORDENES'!$Z1196))</f>
        <v/>
      </c>
      <c r="E1218" s="5">
        <f>IF('ORDENES'!$A1196="","",IF('ORDENES'!$X1196="","-",'ORDENES'!$X1196))</f>
        <v/>
      </c>
      <c r="F1218" s="5">
        <f>IF('ORDENES'!$A1196="","",IF('ORDENES'!$AA1196="","-",'ORDENES'!$AA1196))</f>
        <v/>
      </c>
      <c r="G1218" s="5">
        <f>IF('ORDENES'!$A1196="","",IF('ORDENES'!$Y1196="","-",'ORDENES'!$Y1196))</f>
        <v/>
      </c>
      <c r="H1218" s="5">
        <f>IF('ORDENES'!$A1196="","",IF('ORDENES'!$AG1196="","-",'ORDENES'!$AG1196))</f>
        <v/>
      </c>
      <c r="I1218" s="5">
        <f>IF('ORDENES'!$A1196="","",IF('ORDENES'!$AT1196="","-",'ORDENES'!$AT1196))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0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IF('ORDENES'!$A1196="","",'ORDENES'!$AF1196)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IF('ORDENES'!$A1197="","",IF('ORDENES'!$AH1197="","-",'ORDENES'!$AH1197))</f>
        <v/>
      </c>
      <c r="D1219" s="5">
        <f>IF('ORDENES'!$A1197="","",IF('ORDENES'!$Z1197="","-",'ORDENES'!$Z1197))</f>
        <v/>
      </c>
      <c r="E1219" s="5">
        <f>IF('ORDENES'!$A1197="","",IF('ORDENES'!$X1197="","-",'ORDENES'!$X1197))</f>
        <v/>
      </c>
      <c r="F1219" s="5">
        <f>IF('ORDENES'!$A1197="","",IF('ORDENES'!$AA1197="","-",'ORDENES'!$AA1197))</f>
        <v/>
      </c>
      <c r="G1219" s="5">
        <f>IF('ORDENES'!$A1197="","",IF('ORDENES'!$Y1197="","-",'ORDENES'!$Y1197))</f>
        <v/>
      </c>
      <c r="H1219" s="5">
        <f>IF('ORDENES'!$A1197="","",IF('ORDENES'!$AG1197="","-",'ORDENES'!$AG1197))</f>
        <v/>
      </c>
      <c r="I1219" s="5">
        <f>IF('ORDENES'!$A1197="","",IF('ORDENES'!$AT1197="","-",'ORDENES'!$AT1197))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0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IF('ORDENES'!$A1197="","",'ORDENES'!$AF1197)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IF('ORDENES'!$A1198="","",IF('ORDENES'!$AH1198="","-",'ORDENES'!$AH1198))</f>
        <v/>
      </c>
      <c r="D1220" s="5">
        <f>IF('ORDENES'!$A1198="","",IF('ORDENES'!$Z1198="","-",'ORDENES'!$Z1198))</f>
        <v/>
      </c>
      <c r="E1220" s="5">
        <f>IF('ORDENES'!$A1198="","",IF('ORDENES'!$X1198="","-",'ORDENES'!$X1198))</f>
        <v/>
      </c>
      <c r="F1220" s="5">
        <f>IF('ORDENES'!$A1198="","",IF('ORDENES'!$AA1198="","-",'ORDENES'!$AA1198))</f>
        <v/>
      </c>
      <c r="G1220" s="5">
        <f>IF('ORDENES'!$A1198="","",IF('ORDENES'!$Y1198="","-",'ORDENES'!$Y1198))</f>
        <v/>
      </c>
      <c r="H1220" s="5">
        <f>IF('ORDENES'!$A1198="","",IF('ORDENES'!$AG1198="","-",'ORDENES'!$AG1198))</f>
        <v/>
      </c>
      <c r="I1220" s="5">
        <f>IF('ORDENES'!$A1198="","",IF('ORDENES'!$AT1198="","-",'ORDENES'!$AT1198))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0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IF('ORDENES'!$A1198="","",'ORDENES'!$AF1198)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IF('ORDENES'!$A1199="","",IF('ORDENES'!$AH1199="","-",'ORDENES'!$AH1199))</f>
        <v/>
      </c>
      <c r="D1221" s="5">
        <f>IF('ORDENES'!$A1199="","",IF('ORDENES'!$Z1199="","-",'ORDENES'!$Z1199))</f>
        <v/>
      </c>
      <c r="E1221" s="5">
        <f>IF('ORDENES'!$A1199="","",IF('ORDENES'!$X1199="","-",'ORDENES'!$X1199))</f>
        <v/>
      </c>
      <c r="F1221" s="5">
        <f>IF('ORDENES'!$A1199="","",IF('ORDENES'!$AA1199="","-",'ORDENES'!$AA1199))</f>
        <v/>
      </c>
      <c r="G1221" s="5">
        <f>IF('ORDENES'!$A1199="","",IF('ORDENES'!$Y1199="","-",'ORDENES'!$Y1199))</f>
        <v/>
      </c>
      <c r="H1221" s="5">
        <f>IF('ORDENES'!$A1199="","",IF('ORDENES'!$AG1199="","-",'ORDENES'!$AG1199))</f>
        <v/>
      </c>
      <c r="I1221" s="5">
        <f>IF('ORDENES'!$A1199="","",IF('ORDENES'!$AT1199="","-",'ORDENES'!$AT1199))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0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IF('ORDENES'!$A1199="","",'ORDENES'!$AF1199)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IF('ORDENES'!$A1200="","",IF('ORDENES'!$AH1200="","-",'ORDENES'!$AH1200))</f>
        <v/>
      </c>
      <c r="D1222" s="5">
        <f>IF('ORDENES'!$A1200="","",IF('ORDENES'!$Z1200="","-",'ORDENES'!$Z1200))</f>
        <v/>
      </c>
      <c r="E1222" s="5">
        <f>IF('ORDENES'!$A1200="","",IF('ORDENES'!$X1200="","-",'ORDENES'!$X1200))</f>
        <v/>
      </c>
      <c r="F1222" s="5">
        <f>IF('ORDENES'!$A1200="","",IF('ORDENES'!$AA1200="","-",'ORDENES'!$AA1200))</f>
        <v/>
      </c>
      <c r="G1222" s="5">
        <f>IF('ORDENES'!$A1200="","",IF('ORDENES'!$Y1200="","-",'ORDENES'!$Y1200))</f>
        <v/>
      </c>
      <c r="H1222" s="5">
        <f>IF('ORDENES'!$A1200="","",IF('ORDENES'!$AG1200="","-",'ORDENES'!$AG1200))</f>
        <v/>
      </c>
      <c r="I1222" s="5">
        <f>IF('ORDENES'!$A1200="","",IF('ORDENES'!$AT1200="","-",'ORDENES'!$AT1200))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0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IF('ORDENES'!$A1200="","",'ORDENES'!$AF1200)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IF('ORDENES'!$A1201="","",IF('ORDENES'!$AH1201="","-",'ORDENES'!$AH1201))</f>
        <v/>
      </c>
      <c r="D1223" s="5">
        <f>IF('ORDENES'!$A1201="","",IF('ORDENES'!$Z1201="","-",'ORDENES'!$Z1201))</f>
        <v/>
      </c>
      <c r="E1223" s="5">
        <f>IF('ORDENES'!$A1201="","",IF('ORDENES'!$X1201="","-",'ORDENES'!$X1201))</f>
        <v/>
      </c>
      <c r="F1223" s="5">
        <f>IF('ORDENES'!$A1201="","",IF('ORDENES'!$AA1201="","-",'ORDENES'!$AA1201))</f>
        <v/>
      </c>
      <c r="G1223" s="5">
        <f>IF('ORDENES'!$A1201="","",IF('ORDENES'!$Y1201="","-",'ORDENES'!$Y1201))</f>
        <v/>
      </c>
      <c r="H1223" s="5">
        <f>IF('ORDENES'!$A1201="","",IF('ORDENES'!$AG1201="","-",'ORDENES'!$AG1201))</f>
        <v/>
      </c>
      <c r="I1223" s="5">
        <f>IF('ORDENES'!$A1201="","",IF('ORDENES'!$AT1201="","-",'ORDENES'!$AT1201))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0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IF('ORDENES'!$A1201="","",'ORDENES'!$AF1201)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IF('ORDENES'!$A1202="","",IF('ORDENES'!$AH1202="","-",'ORDENES'!$AH1202))</f>
        <v/>
      </c>
      <c r="D1224" s="5">
        <f>IF('ORDENES'!$A1202="","",IF('ORDENES'!$Z1202="","-",'ORDENES'!$Z1202))</f>
        <v/>
      </c>
      <c r="E1224" s="5">
        <f>IF('ORDENES'!$A1202="","",IF('ORDENES'!$X1202="","-",'ORDENES'!$X1202))</f>
        <v/>
      </c>
      <c r="F1224" s="5">
        <f>IF('ORDENES'!$A1202="","",IF('ORDENES'!$AA1202="","-",'ORDENES'!$AA1202))</f>
        <v/>
      </c>
      <c r="G1224" s="5">
        <f>IF('ORDENES'!$A1202="","",IF('ORDENES'!$Y1202="","-",'ORDENES'!$Y1202))</f>
        <v/>
      </c>
      <c r="H1224" s="5">
        <f>IF('ORDENES'!$A1202="","",IF('ORDENES'!$AG1202="","-",'ORDENES'!$AG1202))</f>
        <v/>
      </c>
      <c r="I1224" s="5">
        <f>IF('ORDENES'!$A1202="","",IF('ORDENES'!$AT1202="","-",'ORDENES'!$AT1202))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0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IF('ORDENES'!$A1202="","",'ORDENES'!$AF1202)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IF('ORDENES'!$A1203="","",IF('ORDENES'!$AH1203="","-",'ORDENES'!$AH1203))</f>
        <v/>
      </c>
      <c r="D1225" s="5">
        <f>IF('ORDENES'!$A1203="","",IF('ORDENES'!$Z1203="","-",'ORDENES'!$Z1203))</f>
        <v/>
      </c>
      <c r="E1225" s="5">
        <f>IF('ORDENES'!$A1203="","",IF('ORDENES'!$X1203="","-",'ORDENES'!$X1203))</f>
        <v/>
      </c>
      <c r="F1225" s="5">
        <f>IF('ORDENES'!$A1203="","",IF('ORDENES'!$AA1203="","-",'ORDENES'!$AA1203))</f>
        <v/>
      </c>
      <c r="G1225" s="5">
        <f>IF('ORDENES'!$A1203="","",IF('ORDENES'!$Y1203="","-",'ORDENES'!$Y1203))</f>
        <v/>
      </c>
      <c r="H1225" s="5">
        <f>IF('ORDENES'!$A1203="","",IF('ORDENES'!$AG1203="","-",'ORDENES'!$AG1203))</f>
        <v/>
      </c>
      <c r="I1225" s="5">
        <f>IF('ORDENES'!$A1203="","",IF('ORDENES'!$AT1203="","-",'ORDENES'!$AT1203))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0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IF('ORDENES'!$A1203="","",'ORDENES'!$AF1203)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R140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3" t="inlineStr">
        <is>
          <t>POR SEMANA (serie derivada de los datos, hasta 60)</t>
        </is>
      </c>
    </row>
    <row r="4">
      <c r="A4" s="15" t="inlineStr">
        <is>
          <t>valor</t>
        </is>
      </c>
      <c r="B4" s="15" t="inlineStr">
        <is>
          <t>total_ot</t>
        </is>
      </c>
      <c r="C4" s="15" t="inlineStr">
        <is>
          <t>cerradas</t>
        </is>
      </c>
      <c r="D4" s="15" t="inlineStr">
        <is>
          <t>adherencia_conteo</t>
        </is>
      </c>
      <c r="E4" s="15" t="inlineStr">
        <is>
          <t>hh_total</t>
        </is>
      </c>
      <c r="F4" s="15" t="inlineStr">
        <is>
          <t>hh_cerradas</t>
        </is>
      </c>
      <c r="G4" s="15" t="inlineStr">
        <is>
          <t>adherencia_horas</t>
        </is>
      </c>
      <c r="H4" s="15" t="inlineStr">
        <is>
          <t>meta</t>
        </is>
      </c>
    </row>
    <row r="5">
      <c r="A5" s="5">
        <f>'PERFIL_HH'!$O$4</f>
        <v/>
      </c>
      <c r="B5" s="5">
        <f>COUNTIFS('ORDENES'!$O$4:$O$1203,$A5,'ORDENES'!$T$4:$T$1203,"sí")</f>
        <v/>
      </c>
      <c r="C5" s="5">
        <f>COUNTIFS('ORDENES'!$O$4:$O$1203,$A5,'ORDENES'!$N$4:$N$1203,"Cerrada",'ORDENES'!$T$4:$T$1203,"sí")</f>
        <v/>
      </c>
      <c r="D5" s="16">
        <f>IF(B5=0,"",C5/B5)</f>
        <v/>
      </c>
      <c r="E5" s="17">
        <f>SUMIFS('ORDENES'!$M$4:$M$1203,'ORDENES'!$O$4:$O$1203,$A5,'ORDENES'!$T$4:$T$1203,"sí")</f>
        <v/>
      </c>
      <c r="F5" s="17">
        <f>SUMIFS('ORDENES'!$M$4:$M$1203,'ORDENES'!$O$4:$O$1203,$A5,'ORDENES'!$N$4:$N$1203,"Cerrada",'ORDENES'!$T$4:$T$1203,"sí")</f>
        <v/>
      </c>
      <c r="G5" s="16">
        <f>IF(E5=0,"",F5/E5)</f>
        <v/>
      </c>
      <c r="H5" s="21">
        <f>p_meta_adherencia</f>
        <v/>
      </c>
    </row>
    <row r="6" hidden="1">
      <c r="A6" s="5">
        <f>'PERFIL_HH'!$O$5</f>
        <v/>
      </c>
      <c r="B6" s="5">
        <f>COUNTIFS('ORDENES'!$O$4:$O$1203,$A6,'ORDENES'!$T$4:$T$1203,"sí")</f>
        <v/>
      </c>
      <c r="C6" s="5">
        <f>COUNTIFS('ORDENES'!$O$4:$O$1203,$A6,'ORDENES'!$N$4:$N$1203,"Cerrada",'ORDENES'!$T$4:$T$1203,"sí")</f>
        <v/>
      </c>
      <c r="D6" s="16">
        <f>IF(B6=0,"",C6/B6)</f>
        <v/>
      </c>
      <c r="E6" s="17">
        <f>SUMIFS('ORDENES'!$M$4:$M$1203,'ORDENES'!$O$4:$O$1203,$A6,'ORDENES'!$T$4:$T$1203,"sí")</f>
        <v/>
      </c>
      <c r="F6" s="17">
        <f>SUMIFS('ORDENES'!$M$4:$M$1203,'ORDENES'!$O$4:$O$1203,$A6,'ORDENES'!$N$4:$N$1203,"Cerrada",'ORDENES'!$T$4:$T$1203,"sí")</f>
        <v/>
      </c>
      <c r="G6" s="16">
        <f>IF(E6=0,"",F6/E6)</f>
        <v/>
      </c>
      <c r="H6" s="21">
        <f>p_meta_adherencia</f>
        <v/>
      </c>
    </row>
    <row r="7">
      <c r="A7" s="5">
        <f>'PERFIL_HH'!$O$6</f>
        <v/>
      </c>
      <c r="B7" s="5">
        <f>COUNTIFS('ORDENES'!$O$4:$O$1203,$A7,'ORDENES'!$T$4:$T$1203,"sí")</f>
        <v/>
      </c>
      <c r="C7" s="5">
        <f>COUNTIFS('ORDENES'!$O$4:$O$1203,$A7,'ORDENES'!$N$4:$N$1203,"Cerrada",'ORDENES'!$T$4:$T$1203,"sí")</f>
        <v/>
      </c>
      <c r="D7" s="16">
        <f>IF(B7=0,"",C7/B7)</f>
        <v/>
      </c>
      <c r="E7" s="17">
        <f>SUMIFS('ORDENES'!$M$4:$M$1203,'ORDENES'!$O$4:$O$1203,$A7,'ORDENES'!$T$4:$T$1203,"sí")</f>
        <v/>
      </c>
      <c r="F7" s="17">
        <f>SUMIFS('ORDENES'!$M$4:$M$1203,'ORDENES'!$O$4:$O$1203,$A7,'ORDENES'!$N$4:$N$1203,"Cerrada",'ORDENES'!$T$4:$T$1203,"sí")</f>
        <v/>
      </c>
      <c r="G7" s="16">
        <f>IF(E7=0,"",F7/E7)</f>
        <v/>
      </c>
      <c r="H7" s="21">
        <f>p_meta_adherencia</f>
        <v/>
      </c>
    </row>
    <row r="8">
      <c r="A8" s="5">
        <f>'PERFIL_HH'!$O$7</f>
        <v/>
      </c>
      <c r="B8" s="5">
        <f>COUNTIFS('ORDENES'!$O$4:$O$1203,$A8,'ORDENES'!$T$4:$T$1203,"sí")</f>
        <v/>
      </c>
      <c r="C8" s="5">
        <f>COUNTIFS('ORDENES'!$O$4:$O$1203,$A8,'ORDENES'!$N$4:$N$1203,"Cerrada",'ORDENES'!$T$4:$T$1203,"sí")</f>
        <v/>
      </c>
      <c r="D8" s="16">
        <f>IF(B8=0,"",C8/B8)</f>
        <v/>
      </c>
      <c r="E8" s="17">
        <f>SUMIFS('ORDENES'!$M$4:$M$1203,'ORDENES'!$O$4:$O$1203,$A8,'ORDENES'!$T$4:$T$1203,"sí")</f>
        <v/>
      </c>
      <c r="F8" s="17">
        <f>SUMIFS('ORDENES'!$M$4:$M$1203,'ORDENES'!$O$4:$O$1203,$A8,'ORDENES'!$N$4:$N$1203,"Cerrada",'ORDENES'!$T$4:$T$1203,"sí")</f>
        <v/>
      </c>
      <c r="G8" s="16">
        <f>IF(E8=0,"",F8/E8)</f>
        <v/>
      </c>
      <c r="H8" s="21">
        <f>p_meta_adherencia</f>
        <v/>
      </c>
    </row>
    <row r="9">
      <c r="A9" s="5">
        <f>'PERFIL_HH'!$O$8</f>
        <v/>
      </c>
      <c r="B9" s="5">
        <f>COUNTIFS('ORDENES'!$O$4:$O$1203,$A9,'ORDENES'!$T$4:$T$1203,"sí")</f>
        <v/>
      </c>
      <c r="C9" s="5">
        <f>COUNTIFS('ORDENES'!$O$4:$O$1203,$A9,'ORDENES'!$N$4:$N$1203,"Cerrada",'ORDENES'!$T$4:$T$1203,"sí")</f>
        <v/>
      </c>
      <c r="D9" s="16">
        <f>IF(B9=0,"",C9/B9)</f>
        <v/>
      </c>
      <c r="E9" s="17">
        <f>SUMIFS('ORDENES'!$M$4:$M$1203,'ORDENES'!$O$4:$O$1203,$A9,'ORDENES'!$T$4:$T$1203,"sí")</f>
        <v/>
      </c>
      <c r="F9" s="17">
        <f>SUMIFS('ORDENES'!$M$4:$M$1203,'ORDENES'!$O$4:$O$1203,$A9,'ORDENES'!$N$4:$N$1203,"Cerrada",'ORDENES'!$T$4:$T$1203,"sí")</f>
        <v/>
      </c>
      <c r="G9" s="16">
        <f>IF(E9=0,"",F9/E9)</f>
        <v/>
      </c>
      <c r="H9" s="21">
        <f>p_meta_adherencia</f>
        <v/>
      </c>
    </row>
    <row r="10">
      <c r="A10" s="5">
        <f>'PERFIL_HH'!$O$9</f>
        <v/>
      </c>
      <c r="B10" s="5">
        <f>COUNTIFS('ORDENES'!$O$4:$O$1203,$A10,'ORDENES'!$T$4:$T$1203,"sí")</f>
        <v/>
      </c>
      <c r="C10" s="5">
        <f>COUNTIFS('ORDENES'!$O$4:$O$1203,$A10,'ORDENES'!$N$4:$N$1203,"Cerrada",'ORDENES'!$T$4:$T$1203,"sí")</f>
        <v/>
      </c>
      <c r="D10" s="16">
        <f>IF(B10=0,"",C10/B10)</f>
        <v/>
      </c>
      <c r="E10" s="17">
        <f>SUMIFS('ORDENES'!$M$4:$M$1203,'ORDENES'!$O$4:$O$1203,$A10,'ORDENES'!$T$4:$T$1203,"sí")</f>
        <v/>
      </c>
      <c r="F10" s="17">
        <f>SUMIFS('ORDENES'!$M$4:$M$1203,'ORDENES'!$O$4:$O$1203,$A10,'ORDENES'!$N$4:$N$1203,"Cerrada",'ORDENES'!$T$4:$T$1203,"sí")</f>
        <v/>
      </c>
      <c r="G10" s="16">
        <f>IF(E10=0,"",F10/E10)</f>
        <v/>
      </c>
      <c r="H10" s="21">
        <f>p_meta_adherencia</f>
        <v/>
      </c>
    </row>
    <row r="11">
      <c r="A11" s="5">
        <f>'PERFIL_HH'!$O$10</f>
        <v/>
      </c>
      <c r="B11" s="5">
        <f>COUNTIFS('ORDENES'!$O$4:$O$1203,$A11,'ORDENES'!$T$4:$T$1203,"sí")</f>
        <v/>
      </c>
      <c r="C11" s="5">
        <f>COUNTIFS('ORDENES'!$O$4:$O$1203,$A11,'ORDENES'!$N$4:$N$1203,"Cerrada",'ORDENES'!$T$4:$T$1203,"sí")</f>
        <v/>
      </c>
      <c r="D11" s="16">
        <f>IF(B11=0,"",C11/B11)</f>
        <v/>
      </c>
      <c r="E11" s="17">
        <f>SUMIFS('ORDENES'!$M$4:$M$1203,'ORDENES'!$O$4:$O$1203,$A11,'ORDENES'!$T$4:$T$1203,"sí")</f>
        <v/>
      </c>
      <c r="F11" s="17">
        <f>SUMIFS('ORDENES'!$M$4:$M$1203,'ORDENES'!$O$4:$O$1203,$A11,'ORDENES'!$N$4:$N$1203,"Cerrada",'ORDENES'!$T$4:$T$1203,"sí")</f>
        <v/>
      </c>
      <c r="G11" s="16">
        <f>IF(E11=0,"",F11/E11)</f>
        <v/>
      </c>
      <c r="H11" s="21">
        <f>p_meta_adherencia</f>
        <v/>
      </c>
    </row>
    <row r="12">
      <c r="A12" s="5">
        <f>'PERFIL_HH'!$O$11</f>
        <v/>
      </c>
      <c r="B12" s="5">
        <f>COUNTIFS('ORDENES'!$O$4:$O$1203,$A12,'ORDENES'!$T$4:$T$1203,"sí")</f>
        <v/>
      </c>
      <c r="C12" s="5">
        <f>COUNTIFS('ORDENES'!$O$4:$O$1203,$A12,'ORDENES'!$N$4:$N$1203,"Cerrada",'ORDENES'!$T$4:$T$1203,"sí")</f>
        <v/>
      </c>
      <c r="D12" s="16">
        <f>IF(B12=0,"",C12/B12)</f>
        <v/>
      </c>
      <c r="E12" s="17">
        <f>SUMIFS('ORDENES'!$M$4:$M$1203,'ORDENES'!$O$4:$O$1203,$A12,'ORDENES'!$T$4:$T$1203,"sí")</f>
        <v/>
      </c>
      <c r="F12" s="17">
        <f>SUMIFS('ORDENES'!$M$4:$M$1203,'ORDENES'!$O$4:$O$1203,$A12,'ORDENES'!$N$4:$N$1203,"Cerrada",'ORDENES'!$T$4:$T$1203,"sí")</f>
        <v/>
      </c>
      <c r="G12" s="16">
        <f>IF(E12=0,"",F12/E12)</f>
        <v/>
      </c>
      <c r="H12" s="21">
        <f>p_meta_adherencia</f>
        <v/>
      </c>
    </row>
    <row r="13">
      <c r="A13" s="5">
        <f>'PERFIL_HH'!$O$12</f>
        <v/>
      </c>
      <c r="B13" s="5">
        <f>COUNTIFS('ORDENES'!$O$4:$O$1203,$A13,'ORDENES'!$T$4:$T$1203,"sí")</f>
        <v/>
      </c>
      <c r="C13" s="5">
        <f>COUNTIFS('ORDENES'!$O$4:$O$1203,$A13,'ORDENES'!$N$4:$N$1203,"Cerrada",'ORDENES'!$T$4:$T$1203,"sí")</f>
        <v/>
      </c>
      <c r="D13" s="16">
        <f>IF(B13=0,"",C13/B13)</f>
        <v/>
      </c>
      <c r="E13" s="17">
        <f>SUMIFS('ORDENES'!$M$4:$M$1203,'ORDENES'!$O$4:$O$1203,$A13,'ORDENES'!$T$4:$T$1203,"sí")</f>
        <v/>
      </c>
      <c r="F13" s="17">
        <f>SUMIFS('ORDENES'!$M$4:$M$1203,'ORDENES'!$O$4:$O$1203,$A13,'ORDENES'!$N$4:$N$1203,"Cerrada",'ORDENES'!$T$4:$T$1203,"sí")</f>
        <v/>
      </c>
      <c r="G13" s="16">
        <f>IF(E13=0,"",F13/E13)</f>
        <v/>
      </c>
      <c r="H13" s="21">
        <f>p_meta_adherencia</f>
        <v/>
      </c>
    </row>
    <row r="14">
      <c r="A14" s="5">
        <f>'PERFIL_HH'!$O$13</f>
        <v/>
      </c>
      <c r="B14" s="5">
        <f>COUNTIFS('ORDENES'!$O$4:$O$1203,$A14,'ORDENES'!$T$4:$T$1203,"sí")</f>
        <v/>
      </c>
      <c r="C14" s="5">
        <f>COUNTIFS('ORDENES'!$O$4:$O$1203,$A14,'ORDENES'!$N$4:$N$1203,"Cerrada",'ORDENES'!$T$4:$T$1203,"sí")</f>
        <v/>
      </c>
      <c r="D14" s="16">
        <f>IF(B14=0,"",C14/B14)</f>
        <v/>
      </c>
      <c r="E14" s="17">
        <f>SUMIFS('ORDENES'!$M$4:$M$1203,'ORDENES'!$O$4:$O$1203,$A14,'ORDENES'!$T$4:$T$1203,"sí")</f>
        <v/>
      </c>
      <c r="F14" s="17">
        <f>SUMIFS('ORDENES'!$M$4:$M$1203,'ORDENES'!$O$4:$O$1203,$A14,'ORDENES'!$N$4:$N$1203,"Cerrada",'ORDENES'!$T$4:$T$1203,"sí")</f>
        <v/>
      </c>
      <c r="G14" s="16">
        <f>IF(E14=0,"",F14/E14)</f>
        <v/>
      </c>
      <c r="H14" s="21">
        <f>p_meta_adherencia</f>
        <v/>
      </c>
    </row>
    <row r="15">
      <c r="A15" s="5">
        <f>'PERFIL_HH'!$O$14</f>
        <v/>
      </c>
      <c r="B15" s="5">
        <f>COUNTIFS('ORDENES'!$O$4:$O$1203,$A15,'ORDENES'!$T$4:$T$1203,"sí")</f>
        <v/>
      </c>
      <c r="C15" s="5">
        <f>COUNTIFS('ORDENES'!$O$4:$O$1203,$A15,'ORDENES'!$N$4:$N$1203,"Cerrada",'ORDENES'!$T$4:$T$1203,"sí")</f>
        <v/>
      </c>
      <c r="D15" s="16">
        <f>IF(B15=0,"",C15/B15)</f>
        <v/>
      </c>
      <c r="E15" s="17">
        <f>SUMIFS('ORDENES'!$M$4:$M$1203,'ORDENES'!$O$4:$O$1203,$A15,'ORDENES'!$T$4:$T$1203,"sí")</f>
        <v/>
      </c>
      <c r="F15" s="17">
        <f>SUMIFS('ORDENES'!$M$4:$M$1203,'ORDENES'!$O$4:$O$1203,$A15,'ORDENES'!$N$4:$N$1203,"Cerrada",'ORDENES'!$T$4:$T$1203,"sí")</f>
        <v/>
      </c>
      <c r="G15" s="16">
        <f>IF(E15=0,"",F15/E15)</f>
        <v/>
      </c>
      <c r="H15" s="21">
        <f>p_meta_adherencia</f>
        <v/>
      </c>
    </row>
    <row r="16">
      <c r="A16" s="5">
        <f>'PERFIL_HH'!$O$15</f>
        <v/>
      </c>
      <c r="B16" s="5">
        <f>COUNTIFS('ORDENES'!$O$4:$O$1203,$A16,'ORDENES'!$T$4:$T$1203,"sí")</f>
        <v/>
      </c>
      <c r="C16" s="5">
        <f>COUNTIFS('ORDENES'!$O$4:$O$1203,$A16,'ORDENES'!$N$4:$N$1203,"Cerrada",'ORDENES'!$T$4:$T$1203,"sí")</f>
        <v/>
      </c>
      <c r="D16" s="16">
        <f>IF(B16=0,"",C16/B16)</f>
        <v/>
      </c>
      <c r="E16" s="17">
        <f>SUMIFS('ORDENES'!$M$4:$M$1203,'ORDENES'!$O$4:$O$1203,$A16,'ORDENES'!$T$4:$T$1203,"sí")</f>
        <v/>
      </c>
      <c r="F16" s="17">
        <f>SUMIFS('ORDENES'!$M$4:$M$1203,'ORDENES'!$O$4:$O$1203,$A16,'ORDENES'!$N$4:$N$1203,"Cerrada",'ORDENES'!$T$4:$T$1203,"sí")</f>
        <v/>
      </c>
      <c r="G16" s="16">
        <f>IF(E16=0,"",F16/E16)</f>
        <v/>
      </c>
      <c r="H16" s="21">
        <f>p_meta_adherencia</f>
        <v/>
      </c>
    </row>
    <row r="17">
      <c r="A17" s="5">
        <f>'PERFIL_HH'!$O$16</f>
        <v/>
      </c>
      <c r="B17" s="5">
        <f>COUNTIFS('ORDENES'!$O$4:$O$1203,$A17,'ORDENES'!$T$4:$T$1203,"sí")</f>
        <v/>
      </c>
      <c r="C17" s="5">
        <f>COUNTIFS('ORDENES'!$O$4:$O$1203,$A17,'ORDENES'!$N$4:$N$1203,"Cerrada",'ORDENES'!$T$4:$T$1203,"sí")</f>
        <v/>
      </c>
      <c r="D17" s="16">
        <f>IF(B17=0,"",C17/B17)</f>
        <v/>
      </c>
      <c r="E17" s="17">
        <f>SUMIFS('ORDENES'!$M$4:$M$1203,'ORDENES'!$O$4:$O$1203,$A17,'ORDENES'!$T$4:$T$1203,"sí")</f>
        <v/>
      </c>
      <c r="F17" s="17">
        <f>SUMIFS('ORDENES'!$M$4:$M$1203,'ORDENES'!$O$4:$O$1203,$A17,'ORDENES'!$N$4:$N$1203,"Cerrada",'ORDENES'!$T$4:$T$1203,"sí")</f>
        <v/>
      </c>
      <c r="G17" s="16">
        <f>IF(E17=0,"",F17/E17)</f>
        <v/>
      </c>
      <c r="H17" s="21">
        <f>p_meta_adherencia</f>
        <v/>
      </c>
    </row>
    <row r="18">
      <c r="A18" s="5">
        <f>'PERFIL_HH'!$O$17</f>
        <v/>
      </c>
      <c r="B18" s="5">
        <f>COUNTIFS('ORDENES'!$O$4:$O$1203,$A18,'ORDENES'!$T$4:$T$1203,"sí")</f>
        <v/>
      </c>
      <c r="C18" s="5">
        <f>COUNTIFS('ORDENES'!$O$4:$O$1203,$A18,'ORDENES'!$N$4:$N$1203,"Cerrada",'ORDENES'!$T$4:$T$1203,"sí")</f>
        <v/>
      </c>
      <c r="D18" s="16">
        <f>IF(B18=0,"",C18/B18)</f>
        <v/>
      </c>
      <c r="E18" s="17">
        <f>SUMIFS('ORDENES'!$M$4:$M$1203,'ORDENES'!$O$4:$O$1203,$A18,'ORDENES'!$T$4:$T$1203,"sí")</f>
        <v/>
      </c>
      <c r="F18" s="17">
        <f>SUMIFS('ORDENES'!$M$4:$M$1203,'ORDENES'!$O$4:$O$1203,$A18,'ORDENES'!$N$4:$N$1203,"Cerrada",'ORDENES'!$T$4:$T$1203,"sí")</f>
        <v/>
      </c>
      <c r="G18" s="16">
        <f>IF(E18=0,"",F18/E18)</f>
        <v/>
      </c>
      <c r="H18" s="21">
        <f>p_meta_adherencia</f>
        <v/>
      </c>
    </row>
    <row r="19">
      <c r="A19" s="5">
        <f>'PERFIL_HH'!$O$18</f>
        <v/>
      </c>
      <c r="B19" s="5">
        <f>COUNTIFS('ORDENES'!$O$4:$O$1203,$A19,'ORDENES'!$T$4:$T$1203,"sí")</f>
        <v/>
      </c>
      <c r="C19" s="5">
        <f>COUNTIFS('ORDENES'!$O$4:$O$1203,$A19,'ORDENES'!$N$4:$N$1203,"Cerrada",'ORDENES'!$T$4:$T$1203,"sí")</f>
        <v/>
      </c>
      <c r="D19" s="16">
        <f>IF(B19=0,"",C19/B19)</f>
        <v/>
      </c>
      <c r="E19" s="17">
        <f>SUMIFS('ORDENES'!$M$4:$M$1203,'ORDENES'!$O$4:$O$1203,$A19,'ORDENES'!$T$4:$T$1203,"sí")</f>
        <v/>
      </c>
      <c r="F19" s="17">
        <f>SUMIFS('ORDENES'!$M$4:$M$1203,'ORDENES'!$O$4:$O$1203,$A19,'ORDENES'!$N$4:$N$1203,"Cerrada",'ORDENES'!$T$4:$T$1203,"sí")</f>
        <v/>
      </c>
      <c r="G19" s="16">
        <f>IF(E19=0,"",F19/E19)</f>
        <v/>
      </c>
      <c r="H19" s="21">
        <f>p_meta_adherencia</f>
        <v/>
      </c>
    </row>
    <row r="20">
      <c r="A20" s="5">
        <f>'PERFIL_HH'!$O$19</f>
        <v/>
      </c>
      <c r="B20" s="5">
        <f>COUNTIFS('ORDENES'!$O$4:$O$1203,$A20,'ORDENES'!$T$4:$T$1203,"sí")</f>
        <v/>
      </c>
      <c r="C20" s="5">
        <f>COUNTIFS('ORDENES'!$O$4:$O$1203,$A20,'ORDENES'!$N$4:$N$1203,"Cerrada",'ORDENES'!$T$4:$T$1203,"sí")</f>
        <v/>
      </c>
      <c r="D20" s="16">
        <f>IF(B20=0,"",C20/B20)</f>
        <v/>
      </c>
      <c r="E20" s="17">
        <f>SUMIFS('ORDENES'!$M$4:$M$1203,'ORDENES'!$O$4:$O$1203,$A20,'ORDENES'!$T$4:$T$1203,"sí")</f>
        <v/>
      </c>
      <c r="F20" s="17">
        <f>SUMIFS('ORDENES'!$M$4:$M$1203,'ORDENES'!$O$4:$O$1203,$A20,'ORDENES'!$N$4:$N$1203,"Cerrada",'ORDENES'!$T$4:$T$1203,"sí")</f>
        <v/>
      </c>
      <c r="G20" s="16">
        <f>IF(E20=0,"",F20/E20)</f>
        <v/>
      </c>
      <c r="H20" s="21">
        <f>p_meta_adherencia</f>
        <v/>
      </c>
    </row>
    <row r="21">
      <c r="A21" s="5">
        <f>'PERFIL_HH'!$O$20</f>
        <v/>
      </c>
      <c r="B21" s="5">
        <f>COUNTIFS('ORDENES'!$O$4:$O$1203,$A21,'ORDENES'!$T$4:$T$1203,"sí")</f>
        <v/>
      </c>
      <c r="C21" s="5">
        <f>COUNTIFS('ORDENES'!$O$4:$O$1203,$A21,'ORDENES'!$N$4:$N$1203,"Cerrada",'ORDENES'!$T$4:$T$1203,"sí")</f>
        <v/>
      </c>
      <c r="D21" s="16">
        <f>IF(B21=0,"",C21/B21)</f>
        <v/>
      </c>
      <c r="E21" s="17">
        <f>SUMIFS('ORDENES'!$M$4:$M$1203,'ORDENES'!$O$4:$O$1203,$A21,'ORDENES'!$T$4:$T$1203,"sí")</f>
        <v/>
      </c>
      <c r="F21" s="17">
        <f>SUMIFS('ORDENES'!$M$4:$M$1203,'ORDENES'!$O$4:$O$1203,$A21,'ORDENES'!$N$4:$N$1203,"Cerrada",'ORDENES'!$T$4:$T$1203,"sí")</f>
        <v/>
      </c>
      <c r="G21" s="16">
        <f>IF(E21=0,"",F21/E21)</f>
        <v/>
      </c>
      <c r="H21" s="21">
        <f>p_meta_adherencia</f>
        <v/>
      </c>
    </row>
    <row r="22">
      <c r="A22" s="5">
        <f>'PERFIL_HH'!$O$21</f>
        <v/>
      </c>
      <c r="B22" s="5">
        <f>COUNTIFS('ORDENES'!$O$4:$O$1203,$A22,'ORDENES'!$T$4:$T$1203,"sí")</f>
        <v/>
      </c>
      <c r="C22" s="5">
        <f>COUNTIFS('ORDENES'!$O$4:$O$1203,$A22,'ORDENES'!$N$4:$N$1203,"Cerrada",'ORDENES'!$T$4:$T$1203,"sí")</f>
        <v/>
      </c>
      <c r="D22" s="16">
        <f>IF(B22=0,"",C22/B22)</f>
        <v/>
      </c>
      <c r="E22" s="17">
        <f>SUMIFS('ORDENES'!$M$4:$M$1203,'ORDENES'!$O$4:$O$1203,$A22,'ORDENES'!$T$4:$T$1203,"sí")</f>
        <v/>
      </c>
      <c r="F22" s="17">
        <f>SUMIFS('ORDENES'!$M$4:$M$1203,'ORDENES'!$O$4:$O$1203,$A22,'ORDENES'!$N$4:$N$1203,"Cerrada",'ORDENES'!$T$4:$T$1203,"sí")</f>
        <v/>
      </c>
      <c r="G22" s="16">
        <f>IF(E22=0,"",F22/E22)</f>
        <v/>
      </c>
      <c r="H22" s="21">
        <f>p_meta_adherencia</f>
        <v/>
      </c>
    </row>
    <row r="23" hidden="1">
      <c r="A23" s="5">
        <f>'PERFIL_HH'!$O$22</f>
        <v/>
      </c>
      <c r="B23" s="5">
        <f>COUNTIFS('ORDENES'!$O$4:$O$1203,$A23,'ORDENES'!$T$4:$T$1203,"sí")</f>
        <v/>
      </c>
      <c r="C23" s="5">
        <f>COUNTIFS('ORDENES'!$O$4:$O$1203,$A23,'ORDENES'!$N$4:$N$1203,"Cerrada",'ORDENES'!$T$4:$T$1203,"sí")</f>
        <v/>
      </c>
      <c r="D23" s="16">
        <f>IF(B23=0,"",C23/B23)</f>
        <v/>
      </c>
      <c r="E23" s="17">
        <f>SUMIFS('ORDENES'!$M$4:$M$1203,'ORDENES'!$O$4:$O$1203,$A23,'ORDENES'!$T$4:$T$1203,"sí")</f>
        <v/>
      </c>
      <c r="F23" s="17">
        <f>SUMIFS('ORDENES'!$M$4:$M$1203,'ORDENES'!$O$4:$O$1203,$A23,'ORDENES'!$N$4:$N$1203,"Cerrada",'ORDENES'!$T$4:$T$1203,"sí")</f>
        <v/>
      </c>
      <c r="G23" s="16">
        <f>IF(E23=0,"",F23/E23)</f>
        <v/>
      </c>
      <c r="H23" s="21">
        <f>p_meta_adherencia</f>
        <v/>
      </c>
    </row>
    <row r="24" hidden="1">
      <c r="A24" s="5">
        <f>'PERFIL_HH'!$O$23</f>
        <v/>
      </c>
      <c r="B24" s="5">
        <f>COUNTIFS('ORDENES'!$O$4:$O$1203,$A24,'ORDENES'!$T$4:$T$1203,"sí")</f>
        <v/>
      </c>
      <c r="C24" s="5">
        <f>COUNTIFS('ORDENES'!$O$4:$O$1203,$A24,'ORDENES'!$N$4:$N$1203,"Cerrada",'ORDENES'!$T$4:$T$1203,"sí")</f>
        <v/>
      </c>
      <c r="D24" s="16">
        <f>IF(B24=0,"",C24/B24)</f>
        <v/>
      </c>
      <c r="E24" s="17">
        <f>SUMIFS('ORDENES'!$M$4:$M$1203,'ORDENES'!$O$4:$O$1203,$A24,'ORDENES'!$T$4:$T$1203,"sí")</f>
        <v/>
      </c>
      <c r="F24" s="17">
        <f>SUMIFS('ORDENES'!$M$4:$M$1203,'ORDENES'!$O$4:$O$1203,$A24,'ORDENES'!$N$4:$N$1203,"Cerrada",'ORDENES'!$T$4:$T$1203,"sí")</f>
        <v/>
      </c>
      <c r="G24" s="16">
        <f>IF(E24=0,"",F24/E24)</f>
        <v/>
      </c>
      <c r="H24" s="21">
        <f>p_meta_adherencia</f>
        <v/>
      </c>
    </row>
    <row r="25" hidden="1">
      <c r="A25" s="5">
        <f>'PERFIL_HH'!$O$24</f>
        <v/>
      </c>
      <c r="B25" s="5">
        <f>COUNTIFS('ORDENES'!$O$4:$O$1203,$A25,'ORDENES'!$T$4:$T$1203,"sí")</f>
        <v/>
      </c>
      <c r="C25" s="5">
        <f>COUNTIFS('ORDENES'!$O$4:$O$1203,$A25,'ORDENES'!$N$4:$N$1203,"Cerrada",'ORDENES'!$T$4:$T$1203,"sí")</f>
        <v/>
      </c>
      <c r="D25" s="16">
        <f>IF(B25=0,"",C25/B25)</f>
        <v/>
      </c>
      <c r="E25" s="17">
        <f>SUMIFS('ORDENES'!$M$4:$M$1203,'ORDENES'!$O$4:$O$1203,$A25,'ORDENES'!$T$4:$T$1203,"sí")</f>
        <v/>
      </c>
      <c r="F25" s="17">
        <f>SUMIFS('ORDENES'!$M$4:$M$1203,'ORDENES'!$O$4:$O$1203,$A25,'ORDENES'!$N$4:$N$1203,"Cerrada",'ORDENES'!$T$4:$T$1203,"sí")</f>
        <v/>
      </c>
      <c r="G25" s="16">
        <f>IF(E25=0,"",F25/E25)</f>
        <v/>
      </c>
      <c r="H25" s="21">
        <f>p_meta_adherencia</f>
        <v/>
      </c>
    </row>
    <row r="26">
      <c r="A26" s="5">
        <f>'PERFIL_HH'!$O$25</f>
        <v/>
      </c>
      <c r="B26" s="5">
        <f>COUNTIFS('ORDENES'!$O$4:$O$1203,$A26,'ORDENES'!$T$4:$T$1203,"sí")</f>
        <v/>
      </c>
      <c r="C26" s="5">
        <f>COUNTIFS('ORDENES'!$O$4:$O$1203,$A26,'ORDENES'!$N$4:$N$1203,"Cerrada",'ORDENES'!$T$4:$T$1203,"sí")</f>
        <v/>
      </c>
      <c r="D26" s="16">
        <f>IF(B26=0,"",C26/B26)</f>
        <v/>
      </c>
      <c r="E26" s="17">
        <f>SUMIFS('ORDENES'!$M$4:$M$1203,'ORDENES'!$O$4:$O$1203,$A26,'ORDENES'!$T$4:$T$1203,"sí")</f>
        <v/>
      </c>
      <c r="F26" s="17">
        <f>SUMIFS('ORDENES'!$M$4:$M$1203,'ORDENES'!$O$4:$O$1203,$A26,'ORDENES'!$N$4:$N$1203,"Cerrada",'ORDENES'!$T$4:$T$1203,"sí")</f>
        <v/>
      </c>
      <c r="G26" s="16">
        <f>IF(E26=0,"",F26/E26)</f>
        <v/>
      </c>
      <c r="H26" s="21">
        <f>p_meta_adherencia</f>
        <v/>
      </c>
    </row>
    <row r="27">
      <c r="A27" s="5">
        <f>'PERFIL_HH'!$O$26</f>
        <v/>
      </c>
      <c r="B27" s="5">
        <f>COUNTIFS('ORDENES'!$O$4:$O$1203,$A27,'ORDENES'!$T$4:$T$1203,"sí")</f>
        <v/>
      </c>
      <c r="C27" s="5">
        <f>COUNTIFS('ORDENES'!$O$4:$O$1203,$A27,'ORDENES'!$N$4:$N$1203,"Cerrada",'ORDENES'!$T$4:$T$1203,"sí")</f>
        <v/>
      </c>
      <c r="D27" s="16">
        <f>IF(B27=0,"",C27/B27)</f>
        <v/>
      </c>
      <c r="E27" s="17">
        <f>SUMIFS('ORDENES'!$M$4:$M$1203,'ORDENES'!$O$4:$O$1203,$A27,'ORDENES'!$T$4:$T$1203,"sí")</f>
        <v/>
      </c>
      <c r="F27" s="17">
        <f>SUMIFS('ORDENES'!$M$4:$M$1203,'ORDENES'!$O$4:$O$1203,$A27,'ORDENES'!$N$4:$N$1203,"Cerrada",'ORDENES'!$T$4:$T$1203,"sí")</f>
        <v/>
      </c>
      <c r="G27" s="16">
        <f>IF(E27=0,"",F27/E27)</f>
        <v/>
      </c>
      <c r="H27" s="21">
        <f>p_meta_adherencia</f>
        <v/>
      </c>
    </row>
    <row r="28">
      <c r="A28" s="5">
        <f>'PERFIL_HH'!$O$27</f>
        <v/>
      </c>
      <c r="B28" s="5">
        <f>COUNTIFS('ORDENES'!$O$4:$O$1203,$A28,'ORDENES'!$T$4:$T$1203,"sí")</f>
        <v/>
      </c>
      <c r="C28" s="5">
        <f>COUNTIFS('ORDENES'!$O$4:$O$1203,$A28,'ORDENES'!$N$4:$N$1203,"Cerrada",'ORDENES'!$T$4:$T$1203,"sí")</f>
        <v/>
      </c>
      <c r="D28" s="16">
        <f>IF(B28=0,"",C28/B28)</f>
        <v/>
      </c>
      <c r="E28" s="17">
        <f>SUMIFS('ORDENES'!$M$4:$M$1203,'ORDENES'!$O$4:$O$1203,$A28,'ORDENES'!$T$4:$T$1203,"sí")</f>
        <v/>
      </c>
      <c r="F28" s="17">
        <f>SUMIFS('ORDENES'!$M$4:$M$1203,'ORDENES'!$O$4:$O$1203,$A28,'ORDENES'!$N$4:$N$1203,"Cerrada",'ORDENES'!$T$4:$T$1203,"sí")</f>
        <v/>
      </c>
      <c r="G28" s="16">
        <f>IF(E28=0,"",F28/E28)</f>
        <v/>
      </c>
      <c r="H28" s="21">
        <f>p_meta_adherencia</f>
        <v/>
      </c>
    </row>
    <row r="29">
      <c r="A29" s="5">
        <f>'PERFIL_HH'!$O$28</f>
        <v/>
      </c>
      <c r="B29" s="5">
        <f>COUNTIFS('ORDENES'!$O$4:$O$1203,$A29,'ORDENES'!$T$4:$T$1203,"sí")</f>
        <v/>
      </c>
      <c r="C29" s="5">
        <f>COUNTIFS('ORDENES'!$O$4:$O$1203,$A29,'ORDENES'!$N$4:$N$1203,"Cerrada",'ORDENES'!$T$4:$T$1203,"sí")</f>
        <v/>
      </c>
      <c r="D29" s="16">
        <f>IF(B29=0,"",C29/B29)</f>
        <v/>
      </c>
      <c r="E29" s="17">
        <f>SUMIFS('ORDENES'!$M$4:$M$1203,'ORDENES'!$O$4:$O$1203,$A29,'ORDENES'!$T$4:$T$1203,"sí")</f>
        <v/>
      </c>
      <c r="F29" s="17">
        <f>SUMIFS('ORDENES'!$M$4:$M$1203,'ORDENES'!$O$4:$O$1203,$A29,'ORDENES'!$N$4:$N$1203,"Cerrada",'ORDENES'!$T$4:$T$1203,"sí")</f>
        <v/>
      </c>
      <c r="G29" s="16">
        <f>IF(E29=0,"",F29/E29)</f>
        <v/>
      </c>
      <c r="H29" s="21">
        <f>p_meta_adherencia</f>
        <v/>
      </c>
    </row>
    <row r="30" hidden="1">
      <c r="A30" s="5">
        <f>'PERFIL_HH'!$O$29</f>
        <v/>
      </c>
      <c r="B30" s="5">
        <f>COUNTIFS('ORDENES'!$O$4:$O$1203,$A30,'ORDENES'!$T$4:$T$1203,"sí")</f>
        <v/>
      </c>
      <c r="C30" s="5">
        <f>COUNTIFS('ORDENES'!$O$4:$O$1203,$A30,'ORDENES'!$N$4:$N$1203,"Cerrada",'ORDENES'!$T$4:$T$1203,"sí")</f>
        <v/>
      </c>
      <c r="D30" s="16">
        <f>IF(B30=0,"",C30/B30)</f>
        <v/>
      </c>
      <c r="E30" s="17">
        <f>SUMIFS('ORDENES'!$M$4:$M$1203,'ORDENES'!$O$4:$O$1203,$A30,'ORDENES'!$T$4:$T$1203,"sí")</f>
        <v/>
      </c>
      <c r="F30" s="17">
        <f>SUMIFS('ORDENES'!$M$4:$M$1203,'ORDENES'!$O$4:$O$1203,$A30,'ORDENES'!$N$4:$N$1203,"Cerrada",'ORDENES'!$T$4:$T$1203,"sí")</f>
        <v/>
      </c>
      <c r="G30" s="16">
        <f>IF(E30=0,"",F30/E30)</f>
        <v/>
      </c>
      <c r="H30" s="21">
        <f>p_meta_adherencia</f>
        <v/>
      </c>
    </row>
    <row r="31" hidden="1">
      <c r="A31" s="5">
        <f>'PERFIL_HH'!$O$30</f>
        <v/>
      </c>
      <c r="B31" s="5">
        <f>COUNTIFS('ORDENES'!$O$4:$O$1203,$A31,'ORDENES'!$T$4:$T$1203,"sí")</f>
        <v/>
      </c>
      <c r="C31" s="5">
        <f>COUNTIFS('ORDENES'!$O$4:$O$1203,$A31,'ORDENES'!$N$4:$N$1203,"Cerrada",'ORDENES'!$T$4:$T$1203,"sí")</f>
        <v/>
      </c>
      <c r="D31" s="16">
        <f>IF(B31=0,"",C31/B31)</f>
        <v/>
      </c>
      <c r="E31" s="17">
        <f>SUMIFS('ORDENES'!$M$4:$M$1203,'ORDENES'!$O$4:$O$1203,$A31,'ORDENES'!$T$4:$T$1203,"sí")</f>
        <v/>
      </c>
      <c r="F31" s="17">
        <f>SUMIFS('ORDENES'!$M$4:$M$1203,'ORDENES'!$O$4:$O$1203,$A31,'ORDENES'!$N$4:$N$1203,"Cerrada",'ORDENES'!$T$4:$T$1203,"sí")</f>
        <v/>
      </c>
      <c r="G31" s="16">
        <f>IF(E31=0,"",F31/E31)</f>
        <v/>
      </c>
      <c r="H31" s="21">
        <f>p_meta_adherencia</f>
        <v/>
      </c>
    </row>
    <row r="32">
      <c r="A32" s="5">
        <f>'PERFIL_HH'!$O$31</f>
        <v/>
      </c>
      <c r="B32" s="5">
        <f>COUNTIFS('ORDENES'!$O$4:$O$1203,$A32,'ORDENES'!$T$4:$T$1203,"sí")</f>
        <v/>
      </c>
      <c r="C32" s="5">
        <f>COUNTIFS('ORDENES'!$O$4:$O$1203,$A32,'ORDENES'!$N$4:$N$1203,"Cerrada",'ORDENES'!$T$4:$T$1203,"sí")</f>
        <v/>
      </c>
      <c r="D32" s="16">
        <f>IF(B32=0,"",C32/B32)</f>
        <v/>
      </c>
      <c r="E32" s="17">
        <f>SUMIFS('ORDENES'!$M$4:$M$1203,'ORDENES'!$O$4:$O$1203,$A32,'ORDENES'!$T$4:$T$1203,"sí")</f>
        <v/>
      </c>
      <c r="F32" s="17">
        <f>SUMIFS('ORDENES'!$M$4:$M$1203,'ORDENES'!$O$4:$O$1203,$A32,'ORDENES'!$N$4:$N$1203,"Cerrada",'ORDENES'!$T$4:$T$1203,"sí")</f>
        <v/>
      </c>
      <c r="G32" s="16">
        <f>IF(E32=0,"",F32/E32)</f>
        <v/>
      </c>
      <c r="H32" s="21">
        <f>p_meta_adherencia</f>
        <v/>
      </c>
    </row>
    <row r="33" hidden="1">
      <c r="A33" s="5">
        <f>'PERFIL_HH'!$O$32</f>
        <v/>
      </c>
      <c r="B33" s="5">
        <f>COUNTIFS('ORDENES'!$O$4:$O$1203,$A33,'ORDENES'!$T$4:$T$1203,"sí")</f>
        <v/>
      </c>
      <c r="C33" s="5">
        <f>COUNTIFS('ORDENES'!$O$4:$O$1203,$A33,'ORDENES'!$N$4:$N$1203,"Cerrada",'ORDENES'!$T$4:$T$1203,"sí")</f>
        <v/>
      </c>
      <c r="D33" s="16">
        <f>IF(B33=0,"",C33/B33)</f>
        <v/>
      </c>
      <c r="E33" s="17">
        <f>SUMIFS('ORDENES'!$M$4:$M$1203,'ORDENES'!$O$4:$O$1203,$A33,'ORDENES'!$T$4:$T$1203,"sí")</f>
        <v/>
      </c>
      <c r="F33" s="17">
        <f>SUMIFS('ORDENES'!$M$4:$M$1203,'ORDENES'!$O$4:$O$1203,$A33,'ORDENES'!$N$4:$N$1203,"Cerrada",'ORDENES'!$T$4:$T$1203,"sí")</f>
        <v/>
      </c>
      <c r="G33" s="16">
        <f>IF(E33=0,"",F33/E33)</f>
        <v/>
      </c>
      <c r="H33" s="21">
        <f>p_meta_adherencia</f>
        <v/>
      </c>
    </row>
    <row r="34" hidden="1">
      <c r="A34" s="5">
        <f>'PERFIL_HH'!$O$33</f>
        <v/>
      </c>
      <c r="B34" s="5">
        <f>COUNTIFS('ORDENES'!$O$4:$O$1203,$A34,'ORDENES'!$T$4:$T$1203,"sí")</f>
        <v/>
      </c>
      <c r="C34" s="5">
        <f>COUNTIFS('ORDENES'!$O$4:$O$1203,$A34,'ORDENES'!$N$4:$N$1203,"Cerrada",'ORDENES'!$T$4:$T$1203,"sí")</f>
        <v/>
      </c>
      <c r="D34" s="16">
        <f>IF(B34=0,"",C34/B34)</f>
        <v/>
      </c>
      <c r="E34" s="17">
        <f>SUMIFS('ORDENES'!$M$4:$M$1203,'ORDENES'!$O$4:$O$1203,$A34,'ORDENES'!$T$4:$T$1203,"sí")</f>
        <v/>
      </c>
      <c r="F34" s="17">
        <f>SUMIFS('ORDENES'!$M$4:$M$1203,'ORDENES'!$O$4:$O$1203,$A34,'ORDENES'!$N$4:$N$1203,"Cerrada",'ORDENES'!$T$4:$T$1203,"sí")</f>
        <v/>
      </c>
      <c r="G34" s="16">
        <f>IF(E34=0,"",F34/E34)</f>
        <v/>
      </c>
      <c r="H34" s="21">
        <f>p_meta_adherencia</f>
        <v/>
      </c>
    </row>
    <row r="35" hidden="1">
      <c r="A35" s="5">
        <f>'PERFIL_HH'!$O$34</f>
        <v/>
      </c>
      <c r="B35" s="5">
        <f>COUNTIFS('ORDENES'!$O$4:$O$1203,$A35,'ORDENES'!$T$4:$T$1203,"sí")</f>
        <v/>
      </c>
      <c r="C35" s="5">
        <f>COUNTIFS('ORDENES'!$O$4:$O$1203,$A35,'ORDENES'!$N$4:$N$1203,"Cerrada",'ORDENES'!$T$4:$T$1203,"sí")</f>
        <v/>
      </c>
      <c r="D35" s="16">
        <f>IF(B35=0,"",C35/B35)</f>
        <v/>
      </c>
      <c r="E35" s="17">
        <f>SUMIFS('ORDENES'!$M$4:$M$1203,'ORDENES'!$O$4:$O$1203,$A35,'ORDENES'!$T$4:$T$1203,"sí")</f>
        <v/>
      </c>
      <c r="F35" s="17">
        <f>SUMIFS('ORDENES'!$M$4:$M$1203,'ORDENES'!$O$4:$O$1203,$A35,'ORDENES'!$N$4:$N$1203,"Cerrada",'ORDENES'!$T$4:$T$1203,"sí")</f>
        <v/>
      </c>
      <c r="G35" s="16">
        <f>IF(E35=0,"",F35/E35)</f>
        <v/>
      </c>
      <c r="H35" s="21">
        <f>p_meta_adherencia</f>
        <v/>
      </c>
    </row>
    <row r="36" hidden="1">
      <c r="A36" s="5">
        <f>'PERFIL_HH'!$O$35</f>
        <v/>
      </c>
      <c r="B36" s="5">
        <f>COUNTIFS('ORDENES'!$O$4:$O$1203,$A36,'ORDENES'!$T$4:$T$1203,"sí")</f>
        <v/>
      </c>
      <c r="C36" s="5">
        <f>COUNTIFS('ORDENES'!$O$4:$O$1203,$A36,'ORDENES'!$N$4:$N$1203,"Cerrada",'ORDENES'!$T$4:$T$1203,"sí")</f>
        <v/>
      </c>
      <c r="D36" s="16">
        <f>IF(B36=0,"",C36/B36)</f>
        <v/>
      </c>
      <c r="E36" s="17">
        <f>SUMIFS('ORDENES'!$M$4:$M$1203,'ORDENES'!$O$4:$O$1203,$A36,'ORDENES'!$T$4:$T$1203,"sí")</f>
        <v/>
      </c>
      <c r="F36" s="17">
        <f>SUMIFS('ORDENES'!$M$4:$M$1203,'ORDENES'!$O$4:$O$1203,$A36,'ORDENES'!$N$4:$N$1203,"Cerrada",'ORDENES'!$T$4:$T$1203,"sí")</f>
        <v/>
      </c>
      <c r="G36" s="16">
        <f>IF(E36=0,"",F36/E36)</f>
        <v/>
      </c>
      <c r="H36" s="21">
        <f>p_meta_adherencia</f>
        <v/>
      </c>
    </row>
    <row r="37" hidden="1">
      <c r="A37" s="5">
        <f>'PERFIL_HH'!$O$36</f>
        <v/>
      </c>
      <c r="B37" s="5">
        <f>COUNTIFS('ORDENES'!$O$4:$O$1203,$A37,'ORDENES'!$T$4:$T$1203,"sí")</f>
        <v/>
      </c>
      <c r="C37" s="5">
        <f>COUNTIFS('ORDENES'!$O$4:$O$1203,$A37,'ORDENES'!$N$4:$N$1203,"Cerrada",'ORDENES'!$T$4:$T$1203,"sí")</f>
        <v/>
      </c>
      <c r="D37" s="16">
        <f>IF(B37=0,"",C37/B37)</f>
        <v/>
      </c>
      <c r="E37" s="17">
        <f>SUMIFS('ORDENES'!$M$4:$M$1203,'ORDENES'!$O$4:$O$1203,$A37,'ORDENES'!$T$4:$T$1203,"sí")</f>
        <v/>
      </c>
      <c r="F37" s="17">
        <f>SUMIFS('ORDENES'!$M$4:$M$1203,'ORDENES'!$O$4:$O$1203,$A37,'ORDENES'!$N$4:$N$1203,"Cerrada",'ORDENES'!$T$4:$T$1203,"sí")</f>
        <v/>
      </c>
      <c r="G37" s="16">
        <f>IF(E37=0,"",F37/E37)</f>
        <v/>
      </c>
      <c r="H37" s="21">
        <f>p_meta_adherencia</f>
        <v/>
      </c>
    </row>
    <row r="38" hidden="1">
      <c r="A38" s="5">
        <f>'PERFIL_HH'!$O$37</f>
        <v/>
      </c>
      <c r="B38" s="5">
        <f>COUNTIFS('ORDENES'!$O$4:$O$1203,$A38,'ORDENES'!$T$4:$T$1203,"sí")</f>
        <v/>
      </c>
      <c r="C38" s="5">
        <f>COUNTIFS('ORDENES'!$O$4:$O$1203,$A38,'ORDENES'!$N$4:$N$1203,"Cerrada",'ORDENES'!$T$4:$T$1203,"sí")</f>
        <v/>
      </c>
      <c r="D38" s="16">
        <f>IF(B38=0,"",C38/B38)</f>
        <v/>
      </c>
      <c r="E38" s="17">
        <f>SUMIFS('ORDENES'!$M$4:$M$1203,'ORDENES'!$O$4:$O$1203,$A38,'ORDENES'!$T$4:$T$1203,"sí")</f>
        <v/>
      </c>
      <c r="F38" s="17">
        <f>SUMIFS('ORDENES'!$M$4:$M$1203,'ORDENES'!$O$4:$O$1203,$A38,'ORDENES'!$N$4:$N$1203,"Cerrada",'ORDENES'!$T$4:$T$1203,"sí")</f>
        <v/>
      </c>
      <c r="G38" s="16">
        <f>IF(E38=0,"",F38/E38)</f>
        <v/>
      </c>
      <c r="H38" s="21">
        <f>p_meta_adherencia</f>
        <v/>
      </c>
    </row>
    <row r="39" hidden="1">
      <c r="A39" s="5">
        <f>'PERFIL_HH'!$O$38</f>
        <v/>
      </c>
      <c r="B39" s="5">
        <f>COUNTIFS('ORDENES'!$O$4:$O$1203,$A39,'ORDENES'!$T$4:$T$1203,"sí")</f>
        <v/>
      </c>
      <c r="C39" s="5">
        <f>COUNTIFS('ORDENES'!$O$4:$O$1203,$A39,'ORDENES'!$N$4:$N$1203,"Cerrada",'ORDENES'!$T$4:$T$1203,"sí")</f>
        <v/>
      </c>
      <c r="D39" s="16">
        <f>IF(B39=0,"",C39/B39)</f>
        <v/>
      </c>
      <c r="E39" s="17">
        <f>SUMIFS('ORDENES'!$M$4:$M$1203,'ORDENES'!$O$4:$O$1203,$A39,'ORDENES'!$T$4:$T$1203,"sí")</f>
        <v/>
      </c>
      <c r="F39" s="17">
        <f>SUMIFS('ORDENES'!$M$4:$M$1203,'ORDENES'!$O$4:$O$1203,$A39,'ORDENES'!$N$4:$N$1203,"Cerrada",'ORDENES'!$T$4:$T$1203,"sí")</f>
        <v/>
      </c>
      <c r="G39" s="16">
        <f>IF(E39=0,"",F39/E39)</f>
        <v/>
      </c>
      <c r="H39" s="21">
        <f>p_meta_adherencia</f>
        <v/>
      </c>
    </row>
    <row r="40" hidden="1">
      <c r="A40" s="5">
        <f>'PERFIL_HH'!$O$39</f>
        <v/>
      </c>
      <c r="B40" s="5">
        <f>COUNTIFS('ORDENES'!$O$4:$O$1203,$A40,'ORDENES'!$T$4:$T$1203,"sí")</f>
        <v/>
      </c>
      <c r="C40" s="5">
        <f>COUNTIFS('ORDENES'!$O$4:$O$1203,$A40,'ORDENES'!$N$4:$N$1203,"Cerrada",'ORDENES'!$T$4:$T$1203,"sí")</f>
        <v/>
      </c>
      <c r="D40" s="16">
        <f>IF(B40=0,"",C40/B40)</f>
        <v/>
      </c>
      <c r="E40" s="17">
        <f>SUMIFS('ORDENES'!$M$4:$M$1203,'ORDENES'!$O$4:$O$1203,$A40,'ORDENES'!$T$4:$T$1203,"sí")</f>
        <v/>
      </c>
      <c r="F40" s="17">
        <f>SUMIFS('ORDENES'!$M$4:$M$1203,'ORDENES'!$O$4:$O$1203,$A40,'ORDENES'!$N$4:$N$1203,"Cerrada",'ORDENES'!$T$4:$T$1203,"sí")</f>
        <v/>
      </c>
      <c r="G40" s="16">
        <f>IF(E40=0,"",F40/E40)</f>
        <v/>
      </c>
      <c r="H40" s="21">
        <f>p_meta_adherencia</f>
        <v/>
      </c>
    </row>
    <row r="41">
      <c r="A41" s="5">
        <f>'PERFIL_HH'!$O$40</f>
        <v/>
      </c>
      <c r="B41" s="5">
        <f>COUNTIFS('ORDENES'!$O$4:$O$1203,$A41,'ORDENES'!$T$4:$T$1203,"sí")</f>
        <v/>
      </c>
      <c r="C41" s="5">
        <f>COUNTIFS('ORDENES'!$O$4:$O$1203,$A41,'ORDENES'!$N$4:$N$1203,"Cerrada",'ORDENES'!$T$4:$T$1203,"sí")</f>
        <v/>
      </c>
      <c r="D41" s="16">
        <f>IF(B41=0,"",C41/B41)</f>
        <v/>
      </c>
      <c r="E41" s="17">
        <f>SUMIFS('ORDENES'!$M$4:$M$1203,'ORDENES'!$O$4:$O$1203,$A41,'ORDENES'!$T$4:$T$1203,"sí")</f>
        <v/>
      </c>
      <c r="F41" s="17">
        <f>SUMIFS('ORDENES'!$M$4:$M$1203,'ORDENES'!$O$4:$O$1203,$A41,'ORDENES'!$N$4:$N$1203,"Cerrada",'ORDENES'!$T$4:$T$1203,"sí")</f>
        <v/>
      </c>
      <c r="G41" s="16">
        <f>IF(E41=0,"",F41/E41)</f>
        <v/>
      </c>
      <c r="H41" s="21">
        <f>p_meta_adherencia</f>
        <v/>
      </c>
    </row>
    <row r="42" hidden="1">
      <c r="A42" s="5">
        <f>'PERFIL_HH'!$O$41</f>
        <v/>
      </c>
      <c r="B42" s="5">
        <f>COUNTIFS('ORDENES'!$O$4:$O$1203,$A42,'ORDENES'!$T$4:$T$1203,"sí")</f>
        <v/>
      </c>
      <c r="C42" s="5">
        <f>COUNTIFS('ORDENES'!$O$4:$O$1203,$A42,'ORDENES'!$N$4:$N$1203,"Cerrada",'ORDENES'!$T$4:$T$1203,"sí")</f>
        <v/>
      </c>
      <c r="D42" s="16">
        <f>IF(B42=0,"",C42/B42)</f>
        <v/>
      </c>
      <c r="E42" s="17">
        <f>SUMIFS('ORDENES'!$M$4:$M$1203,'ORDENES'!$O$4:$O$1203,$A42,'ORDENES'!$T$4:$T$1203,"sí")</f>
        <v/>
      </c>
      <c r="F42" s="17">
        <f>SUMIFS('ORDENES'!$M$4:$M$1203,'ORDENES'!$O$4:$O$1203,$A42,'ORDENES'!$N$4:$N$1203,"Cerrada",'ORDENES'!$T$4:$T$1203,"sí")</f>
        <v/>
      </c>
      <c r="G42" s="16">
        <f>IF(E42=0,"",F42/E42)</f>
        <v/>
      </c>
      <c r="H42" s="21">
        <f>p_meta_adherencia</f>
        <v/>
      </c>
    </row>
    <row r="43" hidden="1">
      <c r="A43" s="5">
        <f>'PERFIL_HH'!$O$42</f>
        <v/>
      </c>
      <c r="B43" s="5">
        <f>COUNTIFS('ORDENES'!$O$4:$O$1203,$A43,'ORDENES'!$T$4:$T$1203,"sí")</f>
        <v/>
      </c>
      <c r="C43" s="5">
        <f>COUNTIFS('ORDENES'!$O$4:$O$1203,$A43,'ORDENES'!$N$4:$N$1203,"Cerrada",'ORDENES'!$T$4:$T$1203,"sí")</f>
        <v/>
      </c>
      <c r="D43" s="16">
        <f>IF(B43=0,"",C43/B43)</f>
        <v/>
      </c>
      <c r="E43" s="17">
        <f>SUMIFS('ORDENES'!$M$4:$M$1203,'ORDENES'!$O$4:$O$1203,$A43,'ORDENES'!$T$4:$T$1203,"sí")</f>
        <v/>
      </c>
      <c r="F43" s="17">
        <f>SUMIFS('ORDENES'!$M$4:$M$1203,'ORDENES'!$O$4:$O$1203,$A43,'ORDENES'!$N$4:$N$1203,"Cerrada",'ORDENES'!$T$4:$T$1203,"sí")</f>
        <v/>
      </c>
      <c r="G43" s="16">
        <f>IF(E43=0,"",F43/E43)</f>
        <v/>
      </c>
      <c r="H43" s="21">
        <f>p_meta_adherencia</f>
        <v/>
      </c>
    </row>
    <row r="44" hidden="1">
      <c r="A44" s="5">
        <f>'PERFIL_HH'!$O$43</f>
        <v/>
      </c>
      <c r="B44" s="5">
        <f>COUNTIFS('ORDENES'!$O$4:$O$1203,$A44,'ORDENES'!$T$4:$T$1203,"sí")</f>
        <v/>
      </c>
      <c r="C44" s="5">
        <f>COUNTIFS('ORDENES'!$O$4:$O$1203,$A44,'ORDENES'!$N$4:$N$1203,"Cerrada",'ORDENES'!$T$4:$T$1203,"sí")</f>
        <v/>
      </c>
      <c r="D44" s="16">
        <f>IF(B44=0,"",C44/B44)</f>
        <v/>
      </c>
      <c r="E44" s="17">
        <f>SUMIFS('ORDENES'!$M$4:$M$1203,'ORDENES'!$O$4:$O$1203,$A44,'ORDENES'!$T$4:$T$1203,"sí")</f>
        <v/>
      </c>
      <c r="F44" s="17">
        <f>SUMIFS('ORDENES'!$M$4:$M$1203,'ORDENES'!$O$4:$O$1203,$A44,'ORDENES'!$N$4:$N$1203,"Cerrada",'ORDENES'!$T$4:$T$1203,"sí")</f>
        <v/>
      </c>
      <c r="G44" s="16">
        <f>IF(E44=0,"",F44/E44)</f>
        <v/>
      </c>
      <c r="H44" s="21">
        <f>p_meta_adherencia</f>
        <v/>
      </c>
    </row>
    <row r="45" hidden="1">
      <c r="A45" s="5">
        <f>'PERFIL_HH'!$O$44</f>
        <v/>
      </c>
      <c r="B45" s="5">
        <f>COUNTIFS('ORDENES'!$O$4:$O$1203,$A45,'ORDENES'!$T$4:$T$1203,"sí")</f>
        <v/>
      </c>
      <c r="C45" s="5">
        <f>COUNTIFS('ORDENES'!$O$4:$O$1203,$A45,'ORDENES'!$N$4:$N$1203,"Cerrada",'ORDENES'!$T$4:$T$1203,"sí")</f>
        <v/>
      </c>
      <c r="D45" s="16">
        <f>IF(B45=0,"",C45/B45)</f>
        <v/>
      </c>
      <c r="E45" s="17">
        <f>SUMIFS('ORDENES'!$M$4:$M$1203,'ORDENES'!$O$4:$O$1203,$A45,'ORDENES'!$T$4:$T$1203,"sí")</f>
        <v/>
      </c>
      <c r="F45" s="17">
        <f>SUMIFS('ORDENES'!$M$4:$M$1203,'ORDENES'!$O$4:$O$1203,$A45,'ORDENES'!$N$4:$N$1203,"Cerrada",'ORDENES'!$T$4:$T$1203,"sí")</f>
        <v/>
      </c>
      <c r="G45" s="16">
        <f>IF(E45=0,"",F45/E45)</f>
        <v/>
      </c>
      <c r="H45" s="21">
        <f>p_meta_adherencia</f>
        <v/>
      </c>
    </row>
    <row r="46" hidden="1">
      <c r="A46" s="5">
        <f>'PERFIL_HH'!$O$45</f>
        <v/>
      </c>
      <c r="B46" s="5">
        <f>COUNTIFS('ORDENES'!$O$4:$O$1203,$A46,'ORDENES'!$T$4:$T$1203,"sí")</f>
        <v/>
      </c>
      <c r="C46" s="5">
        <f>COUNTIFS('ORDENES'!$O$4:$O$1203,$A46,'ORDENES'!$N$4:$N$1203,"Cerrada",'ORDENES'!$T$4:$T$1203,"sí")</f>
        <v/>
      </c>
      <c r="D46" s="16">
        <f>IF(B46=0,"",C46/B46)</f>
        <v/>
      </c>
      <c r="E46" s="17">
        <f>SUMIFS('ORDENES'!$M$4:$M$1203,'ORDENES'!$O$4:$O$1203,$A46,'ORDENES'!$T$4:$T$1203,"sí")</f>
        <v/>
      </c>
      <c r="F46" s="17">
        <f>SUMIFS('ORDENES'!$M$4:$M$1203,'ORDENES'!$O$4:$O$1203,$A46,'ORDENES'!$N$4:$N$1203,"Cerrada",'ORDENES'!$T$4:$T$1203,"sí")</f>
        <v/>
      </c>
      <c r="G46" s="16">
        <f>IF(E46=0,"",F46/E46)</f>
        <v/>
      </c>
      <c r="H46" s="21">
        <f>p_meta_adherencia</f>
        <v/>
      </c>
    </row>
    <row r="47" hidden="1">
      <c r="A47" s="5">
        <f>'PERFIL_HH'!$O$46</f>
        <v/>
      </c>
      <c r="B47" s="5">
        <f>COUNTIFS('ORDENES'!$O$4:$O$1203,$A47,'ORDENES'!$T$4:$T$1203,"sí")</f>
        <v/>
      </c>
      <c r="C47" s="5">
        <f>COUNTIFS('ORDENES'!$O$4:$O$1203,$A47,'ORDENES'!$N$4:$N$1203,"Cerrada",'ORDENES'!$T$4:$T$1203,"sí")</f>
        <v/>
      </c>
      <c r="D47" s="16">
        <f>IF(B47=0,"",C47/B47)</f>
        <v/>
      </c>
      <c r="E47" s="17">
        <f>SUMIFS('ORDENES'!$M$4:$M$1203,'ORDENES'!$O$4:$O$1203,$A47,'ORDENES'!$T$4:$T$1203,"sí")</f>
        <v/>
      </c>
      <c r="F47" s="17">
        <f>SUMIFS('ORDENES'!$M$4:$M$1203,'ORDENES'!$O$4:$O$1203,$A47,'ORDENES'!$N$4:$N$1203,"Cerrada",'ORDENES'!$T$4:$T$1203,"sí")</f>
        <v/>
      </c>
      <c r="G47" s="16">
        <f>IF(E47=0,"",F47/E47)</f>
        <v/>
      </c>
      <c r="H47" s="21">
        <f>p_meta_adherencia</f>
        <v/>
      </c>
    </row>
    <row r="48" hidden="1">
      <c r="A48" s="5">
        <f>'PERFIL_HH'!$O$47</f>
        <v/>
      </c>
      <c r="B48" s="5">
        <f>COUNTIFS('ORDENES'!$O$4:$O$1203,$A48,'ORDENES'!$T$4:$T$1203,"sí")</f>
        <v/>
      </c>
      <c r="C48" s="5">
        <f>COUNTIFS('ORDENES'!$O$4:$O$1203,$A48,'ORDENES'!$N$4:$N$1203,"Cerrada",'ORDENES'!$T$4:$T$1203,"sí")</f>
        <v/>
      </c>
      <c r="D48" s="16">
        <f>IF(B48=0,"",C48/B48)</f>
        <v/>
      </c>
      <c r="E48" s="17">
        <f>SUMIFS('ORDENES'!$M$4:$M$1203,'ORDENES'!$O$4:$O$1203,$A48,'ORDENES'!$T$4:$T$1203,"sí")</f>
        <v/>
      </c>
      <c r="F48" s="17">
        <f>SUMIFS('ORDENES'!$M$4:$M$1203,'ORDENES'!$O$4:$O$1203,$A48,'ORDENES'!$N$4:$N$1203,"Cerrada",'ORDENES'!$T$4:$T$1203,"sí")</f>
        <v/>
      </c>
      <c r="G48" s="16">
        <f>IF(E48=0,"",F48/E48)</f>
        <v/>
      </c>
      <c r="H48" s="21">
        <f>p_meta_adherencia</f>
        <v/>
      </c>
    </row>
    <row r="49">
      <c r="A49" s="5">
        <f>'PERFIL_HH'!$O$48</f>
        <v/>
      </c>
      <c r="B49" s="5">
        <f>COUNTIFS('ORDENES'!$O$4:$O$1203,$A49,'ORDENES'!$T$4:$T$1203,"sí")</f>
        <v/>
      </c>
      <c r="C49" s="5">
        <f>COUNTIFS('ORDENES'!$O$4:$O$1203,$A49,'ORDENES'!$N$4:$N$1203,"Cerrada",'ORDENES'!$T$4:$T$1203,"sí")</f>
        <v/>
      </c>
      <c r="D49" s="16">
        <f>IF(B49=0,"",C49/B49)</f>
        <v/>
      </c>
      <c r="E49" s="17">
        <f>SUMIFS('ORDENES'!$M$4:$M$1203,'ORDENES'!$O$4:$O$1203,$A49,'ORDENES'!$T$4:$T$1203,"sí")</f>
        <v/>
      </c>
      <c r="F49" s="17">
        <f>SUMIFS('ORDENES'!$M$4:$M$1203,'ORDENES'!$O$4:$O$1203,$A49,'ORDENES'!$N$4:$N$1203,"Cerrada",'ORDENES'!$T$4:$T$1203,"sí")</f>
        <v/>
      </c>
      <c r="G49" s="16">
        <f>IF(E49=0,"",F49/E49)</f>
        <v/>
      </c>
      <c r="H49" s="21">
        <f>p_meta_adherencia</f>
        <v/>
      </c>
    </row>
    <row r="50">
      <c r="A50" s="5">
        <f>'PERFIL_HH'!$O$49</f>
        <v/>
      </c>
      <c r="B50" s="5">
        <f>COUNTIFS('ORDENES'!$O$4:$O$1203,$A50,'ORDENES'!$T$4:$T$1203,"sí")</f>
        <v/>
      </c>
      <c r="C50" s="5">
        <f>COUNTIFS('ORDENES'!$O$4:$O$1203,$A50,'ORDENES'!$N$4:$N$1203,"Cerrada",'ORDENES'!$T$4:$T$1203,"sí")</f>
        <v/>
      </c>
      <c r="D50" s="16">
        <f>IF(B50=0,"",C50/B50)</f>
        <v/>
      </c>
      <c r="E50" s="17">
        <f>SUMIFS('ORDENES'!$M$4:$M$1203,'ORDENES'!$O$4:$O$1203,$A50,'ORDENES'!$T$4:$T$1203,"sí")</f>
        <v/>
      </c>
      <c r="F50" s="17">
        <f>SUMIFS('ORDENES'!$M$4:$M$1203,'ORDENES'!$O$4:$O$1203,$A50,'ORDENES'!$N$4:$N$1203,"Cerrada",'ORDENES'!$T$4:$T$1203,"sí")</f>
        <v/>
      </c>
      <c r="G50" s="16">
        <f>IF(E50=0,"",F50/E50)</f>
        <v/>
      </c>
      <c r="H50" s="21">
        <f>p_meta_adherencia</f>
        <v/>
      </c>
    </row>
    <row r="51" hidden="1">
      <c r="A51" s="5">
        <f>'PERFIL_HH'!$O$50</f>
        <v/>
      </c>
      <c r="B51" s="5">
        <f>COUNTIFS('ORDENES'!$O$4:$O$1203,$A51,'ORDENES'!$T$4:$T$1203,"sí")</f>
        <v/>
      </c>
      <c r="C51" s="5">
        <f>COUNTIFS('ORDENES'!$O$4:$O$1203,$A51,'ORDENES'!$N$4:$N$1203,"Cerrada",'ORDENES'!$T$4:$T$1203,"sí")</f>
        <v/>
      </c>
      <c r="D51" s="16">
        <f>IF(B51=0,"",C51/B51)</f>
        <v/>
      </c>
      <c r="E51" s="17">
        <f>SUMIFS('ORDENES'!$M$4:$M$1203,'ORDENES'!$O$4:$O$1203,$A51,'ORDENES'!$T$4:$T$1203,"sí")</f>
        <v/>
      </c>
      <c r="F51" s="17">
        <f>SUMIFS('ORDENES'!$M$4:$M$1203,'ORDENES'!$O$4:$O$1203,$A51,'ORDENES'!$N$4:$N$1203,"Cerrada",'ORDENES'!$T$4:$T$1203,"sí")</f>
        <v/>
      </c>
      <c r="G51" s="16">
        <f>IF(E51=0,"",F51/E51)</f>
        <v/>
      </c>
      <c r="H51" s="21">
        <f>p_meta_adherencia</f>
        <v/>
      </c>
    </row>
    <row r="52" hidden="1">
      <c r="A52" s="5">
        <f>'PERFIL_HH'!$O$51</f>
        <v/>
      </c>
      <c r="B52" s="5">
        <f>COUNTIFS('ORDENES'!$O$4:$O$1203,$A52,'ORDENES'!$T$4:$T$1203,"sí")</f>
        <v/>
      </c>
      <c r="C52" s="5">
        <f>COUNTIFS('ORDENES'!$O$4:$O$1203,$A52,'ORDENES'!$N$4:$N$1203,"Cerrada",'ORDENES'!$T$4:$T$1203,"sí")</f>
        <v/>
      </c>
      <c r="D52" s="16">
        <f>IF(B52=0,"",C52/B52)</f>
        <v/>
      </c>
      <c r="E52" s="17">
        <f>SUMIFS('ORDENES'!$M$4:$M$1203,'ORDENES'!$O$4:$O$1203,$A52,'ORDENES'!$T$4:$T$1203,"sí")</f>
        <v/>
      </c>
      <c r="F52" s="17">
        <f>SUMIFS('ORDENES'!$M$4:$M$1203,'ORDENES'!$O$4:$O$1203,$A52,'ORDENES'!$N$4:$N$1203,"Cerrada",'ORDENES'!$T$4:$T$1203,"sí")</f>
        <v/>
      </c>
      <c r="G52" s="16">
        <f>IF(E52=0,"",F52/E52)</f>
        <v/>
      </c>
      <c r="H52" s="21">
        <f>p_meta_adherencia</f>
        <v/>
      </c>
    </row>
    <row r="53" hidden="1">
      <c r="A53" s="5">
        <f>'PERFIL_HH'!$O$52</f>
        <v/>
      </c>
      <c r="B53" s="5">
        <f>COUNTIFS('ORDENES'!$O$4:$O$1203,$A53,'ORDENES'!$T$4:$T$1203,"sí")</f>
        <v/>
      </c>
      <c r="C53" s="5">
        <f>COUNTIFS('ORDENES'!$O$4:$O$1203,$A53,'ORDENES'!$N$4:$N$1203,"Cerrada",'ORDENES'!$T$4:$T$1203,"sí")</f>
        <v/>
      </c>
      <c r="D53" s="16">
        <f>IF(B53=0,"",C53/B53)</f>
        <v/>
      </c>
      <c r="E53" s="17">
        <f>SUMIFS('ORDENES'!$M$4:$M$1203,'ORDENES'!$O$4:$O$1203,$A53,'ORDENES'!$T$4:$T$1203,"sí")</f>
        <v/>
      </c>
      <c r="F53" s="17">
        <f>SUMIFS('ORDENES'!$M$4:$M$1203,'ORDENES'!$O$4:$O$1203,$A53,'ORDENES'!$N$4:$N$1203,"Cerrada",'ORDENES'!$T$4:$T$1203,"sí")</f>
        <v/>
      </c>
      <c r="G53" s="16">
        <f>IF(E53=0,"",F53/E53)</f>
        <v/>
      </c>
      <c r="H53" s="21">
        <f>p_meta_adherencia</f>
        <v/>
      </c>
    </row>
    <row r="54" hidden="1">
      <c r="A54" s="5">
        <f>'PERFIL_HH'!$O$53</f>
        <v/>
      </c>
      <c r="B54" s="5">
        <f>COUNTIFS('ORDENES'!$O$4:$O$1203,$A54,'ORDENES'!$T$4:$T$1203,"sí")</f>
        <v/>
      </c>
      <c r="C54" s="5">
        <f>COUNTIFS('ORDENES'!$O$4:$O$1203,$A54,'ORDENES'!$N$4:$N$1203,"Cerrada",'ORDENES'!$T$4:$T$1203,"sí")</f>
        <v/>
      </c>
      <c r="D54" s="16">
        <f>IF(B54=0,"",C54/B54)</f>
        <v/>
      </c>
      <c r="E54" s="17">
        <f>SUMIFS('ORDENES'!$M$4:$M$1203,'ORDENES'!$O$4:$O$1203,$A54,'ORDENES'!$T$4:$T$1203,"sí")</f>
        <v/>
      </c>
      <c r="F54" s="17">
        <f>SUMIFS('ORDENES'!$M$4:$M$1203,'ORDENES'!$O$4:$O$1203,$A54,'ORDENES'!$N$4:$N$1203,"Cerrada",'ORDENES'!$T$4:$T$1203,"sí")</f>
        <v/>
      </c>
      <c r="G54" s="16">
        <f>IF(E54=0,"",F54/E54)</f>
        <v/>
      </c>
      <c r="H54" s="21">
        <f>p_meta_adherencia</f>
        <v/>
      </c>
    </row>
    <row r="55" hidden="1">
      <c r="A55" s="5">
        <f>'PERFIL_HH'!$O$54</f>
        <v/>
      </c>
      <c r="B55" s="5">
        <f>COUNTIFS('ORDENES'!$O$4:$O$1203,$A55,'ORDENES'!$T$4:$T$1203,"sí")</f>
        <v/>
      </c>
      <c r="C55" s="5">
        <f>COUNTIFS('ORDENES'!$O$4:$O$1203,$A55,'ORDENES'!$N$4:$N$1203,"Cerrada",'ORDENES'!$T$4:$T$1203,"sí")</f>
        <v/>
      </c>
      <c r="D55" s="16">
        <f>IF(B55=0,"",C55/B55)</f>
        <v/>
      </c>
      <c r="E55" s="17">
        <f>SUMIFS('ORDENES'!$M$4:$M$1203,'ORDENES'!$O$4:$O$1203,$A55,'ORDENES'!$T$4:$T$1203,"sí")</f>
        <v/>
      </c>
      <c r="F55" s="17">
        <f>SUMIFS('ORDENES'!$M$4:$M$1203,'ORDENES'!$O$4:$O$1203,$A55,'ORDENES'!$N$4:$N$1203,"Cerrada",'ORDENES'!$T$4:$T$1203,"sí")</f>
        <v/>
      </c>
      <c r="G55" s="16">
        <f>IF(E55=0,"",F55/E55)</f>
        <v/>
      </c>
      <c r="H55" s="21">
        <f>p_meta_adherencia</f>
        <v/>
      </c>
    </row>
    <row r="56" hidden="1">
      <c r="A56" s="5">
        <f>'PERFIL_HH'!$O$55</f>
        <v/>
      </c>
      <c r="B56" s="5">
        <f>COUNTIFS('ORDENES'!$O$4:$O$1203,$A56,'ORDENES'!$T$4:$T$1203,"sí")</f>
        <v/>
      </c>
      <c r="C56" s="5">
        <f>COUNTIFS('ORDENES'!$O$4:$O$1203,$A56,'ORDENES'!$N$4:$N$1203,"Cerrada",'ORDENES'!$T$4:$T$1203,"sí")</f>
        <v/>
      </c>
      <c r="D56" s="16">
        <f>IF(B56=0,"",C56/B56)</f>
        <v/>
      </c>
      <c r="E56" s="17">
        <f>SUMIFS('ORDENES'!$M$4:$M$1203,'ORDENES'!$O$4:$O$1203,$A56,'ORDENES'!$T$4:$T$1203,"sí")</f>
        <v/>
      </c>
      <c r="F56" s="17">
        <f>SUMIFS('ORDENES'!$M$4:$M$1203,'ORDENES'!$O$4:$O$1203,$A56,'ORDENES'!$N$4:$N$1203,"Cerrada",'ORDENES'!$T$4:$T$1203,"sí")</f>
        <v/>
      </c>
      <c r="G56" s="16">
        <f>IF(E56=0,"",F56/E56)</f>
        <v/>
      </c>
      <c r="H56" s="21">
        <f>p_meta_adherencia</f>
        <v/>
      </c>
    </row>
    <row r="57" hidden="1">
      <c r="A57" s="5">
        <f>'PERFIL_HH'!$O$56</f>
        <v/>
      </c>
      <c r="B57" s="5">
        <f>COUNTIFS('ORDENES'!$O$4:$O$1203,$A57,'ORDENES'!$T$4:$T$1203,"sí")</f>
        <v/>
      </c>
      <c r="C57" s="5">
        <f>COUNTIFS('ORDENES'!$O$4:$O$1203,$A57,'ORDENES'!$N$4:$N$1203,"Cerrada",'ORDENES'!$T$4:$T$1203,"sí")</f>
        <v/>
      </c>
      <c r="D57" s="16">
        <f>IF(B57=0,"",C57/B57)</f>
        <v/>
      </c>
      <c r="E57" s="17">
        <f>SUMIFS('ORDENES'!$M$4:$M$1203,'ORDENES'!$O$4:$O$1203,$A57,'ORDENES'!$T$4:$T$1203,"sí")</f>
        <v/>
      </c>
      <c r="F57" s="17">
        <f>SUMIFS('ORDENES'!$M$4:$M$1203,'ORDENES'!$O$4:$O$1203,$A57,'ORDENES'!$N$4:$N$1203,"Cerrada",'ORDENES'!$T$4:$T$1203,"sí")</f>
        <v/>
      </c>
      <c r="G57" s="16">
        <f>IF(E57=0,"",F57/E57)</f>
        <v/>
      </c>
      <c r="H57" s="21">
        <f>p_meta_adherencia</f>
        <v/>
      </c>
    </row>
    <row r="58" hidden="1">
      <c r="A58" s="5">
        <f>'PERFIL_HH'!$O$57</f>
        <v/>
      </c>
      <c r="B58" s="5">
        <f>COUNTIFS('ORDENES'!$O$4:$O$1203,$A58,'ORDENES'!$T$4:$T$1203,"sí")</f>
        <v/>
      </c>
      <c r="C58" s="5">
        <f>COUNTIFS('ORDENES'!$O$4:$O$1203,$A58,'ORDENES'!$N$4:$N$1203,"Cerrada",'ORDENES'!$T$4:$T$1203,"sí")</f>
        <v/>
      </c>
      <c r="D58" s="16">
        <f>IF(B58=0,"",C58/B58)</f>
        <v/>
      </c>
      <c r="E58" s="17">
        <f>SUMIFS('ORDENES'!$M$4:$M$1203,'ORDENES'!$O$4:$O$1203,$A58,'ORDENES'!$T$4:$T$1203,"sí")</f>
        <v/>
      </c>
      <c r="F58" s="17">
        <f>SUMIFS('ORDENES'!$M$4:$M$1203,'ORDENES'!$O$4:$O$1203,$A58,'ORDENES'!$N$4:$N$1203,"Cerrada",'ORDENES'!$T$4:$T$1203,"sí")</f>
        <v/>
      </c>
      <c r="G58" s="16">
        <f>IF(E58=0,"",F58/E58)</f>
        <v/>
      </c>
      <c r="H58" s="21">
        <f>p_meta_adherencia</f>
        <v/>
      </c>
    </row>
    <row r="59" hidden="1">
      <c r="A59" s="5">
        <f>'PERFIL_HH'!$O$58</f>
        <v/>
      </c>
      <c r="B59" s="5">
        <f>COUNTIFS('ORDENES'!$O$4:$O$1203,$A59,'ORDENES'!$T$4:$T$1203,"sí")</f>
        <v/>
      </c>
      <c r="C59" s="5">
        <f>COUNTIFS('ORDENES'!$O$4:$O$1203,$A59,'ORDENES'!$N$4:$N$1203,"Cerrada",'ORDENES'!$T$4:$T$1203,"sí")</f>
        <v/>
      </c>
      <c r="D59" s="16">
        <f>IF(B59=0,"",C59/B59)</f>
        <v/>
      </c>
      <c r="E59" s="17">
        <f>SUMIFS('ORDENES'!$M$4:$M$1203,'ORDENES'!$O$4:$O$1203,$A59,'ORDENES'!$T$4:$T$1203,"sí")</f>
        <v/>
      </c>
      <c r="F59" s="17">
        <f>SUMIFS('ORDENES'!$M$4:$M$1203,'ORDENES'!$O$4:$O$1203,$A59,'ORDENES'!$N$4:$N$1203,"Cerrada",'ORDENES'!$T$4:$T$1203,"sí")</f>
        <v/>
      </c>
      <c r="G59" s="16">
        <f>IF(E59=0,"",F59/E59)</f>
        <v/>
      </c>
      <c r="H59" s="21">
        <f>p_meta_adherencia</f>
        <v/>
      </c>
    </row>
    <row r="60" hidden="1">
      <c r="A60" s="5">
        <f>'PERFIL_HH'!$O$59</f>
        <v/>
      </c>
      <c r="B60" s="5">
        <f>COUNTIFS('ORDENES'!$O$4:$O$1203,$A60,'ORDENES'!$T$4:$T$1203,"sí")</f>
        <v/>
      </c>
      <c r="C60" s="5">
        <f>COUNTIFS('ORDENES'!$O$4:$O$1203,$A60,'ORDENES'!$N$4:$N$1203,"Cerrada",'ORDENES'!$T$4:$T$1203,"sí")</f>
        <v/>
      </c>
      <c r="D60" s="16">
        <f>IF(B60=0,"",C60/B60)</f>
        <v/>
      </c>
      <c r="E60" s="17">
        <f>SUMIFS('ORDENES'!$M$4:$M$1203,'ORDENES'!$O$4:$O$1203,$A60,'ORDENES'!$T$4:$T$1203,"sí")</f>
        <v/>
      </c>
      <c r="F60" s="17">
        <f>SUMIFS('ORDENES'!$M$4:$M$1203,'ORDENES'!$O$4:$O$1203,$A60,'ORDENES'!$N$4:$N$1203,"Cerrada",'ORDENES'!$T$4:$T$1203,"sí")</f>
        <v/>
      </c>
      <c r="G60" s="16">
        <f>IF(E60=0,"",F60/E60)</f>
        <v/>
      </c>
      <c r="H60" s="21">
        <f>p_meta_adherencia</f>
        <v/>
      </c>
    </row>
    <row r="61" hidden="1">
      <c r="A61" s="5">
        <f>'PERFIL_HH'!$O$60</f>
        <v/>
      </c>
      <c r="B61" s="5">
        <f>COUNTIFS('ORDENES'!$O$4:$O$1203,$A61,'ORDENES'!$T$4:$T$1203,"sí")</f>
        <v/>
      </c>
      <c r="C61" s="5">
        <f>COUNTIFS('ORDENES'!$O$4:$O$1203,$A61,'ORDENES'!$N$4:$N$1203,"Cerrada",'ORDENES'!$T$4:$T$1203,"sí")</f>
        <v/>
      </c>
      <c r="D61" s="16">
        <f>IF(B61=0,"",C61/B61)</f>
        <v/>
      </c>
      <c r="E61" s="17">
        <f>SUMIFS('ORDENES'!$M$4:$M$1203,'ORDENES'!$O$4:$O$1203,$A61,'ORDENES'!$T$4:$T$1203,"sí")</f>
        <v/>
      </c>
      <c r="F61" s="17">
        <f>SUMIFS('ORDENES'!$M$4:$M$1203,'ORDENES'!$O$4:$O$1203,$A61,'ORDENES'!$N$4:$N$1203,"Cerrada",'ORDENES'!$T$4:$T$1203,"sí")</f>
        <v/>
      </c>
      <c r="G61" s="16">
        <f>IF(E61=0,"",F61/E61)</f>
        <v/>
      </c>
      <c r="H61" s="21">
        <f>p_meta_adherencia</f>
        <v/>
      </c>
    </row>
    <row r="62" hidden="1">
      <c r="A62" s="5">
        <f>'PERFIL_HH'!$O$61</f>
        <v/>
      </c>
      <c r="B62" s="5">
        <f>COUNTIFS('ORDENES'!$O$4:$O$1203,$A62,'ORDENES'!$T$4:$T$1203,"sí")</f>
        <v/>
      </c>
      <c r="C62" s="5">
        <f>COUNTIFS('ORDENES'!$O$4:$O$1203,$A62,'ORDENES'!$N$4:$N$1203,"Cerrada",'ORDENES'!$T$4:$T$1203,"sí")</f>
        <v/>
      </c>
      <c r="D62" s="16">
        <f>IF(B62=0,"",C62/B62)</f>
        <v/>
      </c>
      <c r="E62" s="17">
        <f>SUMIFS('ORDENES'!$M$4:$M$1203,'ORDENES'!$O$4:$O$1203,$A62,'ORDENES'!$T$4:$T$1203,"sí")</f>
        <v/>
      </c>
      <c r="F62" s="17">
        <f>SUMIFS('ORDENES'!$M$4:$M$1203,'ORDENES'!$O$4:$O$1203,$A62,'ORDENES'!$N$4:$N$1203,"Cerrada",'ORDENES'!$T$4:$T$1203,"sí")</f>
        <v/>
      </c>
      <c r="G62" s="16">
        <f>IF(E62=0,"",F62/E62)</f>
        <v/>
      </c>
      <c r="H62" s="21">
        <f>p_meta_adherencia</f>
        <v/>
      </c>
    </row>
    <row r="63" hidden="1">
      <c r="A63" s="5">
        <f>'PERFIL_HH'!$O$62</f>
        <v/>
      </c>
      <c r="B63" s="5">
        <f>COUNTIFS('ORDENES'!$O$4:$O$1203,$A63,'ORDENES'!$T$4:$T$1203,"sí")</f>
        <v/>
      </c>
      <c r="C63" s="5">
        <f>COUNTIFS('ORDENES'!$O$4:$O$1203,$A63,'ORDENES'!$N$4:$N$1203,"Cerrada",'ORDENES'!$T$4:$T$1203,"sí")</f>
        <v/>
      </c>
      <c r="D63" s="16">
        <f>IF(B63=0,"",C63/B63)</f>
        <v/>
      </c>
      <c r="E63" s="17">
        <f>SUMIFS('ORDENES'!$M$4:$M$1203,'ORDENES'!$O$4:$O$1203,$A63,'ORDENES'!$T$4:$T$1203,"sí")</f>
        <v/>
      </c>
      <c r="F63" s="17">
        <f>SUMIFS('ORDENES'!$M$4:$M$1203,'ORDENES'!$O$4:$O$1203,$A63,'ORDENES'!$N$4:$N$1203,"Cerrada",'ORDENES'!$T$4:$T$1203,"sí")</f>
        <v/>
      </c>
      <c r="G63" s="16">
        <f>IF(E63=0,"",F63/E63)</f>
        <v/>
      </c>
      <c r="H63" s="21">
        <f>p_meta_adherencia</f>
        <v/>
      </c>
    </row>
    <row r="64" hidden="1">
      <c r="A64" s="5">
        <f>'PERFIL_HH'!$O$63</f>
        <v/>
      </c>
      <c r="B64" s="5">
        <f>COUNTIFS('ORDENES'!$O$4:$O$1203,$A64,'ORDENES'!$T$4:$T$1203,"sí")</f>
        <v/>
      </c>
      <c r="C64" s="5">
        <f>COUNTIFS('ORDENES'!$O$4:$O$1203,$A64,'ORDENES'!$N$4:$N$1203,"Cerrada",'ORDENES'!$T$4:$T$1203,"sí")</f>
        <v/>
      </c>
      <c r="D64" s="16">
        <f>IF(B64=0,"",C64/B64)</f>
        <v/>
      </c>
      <c r="E64" s="17">
        <f>SUMIFS('ORDENES'!$M$4:$M$1203,'ORDENES'!$O$4:$O$1203,$A64,'ORDENES'!$T$4:$T$1203,"sí")</f>
        <v/>
      </c>
      <c r="F64" s="17">
        <f>SUMIFS('ORDENES'!$M$4:$M$1203,'ORDENES'!$O$4:$O$1203,$A64,'ORDENES'!$N$4:$N$1203,"Cerrada",'ORDENES'!$T$4:$T$1203,"sí")</f>
        <v/>
      </c>
      <c r="G64" s="16">
        <f>IF(E64=0,"",F64/E64)</f>
        <v/>
      </c>
      <c r="H64" s="21">
        <f>p_meta_adherencia</f>
        <v/>
      </c>
    </row>
    <row r="66">
      <c r="A66" s="3" t="inlineStr">
        <is>
          <t>POR ÁREA</t>
        </is>
      </c>
    </row>
    <row r="67">
      <c r="A67" s="15" t="inlineStr">
        <is>
          <t>valor</t>
        </is>
      </c>
      <c r="B67" s="15" t="inlineStr">
        <is>
          <t>total_ot</t>
        </is>
      </c>
      <c r="C67" s="15" t="inlineStr">
        <is>
          <t>cerradas</t>
        </is>
      </c>
      <c r="D67" s="15" t="inlineStr">
        <is>
          <t>adherencia_conteo</t>
        </is>
      </c>
      <c r="E67" s="15" t="inlineStr">
        <is>
          <t>hh_total</t>
        </is>
      </c>
      <c r="F67" s="15" t="inlineStr">
        <is>
          <t>hh_cerradas</t>
        </is>
      </c>
      <c r="G67" s="15" t="inlineStr">
        <is>
          <t>adherencia_horas</t>
        </is>
      </c>
    </row>
    <row r="68">
      <c r="A68" s="5" t="inlineStr">
        <is>
          <t>PRODUCCION</t>
        </is>
      </c>
      <c r="B68" s="5">
        <f>COUNTIFS('ORDENES'!$X$4:$X$1203,$A68,'ORDENES'!$T$4:$T$1203,"sí")</f>
        <v/>
      </c>
      <c r="C68" s="5">
        <f>COUNTIFS('ORDENES'!$X$4:$X$1203,$A68,'ORDENES'!$N$4:$N$1203,"Cerrada",'ORDENES'!$T$4:$T$1203,"sí")</f>
        <v/>
      </c>
      <c r="D68" s="16">
        <f>IF(B68=0,"",C68/B68)</f>
        <v/>
      </c>
      <c r="E68" s="17">
        <f>SUMIFS('ORDENES'!$M$4:$M$1203,'ORDENES'!$X$4:$X$1203,$A68,'ORDENES'!$T$4:$T$1203,"sí")</f>
        <v/>
      </c>
      <c r="F68" s="17">
        <f>SUMIFS('ORDENES'!$M$4:$M$1203,'ORDENES'!$X$4:$X$1203,$A68,'ORDENES'!$N$4:$N$1203,"Cerrada",'ORDENES'!$T$4:$T$1203,"sí")</f>
        <v/>
      </c>
      <c r="G68" s="16">
        <f>IF(E68=0,"",F68/E68)</f>
        <v/>
      </c>
    </row>
    <row r="69">
      <c r="A69" s="5" t="inlineStr">
        <is>
          <t>EMPAQUE</t>
        </is>
      </c>
      <c r="B69" s="5">
        <f>COUNTIFS('ORDENES'!$X$4:$X$1203,$A69,'ORDENES'!$T$4:$T$1203,"sí")</f>
        <v/>
      </c>
      <c r="C69" s="5">
        <f>COUNTIFS('ORDENES'!$X$4:$X$1203,$A69,'ORDENES'!$N$4:$N$1203,"Cerrada",'ORDENES'!$T$4:$T$1203,"sí")</f>
        <v/>
      </c>
      <c r="D69" s="16">
        <f>IF(B69=0,"",C69/B69)</f>
        <v/>
      </c>
      <c r="E69" s="17">
        <f>SUMIFS('ORDENES'!$M$4:$M$1203,'ORDENES'!$X$4:$X$1203,$A69,'ORDENES'!$T$4:$T$1203,"sí")</f>
        <v/>
      </c>
      <c r="F69" s="17">
        <f>SUMIFS('ORDENES'!$M$4:$M$1203,'ORDENES'!$X$4:$X$1203,$A69,'ORDENES'!$N$4:$N$1203,"Cerrada",'ORDENES'!$T$4:$T$1203,"sí")</f>
        <v/>
      </c>
      <c r="G69" s="16">
        <f>IF(E69=0,"",F69/E69)</f>
        <v/>
      </c>
    </row>
    <row r="70">
      <c r="A70" s="5" t="inlineStr">
        <is>
          <t>SERVICIOS</t>
        </is>
      </c>
      <c r="B70" s="5">
        <f>COUNTIFS('ORDENES'!$X$4:$X$1203,$A70,'ORDENES'!$T$4:$T$1203,"sí")</f>
        <v/>
      </c>
      <c r="C70" s="5">
        <f>COUNTIFS('ORDENES'!$X$4:$X$1203,$A70,'ORDENES'!$N$4:$N$1203,"Cerrada",'ORDENES'!$T$4:$T$1203,"sí")</f>
        <v/>
      </c>
      <c r="D70" s="16">
        <f>IF(B70=0,"",C70/B70)</f>
        <v/>
      </c>
      <c r="E70" s="17">
        <f>SUMIFS('ORDENES'!$M$4:$M$1203,'ORDENES'!$X$4:$X$1203,$A70,'ORDENES'!$T$4:$T$1203,"sí")</f>
        <v/>
      </c>
      <c r="F70" s="17">
        <f>SUMIFS('ORDENES'!$M$4:$M$1203,'ORDENES'!$X$4:$X$1203,$A70,'ORDENES'!$N$4:$N$1203,"Cerrada",'ORDENES'!$T$4:$T$1203,"sí")</f>
        <v/>
      </c>
      <c r="G70" s="16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5" t="inlineStr">
        <is>
          <t>valor</t>
        </is>
      </c>
      <c r="B73" s="15" t="inlineStr">
        <is>
          <t>total_ot</t>
        </is>
      </c>
      <c r="C73" s="15" t="inlineStr">
        <is>
          <t>cerradas</t>
        </is>
      </c>
      <c r="D73" s="15" t="inlineStr">
        <is>
          <t>adherencia_conteo</t>
        </is>
      </c>
      <c r="E73" s="15" t="inlineStr">
        <is>
          <t>hh_total</t>
        </is>
      </c>
      <c r="F73" s="15" t="inlineStr">
        <is>
          <t>hh_cerradas</t>
        </is>
      </c>
      <c r="G73" s="15" t="inlineStr">
        <is>
          <t>adherencia_horas</t>
        </is>
      </c>
      <c r="I73" s="15" t="inlineStr">
        <is>
          <t>área madre</t>
        </is>
      </c>
    </row>
    <row r="74">
      <c r="A74" s="5" t="inlineStr">
        <is>
          <t>PRODUCCION</t>
        </is>
      </c>
      <c r="B74" s="5">
        <f>COUNTIFS('ORDENES'!$Y$4:$Y$1203,$A74,'ORDENES'!$T$4:$T$1203,"sí")</f>
        <v/>
      </c>
      <c r="C74" s="5">
        <f>COUNTIFS('ORDENES'!$Y$4:$Y$1203,$A74,'ORDENES'!$N$4:$N$1203,"Cerrada",'ORDENES'!$T$4:$T$1203,"sí")</f>
        <v/>
      </c>
      <c r="D74" s="16">
        <f>IF(B74=0,"",C74/B74)</f>
        <v/>
      </c>
      <c r="E74" s="17">
        <f>SUMIFS('ORDENES'!$M$4:$M$1203,'ORDENES'!$Y$4:$Y$1203,$A74,'ORDENES'!$T$4:$T$1203,"sí")</f>
        <v/>
      </c>
      <c r="F74" s="17">
        <f>SUMIFS('ORDENES'!$M$4:$M$1203,'ORDENES'!$Y$4:$Y$1203,$A74,'ORDENES'!$N$4:$N$1203,"Cerrada",'ORDENES'!$T$4:$T$1203,"sí")</f>
        <v/>
      </c>
      <c r="G74" s="16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COUNTIFS('ORDENES'!$Y$4:$Y$1203,$A75,'ORDENES'!$T$4:$T$1203,"sí")</f>
        <v/>
      </c>
      <c r="C75" s="5">
        <f>COUNTIFS('ORDENES'!$Y$4:$Y$1203,$A75,'ORDENES'!$N$4:$N$1203,"Cerrada",'ORDENES'!$T$4:$T$1203,"sí")</f>
        <v/>
      </c>
      <c r="D75" s="16">
        <f>IF(B75=0,"",C75/B75)</f>
        <v/>
      </c>
      <c r="E75" s="17">
        <f>SUMIFS('ORDENES'!$M$4:$M$1203,'ORDENES'!$Y$4:$Y$1203,$A75,'ORDENES'!$T$4:$T$1203,"sí")</f>
        <v/>
      </c>
      <c r="F75" s="17">
        <f>SUMIFS('ORDENES'!$M$4:$M$1203,'ORDENES'!$Y$4:$Y$1203,$A75,'ORDENES'!$N$4:$N$1203,"Cerrada",'ORDENES'!$T$4:$T$1203,"sí")</f>
        <v/>
      </c>
      <c r="G75" s="16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COUNTIFS('ORDENES'!$Y$4:$Y$1203,$A76,'ORDENES'!$T$4:$T$1203,"sí")</f>
        <v/>
      </c>
      <c r="C76" s="5">
        <f>COUNTIFS('ORDENES'!$Y$4:$Y$1203,$A76,'ORDENES'!$N$4:$N$1203,"Cerrada",'ORDENES'!$T$4:$T$1203,"sí")</f>
        <v/>
      </c>
      <c r="D76" s="16">
        <f>IF(B76=0,"",C76/B76)</f>
        <v/>
      </c>
      <c r="E76" s="17">
        <f>SUMIFS('ORDENES'!$M$4:$M$1203,'ORDENES'!$Y$4:$Y$1203,$A76,'ORDENES'!$T$4:$T$1203,"sí")</f>
        <v/>
      </c>
      <c r="F76" s="17">
        <f>SUMIFS('ORDENES'!$M$4:$M$1203,'ORDENES'!$Y$4:$Y$1203,$A76,'ORDENES'!$N$4:$N$1203,"Cerrada",'ORDENES'!$T$4:$T$1203,"sí")</f>
        <v/>
      </c>
      <c r="G76" s="16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COUNTIFS('ORDENES'!$Y$4:$Y$1203,$A77,'ORDENES'!$T$4:$T$1203,"sí")</f>
        <v/>
      </c>
      <c r="C77" s="5">
        <f>COUNTIFS('ORDENES'!$Y$4:$Y$1203,$A77,'ORDENES'!$N$4:$N$1203,"Cerrada",'ORDENES'!$T$4:$T$1203,"sí")</f>
        <v/>
      </c>
      <c r="D77" s="16">
        <f>IF(B77=0,"",C77/B77)</f>
        <v/>
      </c>
      <c r="E77" s="17">
        <f>SUMIFS('ORDENES'!$M$4:$M$1203,'ORDENES'!$Y$4:$Y$1203,$A77,'ORDENES'!$T$4:$T$1203,"sí")</f>
        <v/>
      </c>
      <c r="F77" s="17">
        <f>SUMIFS('ORDENES'!$M$4:$M$1203,'ORDENES'!$Y$4:$Y$1203,$A77,'ORDENES'!$N$4:$N$1203,"Cerrada",'ORDENES'!$T$4:$T$1203,"sí")</f>
        <v/>
      </c>
      <c r="G77" s="16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COUNTIFS('ORDENES'!$Y$4:$Y$1203,$A78,'ORDENES'!$T$4:$T$1203,"sí")</f>
        <v/>
      </c>
      <c r="C78" s="5">
        <f>COUNTIFS('ORDENES'!$Y$4:$Y$1203,$A78,'ORDENES'!$N$4:$N$1203,"Cerrada",'ORDENES'!$T$4:$T$1203,"sí")</f>
        <v/>
      </c>
      <c r="D78" s="16">
        <f>IF(B78=0,"",C78/B78)</f>
        <v/>
      </c>
      <c r="E78" s="17">
        <f>SUMIFS('ORDENES'!$M$4:$M$1203,'ORDENES'!$Y$4:$Y$1203,$A78,'ORDENES'!$T$4:$T$1203,"sí")</f>
        <v/>
      </c>
      <c r="F78" s="17">
        <f>SUMIFS('ORDENES'!$M$4:$M$1203,'ORDENES'!$Y$4:$Y$1203,$A78,'ORDENES'!$N$4:$N$1203,"Cerrada",'ORDENES'!$T$4:$T$1203,"sí")</f>
        <v/>
      </c>
      <c r="G78" s="16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COUNTIFS('ORDENES'!$Y$4:$Y$1203,$A79,'ORDENES'!$T$4:$T$1203,"sí")</f>
        <v/>
      </c>
      <c r="C79" s="5">
        <f>COUNTIFS('ORDENES'!$Y$4:$Y$1203,$A79,'ORDENES'!$N$4:$N$1203,"Cerrada",'ORDENES'!$T$4:$T$1203,"sí")</f>
        <v/>
      </c>
      <c r="D79" s="16">
        <f>IF(B79=0,"",C79/B79)</f>
        <v/>
      </c>
      <c r="E79" s="17">
        <f>SUMIFS('ORDENES'!$M$4:$M$1203,'ORDENES'!$Y$4:$Y$1203,$A79,'ORDENES'!$T$4:$T$1203,"sí")</f>
        <v/>
      </c>
      <c r="F79" s="17">
        <f>SUMIFS('ORDENES'!$M$4:$M$1203,'ORDENES'!$Y$4:$Y$1203,$A79,'ORDENES'!$N$4:$N$1203,"Cerrada",'ORDENES'!$T$4:$T$1203,"sí")</f>
        <v/>
      </c>
      <c r="G79" s="16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5" t="inlineStr">
        <is>
          <t>valor</t>
        </is>
      </c>
      <c r="B82" s="15" t="inlineStr">
        <is>
          <t>total_ot</t>
        </is>
      </c>
      <c r="C82" s="15" t="inlineStr">
        <is>
          <t>cerradas</t>
        </is>
      </c>
      <c r="D82" s="15" t="inlineStr">
        <is>
          <t>adherencia_conteo</t>
        </is>
      </c>
      <c r="E82" s="15" t="inlineStr">
        <is>
          <t>hh_total</t>
        </is>
      </c>
      <c r="F82" s="15" t="inlineStr">
        <is>
          <t>hh_cerradas</t>
        </is>
      </c>
      <c r="G82" s="15" t="inlineStr">
        <is>
          <t>adherencia_horas</t>
        </is>
      </c>
    </row>
    <row r="83">
      <c r="A83" s="5" t="inlineStr">
        <is>
          <t>MEC</t>
        </is>
      </c>
      <c r="B83" s="5">
        <f>COUNTIFS('ORDENES'!$AA$4:$AA$1203,$A83,'ORDENES'!$T$4:$T$1203,"sí")</f>
        <v/>
      </c>
      <c r="C83" s="5">
        <f>COUNTIFS('ORDENES'!$AA$4:$AA$1203,$A83,'ORDENES'!$N$4:$N$1203,"Cerrada",'ORDENES'!$T$4:$T$1203,"sí")</f>
        <v/>
      </c>
      <c r="D83" s="16">
        <f>IF(B83=0,"",C83/B83)</f>
        <v/>
      </c>
      <c r="E83" s="17">
        <f>SUMIFS('ORDENES'!$M$4:$M$1203,'ORDENES'!$AA$4:$AA$1203,$A83,'ORDENES'!$T$4:$T$1203,"sí")</f>
        <v/>
      </c>
      <c r="F83" s="17">
        <f>SUMIFS('ORDENES'!$M$4:$M$1203,'ORDENES'!$AA$4:$AA$1203,$A83,'ORDENES'!$N$4:$N$1203,"Cerrada",'ORDENES'!$T$4:$T$1203,"sí")</f>
        <v/>
      </c>
      <c r="G83" s="16">
        <f>IF(E83=0,"",F83/E83)</f>
        <v/>
      </c>
    </row>
    <row r="84">
      <c r="A84" s="5" t="inlineStr">
        <is>
          <t>ELE</t>
        </is>
      </c>
      <c r="B84" s="5">
        <f>COUNTIFS('ORDENES'!$AA$4:$AA$1203,$A84,'ORDENES'!$T$4:$T$1203,"sí")</f>
        <v/>
      </c>
      <c r="C84" s="5">
        <f>COUNTIFS('ORDENES'!$AA$4:$AA$1203,$A84,'ORDENES'!$N$4:$N$1203,"Cerrada",'ORDENES'!$T$4:$T$1203,"sí")</f>
        <v/>
      </c>
      <c r="D84" s="16">
        <f>IF(B84=0,"",C84/B84)</f>
        <v/>
      </c>
      <c r="E84" s="17">
        <f>SUMIFS('ORDENES'!$M$4:$M$1203,'ORDENES'!$AA$4:$AA$1203,$A84,'ORDENES'!$T$4:$T$1203,"sí")</f>
        <v/>
      </c>
      <c r="F84" s="17">
        <f>SUMIFS('ORDENES'!$M$4:$M$1203,'ORDENES'!$AA$4:$AA$1203,$A84,'ORDENES'!$N$4:$N$1203,"Cerrada",'ORDENES'!$T$4:$T$1203,"sí")</f>
        <v/>
      </c>
      <c r="G84" s="16">
        <f>IF(E84=0,"",F84/E84)</f>
        <v/>
      </c>
    </row>
    <row r="85">
      <c r="A85" s="5" t="inlineStr">
        <is>
          <t>AUT</t>
        </is>
      </c>
      <c r="B85" s="5">
        <f>COUNTIFS('ORDENES'!$AA$4:$AA$1203,$A85,'ORDENES'!$T$4:$T$1203,"sí")</f>
        <v/>
      </c>
      <c r="C85" s="5">
        <f>COUNTIFS('ORDENES'!$AA$4:$AA$1203,$A85,'ORDENES'!$N$4:$N$1203,"Cerrada",'ORDENES'!$T$4:$T$1203,"sí")</f>
        <v/>
      </c>
      <c r="D85" s="16">
        <f>IF(B85=0,"",C85/B85)</f>
        <v/>
      </c>
      <c r="E85" s="17">
        <f>SUMIFS('ORDENES'!$M$4:$M$1203,'ORDENES'!$AA$4:$AA$1203,$A85,'ORDENES'!$T$4:$T$1203,"sí")</f>
        <v/>
      </c>
      <c r="F85" s="17">
        <f>SUMIFS('ORDENES'!$M$4:$M$1203,'ORDENES'!$AA$4:$AA$1203,$A85,'ORDENES'!$N$4:$N$1203,"Cerrada",'ORDENES'!$T$4:$T$1203,"sí")</f>
        <v/>
      </c>
      <c r="G85" s="16">
        <f>IF(E85=0,"",F85/E85)</f>
        <v/>
      </c>
    </row>
    <row r="86">
      <c r="A86" s="5" t="inlineStr">
        <is>
          <t>TERCERO</t>
        </is>
      </c>
      <c r="B86" s="5">
        <f>COUNTIFS('ORDENES'!$AA$4:$AA$1203,$A86,'ORDENES'!$T$4:$T$1203,"sí")</f>
        <v/>
      </c>
      <c r="C86" s="5">
        <f>COUNTIFS('ORDENES'!$AA$4:$AA$1203,$A86,'ORDENES'!$N$4:$N$1203,"Cerrada",'ORDENES'!$T$4:$T$1203,"sí")</f>
        <v/>
      </c>
      <c r="D86" s="16">
        <f>IF(B86=0,"",C86/B86)</f>
        <v/>
      </c>
      <c r="E86" s="17">
        <f>SUMIFS('ORDENES'!$M$4:$M$1203,'ORDENES'!$AA$4:$AA$1203,$A86,'ORDENES'!$T$4:$T$1203,"sí")</f>
        <v/>
      </c>
      <c r="F86" s="17">
        <f>SUMIFS('ORDENES'!$M$4:$M$1203,'ORDENES'!$AA$4:$AA$1203,$A86,'ORDENES'!$N$4:$N$1203,"Cerrada",'ORDENES'!$T$4:$T$1203,"sí")</f>
        <v/>
      </c>
      <c r="G86" s="16">
        <f>IF(E86=0,"",F86/E86)</f>
        <v/>
      </c>
    </row>
    <row r="88">
      <c r="A88" s="3" t="inlineStr">
        <is>
          <t>POR COORDINADOR</t>
        </is>
      </c>
    </row>
    <row r="89">
      <c r="A89" s="15" t="inlineStr">
        <is>
          <t>valor</t>
        </is>
      </c>
      <c r="B89" s="15" t="inlineStr">
        <is>
          <t>total_ot</t>
        </is>
      </c>
      <c r="C89" s="15" t="inlineStr">
        <is>
          <t>cerradas</t>
        </is>
      </c>
      <c r="D89" s="15" t="inlineStr">
        <is>
          <t>adherencia_conteo</t>
        </is>
      </c>
      <c r="E89" s="15" t="inlineStr">
        <is>
          <t>hh_total</t>
        </is>
      </c>
      <c r="F89" s="15" t="inlineStr">
        <is>
          <t>hh_cerradas</t>
        </is>
      </c>
      <c r="G89" s="15" t="inlineStr">
        <is>
          <t>adherencia_horas</t>
        </is>
      </c>
    </row>
    <row r="90">
      <c r="A90" s="5" t="inlineStr">
        <is>
          <t>Coordinador A</t>
        </is>
      </c>
      <c r="B90" s="5">
        <f>COUNTIFS('ORDENES'!$Z$4:$Z$1203,$A90,'ORDENES'!$T$4:$T$1203,"sí")</f>
        <v/>
      </c>
      <c r="C90" s="5">
        <f>COUNTIFS('ORDENES'!$Z$4:$Z$1203,$A90,'ORDENES'!$N$4:$N$1203,"Cerrada",'ORDENES'!$T$4:$T$1203,"sí")</f>
        <v/>
      </c>
      <c r="D90" s="16">
        <f>IF(B90=0,"",C90/B90)</f>
        <v/>
      </c>
      <c r="E90" s="17">
        <f>SUMIFS('ORDENES'!$M$4:$M$1203,'ORDENES'!$Z$4:$Z$1203,$A90,'ORDENES'!$T$4:$T$1203,"sí")</f>
        <v/>
      </c>
      <c r="F90" s="17">
        <f>SUMIFS('ORDENES'!$M$4:$M$1203,'ORDENES'!$Z$4:$Z$1203,$A90,'ORDENES'!$N$4:$N$1203,"Cerrada",'ORDENES'!$T$4:$T$1203,"sí")</f>
        <v/>
      </c>
      <c r="G90" s="16">
        <f>IF(E90=0,"",F90/E90)</f>
        <v/>
      </c>
    </row>
    <row r="91">
      <c r="A91" s="5" t="inlineStr">
        <is>
          <t>Coordinador B</t>
        </is>
      </c>
      <c r="B91" s="5">
        <f>COUNTIFS('ORDENES'!$Z$4:$Z$1203,$A91,'ORDENES'!$T$4:$T$1203,"sí")</f>
        <v/>
      </c>
      <c r="C91" s="5">
        <f>COUNTIFS('ORDENES'!$Z$4:$Z$1203,$A91,'ORDENES'!$N$4:$N$1203,"Cerrada",'ORDENES'!$T$4:$T$1203,"sí")</f>
        <v/>
      </c>
      <c r="D91" s="16">
        <f>IF(B91=0,"",C91/B91)</f>
        <v/>
      </c>
      <c r="E91" s="17">
        <f>SUMIFS('ORDENES'!$M$4:$M$1203,'ORDENES'!$Z$4:$Z$1203,$A91,'ORDENES'!$T$4:$T$1203,"sí")</f>
        <v/>
      </c>
      <c r="F91" s="17">
        <f>SUMIFS('ORDENES'!$M$4:$M$1203,'ORDENES'!$Z$4:$Z$1203,$A91,'ORDENES'!$N$4:$N$1203,"Cerrada",'ORDENES'!$T$4:$T$1203,"sí")</f>
        <v/>
      </c>
      <c r="G91" s="16">
        <f>IF(E91=0,"",F91/E91)</f>
        <v/>
      </c>
    </row>
    <row r="92">
      <c r="A92" s="5" t="inlineStr">
        <is>
          <t>Coordinador C</t>
        </is>
      </c>
      <c r="B92" s="5">
        <f>COUNTIFS('ORDENES'!$Z$4:$Z$1203,$A92,'ORDENES'!$T$4:$T$1203,"sí")</f>
        <v/>
      </c>
      <c r="C92" s="5">
        <f>COUNTIFS('ORDENES'!$Z$4:$Z$1203,$A92,'ORDENES'!$N$4:$N$1203,"Cerrada",'ORDENES'!$T$4:$T$1203,"sí")</f>
        <v/>
      </c>
      <c r="D92" s="16">
        <f>IF(B92=0,"",C92/B92)</f>
        <v/>
      </c>
      <c r="E92" s="17">
        <f>SUMIFS('ORDENES'!$M$4:$M$1203,'ORDENES'!$Z$4:$Z$1203,$A92,'ORDENES'!$T$4:$T$1203,"sí")</f>
        <v/>
      </c>
      <c r="F92" s="17">
        <f>SUMIFS('ORDENES'!$M$4:$M$1203,'ORDENES'!$Z$4:$Z$1203,$A92,'ORDENES'!$N$4:$N$1203,"Cerrada",'ORDENES'!$T$4:$T$1203,"sí")</f>
        <v/>
      </c>
      <c r="G92" s="16">
        <f>IF(E92=0,"",F92/E92)</f>
        <v/>
      </c>
    </row>
    <row r="94">
      <c r="A94" s="3" t="inlineStr">
        <is>
          <t>POR CLASIFICACIÓN</t>
        </is>
      </c>
    </row>
    <row r="95">
      <c r="A95" s="15" t="inlineStr">
        <is>
          <t>valor</t>
        </is>
      </c>
      <c r="B95" s="15" t="inlineStr">
        <is>
          <t>total_ot</t>
        </is>
      </c>
      <c r="C95" s="15" t="inlineStr">
        <is>
          <t>cerradas</t>
        </is>
      </c>
      <c r="D95" s="15" t="inlineStr">
        <is>
          <t>adherencia_conteo</t>
        </is>
      </c>
      <c r="E95" s="15" t="inlineStr">
        <is>
          <t>hh_total</t>
        </is>
      </c>
      <c r="F95" s="15" t="inlineStr">
        <is>
          <t>hh_cerradas</t>
        </is>
      </c>
      <c r="G95" s="15" t="inlineStr">
        <is>
          <t>adherencia_horas</t>
        </is>
      </c>
    </row>
    <row r="96">
      <c r="A96" s="5" t="inlineStr">
        <is>
          <t>preventiva</t>
        </is>
      </c>
      <c r="B96" s="5">
        <f>COUNTIFS('ORDENES'!$U$4:$U$1203,$A96,'ORDENES'!$T$4:$T$1203,"sí")</f>
        <v/>
      </c>
      <c r="C96" s="5">
        <f>COUNTIFS('ORDENES'!$U$4:$U$1203,$A96,'ORDENES'!$N$4:$N$1203,"Cerrada",'ORDENES'!$T$4:$T$1203,"sí")</f>
        <v/>
      </c>
      <c r="D96" s="16">
        <f>IF(B96=0,"",C96/B96)</f>
        <v/>
      </c>
      <c r="E96" s="17">
        <f>SUMIFS('ORDENES'!$M$4:$M$1203,'ORDENES'!$U$4:$U$1203,$A96,'ORDENES'!$T$4:$T$1203,"sí")</f>
        <v/>
      </c>
      <c r="F96" s="17">
        <f>SUMIFS('ORDENES'!$M$4:$M$1203,'ORDENES'!$U$4:$U$1203,$A96,'ORDENES'!$N$4:$N$1203,"Cerrada",'ORDENES'!$T$4:$T$1203,"sí")</f>
        <v/>
      </c>
      <c r="G96" s="16">
        <f>IF(E96=0,"",F96/E96)</f>
        <v/>
      </c>
    </row>
    <row r="97">
      <c r="A97" s="5" t="inlineStr">
        <is>
          <t>correctiva</t>
        </is>
      </c>
      <c r="B97" s="5">
        <f>COUNTIFS('ORDENES'!$U$4:$U$1203,$A97,'ORDENES'!$T$4:$T$1203,"sí")</f>
        <v/>
      </c>
      <c r="C97" s="5">
        <f>COUNTIFS('ORDENES'!$U$4:$U$1203,$A97,'ORDENES'!$N$4:$N$1203,"Cerrada",'ORDENES'!$T$4:$T$1203,"sí")</f>
        <v/>
      </c>
      <c r="D97" s="16">
        <f>IF(B97=0,"",C97/B97)</f>
        <v/>
      </c>
      <c r="E97" s="17">
        <f>SUMIFS('ORDENES'!$M$4:$M$1203,'ORDENES'!$U$4:$U$1203,$A97,'ORDENES'!$T$4:$T$1203,"sí")</f>
        <v/>
      </c>
      <c r="F97" s="17">
        <f>SUMIFS('ORDENES'!$M$4:$M$1203,'ORDENES'!$U$4:$U$1203,$A97,'ORDENES'!$N$4:$N$1203,"Cerrada",'ORDENES'!$T$4:$T$1203,"sí")</f>
        <v/>
      </c>
      <c r="G97" s="16">
        <f>IF(E97=0,"",F97/E97)</f>
        <v/>
      </c>
    </row>
    <row r="98">
      <c r="A98" s="5" t="inlineStr">
        <is>
          <t>sin_clasificar</t>
        </is>
      </c>
      <c r="B98" s="5">
        <f>COUNTIFS('ORDENES'!$U$4:$U$1203,$A98,'ORDENES'!$T$4:$T$1203,"sí")</f>
        <v/>
      </c>
      <c r="C98" s="5">
        <f>COUNTIFS('ORDENES'!$U$4:$U$1203,$A98,'ORDENES'!$N$4:$N$1203,"Cerrada",'ORDENES'!$T$4:$T$1203,"sí")</f>
        <v/>
      </c>
      <c r="D98" s="16">
        <f>IF(B98=0,"",C98/B98)</f>
        <v/>
      </c>
      <c r="E98" s="17">
        <f>SUMIFS('ORDENES'!$M$4:$M$1203,'ORDENES'!$U$4:$U$1203,$A98,'ORDENES'!$T$4:$T$1203,"sí")</f>
        <v/>
      </c>
      <c r="F98" s="17">
        <f>SUMIFS('ORDENES'!$M$4:$M$1203,'ORDENES'!$U$4:$U$1203,$A98,'ORDENES'!$N$4:$N$1203,"Cerrada",'ORDENES'!$T$4:$T$1203,"sí")</f>
        <v/>
      </c>
      <c r="G98" s="16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5" t="inlineStr">
        <is>
          <t>valor</t>
        </is>
      </c>
      <c r="B101" s="15" t="inlineStr">
        <is>
          <t>total_ot</t>
        </is>
      </c>
      <c r="C101" s="15" t="inlineStr">
        <is>
          <t>cerradas</t>
        </is>
      </c>
      <c r="D101" s="15" t="inlineStr">
        <is>
          <t>adherencia_conteo</t>
        </is>
      </c>
      <c r="E101" s="15" t="inlineStr">
        <is>
          <t>hh_total</t>
        </is>
      </c>
      <c r="F101" s="15" t="inlineStr">
        <is>
          <t>hh_cerradas</t>
        </is>
      </c>
      <c r="G101" s="15" t="inlineStr">
        <is>
          <t>adherencia_horas</t>
        </is>
      </c>
    </row>
    <row r="102">
      <c r="A102" s="5" t="inlineStr">
        <is>
          <t>predictivo</t>
        </is>
      </c>
      <c r="B102" s="5">
        <f>COUNTIFS('ORDENES'!$V$4:$V$1203,$A102,'ORDENES'!$T$4:$T$1203,"sí")</f>
        <v/>
      </c>
      <c r="C102" s="5">
        <f>COUNTIFS('ORDENES'!$V$4:$V$1203,$A102,'ORDENES'!$N$4:$N$1203,"Cerrada",'ORDENES'!$T$4:$T$1203,"sí")</f>
        <v/>
      </c>
      <c r="D102" s="16">
        <f>IF(B102=0,"",C102/B102)</f>
        <v/>
      </c>
      <c r="E102" s="17">
        <f>SUMIFS('ORDENES'!$M$4:$M$1203,'ORDENES'!$V$4:$V$1203,$A102,'ORDENES'!$T$4:$T$1203,"sí")</f>
        <v/>
      </c>
      <c r="F102" s="17">
        <f>SUMIFS('ORDENES'!$M$4:$M$1203,'ORDENES'!$V$4:$V$1203,$A102,'ORDENES'!$N$4:$N$1203,"Cerrada",'ORDENES'!$T$4:$T$1203,"sí")</f>
        <v/>
      </c>
      <c r="G102" s="16">
        <f>IF(E102=0,"",F102/E102)</f>
        <v/>
      </c>
    </row>
    <row r="103">
      <c r="A103" s="5" t="inlineStr">
        <is>
          <t>preventivo</t>
        </is>
      </c>
      <c r="B103" s="5">
        <f>COUNTIFS('ORDENES'!$V$4:$V$1203,$A103,'ORDENES'!$T$4:$T$1203,"sí")</f>
        <v/>
      </c>
      <c r="C103" s="5">
        <f>COUNTIFS('ORDENES'!$V$4:$V$1203,$A103,'ORDENES'!$N$4:$N$1203,"Cerrada",'ORDENES'!$T$4:$T$1203,"sí")</f>
        <v/>
      </c>
      <c r="D103" s="16">
        <f>IF(B103=0,"",C103/B103)</f>
        <v/>
      </c>
      <c r="E103" s="17">
        <f>SUMIFS('ORDENES'!$M$4:$M$1203,'ORDENES'!$V$4:$V$1203,$A103,'ORDENES'!$T$4:$T$1203,"sí")</f>
        <v/>
      </c>
      <c r="F103" s="17">
        <f>SUMIFS('ORDENES'!$M$4:$M$1203,'ORDENES'!$V$4:$V$1203,$A103,'ORDENES'!$N$4:$N$1203,"Cerrada",'ORDENES'!$T$4:$T$1203,"sí")</f>
        <v/>
      </c>
      <c r="G103" s="16">
        <f>IF(E103=0,"",F103/E103)</f>
        <v/>
      </c>
    </row>
    <row r="104">
      <c r="A104" s="5" t="inlineStr">
        <is>
          <t>correctivo_programado</t>
        </is>
      </c>
      <c r="B104" s="5">
        <f>COUNTIFS('ORDENES'!$V$4:$V$1203,$A104,'ORDENES'!$T$4:$T$1203,"sí")</f>
        <v/>
      </c>
      <c r="C104" s="5">
        <f>COUNTIFS('ORDENES'!$V$4:$V$1203,$A104,'ORDENES'!$N$4:$N$1203,"Cerrada",'ORDENES'!$T$4:$T$1203,"sí")</f>
        <v/>
      </c>
      <c r="D104" s="16">
        <f>IF(B104=0,"",C104/B104)</f>
        <v/>
      </c>
      <c r="E104" s="17">
        <f>SUMIFS('ORDENES'!$M$4:$M$1203,'ORDENES'!$V$4:$V$1203,$A104,'ORDENES'!$T$4:$T$1203,"sí")</f>
        <v/>
      </c>
      <c r="F104" s="17">
        <f>SUMIFS('ORDENES'!$M$4:$M$1203,'ORDENES'!$V$4:$V$1203,$A104,'ORDENES'!$N$4:$N$1203,"Cerrada",'ORDENES'!$T$4:$T$1203,"sí")</f>
        <v/>
      </c>
      <c r="G104" s="16">
        <f>IF(E104=0,"",F104/E104)</f>
        <v/>
      </c>
    </row>
    <row r="105">
      <c r="A105" s="5" t="inlineStr">
        <is>
          <t>emergencia</t>
        </is>
      </c>
      <c r="B105" s="5">
        <f>COUNTIFS('ORDENES'!$V$4:$V$1203,$A105,'ORDENES'!$T$4:$T$1203,"sí")</f>
        <v/>
      </c>
      <c r="C105" s="5">
        <f>COUNTIFS('ORDENES'!$V$4:$V$1203,$A105,'ORDENES'!$N$4:$N$1203,"Cerrada",'ORDENES'!$T$4:$T$1203,"sí")</f>
        <v/>
      </c>
      <c r="D105" s="16">
        <f>IF(B105=0,"",C105/B105)</f>
        <v/>
      </c>
      <c r="E105" s="17">
        <f>SUMIFS('ORDENES'!$M$4:$M$1203,'ORDENES'!$V$4:$V$1203,$A105,'ORDENES'!$T$4:$T$1203,"sí")</f>
        <v/>
      </c>
      <c r="F105" s="17">
        <f>SUMIFS('ORDENES'!$M$4:$M$1203,'ORDENES'!$V$4:$V$1203,$A105,'ORDENES'!$N$4:$N$1203,"Cerrada",'ORDENES'!$T$4:$T$1203,"sí")</f>
        <v/>
      </c>
      <c r="G105" s="16">
        <f>IF(E105=0,"",F105/E105)</f>
        <v/>
      </c>
    </row>
    <row r="106">
      <c r="A106" s="5" t="inlineStr">
        <is>
          <t>legal</t>
        </is>
      </c>
      <c r="B106" s="5">
        <f>COUNTIFS('ORDENES'!$V$4:$V$1203,$A106,'ORDENES'!$T$4:$T$1203,"sí")</f>
        <v/>
      </c>
      <c r="C106" s="5">
        <f>COUNTIFS('ORDENES'!$V$4:$V$1203,$A106,'ORDENES'!$N$4:$N$1203,"Cerrada",'ORDENES'!$T$4:$T$1203,"sí")</f>
        <v/>
      </c>
      <c r="D106" s="16">
        <f>IF(B106=0,"",C106/B106)</f>
        <v/>
      </c>
      <c r="E106" s="17">
        <f>SUMIFS('ORDENES'!$M$4:$M$1203,'ORDENES'!$V$4:$V$1203,$A106,'ORDENES'!$T$4:$T$1203,"sí")</f>
        <v/>
      </c>
      <c r="F106" s="17">
        <f>SUMIFS('ORDENES'!$M$4:$M$1203,'ORDENES'!$V$4:$V$1203,$A106,'ORDENES'!$N$4:$N$1203,"Cerrada",'ORDENES'!$T$4:$T$1203,"sí")</f>
        <v/>
      </c>
      <c r="G106" s="16">
        <f>IF(E106=0,"",F106/E106)</f>
        <v/>
      </c>
    </row>
    <row r="107">
      <c r="A107" s="5" t="inlineStr">
        <is>
          <t>SIN CLASIFICAR</t>
        </is>
      </c>
      <c r="B107" s="5">
        <f>COUNTIFS('ORDENES'!$V$4:$V$1203,$A107,'ORDENES'!$T$4:$T$1203,"sí")</f>
        <v/>
      </c>
      <c r="C107" s="5">
        <f>COUNTIFS('ORDENES'!$V$4:$V$1203,$A107,'ORDENES'!$N$4:$N$1203,"Cerrada",'ORDENES'!$T$4:$T$1203,"sí")</f>
        <v/>
      </c>
      <c r="D107" s="16">
        <f>IF(B107=0,"",C107/B107)</f>
        <v/>
      </c>
      <c r="E107" s="17">
        <f>SUMIFS('ORDENES'!$M$4:$M$1203,'ORDENES'!$V$4:$V$1203,$A107,'ORDENES'!$T$4:$T$1203,"sí")</f>
        <v/>
      </c>
      <c r="F107" s="17">
        <f>SUMIFS('ORDENES'!$M$4:$M$1203,'ORDENES'!$V$4:$V$1203,$A107,'ORDENES'!$N$4:$N$1203,"Cerrada",'ORDENES'!$T$4:$T$1203,"sí")</f>
        <v/>
      </c>
      <c r="G107" s="16">
        <f>IF(E107=0,"",F107/E107)</f>
        <v/>
      </c>
    </row>
    <row r="109">
      <c r="A109" s="3" t="inlineStr">
        <is>
          <t>POR TÉCNICO</t>
        </is>
      </c>
    </row>
    <row r="110">
      <c r="A110" s="15" t="inlineStr">
        <is>
          <t>valor</t>
        </is>
      </c>
      <c r="B110" s="15" t="inlineStr">
        <is>
          <t>total_ot</t>
        </is>
      </c>
      <c r="C110" s="15" t="inlineStr">
        <is>
          <t>cerradas</t>
        </is>
      </c>
      <c r="D110" s="15" t="inlineStr">
        <is>
          <t>adherencia_conteo</t>
        </is>
      </c>
      <c r="E110" s="15" t="inlineStr">
        <is>
          <t>hh_total</t>
        </is>
      </c>
      <c r="F110" s="15" t="inlineStr">
        <is>
          <t>hh_cerradas</t>
        </is>
      </c>
      <c r="G110" s="15" t="inlineStr">
        <is>
          <t>adherencia_horas</t>
        </is>
      </c>
    </row>
    <row r="111">
      <c r="A111" s="5" t="inlineStr">
        <is>
          <t>Carlos Pérez</t>
        </is>
      </c>
      <c r="B111" s="5">
        <f>COUNTIFS('ORDENES'!$AG$4:$AG$1203,$A111,'ORDENES'!$T$4:$T$1203,"sí")</f>
        <v/>
      </c>
      <c r="C111" s="5">
        <f>COUNTIFS('ORDENES'!$AG$4:$AG$1203,$A111,'ORDENES'!$N$4:$N$1203,"Cerrada",'ORDENES'!$T$4:$T$1203,"sí")</f>
        <v/>
      </c>
      <c r="D111" s="16">
        <f>IF(B111=0,"",C111/B111)</f>
        <v/>
      </c>
      <c r="E111" s="17">
        <f>SUMIFS('ORDENES'!$M$4:$M$1203,'ORDENES'!$AG$4:$AG$1203,$A111,'ORDENES'!$T$4:$T$1203,"sí")</f>
        <v/>
      </c>
      <c r="F111" s="17">
        <f>SUMIFS('ORDENES'!$M$4:$M$1203,'ORDENES'!$AG$4:$AG$1203,$A111,'ORDENES'!$N$4:$N$1203,"Cerrada",'ORDENES'!$T$4:$T$1203,"sí")</f>
        <v/>
      </c>
      <c r="G111" s="16">
        <f>IF(E111=0,"",F111/E111)</f>
        <v/>
      </c>
    </row>
    <row r="112">
      <c r="A112" s="5" t="inlineStr">
        <is>
          <t>María Gómez</t>
        </is>
      </c>
      <c r="B112" s="5">
        <f>COUNTIFS('ORDENES'!$AG$4:$AG$1203,$A112,'ORDENES'!$T$4:$T$1203,"sí")</f>
        <v/>
      </c>
      <c r="C112" s="5">
        <f>COUNTIFS('ORDENES'!$AG$4:$AG$1203,$A112,'ORDENES'!$N$4:$N$1203,"Cerrada",'ORDENES'!$T$4:$T$1203,"sí")</f>
        <v/>
      </c>
      <c r="D112" s="16">
        <f>IF(B112=0,"",C112/B112)</f>
        <v/>
      </c>
      <c r="E112" s="17">
        <f>SUMIFS('ORDENES'!$M$4:$M$1203,'ORDENES'!$AG$4:$AG$1203,$A112,'ORDENES'!$T$4:$T$1203,"sí")</f>
        <v/>
      </c>
      <c r="F112" s="17">
        <f>SUMIFS('ORDENES'!$M$4:$M$1203,'ORDENES'!$AG$4:$AG$1203,$A112,'ORDENES'!$N$4:$N$1203,"Cerrada",'ORDENES'!$T$4:$T$1203,"sí")</f>
        <v/>
      </c>
      <c r="G112" s="16">
        <f>IF(E112=0,"",F112/E112)</f>
        <v/>
      </c>
    </row>
    <row r="113">
      <c r="A113" s="5" t="inlineStr">
        <is>
          <t>Luis Rodríguez</t>
        </is>
      </c>
      <c r="B113" s="5">
        <f>COUNTIFS('ORDENES'!$AG$4:$AG$1203,$A113,'ORDENES'!$T$4:$T$1203,"sí")</f>
        <v/>
      </c>
      <c r="C113" s="5">
        <f>COUNTIFS('ORDENES'!$AG$4:$AG$1203,$A113,'ORDENES'!$N$4:$N$1203,"Cerrada",'ORDENES'!$T$4:$T$1203,"sí")</f>
        <v/>
      </c>
      <c r="D113" s="16">
        <f>IF(B113=0,"",C113/B113)</f>
        <v/>
      </c>
      <c r="E113" s="17">
        <f>SUMIFS('ORDENES'!$M$4:$M$1203,'ORDENES'!$AG$4:$AG$1203,$A113,'ORDENES'!$T$4:$T$1203,"sí")</f>
        <v/>
      </c>
      <c r="F113" s="17">
        <f>SUMIFS('ORDENES'!$M$4:$M$1203,'ORDENES'!$AG$4:$AG$1203,$A113,'ORDENES'!$N$4:$N$1203,"Cerrada",'ORDENES'!$T$4:$T$1203,"sí")</f>
        <v/>
      </c>
      <c r="G113" s="16">
        <f>IF(E113=0,"",F113/E113)</f>
        <v/>
      </c>
    </row>
    <row r="114">
      <c r="A114" s="5" t="inlineStr">
        <is>
          <t>Miguel Martínez</t>
        </is>
      </c>
      <c r="B114" s="5">
        <f>COUNTIFS('ORDENES'!$AG$4:$AG$1203,$A114,'ORDENES'!$T$4:$T$1203,"sí")</f>
        <v/>
      </c>
      <c r="C114" s="5">
        <f>COUNTIFS('ORDENES'!$AG$4:$AG$1203,$A114,'ORDENES'!$N$4:$N$1203,"Cerrada",'ORDENES'!$T$4:$T$1203,"sí")</f>
        <v/>
      </c>
      <c r="D114" s="16">
        <f>IF(B114=0,"",C114/B114)</f>
        <v/>
      </c>
      <c r="E114" s="17">
        <f>SUMIFS('ORDENES'!$M$4:$M$1203,'ORDENES'!$AG$4:$AG$1203,$A114,'ORDENES'!$T$4:$T$1203,"sí")</f>
        <v/>
      </c>
      <c r="F114" s="17">
        <f>SUMIFS('ORDENES'!$M$4:$M$1203,'ORDENES'!$AG$4:$AG$1203,$A114,'ORDENES'!$N$4:$N$1203,"Cerrada",'ORDENES'!$T$4:$T$1203,"sí")</f>
        <v/>
      </c>
      <c r="G114" s="16">
        <f>IF(E114=0,"",F114/E114)</f>
        <v/>
      </c>
    </row>
    <row r="115">
      <c r="A115" s="5" t="inlineStr">
        <is>
          <t>Ana Sánchez</t>
        </is>
      </c>
      <c r="B115" s="5">
        <f>COUNTIFS('ORDENES'!$AG$4:$AG$1203,$A115,'ORDENES'!$T$4:$T$1203,"sí")</f>
        <v/>
      </c>
      <c r="C115" s="5">
        <f>COUNTIFS('ORDENES'!$AG$4:$AG$1203,$A115,'ORDENES'!$N$4:$N$1203,"Cerrada",'ORDENES'!$T$4:$T$1203,"sí")</f>
        <v/>
      </c>
      <c r="D115" s="16">
        <f>IF(B115=0,"",C115/B115)</f>
        <v/>
      </c>
      <c r="E115" s="17">
        <f>SUMIFS('ORDENES'!$M$4:$M$1203,'ORDENES'!$AG$4:$AG$1203,$A115,'ORDENES'!$T$4:$T$1203,"sí")</f>
        <v/>
      </c>
      <c r="F115" s="17">
        <f>SUMIFS('ORDENES'!$M$4:$M$1203,'ORDENES'!$AG$4:$AG$1203,$A115,'ORDENES'!$N$4:$N$1203,"Cerrada",'ORDENES'!$T$4:$T$1203,"sí")</f>
        <v/>
      </c>
      <c r="G115" s="16">
        <f>IF(E115=0,"",F115/E115)</f>
        <v/>
      </c>
    </row>
    <row r="116">
      <c r="A116" s="5" t="inlineStr">
        <is>
          <t>David Torres</t>
        </is>
      </c>
      <c r="B116" s="5">
        <f>COUNTIFS('ORDENES'!$AG$4:$AG$1203,$A116,'ORDENES'!$T$4:$T$1203,"sí")</f>
        <v/>
      </c>
      <c r="C116" s="5">
        <f>COUNTIFS('ORDENES'!$AG$4:$AG$1203,$A116,'ORDENES'!$N$4:$N$1203,"Cerrada",'ORDENES'!$T$4:$T$1203,"sí")</f>
        <v/>
      </c>
      <c r="D116" s="16">
        <f>IF(B116=0,"",C116/B116)</f>
        <v/>
      </c>
      <c r="E116" s="17">
        <f>SUMIFS('ORDENES'!$M$4:$M$1203,'ORDENES'!$AG$4:$AG$1203,$A116,'ORDENES'!$T$4:$T$1203,"sí")</f>
        <v/>
      </c>
      <c r="F116" s="17">
        <f>SUMIFS('ORDENES'!$M$4:$M$1203,'ORDENES'!$AG$4:$AG$1203,$A116,'ORDENES'!$N$4:$N$1203,"Cerrada",'ORDENES'!$T$4:$T$1203,"sí")</f>
        <v/>
      </c>
      <c r="G116" s="16">
        <f>IF(E116=0,"",F116/E116)</f>
        <v/>
      </c>
    </row>
    <row r="117">
      <c r="A117" s="5" t="inlineStr">
        <is>
          <t>Francisco Ramírez</t>
        </is>
      </c>
      <c r="B117" s="5">
        <f>COUNTIFS('ORDENES'!$AG$4:$AG$1203,$A117,'ORDENES'!$T$4:$T$1203,"sí")</f>
        <v/>
      </c>
      <c r="C117" s="5">
        <f>COUNTIFS('ORDENES'!$AG$4:$AG$1203,$A117,'ORDENES'!$N$4:$N$1203,"Cerrada",'ORDENES'!$T$4:$T$1203,"sí")</f>
        <v/>
      </c>
      <c r="D117" s="16">
        <f>IF(B117=0,"",C117/B117)</f>
        <v/>
      </c>
      <c r="E117" s="17">
        <f>SUMIFS('ORDENES'!$M$4:$M$1203,'ORDENES'!$AG$4:$AG$1203,$A117,'ORDENES'!$T$4:$T$1203,"sí")</f>
        <v/>
      </c>
      <c r="F117" s="17">
        <f>SUMIFS('ORDENES'!$M$4:$M$1203,'ORDENES'!$AG$4:$AG$1203,$A117,'ORDENES'!$N$4:$N$1203,"Cerrada",'ORDENES'!$T$4:$T$1203,"sí")</f>
        <v/>
      </c>
      <c r="G117" s="16">
        <f>IF(E117=0,"",F117/E117)</f>
        <v/>
      </c>
    </row>
    <row r="118">
      <c r="A118" s="5" t="inlineStr">
        <is>
          <t>Jorge Díaz</t>
        </is>
      </c>
      <c r="B118" s="5">
        <f>COUNTIFS('ORDENES'!$AG$4:$AG$1203,$A118,'ORDENES'!$T$4:$T$1203,"sí")</f>
        <v/>
      </c>
      <c r="C118" s="5">
        <f>COUNTIFS('ORDENES'!$AG$4:$AG$1203,$A118,'ORDENES'!$N$4:$N$1203,"Cerrada",'ORDENES'!$T$4:$T$1203,"sí")</f>
        <v/>
      </c>
      <c r="D118" s="16">
        <f>IF(B118=0,"",C118/B118)</f>
        <v/>
      </c>
      <c r="E118" s="17">
        <f>SUMIFS('ORDENES'!$M$4:$M$1203,'ORDENES'!$AG$4:$AG$1203,$A118,'ORDENES'!$T$4:$T$1203,"sí")</f>
        <v/>
      </c>
      <c r="F118" s="17">
        <f>SUMIFS('ORDENES'!$M$4:$M$1203,'ORDENES'!$AG$4:$AG$1203,$A118,'ORDENES'!$N$4:$N$1203,"Cerrada",'ORDENES'!$T$4:$T$1203,"sí")</f>
        <v/>
      </c>
      <c r="G118" s="16">
        <f>IF(E118=0,"",F118/E118)</f>
        <v/>
      </c>
    </row>
    <row r="119">
      <c r="A119" s="5" t="inlineStr">
        <is>
          <t>Roberto Castro</t>
        </is>
      </c>
      <c r="B119" s="5">
        <f>COUNTIFS('ORDENES'!$AG$4:$AG$1203,$A119,'ORDENES'!$T$4:$T$1203,"sí")</f>
        <v/>
      </c>
      <c r="C119" s="5">
        <f>COUNTIFS('ORDENES'!$AG$4:$AG$1203,$A119,'ORDENES'!$N$4:$N$1203,"Cerrada",'ORDENES'!$T$4:$T$1203,"sí")</f>
        <v/>
      </c>
      <c r="D119" s="16">
        <f>IF(B119=0,"",C119/B119)</f>
        <v/>
      </c>
      <c r="E119" s="17">
        <f>SUMIFS('ORDENES'!$M$4:$M$1203,'ORDENES'!$AG$4:$AG$1203,$A119,'ORDENES'!$T$4:$T$1203,"sí")</f>
        <v/>
      </c>
      <c r="F119" s="17">
        <f>SUMIFS('ORDENES'!$M$4:$M$1203,'ORDENES'!$AG$4:$AG$1203,$A119,'ORDENES'!$N$4:$N$1203,"Cerrada",'ORDENES'!$T$4:$T$1203,"sí")</f>
        <v/>
      </c>
      <c r="G119" s="16">
        <f>IF(E119=0,"",F119/E119)</f>
        <v/>
      </c>
    </row>
    <row r="120">
      <c r="A120" s="5" t="inlineStr">
        <is>
          <t>Laura Morales</t>
        </is>
      </c>
      <c r="B120" s="5">
        <f>COUNTIFS('ORDENES'!$AG$4:$AG$1203,$A120,'ORDENES'!$T$4:$T$1203,"sí")</f>
        <v/>
      </c>
      <c r="C120" s="5">
        <f>COUNTIFS('ORDENES'!$AG$4:$AG$1203,$A120,'ORDENES'!$N$4:$N$1203,"Cerrada",'ORDENES'!$T$4:$T$1203,"sí")</f>
        <v/>
      </c>
      <c r="D120" s="16">
        <f>IF(B120=0,"",C120/B120)</f>
        <v/>
      </c>
      <c r="E120" s="17">
        <f>SUMIFS('ORDENES'!$M$4:$M$1203,'ORDENES'!$AG$4:$AG$1203,$A120,'ORDENES'!$T$4:$T$1203,"sí")</f>
        <v/>
      </c>
      <c r="F120" s="17">
        <f>SUMIFS('ORDENES'!$M$4:$M$1203,'ORDENES'!$AG$4:$AG$1203,$A120,'ORDENES'!$N$4:$N$1203,"Cerrada",'ORDENES'!$T$4:$T$1203,"sí")</f>
        <v/>
      </c>
      <c r="G120" s="16">
        <f>IF(E120=0,"",F120/E120)</f>
        <v/>
      </c>
    </row>
    <row r="121">
      <c r="A121" s="5" t="inlineStr">
        <is>
          <t>Ricardo Ortiz</t>
        </is>
      </c>
      <c r="B121" s="5">
        <f>COUNTIFS('ORDENES'!$AG$4:$AG$1203,$A121,'ORDENES'!$T$4:$T$1203,"sí")</f>
        <v/>
      </c>
      <c r="C121" s="5">
        <f>COUNTIFS('ORDENES'!$AG$4:$AG$1203,$A121,'ORDENES'!$N$4:$N$1203,"Cerrada",'ORDENES'!$T$4:$T$1203,"sí")</f>
        <v/>
      </c>
      <c r="D121" s="16">
        <f>IF(B121=0,"",C121/B121)</f>
        <v/>
      </c>
      <c r="E121" s="17">
        <f>SUMIFS('ORDENES'!$M$4:$M$1203,'ORDENES'!$AG$4:$AG$1203,$A121,'ORDENES'!$T$4:$T$1203,"sí")</f>
        <v/>
      </c>
      <c r="F121" s="17">
        <f>SUMIFS('ORDENES'!$M$4:$M$1203,'ORDENES'!$AG$4:$AG$1203,$A121,'ORDENES'!$N$4:$N$1203,"Cerrada",'ORDENES'!$T$4:$T$1203,"sí")</f>
        <v/>
      </c>
      <c r="G121" s="16">
        <f>IF(E121=0,"",F121/E121)</f>
        <v/>
      </c>
    </row>
    <row r="122">
      <c r="A122" s="5" t="inlineStr">
        <is>
          <t>Eduardo Silva</t>
        </is>
      </c>
      <c r="B122" s="5">
        <f>COUNTIFS('ORDENES'!$AG$4:$AG$1203,$A122,'ORDENES'!$T$4:$T$1203,"sí")</f>
        <v/>
      </c>
      <c r="C122" s="5">
        <f>COUNTIFS('ORDENES'!$AG$4:$AG$1203,$A122,'ORDENES'!$N$4:$N$1203,"Cerrada",'ORDENES'!$T$4:$T$1203,"sí")</f>
        <v/>
      </c>
      <c r="D122" s="16">
        <f>IF(B122=0,"",C122/B122)</f>
        <v/>
      </c>
      <c r="E122" s="17">
        <f>SUMIFS('ORDENES'!$M$4:$M$1203,'ORDENES'!$AG$4:$AG$1203,$A122,'ORDENES'!$T$4:$T$1203,"sí")</f>
        <v/>
      </c>
      <c r="F122" s="17">
        <f>SUMIFS('ORDENES'!$M$4:$M$1203,'ORDENES'!$AG$4:$AG$1203,$A122,'ORDENES'!$N$4:$N$1203,"Cerrada",'ORDENES'!$T$4:$T$1203,"sí")</f>
        <v/>
      </c>
      <c r="G122" s="16">
        <f>IF(E122=0,"",F122/E122)</f>
        <v/>
      </c>
    </row>
    <row r="123">
      <c r="A123" s="5" t="inlineStr">
        <is>
          <t>Gabriela Rojas</t>
        </is>
      </c>
      <c r="B123" s="5">
        <f>COUNTIFS('ORDENES'!$AG$4:$AG$1203,$A123,'ORDENES'!$T$4:$T$1203,"sí")</f>
        <v/>
      </c>
      <c r="C123" s="5">
        <f>COUNTIFS('ORDENES'!$AG$4:$AG$1203,$A123,'ORDENES'!$N$4:$N$1203,"Cerrada",'ORDENES'!$T$4:$T$1203,"sí")</f>
        <v/>
      </c>
      <c r="D123" s="16">
        <f>IF(B123=0,"",C123/B123)</f>
        <v/>
      </c>
      <c r="E123" s="17">
        <f>SUMIFS('ORDENES'!$M$4:$M$1203,'ORDENES'!$AG$4:$AG$1203,$A123,'ORDENES'!$T$4:$T$1203,"sí")</f>
        <v/>
      </c>
      <c r="F123" s="17">
        <f>SUMIFS('ORDENES'!$M$4:$M$1203,'ORDENES'!$AG$4:$AG$1203,$A123,'ORDENES'!$N$4:$N$1203,"Cerrada",'ORDENES'!$T$4:$T$1203,"sí")</f>
        <v/>
      </c>
      <c r="G123" s="16">
        <f>IF(E123=0,"",F123/E123)</f>
        <v/>
      </c>
    </row>
    <row r="124">
      <c r="A124" s="5" t="inlineStr">
        <is>
          <t>Fernando Mendoza</t>
        </is>
      </c>
      <c r="B124" s="5">
        <f>COUNTIFS('ORDENES'!$AG$4:$AG$1203,$A124,'ORDENES'!$T$4:$T$1203,"sí")</f>
        <v/>
      </c>
      <c r="C124" s="5">
        <f>COUNTIFS('ORDENES'!$AG$4:$AG$1203,$A124,'ORDENES'!$N$4:$N$1203,"Cerrada",'ORDENES'!$T$4:$T$1203,"sí")</f>
        <v/>
      </c>
      <c r="D124" s="16">
        <f>IF(B124=0,"",C124/B124)</f>
        <v/>
      </c>
      <c r="E124" s="17">
        <f>SUMIFS('ORDENES'!$M$4:$M$1203,'ORDENES'!$AG$4:$AG$1203,$A124,'ORDENES'!$T$4:$T$1203,"sí")</f>
        <v/>
      </c>
      <c r="F124" s="17">
        <f>SUMIFS('ORDENES'!$M$4:$M$1203,'ORDENES'!$AG$4:$AG$1203,$A124,'ORDENES'!$N$4:$N$1203,"Cerrada",'ORDENES'!$T$4:$T$1203,"sí")</f>
        <v/>
      </c>
      <c r="G124" s="16">
        <f>IF(E124=0,"",F124/E124)</f>
        <v/>
      </c>
    </row>
    <row r="125">
      <c r="A125" s="5" t="inlineStr">
        <is>
          <t>Alberto Vargas</t>
        </is>
      </c>
      <c r="B125" s="5">
        <f>COUNTIFS('ORDENES'!$AG$4:$AG$1203,$A125,'ORDENES'!$T$4:$T$1203,"sí")</f>
        <v/>
      </c>
      <c r="C125" s="5">
        <f>COUNTIFS('ORDENES'!$AG$4:$AG$1203,$A125,'ORDENES'!$N$4:$N$1203,"Cerrada",'ORDENES'!$T$4:$T$1203,"sí")</f>
        <v/>
      </c>
      <c r="D125" s="16">
        <f>IF(B125=0,"",C125/B125)</f>
        <v/>
      </c>
      <c r="E125" s="17">
        <f>SUMIFS('ORDENES'!$M$4:$M$1203,'ORDENES'!$AG$4:$AG$1203,$A125,'ORDENES'!$T$4:$T$1203,"sí")</f>
        <v/>
      </c>
      <c r="F125" s="17">
        <f>SUMIFS('ORDENES'!$M$4:$M$1203,'ORDENES'!$AG$4:$AG$1203,$A125,'ORDENES'!$N$4:$N$1203,"Cerrada",'ORDENES'!$T$4:$T$1203,"sí")</f>
        <v/>
      </c>
      <c r="G125" s="16">
        <f>IF(E125=0,"",F125/E125)</f>
        <v/>
      </c>
    </row>
    <row r="126">
      <c r="A126" s="5" t="inlineStr">
        <is>
          <t>Daniela Medina</t>
        </is>
      </c>
      <c r="B126" s="5">
        <f>COUNTIFS('ORDENES'!$AG$4:$AG$1203,$A126,'ORDENES'!$T$4:$T$1203,"sí")</f>
        <v/>
      </c>
      <c r="C126" s="5">
        <f>COUNTIFS('ORDENES'!$AG$4:$AG$1203,$A126,'ORDENES'!$N$4:$N$1203,"Cerrada",'ORDENES'!$T$4:$T$1203,"sí")</f>
        <v/>
      </c>
      <c r="D126" s="16">
        <f>IF(B126=0,"",C126/B126)</f>
        <v/>
      </c>
      <c r="E126" s="17">
        <f>SUMIFS('ORDENES'!$M$4:$M$1203,'ORDENES'!$AG$4:$AG$1203,$A126,'ORDENES'!$T$4:$T$1203,"sí")</f>
        <v/>
      </c>
      <c r="F126" s="17">
        <f>SUMIFS('ORDENES'!$M$4:$M$1203,'ORDENES'!$AG$4:$AG$1203,$A126,'ORDENES'!$N$4:$N$1203,"Cerrada",'ORDENES'!$T$4:$T$1203,"sí")</f>
        <v/>
      </c>
      <c r="G126" s="16">
        <f>IF(E126=0,"",F126/E126)</f>
        <v/>
      </c>
    </row>
    <row r="128">
      <c r="A128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</t>
        </is>
      </c>
    </row>
    <row r="129">
      <c r="A129" s="15" t="inlineStr">
        <is>
          <t>mes</t>
        </is>
      </c>
      <c r="B129" s="15" t="inlineStr">
        <is>
          <t>corte</t>
        </is>
      </c>
      <c r="C129" s="15" t="inlineStr">
        <is>
          <t>total_ot</t>
        </is>
      </c>
      <c r="D129" s="15" t="inlineStr">
        <is>
          <t>cerradas</t>
        </is>
      </c>
      <c r="E129" s="15" t="inlineStr">
        <is>
          <t>adherencia</t>
        </is>
      </c>
      <c r="F129" s="15" t="inlineStr">
        <is>
          <t>meta</t>
        </is>
      </c>
      <c r="G129" s="15" t="inlineStr">
        <is>
          <t>legal_programadas</t>
        </is>
      </c>
      <c r="H129" s="15" t="inlineStr">
        <is>
          <t>legal_cerradas</t>
        </is>
      </c>
      <c r="I129" s="15" t="inlineStr">
        <is>
          <t>legal_adherencia</t>
        </is>
      </c>
      <c r="J129" s="15" t="inlineStr">
        <is>
          <t>legal_vencidas</t>
        </is>
      </c>
      <c r="K129" s="15" t="inlineStr">
        <is>
          <t>predictivo</t>
        </is>
      </c>
      <c r="L129" s="15" t="inlineStr">
        <is>
          <t>preventivo</t>
        </is>
      </c>
      <c r="M129" s="15" t="inlineStr">
        <is>
          <t>correctivo_programado</t>
        </is>
      </c>
      <c r="N129" s="15" t="inlineStr">
        <is>
          <t>emergencia</t>
        </is>
      </c>
      <c r="O129" s="15" t="inlineStr">
        <is>
          <t>legal</t>
        </is>
      </c>
      <c r="P129" s="15" t="inlineStr">
        <is>
          <t>SIN CLASIFICAR</t>
        </is>
      </c>
      <c r="Q129" s="15" t="inlineStr">
        <is>
          <t>CONTROL — órdenes del mes</t>
        </is>
      </c>
      <c r="R129" s="15" t="inlineStr">
        <is>
          <t>DIFERENCIA (debe ser 0)</t>
        </is>
      </c>
    </row>
    <row r="130">
      <c r="A130" s="5" t="inlineStr">
        <is>
          <t>2026-02</t>
        </is>
      </c>
      <c r="B130" s="22">
        <f>IF($A130="","",IF($A130=YEAR(p_fecha_datos)&amp;"-"&amp;TEXT(MONTH(p_fecha_datos),"00"),p_fecha_datos-1,DATE(VALUE(LEFT($A130,4)),VALUE(RIGHT($A130,2))+1,0)))</f>
        <v/>
      </c>
      <c r="C130" s="5">
        <f>COUNTIFS('ORDENES'!$R$4:$R$1203,$A130,'ORDENES'!$J$4:$J$1203,"&lt;="&amp;$B130,'ORDENES'!$T$4:$T$1203,"sí")</f>
        <v/>
      </c>
      <c r="D130" s="5">
        <f>COUNTIFS('ORDENES'!$R$4:$R$1203,$A130,'ORDENES'!$J$4:$J$1203,"&lt;="&amp;$B130,'ORDENES'!$T$4:$T$1203,"sí",'ORDENES'!$N$4:$N$1203,"Cerrada")</f>
        <v/>
      </c>
      <c r="E130" s="16">
        <f>IF($C130=0,"",$D130/$C130)</f>
        <v/>
      </c>
      <c r="F130" s="21">
        <f>p_meta_adherencia</f>
        <v/>
      </c>
      <c r="G130" s="5">
        <f>COUNTIFS('ORDENES'!$R$4:$R$1203,$A130,'ORDENES'!$J$4:$J$1203,"&lt;="&amp;$B130,'ORDENES'!$V$4:$V$1203,"legal")</f>
        <v/>
      </c>
      <c r="H130" s="5">
        <f>COUNTIFS('ORDENES'!$R$4:$R$1203,$A130,'ORDENES'!$J$4:$J$1203,"&lt;="&amp;$B130,'ORDENES'!$V$4:$V$1203,"legal",'ORDENES'!$N$4:$N$1203,"Cerrada")</f>
        <v/>
      </c>
      <c r="I130" s="16">
        <f>IF($G130=0,"",$H130/$G130)</f>
        <v/>
      </c>
      <c r="J130" s="5">
        <f>COUNTIFS('ORDENES'!$R$4:$R$1203,$A130,'ORDENES'!$J$4:$J$1203,"&lt;="&amp;$B130,'ORDENES'!$V$4:$V$1203,"legal",'ORDENES'!$N$4:$N$1203,"Pendiente")</f>
        <v/>
      </c>
      <c r="K130" s="5">
        <f>COUNTIFS('ORDENES'!$R$4:$R$1203,$A130,'ORDENES'!$J$4:$J$1203,"&lt;="&amp;$B130,'ORDENES'!$V$4:$V$1203,"predictivo")</f>
        <v/>
      </c>
      <c r="L130" s="5">
        <f>COUNTIFS('ORDENES'!$R$4:$R$1203,$A130,'ORDENES'!$J$4:$J$1203,"&lt;="&amp;$B130,'ORDENES'!$V$4:$V$1203,"preventivo")</f>
        <v/>
      </c>
      <c r="M130" s="5">
        <f>COUNTIFS('ORDENES'!$R$4:$R$1203,$A130,'ORDENES'!$J$4:$J$1203,"&lt;="&amp;$B130,'ORDENES'!$V$4:$V$1203,"correctivo_programado")</f>
        <v/>
      </c>
      <c r="N130" s="5">
        <f>COUNTIFS('ORDENES'!$R$4:$R$1203,$A130,'ORDENES'!$J$4:$J$1203,"&lt;="&amp;$B130,'ORDENES'!$V$4:$V$1203,"emergencia")</f>
        <v/>
      </c>
      <c r="O130" s="5">
        <f>COUNTIFS('ORDENES'!$R$4:$R$1203,$A130,'ORDENES'!$J$4:$J$1203,"&lt;="&amp;$B130,'ORDENES'!$V$4:$V$1203,"legal")</f>
        <v/>
      </c>
      <c r="P130" s="5">
        <f>COUNTIFS('ORDENES'!$R$4:$R$1203,$A130,'ORDENES'!$J$4:$J$1203,"&lt;="&amp;$B130,'ORDENES'!$V$4:$V$1203,"SIN CLASIFICAR")</f>
        <v/>
      </c>
      <c r="Q130" s="5">
        <f>COUNTIFS('ORDENES'!$R$4:$R$1203,$A130,'ORDENES'!$J$4:$J$1203,"&lt;="&amp;$B130)</f>
        <v/>
      </c>
      <c r="R130" s="5">
        <f>SUM(K130:P130)-Q130</f>
        <v/>
      </c>
    </row>
    <row r="131">
      <c r="A131" s="5" t="inlineStr">
        <is>
          <t>2026-03</t>
        </is>
      </c>
      <c r="B131" s="22">
        <f>IF($A131="","",IF($A131=YEAR(p_fecha_datos)&amp;"-"&amp;TEXT(MONTH(p_fecha_datos),"00"),p_fecha_datos-1,DATE(VALUE(LEFT($A131,4)),VALUE(RIGHT($A131,2))+1,0)))</f>
        <v/>
      </c>
      <c r="C131" s="5">
        <f>COUNTIFS('ORDENES'!$R$4:$R$1203,$A131,'ORDENES'!$J$4:$J$1203,"&lt;="&amp;$B131,'ORDENES'!$T$4:$T$1203,"sí")</f>
        <v/>
      </c>
      <c r="D131" s="5">
        <f>COUNTIFS('ORDENES'!$R$4:$R$1203,$A131,'ORDENES'!$J$4:$J$1203,"&lt;="&amp;$B131,'ORDENES'!$T$4:$T$1203,"sí",'ORDENES'!$N$4:$N$1203,"Cerrada")</f>
        <v/>
      </c>
      <c r="E131" s="16">
        <f>IF($C131=0,"",$D131/$C131)</f>
        <v/>
      </c>
      <c r="F131" s="21">
        <f>p_meta_adherencia</f>
        <v/>
      </c>
      <c r="G131" s="5">
        <f>COUNTIFS('ORDENES'!$R$4:$R$1203,$A131,'ORDENES'!$J$4:$J$1203,"&lt;="&amp;$B131,'ORDENES'!$V$4:$V$1203,"legal")</f>
        <v/>
      </c>
      <c r="H131" s="5">
        <f>COUNTIFS('ORDENES'!$R$4:$R$1203,$A131,'ORDENES'!$J$4:$J$1203,"&lt;="&amp;$B131,'ORDENES'!$V$4:$V$1203,"legal",'ORDENES'!$N$4:$N$1203,"Cerrada")</f>
        <v/>
      </c>
      <c r="I131" s="16">
        <f>IF($G131=0,"",$H131/$G131)</f>
        <v/>
      </c>
      <c r="J131" s="5">
        <f>COUNTIFS('ORDENES'!$R$4:$R$1203,$A131,'ORDENES'!$J$4:$J$1203,"&lt;="&amp;$B131,'ORDENES'!$V$4:$V$1203,"legal",'ORDENES'!$N$4:$N$1203,"Pendiente")</f>
        <v/>
      </c>
      <c r="K131" s="5">
        <f>COUNTIFS('ORDENES'!$R$4:$R$1203,$A131,'ORDENES'!$J$4:$J$1203,"&lt;="&amp;$B131,'ORDENES'!$V$4:$V$1203,"predictivo")</f>
        <v/>
      </c>
      <c r="L131" s="5">
        <f>COUNTIFS('ORDENES'!$R$4:$R$1203,$A131,'ORDENES'!$J$4:$J$1203,"&lt;="&amp;$B131,'ORDENES'!$V$4:$V$1203,"preventivo")</f>
        <v/>
      </c>
      <c r="M131" s="5">
        <f>COUNTIFS('ORDENES'!$R$4:$R$1203,$A131,'ORDENES'!$J$4:$J$1203,"&lt;="&amp;$B131,'ORDENES'!$V$4:$V$1203,"correctivo_programado")</f>
        <v/>
      </c>
      <c r="N131" s="5">
        <f>COUNTIFS('ORDENES'!$R$4:$R$1203,$A131,'ORDENES'!$J$4:$J$1203,"&lt;="&amp;$B131,'ORDENES'!$V$4:$V$1203,"emergencia")</f>
        <v/>
      </c>
      <c r="O131" s="5">
        <f>COUNTIFS('ORDENES'!$R$4:$R$1203,$A131,'ORDENES'!$J$4:$J$1203,"&lt;="&amp;$B131,'ORDENES'!$V$4:$V$1203,"legal")</f>
        <v/>
      </c>
      <c r="P131" s="5">
        <f>COUNTIFS('ORDENES'!$R$4:$R$1203,$A131,'ORDENES'!$J$4:$J$1203,"&lt;="&amp;$B131,'ORDENES'!$V$4:$V$1203,"SIN CLASIFICAR")</f>
        <v/>
      </c>
      <c r="Q131" s="5">
        <f>COUNTIFS('ORDENES'!$R$4:$R$1203,$A131,'ORDENES'!$J$4:$J$1203,"&lt;="&amp;$B131)</f>
        <v/>
      </c>
      <c r="R131" s="5">
        <f>SUM(K131:P131)-Q131</f>
        <v/>
      </c>
    </row>
    <row r="132">
      <c r="A132" s="5" t="inlineStr">
        <is>
          <t>2026-04</t>
        </is>
      </c>
      <c r="B132" s="22">
        <f>IF($A132="","",IF($A132=YEAR(p_fecha_datos)&amp;"-"&amp;TEXT(MONTH(p_fecha_datos),"00"),p_fecha_datos-1,DATE(VALUE(LEFT($A132,4)),VALUE(RIGHT($A132,2))+1,0)))</f>
        <v/>
      </c>
      <c r="C132" s="5">
        <f>COUNTIFS('ORDENES'!$R$4:$R$1203,$A132,'ORDENES'!$J$4:$J$1203,"&lt;="&amp;$B132,'ORDENES'!$T$4:$T$1203,"sí")</f>
        <v/>
      </c>
      <c r="D132" s="5">
        <f>COUNTIFS('ORDENES'!$R$4:$R$1203,$A132,'ORDENES'!$J$4:$J$1203,"&lt;="&amp;$B132,'ORDENES'!$T$4:$T$1203,"sí",'ORDENES'!$N$4:$N$1203,"Cerrada")</f>
        <v/>
      </c>
      <c r="E132" s="16">
        <f>IF($C132=0,"",$D132/$C132)</f>
        <v/>
      </c>
      <c r="F132" s="21">
        <f>p_meta_adherencia</f>
        <v/>
      </c>
      <c r="G132" s="5">
        <f>COUNTIFS('ORDENES'!$R$4:$R$1203,$A132,'ORDENES'!$J$4:$J$1203,"&lt;="&amp;$B132,'ORDENES'!$V$4:$V$1203,"legal")</f>
        <v/>
      </c>
      <c r="H132" s="5">
        <f>COUNTIFS('ORDENES'!$R$4:$R$1203,$A132,'ORDENES'!$J$4:$J$1203,"&lt;="&amp;$B132,'ORDENES'!$V$4:$V$1203,"legal",'ORDENES'!$N$4:$N$1203,"Cerrada")</f>
        <v/>
      </c>
      <c r="I132" s="16">
        <f>IF($G132=0,"",$H132/$G132)</f>
        <v/>
      </c>
      <c r="J132" s="5">
        <f>COUNTIFS('ORDENES'!$R$4:$R$1203,$A132,'ORDENES'!$J$4:$J$1203,"&lt;="&amp;$B132,'ORDENES'!$V$4:$V$1203,"legal",'ORDENES'!$N$4:$N$1203,"Pendiente")</f>
        <v/>
      </c>
      <c r="K132" s="5">
        <f>COUNTIFS('ORDENES'!$R$4:$R$1203,$A132,'ORDENES'!$J$4:$J$1203,"&lt;="&amp;$B132,'ORDENES'!$V$4:$V$1203,"predictivo")</f>
        <v/>
      </c>
      <c r="L132" s="5">
        <f>COUNTIFS('ORDENES'!$R$4:$R$1203,$A132,'ORDENES'!$J$4:$J$1203,"&lt;="&amp;$B132,'ORDENES'!$V$4:$V$1203,"preventivo")</f>
        <v/>
      </c>
      <c r="M132" s="5">
        <f>COUNTIFS('ORDENES'!$R$4:$R$1203,$A132,'ORDENES'!$J$4:$J$1203,"&lt;="&amp;$B132,'ORDENES'!$V$4:$V$1203,"correctivo_programado")</f>
        <v/>
      </c>
      <c r="N132" s="5">
        <f>COUNTIFS('ORDENES'!$R$4:$R$1203,$A132,'ORDENES'!$J$4:$J$1203,"&lt;="&amp;$B132,'ORDENES'!$V$4:$V$1203,"emergencia")</f>
        <v/>
      </c>
      <c r="O132" s="5">
        <f>COUNTIFS('ORDENES'!$R$4:$R$1203,$A132,'ORDENES'!$J$4:$J$1203,"&lt;="&amp;$B132,'ORDENES'!$V$4:$V$1203,"legal")</f>
        <v/>
      </c>
      <c r="P132" s="5">
        <f>COUNTIFS('ORDENES'!$R$4:$R$1203,$A132,'ORDENES'!$J$4:$J$1203,"&lt;="&amp;$B132,'ORDENES'!$V$4:$V$1203,"SIN CLASIFICAR")</f>
        <v/>
      </c>
      <c r="Q132" s="5">
        <f>COUNTIFS('ORDENES'!$R$4:$R$1203,$A132,'ORDENES'!$J$4:$J$1203,"&lt;="&amp;$B132)</f>
        <v/>
      </c>
      <c r="R132" s="5">
        <f>SUM(K132:P132)-Q132</f>
        <v/>
      </c>
    </row>
    <row r="133">
      <c r="A133" s="5" t="inlineStr">
        <is>
          <t>2026-05</t>
        </is>
      </c>
      <c r="B133" s="22">
        <f>IF($A133="","",IF($A133=YEAR(p_fecha_datos)&amp;"-"&amp;TEXT(MONTH(p_fecha_datos),"00"),p_fecha_datos-1,DATE(VALUE(LEFT($A133,4)),VALUE(RIGHT($A133,2))+1,0)))</f>
        <v/>
      </c>
      <c r="C133" s="5">
        <f>COUNTIFS('ORDENES'!$R$4:$R$1203,$A133,'ORDENES'!$J$4:$J$1203,"&lt;="&amp;$B133,'ORDENES'!$T$4:$T$1203,"sí")</f>
        <v/>
      </c>
      <c r="D133" s="5">
        <f>COUNTIFS('ORDENES'!$R$4:$R$1203,$A133,'ORDENES'!$J$4:$J$1203,"&lt;="&amp;$B133,'ORDENES'!$T$4:$T$1203,"sí",'ORDENES'!$N$4:$N$1203,"Cerrada")</f>
        <v/>
      </c>
      <c r="E133" s="16">
        <f>IF($C133=0,"",$D133/$C133)</f>
        <v/>
      </c>
      <c r="F133" s="21">
        <f>p_meta_adherencia</f>
        <v/>
      </c>
      <c r="G133" s="5">
        <f>COUNTIFS('ORDENES'!$R$4:$R$1203,$A133,'ORDENES'!$J$4:$J$1203,"&lt;="&amp;$B133,'ORDENES'!$V$4:$V$1203,"legal")</f>
        <v/>
      </c>
      <c r="H133" s="5">
        <f>COUNTIFS('ORDENES'!$R$4:$R$1203,$A133,'ORDENES'!$J$4:$J$1203,"&lt;="&amp;$B133,'ORDENES'!$V$4:$V$1203,"legal",'ORDENES'!$N$4:$N$1203,"Cerrada")</f>
        <v/>
      </c>
      <c r="I133" s="16">
        <f>IF($G133=0,"",$H133/$G133)</f>
        <v/>
      </c>
      <c r="J133" s="5">
        <f>COUNTIFS('ORDENES'!$R$4:$R$1203,$A133,'ORDENES'!$J$4:$J$1203,"&lt;="&amp;$B133,'ORDENES'!$V$4:$V$1203,"legal",'ORDENES'!$N$4:$N$1203,"Pendiente")</f>
        <v/>
      </c>
      <c r="K133" s="5">
        <f>COUNTIFS('ORDENES'!$R$4:$R$1203,$A133,'ORDENES'!$J$4:$J$1203,"&lt;="&amp;$B133,'ORDENES'!$V$4:$V$1203,"predictivo")</f>
        <v/>
      </c>
      <c r="L133" s="5">
        <f>COUNTIFS('ORDENES'!$R$4:$R$1203,$A133,'ORDENES'!$J$4:$J$1203,"&lt;="&amp;$B133,'ORDENES'!$V$4:$V$1203,"preventivo")</f>
        <v/>
      </c>
      <c r="M133" s="5">
        <f>COUNTIFS('ORDENES'!$R$4:$R$1203,$A133,'ORDENES'!$J$4:$J$1203,"&lt;="&amp;$B133,'ORDENES'!$V$4:$V$1203,"correctivo_programado")</f>
        <v/>
      </c>
      <c r="N133" s="5">
        <f>COUNTIFS('ORDENES'!$R$4:$R$1203,$A133,'ORDENES'!$J$4:$J$1203,"&lt;="&amp;$B133,'ORDENES'!$V$4:$V$1203,"emergencia")</f>
        <v/>
      </c>
      <c r="O133" s="5">
        <f>COUNTIFS('ORDENES'!$R$4:$R$1203,$A133,'ORDENES'!$J$4:$J$1203,"&lt;="&amp;$B133,'ORDENES'!$V$4:$V$1203,"legal")</f>
        <v/>
      </c>
      <c r="P133" s="5">
        <f>COUNTIFS('ORDENES'!$R$4:$R$1203,$A133,'ORDENES'!$J$4:$J$1203,"&lt;="&amp;$B133,'ORDENES'!$V$4:$V$1203,"SIN CLASIFICAR")</f>
        <v/>
      </c>
      <c r="Q133" s="5">
        <f>COUNTIFS('ORDENES'!$R$4:$R$1203,$A133,'ORDENES'!$J$4:$J$1203,"&lt;="&amp;$B133)</f>
        <v/>
      </c>
      <c r="R133" s="5">
        <f>SUM(K133:P133)-Q133</f>
        <v/>
      </c>
    </row>
    <row r="134">
      <c r="A134" s="5" t="inlineStr">
        <is>
          <t>2026-06</t>
        </is>
      </c>
      <c r="B134" s="22">
        <f>IF($A134="","",IF($A134=YEAR(p_fecha_datos)&amp;"-"&amp;TEXT(MONTH(p_fecha_datos),"00"),p_fecha_datos-1,DATE(VALUE(LEFT($A134,4)),VALUE(RIGHT($A134,2))+1,0)))</f>
        <v/>
      </c>
      <c r="C134" s="5">
        <f>COUNTIFS('ORDENES'!$R$4:$R$1203,$A134,'ORDENES'!$J$4:$J$1203,"&lt;="&amp;$B134,'ORDENES'!$T$4:$T$1203,"sí")</f>
        <v/>
      </c>
      <c r="D134" s="5">
        <f>COUNTIFS('ORDENES'!$R$4:$R$1203,$A134,'ORDENES'!$J$4:$J$1203,"&lt;="&amp;$B134,'ORDENES'!$T$4:$T$1203,"sí",'ORDENES'!$N$4:$N$1203,"Cerrada")</f>
        <v/>
      </c>
      <c r="E134" s="16">
        <f>IF($C134=0,"",$D134/$C134)</f>
        <v/>
      </c>
      <c r="F134" s="21">
        <f>p_meta_adherencia</f>
        <v/>
      </c>
      <c r="G134" s="5">
        <f>COUNTIFS('ORDENES'!$R$4:$R$1203,$A134,'ORDENES'!$J$4:$J$1203,"&lt;="&amp;$B134,'ORDENES'!$V$4:$V$1203,"legal")</f>
        <v/>
      </c>
      <c r="H134" s="5">
        <f>COUNTIFS('ORDENES'!$R$4:$R$1203,$A134,'ORDENES'!$J$4:$J$1203,"&lt;="&amp;$B134,'ORDENES'!$V$4:$V$1203,"legal",'ORDENES'!$N$4:$N$1203,"Cerrada")</f>
        <v/>
      </c>
      <c r="I134" s="16">
        <f>IF($G134=0,"",$H134/$G134)</f>
        <v/>
      </c>
      <c r="J134" s="5">
        <f>COUNTIFS('ORDENES'!$R$4:$R$1203,$A134,'ORDENES'!$J$4:$J$1203,"&lt;="&amp;$B134,'ORDENES'!$V$4:$V$1203,"legal",'ORDENES'!$N$4:$N$1203,"Pendiente")</f>
        <v/>
      </c>
      <c r="K134" s="5">
        <f>COUNTIFS('ORDENES'!$R$4:$R$1203,$A134,'ORDENES'!$J$4:$J$1203,"&lt;="&amp;$B134,'ORDENES'!$V$4:$V$1203,"predictivo")</f>
        <v/>
      </c>
      <c r="L134" s="5">
        <f>COUNTIFS('ORDENES'!$R$4:$R$1203,$A134,'ORDENES'!$J$4:$J$1203,"&lt;="&amp;$B134,'ORDENES'!$V$4:$V$1203,"preventivo")</f>
        <v/>
      </c>
      <c r="M134" s="5">
        <f>COUNTIFS('ORDENES'!$R$4:$R$1203,$A134,'ORDENES'!$J$4:$J$1203,"&lt;="&amp;$B134,'ORDENES'!$V$4:$V$1203,"correctivo_programado")</f>
        <v/>
      </c>
      <c r="N134" s="5">
        <f>COUNTIFS('ORDENES'!$R$4:$R$1203,$A134,'ORDENES'!$J$4:$J$1203,"&lt;="&amp;$B134,'ORDENES'!$V$4:$V$1203,"emergencia")</f>
        <v/>
      </c>
      <c r="O134" s="5">
        <f>COUNTIFS('ORDENES'!$R$4:$R$1203,$A134,'ORDENES'!$J$4:$J$1203,"&lt;="&amp;$B134,'ORDENES'!$V$4:$V$1203,"legal")</f>
        <v/>
      </c>
      <c r="P134" s="5">
        <f>COUNTIFS('ORDENES'!$R$4:$R$1203,$A134,'ORDENES'!$J$4:$J$1203,"&lt;="&amp;$B134,'ORDENES'!$V$4:$V$1203,"SIN CLASIFICAR")</f>
        <v/>
      </c>
      <c r="Q134" s="5">
        <f>COUNTIFS('ORDENES'!$R$4:$R$1203,$A134,'ORDENES'!$J$4:$J$1203,"&lt;="&amp;$B134)</f>
        <v/>
      </c>
      <c r="R134" s="5">
        <f>SUM(K134:P134)-Q134</f>
        <v/>
      </c>
    </row>
    <row r="135">
      <c r="A135" s="5" t="inlineStr">
        <is>
          <t>2026-07</t>
        </is>
      </c>
      <c r="B135" s="22">
        <f>IF($A135="","",IF($A135=YEAR(p_fecha_datos)&amp;"-"&amp;TEXT(MONTH(p_fecha_datos),"00"),p_fecha_datos-1,DATE(VALUE(LEFT($A135,4)),VALUE(RIGHT($A135,2))+1,0)))</f>
        <v/>
      </c>
      <c r="C135" s="5">
        <f>COUNTIFS('ORDENES'!$R$4:$R$1203,$A135,'ORDENES'!$J$4:$J$1203,"&lt;="&amp;$B135,'ORDENES'!$T$4:$T$1203,"sí")</f>
        <v/>
      </c>
      <c r="D135" s="5">
        <f>COUNTIFS('ORDENES'!$R$4:$R$1203,$A135,'ORDENES'!$J$4:$J$1203,"&lt;="&amp;$B135,'ORDENES'!$T$4:$T$1203,"sí",'ORDENES'!$N$4:$N$1203,"Cerrada")</f>
        <v/>
      </c>
      <c r="E135" s="16">
        <f>IF($C135=0,"",$D135/$C135)</f>
        <v/>
      </c>
      <c r="F135" s="21">
        <f>p_meta_adherencia</f>
        <v/>
      </c>
      <c r="G135" s="5">
        <f>COUNTIFS('ORDENES'!$R$4:$R$1203,$A135,'ORDENES'!$J$4:$J$1203,"&lt;="&amp;$B135,'ORDENES'!$V$4:$V$1203,"legal")</f>
        <v/>
      </c>
      <c r="H135" s="5">
        <f>COUNTIFS('ORDENES'!$R$4:$R$1203,$A135,'ORDENES'!$J$4:$J$1203,"&lt;="&amp;$B135,'ORDENES'!$V$4:$V$1203,"legal",'ORDENES'!$N$4:$N$1203,"Cerrada")</f>
        <v/>
      </c>
      <c r="I135" s="16">
        <f>IF($G135=0,"",$H135/$G135)</f>
        <v/>
      </c>
      <c r="J135" s="5">
        <f>COUNTIFS('ORDENES'!$R$4:$R$1203,$A135,'ORDENES'!$J$4:$J$1203,"&lt;="&amp;$B135,'ORDENES'!$V$4:$V$1203,"legal",'ORDENES'!$N$4:$N$1203,"Pendiente")</f>
        <v/>
      </c>
      <c r="K135" s="5">
        <f>COUNTIFS('ORDENES'!$R$4:$R$1203,$A135,'ORDENES'!$J$4:$J$1203,"&lt;="&amp;$B135,'ORDENES'!$V$4:$V$1203,"predictivo")</f>
        <v/>
      </c>
      <c r="L135" s="5">
        <f>COUNTIFS('ORDENES'!$R$4:$R$1203,$A135,'ORDENES'!$J$4:$J$1203,"&lt;="&amp;$B135,'ORDENES'!$V$4:$V$1203,"preventivo")</f>
        <v/>
      </c>
      <c r="M135" s="5">
        <f>COUNTIFS('ORDENES'!$R$4:$R$1203,$A135,'ORDENES'!$J$4:$J$1203,"&lt;="&amp;$B135,'ORDENES'!$V$4:$V$1203,"correctivo_programado")</f>
        <v/>
      </c>
      <c r="N135" s="5">
        <f>COUNTIFS('ORDENES'!$R$4:$R$1203,$A135,'ORDENES'!$J$4:$J$1203,"&lt;="&amp;$B135,'ORDENES'!$V$4:$V$1203,"emergencia")</f>
        <v/>
      </c>
      <c r="O135" s="5">
        <f>COUNTIFS('ORDENES'!$R$4:$R$1203,$A135,'ORDENES'!$J$4:$J$1203,"&lt;="&amp;$B135,'ORDENES'!$V$4:$V$1203,"legal")</f>
        <v/>
      </c>
      <c r="P135" s="5">
        <f>COUNTIFS('ORDENES'!$R$4:$R$1203,$A135,'ORDENES'!$J$4:$J$1203,"&lt;="&amp;$B135,'ORDENES'!$V$4:$V$1203,"SIN CLASIFICAR")</f>
        <v/>
      </c>
      <c r="Q135" s="5">
        <f>COUNTIFS('ORDENES'!$R$4:$R$1203,$A135,'ORDENES'!$J$4:$J$1203,"&lt;="&amp;$B135)</f>
        <v/>
      </c>
      <c r="R135" s="5">
        <f>SUM(K135:P135)-Q135</f>
        <v/>
      </c>
    </row>
    <row r="136">
      <c r="A136" s="5" t="inlineStr">
        <is>
          <t>2026-08</t>
        </is>
      </c>
      <c r="B136" s="22">
        <f>IF($A136="","",IF($A136=YEAR(p_fecha_datos)&amp;"-"&amp;TEXT(MONTH(p_fecha_datos),"00"),p_fecha_datos-1,DATE(VALUE(LEFT($A136,4)),VALUE(RIGHT($A136,2))+1,0)))</f>
        <v/>
      </c>
      <c r="C136" s="5">
        <f>COUNTIFS('ORDENES'!$R$4:$R$1203,$A136,'ORDENES'!$J$4:$J$1203,"&lt;="&amp;$B136,'ORDENES'!$T$4:$T$1203,"sí")</f>
        <v/>
      </c>
      <c r="D136" s="5">
        <f>COUNTIFS('ORDENES'!$R$4:$R$1203,$A136,'ORDENES'!$J$4:$J$1203,"&lt;="&amp;$B136,'ORDENES'!$T$4:$T$1203,"sí",'ORDENES'!$N$4:$N$1203,"Cerrada")</f>
        <v/>
      </c>
      <c r="E136" s="16">
        <f>IF($C136=0,"",$D136/$C136)</f>
        <v/>
      </c>
      <c r="F136" s="21">
        <f>p_meta_adherencia</f>
        <v/>
      </c>
      <c r="G136" s="5">
        <f>COUNTIFS('ORDENES'!$R$4:$R$1203,$A136,'ORDENES'!$J$4:$J$1203,"&lt;="&amp;$B136,'ORDENES'!$V$4:$V$1203,"legal")</f>
        <v/>
      </c>
      <c r="H136" s="5">
        <f>COUNTIFS('ORDENES'!$R$4:$R$1203,$A136,'ORDENES'!$J$4:$J$1203,"&lt;="&amp;$B136,'ORDENES'!$V$4:$V$1203,"legal",'ORDENES'!$N$4:$N$1203,"Cerrada")</f>
        <v/>
      </c>
      <c r="I136" s="16">
        <f>IF($G136=0,"",$H136/$G136)</f>
        <v/>
      </c>
      <c r="J136" s="5">
        <f>COUNTIFS('ORDENES'!$R$4:$R$1203,$A136,'ORDENES'!$J$4:$J$1203,"&lt;="&amp;$B136,'ORDENES'!$V$4:$V$1203,"legal",'ORDENES'!$N$4:$N$1203,"Pendiente")</f>
        <v/>
      </c>
      <c r="K136" s="5">
        <f>COUNTIFS('ORDENES'!$R$4:$R$1203,$A136,'ORDENES'!$J$4:$J$1203,"&lt;="&amp;$B136,'ORDENES'!$V$4:$V$1203,"predictivo")</f>
        <v/>
      </c>
      <c r="L136" s="5">
        <f>COUNTIFS('ORDENES'!$R$4:$R$1203,$A136,'ORDENES'!$J$4:$J$1203,"&lt;="&amp;$B136,'ORDENES'!$V$4:$V$1203,"preventivo")</f>
        <v/>
      </c>
      <c r="M136" s="5">
        <f>COUNTIFS('ORDENES'!$R$4:$R$1203,$A136,'ORDENES'!$J$4:$J$1203,"&lt;="&amp;$B136,'ORDENES'!$V$4:$V$1203,"correctivo_programado")</f>
        <v/>
      </c>
      <c r="N136" s="5">
        <f>COUNTIFS('ORDENES'!$R$4:$R$1203,$A136,'ORDENES'!$J$4:$J$1203,"&lt;="&amp;$B136,'ORDENES'!$V$4:$V$1203,"emergencia")</f>
        <v/>
      </c>
      <c r="O136" s="5">
        <f>COUNTIFS('ORDENES'!$R$4:$R$1203,$A136,'ORDENES'!$J$4:$J$1203,"&lt;="&amp;$B136,'ORDENES'!$V$4:$V$1203,"legal")</f>
        <v/>
      </c>
      <c r="P136" s="5">
        <f>COUNTIFS('ORDENES'!$R$4:$R$1203,$A136,'ORDENES'!$J$4:$J$1203,"&lt;="&amp;$B136,'ORDENES'!$V$4:$V$1203,"SIN CLASIFICAR")</f>
        <v/>
      </c>
      <c r="Q136" s="5">
        <f>COUNTIFS('ORDENES'!$R$4:$R$1203,$A136,'ORDENES'!$J$4:$J$1203,"&lt;="&amp;$B136)</f>
        <v/>
      </c>
      <c r="R136" s="5">
        <f>SUM(K136:P136)-Q136</f>
        <v/>
      </c>
    </row>
    <row r="137">
      <c r="A137" s="5" t="inlineStr">
        <is>
          <t>2026-09</t>
        </is>
      </c>
      <c r="B137" s="22">
        <f>IF($A137="","",IF($A137=YEAR(p_fecha_datos)&amp;"-"&amp;TEXT(MONTH(p_fecha_datos),"00"),p_fecha_datos-1,DATE(VALUE(LEFT($A137,4)),VALUE(RIGHT($A137,2))+1,0)))</f>
        <v/>
      </c>
      <c r="C137" s="5">
        <f>COUNTIFS('ORDENES'!$R$4:$R$1203,$A137,'ORDENES'!$J$4:$J$1203,"&lt;="&amp;$B137,'ORDENES'!$T$4:$T$1203,"sí")</f>
        <v/>
      </c>
      <c r="D137" s="5">
        <f>COUNTIFS('ORDENES'!$R$4:$R$1203,$A137,'ORDENES'!$J$4:$J$1203,"&lt;="&amp;$B137,'ORDENES'!$T$4:$T$1203,"sí",'ORDENES'!$N$4:$N$1203,"Cerrada")</f>
        <v/>
      </c>
      <c r="E137" s="16">
        <f>IF($C137=0,"",$D137/$C137)</f>
        <v/>
      </c>
      <c r="F137" s="21">
        <f>p_meta_adherencia</f>
        <v/>
      </c>
      <c r="G137" s="5">
        <f>COUNTIFS('ORDENES'!$R$4:$R$1203,$A137,'ORDENES'!$J$4:$J$1203,"&lt;="&amp;$B137,'ORDENES'!$V$4:$V$1203,"legal")</f>
        <v/>
      </c>
      <c r="H137" s="5">
        <f>COUNTIFS('ORDENES'!$R$4:$R$1203,$A137,'ORDENES'!$J$4:$J$1203,"&lt;="&amp;$B137,'ORDENES'!$V$4:$V$1203,"legal",'ORDENES'!$N$4:$N$1203,"Cerrada")</f>
        <v/>
      </c>
      <c r="I137" s="16">
        <f>IF($G137=0,"",$H137/$G137)</f>
        <v/>
      </c>
      <c r="J137" s="5">
        <f>COUNTIFS('ORDENES'!$R$4:$R$1203,$A137,'ORDENES'!$J$4:$J$1203,"&lt;="&amp;$B137,'ORDENES'!$V$4:$V$1203,"legal",'ORDENES'!$N$4:$N$1203,"Pendiente")</f>
        <v/>
      </c>
      <c r="K137" s="5">
        <f>COUNTIFS('ORDENES'!$R$4:$R$1203,$A137,'ORDENES'!$J$4:$J$1203,"&lt;="&amp;$B137,'ORDENES'!$V$4:$V$1203,"predictivo")</f>
        <v/>
      </c>
      <c r="L137" s="5">
        <f>COUNTIFS('ORDENES'!$R$4:$R$1203,$A137,'ORDENES'!$J$4:$J$1203,"&lt;="&amp;$B137,'ORDENES'!$V$4:$V$1203,"preventivo")</f>
        <v/>
      </c>
      <c r="M137" s="5">
        <f>COUNTIFS('ORDENES'!$R$4:$R$1203,$A137,'ORDENES'!$J$4:$J$1203,"&lt;="&amp;$B137,'ORDENES'!$V$4:$V$1203,"correctivo_programado")</f>
        <v/>
      </c>
      <c r="N137" s="5">
        <f>COUNTIFS('ORDENES'!$R$4:$R$1203,$A137,'ORDENES'!$J$4:$J$1203,"&lt;="&amp;$B137,'ORDENES'!$V$4:$V$1203,"emergencia")</f>
        <v/>
      </c>
      <c r="O137" s="5">
        <f>COUNTIFS('ORDENES'!$R$4:$R$1203,$A137,'ORDENES'!$J$4:$J$1203,"&lt;="&amp;$B137,'ORDENES'!$V$4:$V$1203,"legal")</f>
        <v/>
      </c>
      <c r="P137" s="5">
        <f>COUNTIFS('ORDENES'!$R$4:$R$1203,$A137,'ORDENES'!$J$4:$J$1203,"&lt;="&amp;$B137,'ORDENES'!$V$4:$V$1203,"SIN CLASIFICAR")</f>
        <v/>
      </c>
      <c r="Q137" s="5">
        <f>COUNTIFS('ORDENES'!$R$4:$R$1203,$A137,'ORDENES'!$J$4:$J$1203,"&lt;="&amp;$B137)</f>
        <v/>
      </c>
      <c r="R137" s="5">
        <f>SUM(K137:P137)-Q137</f>
        <v/>
      </c>
    </row>
    <row r="138">
      <c r="A138" s="5" t="inlineStr">
        <is>
          <t>2026-11</t>
        </is>
      </c>
      <c r="B138" s="22">
        <f>IF($A138="","",IF($A138=YEAR(p_fecha_datos)&amp;"-"&amp;TEXT(MONTH(p_fecha_datos),"00"),p_fecha_datos-1,DATE(VALUE(LEFT($A138,4)),VALUE(RIGHT($A138,2))+1,0)))</f>
        <v/>
      </c>
      <c r="C138" s="5">
        <f>COUNTIFS('ORDENES'!$R$4:$R$1203,$A138,'ORDENES'!$J$4:$J$1203,"&lt;="&amp;$B138,'ORDENES'!$T$4:$T$1203,"sí")</f>
        <v/>
      </c>
      <c r="D138" s="5">
        <f>COUNTIFS('ORDENES'!$R$4:$R$1203,$A138,'ORDENES'!$J$4:$J$1203,"&lt;="&amp;$B138,'ORDENES'!$T$4:$T$1203,"sí",'ORDENES'!$N$4:$N$1203,"Cerrada")</f>
        <v/>
      </c>
      <c r="E138" s="16">
        <f>IF($C138=0,"",$D138/$C138)</f>
        <v/>
      </c>
      <c r="F138" s="21">
        <f>p_meta_adherencia</f>
        <v/>
      </c>
      <c r="G138" s="5">
        <f>COUNTIFS('ORDENES'!$R$4:$R$1203,$A138,'ORDENES'!$J$4:$J$1203,"&lt;="&amp;$B138,'ORDENES'!$V$4:$V$1203,"legal")</f>
        <v/>
      </c>
      <c r="H138" s="5">
        <f>COUNTIFS('ORDENES'!$R$4:$R$1203,$A138,'ORDENES'!$J$4:$J$1203,"&lt;="&amp;$B138,'ORDENES'!$V$4:$V$1203,"legal",'ORDENES'!$N$4:$N$1203,"Cerrada")</f>
        <v/>
      </c>
      <c r="I138" s="16">
        <f>IF($G138=0,"",$H138/$G138)</f>
        <v/>
      </c>
      <c r="J138" s="5">
        <f>COUNTIFS('ORDENES'!$R$4:$R$1203,$A138,'ORDENES'!$J$4:$J$1203,"&lt;="&amp;$B138,'ORDENES'!$V$4:$V$1203,"legal",'ORDENES'!$N$4:$N$1203,"Pendiente")</f>
        <v/>
      </c>
      <c r="K138" s="5">
        <f>COUNTIFS('ORDENES'!$R$4:$R$1203,$A138,'ORDENES'!$J$4:$J$1203,"&lt;="&amp;$B138,'ORDENES'!$V$4:$V$1203,"predictivo")</f>
        <v/>
      </c>
      <c r="L138" s="5">
        <f>COUNTIFS('ORDENES'!$R$4:$R$1203,$A138,'ORDENES'!$J$4:$J$1203,"&lt;="&amp;$B138,'ORDENES'!$V$4:$V$1203,"preventivo")</f>
        <v/>
      </c>
      <c r="M138" s="5">
        <f>COUNTIFS('ORDENES'!$R$4:$R$1203,$A138,'ORDENES'!$J$4:$J$1203,"&lt;="&amp;$B138,'ORDENES'!$V$4:$V$1203,"correctivo_programado")</f>
        <v/>
      </c>
      <c r="N138" s="5">
        <f>COUNTIFS('ORDENES'!$R$4:$R$1203,$A138,'ORDENES'!$J$4:$J$1203,"&lt;="&amp;$B138,'ORDENES'!$V$4:$V$1203,"emergencia")</f>
        <v/>
      </c>
      <c r="O138" s="5">
        <f>COUNTIFS('ORDENES'!$R$4:$R$1203,$A138,'ORDENES'!$J$4:$J$1203,"&lt;="&amp;$B138,'ORDENES'!$V$4:$V$1203,"legal")</f>
        <v/>
      </c>
      <c r="P138" s="5">
        <f>COUNTIFS('ORDENES'!$R$4:$R$1203,$A138,'ORDENES'!$J$4:$J$1203,"&lt;="&amp;$B138,'ORDENES'!$V$4:$V$1203,"SIN CLASIFICAR")</f>
        <v/>
      </c>
      <c r="Q138" s="5">
        <f>COUNTIFS('ORDENES'!$R$4:$R$1203,$A138,'ORDENES'!$J$4:$J$1203,"&lt;="&amp;$B138)</f>
        <v/>
      </c>
      <c r="R138" s="5">
        <f>SUM(K138:P138)-Q138</f>
        <v/>
      </c>
    </row>
    <row r="139">
      <c r="A139" s="5" t="inlineStr">
        <is>
          <t>2026-12</t>
        </is>
      </c>
      <c r="B139" s="22">
        <f>IF($A139="","",IF($A139=YEAR(p_fecha_datos)&amp;"-"&amp;TEXT(MONTH(p_fecha_datos),"00"),p_fecha_datos-1,DATE(VALUE(LEFT($A139,4)),VALUE(RIGHT($A139,2))+1,0)))</f>
        <v/>
      </c>
      <c r="C139" s="5">
        <f>COUNTIFS('ORDENES'!$R$4:$R$1203,$A139,'ORDENES'!$J$4:$J$1203,"&lt;="&amp;$B139,'ORDENES'!$T$4:$T$1203,"sí")</f>
        <v/>
      </c>
      <c r="D139" s="5">
        <f>COUNTIFS('ORDENES'!$R$4:$R$1203,$A139,'ORDENES'!$J$4:$J$1203,"&lt;="&amp;$B139,'ORDENES'!$T$4:$T$1203,"sí",'ORDENES'!$N$4:$N$1203,"Cerrada")</f>
        <v/>
      </c>
      <c r="E139" s="16">
        <f>IF($C139=0,"",$D139/$C139)</f>
        <v/>
      </c>
      <c r="F139" s="21">
        <f>p_meta_adherencia</f>
        <v/>
      </c>
      <c r="G139" s="5">
        <f>COUNTIFS('ORDENES'!$R$4:$R$1203,$A139,'ORDENES'!$J$4:$J$1203,"&lt;="&amp;$B139,'ORDENES'!$V$4:$V$1203,"legal")</f>
        <v/>
      </c>
      <c r="H139" s="5">
        <f>COUNTIFS('ORDENES'!$R$4:$R$1203,$A139,'ORDENES'!$J$4:$J$1203,"&lt;="&amp;$B139,'ORDENES'!$V$4:$V$1203,"legal",'ORDENES'!$N$4:$N$1203,"Cerrada")</f>
        <v/>
      </c>
      <c r="I139" s="16">
        <f>IF($G139=0,"",$H139/$G139)</f>
        <v/>
      </c>
      <c r="J139" s="5">
        <f>COUNTIFS('ORDENES'!$R$4:$R$1203,$A139,'ORDENES'!$J$4:$J$1203,"&lt;="&amp;$B139,'ORDENES'!$V$4:$V$1203,"legal",'ORDENES'!$N$4:$N$1203,"Pendiente")</f>
        <v/>
      </c>
      <c r="K139" s="5">
        <f>COUNTIFS('ORDENES'!$R$4:$R$1203,$A139,'ORDENES'!$J$4:$J$1203,"&lt;="&amp;$B139,'ORDENES'!$V$4:$V$1203,"predictivo")</f>
        <v/>
      </c>
      <c r="L139" s="5">
        <f>COUNTIFS('ORDENES'!$R$4:$R$1203,$A139,'ORDENES'!$J$4:$J$1203,"&lt;="&amp;$B139,'ORDENES'!$V$4:$V$1203,"preventivo")</f>
        <v/>
      </c>
      <c r="M139" s="5">
        <f>COUNTIFS('ORDENES'!$R$4:$R$1203,$A139,'ORDENES'!$J$4:$J$1203,"&lt;="&amp;$B139,'ORDENES'!$V$4:$V$1203,"correctivo_programado")</f>
        <v/>
      </c>
      <c r="N139" s="5">
        <f>COUNTIFS('ORDENES'!$R$4:$R$1203,$A139,'ORDENES'!$J$4:$J$1203,"&lt;="&amp;$B139,'ORDENES'!$V$4:$V$1203,"emergencia")</f>
        <v/>
      </c>
      <c r="O139" s="5">
        <f>COUNTIFS('ORDENES'!$R$4:$R$1203,$A139,'ORDENES'!$J$4:$J$1203,"&lt;="&amp;$B139,'ORDENES'!$V$4:$V$1203,"legal")</f>
        <v/>
      </c>
      <c r="P139" s="5">
        <f>COUNTIFS('ORDENES'!$R$4:$R$1203,$A139,'ORDENES'!$J$4:$J$1203,"&lt;="&amp;$B139,'ORDENES'!$V$4:$V$1203,"SIN CLASIFICAR")</f>
        <v/>
      </c>
      <c r="Q139" s="5">
        <f>COUNTIFS('ORDENES'!$R$4:$R$1203,$A139,'ORDENES'!$J$4:$J$1203,"&lt;="&amp;$B139)</f>
        <v/>
      </c>
      <c r="R139" s="5">
        <f>SUM(K139:P139)-Q139</f>
        <v/>
      </c>
    </row>
    <row r="140">
      <c r="A140" s="5" t="inlineStr">
        <is>
          <t>2027-01</t>
        </is>
      </c>
      <c r="B140" s="22">
        <f>IF($A140="","",IF($A140=YEAR(p_fecha_datos)&amp;"-"&amp;TEXT(MONTH(p_fecha_datos),"00"),p_fecha_datos-1,DATE(VALUE(LEFT($A140,4)),VALUE(RIGHT($A140,2))+1,0)))</f>
        <v/>
      </c>
      <c r="C140" s="5">
        <f>COUNTIFS('ORDENES'!$R$4:$R$1203,$A140,'ORDENES'!$J$4:$J$1203,"&lt;="&amp;$B140,'ORDENES'!$T$4:$T$1203,"sí")</f>
        <v/>
      </c>
      <c r="D140" s="5">
        <f>COUNTIFS('ORDENES'!$R$4:$R$1203,$A140,'ORDENES'!$J$4:$J$1203,"&lt;="&amp;$B140,'ORDENES'!$T$4:$T$1203,"sí",'ORDENES'!$N$4:$N$1203,"Cerrada")</f>
        <v/>
      </c>
      <c r="E140" s="16">
        <f>IF($C140=0,"",$D140/$C140)</f>
        <v/>
      </c>
      <c r="F140" s="21">
        <f>p_meta_adherencia</f>
        <v/>
      </c>
      <c r="G140" s="5">
        <f>COUNTIFS('ORDENES'!$R$4:$R$1203,$A140,'ORDENES'!$J$4:$J$1203,"&lt;="&amp;$B140,'ORDENES'!$V$4:$V$1203,"legal")</f>
        <v/>
      </c>
      <c r="H140" s="5">
        <f>COUNTIFS('ORDENES'!$R$4:$R$1203,$A140,'ORDENES'!$J$4:$J$1203,"&lt;="&amp;$B140,'ORDENES'!$V$4:$V$1203,"legal",'ORDENES'!$N$4:$N$1203,"Cerrada")</f>
        <v/>
      </c>
      <c r="I140" s="16">
        <f>IF($G140=0,"",$H140/$G140)</f>
        <v/>
      </c>
      <c r="J140" s="5">
        <f>COUNTIFS('ORDENES'!$R$4:$R$1203,$A140,'ORDENES'!$J$4:$J$1203,"&lt;="&amp;$B140,'ORDENES'!$V$4:$V$1203,"legal",'ORDENES'!$N$4:$N$1203,"Pendiente")</f>
        <v/>
      </c>
      <c r="K140" s="5">
        <f>COUNTIFS('ORDENES'!$R$4:$R$1203,$A140,'ORDENES'!$J$4:$J$1203,"&lt;="&amp;$B140,'ORDENES'!$V$4:$V$1203,"predictivo")</f>
        <v/>
      </c>
      <c r="L140" s="5">
        <f>COUNTIFS('ORDENES'!$R$4:$R$1203,$A140,'ORDENES'!$J$4:$J$1203,"&lt;="&amp;$B140,'ORDENES'!$V$4:$V$1203,"preventivo")</f>
        <v/>
      </c>
      <c r="M140" s="5">
        <f>COUNTIFS('ORDENES'!$R$4:$R$1203,$A140,'ORDENES'!$J$4:$J$1203,"&lt;="&amp;$B140,'ORDENES'!$V$4:$V$1203,"correctivo_programado")</f>
        <v/>
      </c>
      <c r="N140" s="5">
        <f>COUNTIFS('ORDENES'!$R$4:$R$1203,$A140,'ORDENES'!$J$4:$J$1203,"&lt;="&amp;$B140,'ORDENES'!$V$4:$V$1203,"emergencia")</f>
        <v/>
      </c>
      <c r="O140" s="5">
        <f>COUNTIFS('ORDENES'!$R$4:$R$1203,$A140,'ORDENES'!$J$4:$J$1203,"&lt;="&amp;$B140,'ORDENES'!$V$4:$V$1203,"legal")</f>
        <v/>
      </c>
      <c r="P140" s="5">
        <f>COUNTIFS('ORDENES'!$R$4:$R$1203,$A140,'ORDENES'!$J$4:$J$1203,"&lt;="&amp;$B140,'ORDENES'!$V$4:$V$1203,"SIN CLASIFICAR")</f>
        <v/>
      </c>
      <c r="Q140" s="5">
        <f>COUNTIFS('ORDENES'!$R$4:$R$1203,$A140,'ORDENES'!$J$4:$J$1203,"&lt;="&amp;$B140)</f>
        <v/>
      </c>
      <c r="R140" s="5">
        <f>SUM(K140:P140)-Q140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1:D126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1:G126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E130:E14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I130:I14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J130:J140">
    <cfRule type="cellIs" priority="55" operator="greaterThan" dxfId="0">
      <formula>0</formula>
    </cfRule>
  </conditionalFormatting>
  <conditionalFormatting sqref="R130:R140">
    <cfRule type="cellIs" priority="56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15" t="inlineStr">
        <is>
          <t>especialidad</t>
        </is>
      </c>
      <c r="B3" s="15" t="inlineStr">
        <is>
          <t>semana</t>
        </is>
      </c>
      <c r="C3" s="15" t="inlineStr">
        <is>
          <t>hh_disponible</t>
        </is>
      </c>
      <c r="D3" s="15" t="inlineStr">
        <is>
          <t>hh_productiva</t>
        </is>
      </c>
      <c r="E3" s="15" t="inlineStr">
        <is>
          <t>hh_preventiva</t>
        </is>
      </c>
      <c r="F3" s="15" t="inlineStr">
        <is>
          <t>hh_correctiva</t>
        </is>
      </c>
      <c r="G3" s="15" t="inlineStr">
        <is>
          <t>hh_planificada</t>
        </is>
      </c>
      <c r="H3" s="15" t="inlineStr">
        <is>
          <t>holgura</t>
        </is>
      </c>
      <c r="I3" s="15" t="inlineStr">
        <is>
          <t>pct_carga</t>
        </is>
      </c>
      <c r="N3" s="15" t="inlineStr">
        <is>
          <t>lunes_semana</t>
        </is>
      </c>
      <c r="O3" s="15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SUMIFS('ORDENES'!$M$4:$M$1203,'ORDENES'!$AA$4:$AA$1203,$A4,'ORDENES'!$O$4:$O$1203,$B4,'ORDENES'!$U$4:$U$1203,"preventiva")</f>
        <v/>
      </c>
      <c r="F4" s="17">
        <f>SUMIFS('ORDENES'!$M$4:$M$1203,'ORDENES'!$AA$4:$AA$1203,$A4,'ORDENES'!$O$4:$O$1203,$B4,'ORDENES'!$U$4:$U$1203,"correctiva")</f>
        <v/>
      </c>
      <c r="G4" s="17">
        <f>E4+F4</f>
        <v/>
      </c>
      <c r="H4" s="17">
        <f>D4-G4</f>
        <v/>
      </c>
      <c r="I4" s="16">
        <f>IF(D4=0,"",G4/D4)</f>
        <v/>
      </c>
      <c r="N4" s="22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SUMIFS('ORDENES'!$M$4:$M$1203,'ORDENES'!$AA$4:$AA$1203,$A5,'ORDENES'!$O$4:$O$1203,$B5,'ORDENES'!$U$4:$U$1203,"preventiva")</f>
        <v/>
      </c>
      <c r="F5" s="17">
        <f>SUMIFS('ORDENES'!$M$4:$M$1203,'ORDENES'!$AA$4:$AA$1203,$A5,'ORDENES'!$O$4:$O$1203,$B5,'ORDENES'!$U$4:$U$1203,"correctiva")</f>
        <v/>
      </c>
      <c r="G5" s="17">
        <f>E5+F5</f>
        <v/>
      </c>
      <c r="H5" s="17">
        <f>D5-G5</f>
        <v/>
      </c>
      <c r="I5" s="16">
        <f>IF(D5=0,"",G5/D5)</f>
        <v/>
      </c>
      <c r="N5" s="22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SUMIFS('ORDENES'!$M$4:$M$1203,'ORDENES'!$AA$4:$AA$1203,$A6,'ORDENES'!$O$4:$O$1203,$B6,'ORDENES'!$U$4:$U$1203,"preventiva")</f>
        <v/>
      </c>
      <c r="F6" s="17">
        <f>SUMIFS('ORDENES'!$M$4:$M$1203,'ORDENES'!$AA$4:$AA$1203,$A6,'ORDENES'!$O$4:$O$1203,$B6,'ORDENES'!$U$4:$U$1203,"correctiva")</f>
        <v/>
      </c>
      <c r="G6" s="17">
        <f>E6+F6</f>
        <v/>
      </c>
      <c r="H6" s="17">
        <f>D6-G6</f>
        <v/>
      </c>
      <c r="I6" s="16">
        <f>IF(D6=0,"",G6/D6)</f>
        <v/>
      </c>
      <c r="N6" s="22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SUMIFS('ORDENES'!$M$4:$M$1203,'ORDENES'!$AA$4:$AA$1203,$A7,'ORDENES'!$O$4:$O$1203,$B7,'ORDENES'!$U$4:$U$1203,"preventiva")</f>
        <v/>
      </c>
      <c r="F7" s="17">
        <f>SUMIFS('ORDENES'!$M$4:$M$1203,'ORDENES'!$AA$4:$AA$1203,$A7,'ORDENES'!$O$4:$O$1203,$B7,'ORDENES'!$U$4:$U$1203,"correctiva")</f>
        <v/>
      </c>
      <c r="G7" s="17">
        <f>E7+F7</f>
        <v/>
      </c>
      <c r="H7" s="17">
        <f>D7-G7</f>
        <v/>
      </c>
      <c r="I7" s="16">
        <f>IF(D7=0,"",G7/D7)</f>
        <v/>
      </c>
      <c r="N7" s="22">
        <f>IF(N6="","",IF(N6+7&gt;MAX('ORDENES'!$J$4:$J$1203),"",N6+7))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SUMIFS('ORDENES'!$M$4:$M$1203,'ORDENES'!$AA$4:$AA$1203,$A8,'ORDENES'!$O$4:$O$1203,$B8,'ORDENES'!$U$4:$U$1203,"preventiva")</f>
        <v/>
      </c>
      <c r="F8" s="17">
        <f>SUMIFS('ORDENES'!$M$4:$M$1203,'ORDENES'!$AA$4:$AA$1203,$A8,'ORDENES'!$O$4:$O$1203,$B8,'ORDENES'!$U$4:$U$1203,"correctiva")</f>
        <v/>
      </c>
      <c r="G8" s="17">
        <f>E8+F8</f>
        <v/>
      </c>
      <c r="H8" s="17">
        <f>D8-G8</f>
        <v/>
      </c>
      <c r="I8" s="16">
        <f>IF(D8=0,"",G8/D8)</f>
        <v/>
      </c>
      <c r="N8" s="22">
        <f>IF(N7="","",IF(N7+7&gt;MAX('ORDENES'!$J$4:$J$1203),"",N7+7))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SUMIFS('ORDENES'!$M$4:$M$1203,'ORDENES'!$AA$4:$AA$1203,$A9,'ORDENES'!$O$4:$O$1203,$B9,'ORDENES'!$U$4:$U$1203,"preventiva")</f>
        <v/>
      </c>
      <c r="F9" s="17">
        <f>SUMIFS('ORDENES'!$M$4:$M$1203,'ORDENES'!$AA$4:$AA$1203,$A9,'ORDENES'!$O$4:$O$1203,$B9,'ORDENES'!$U$4:$U$1203,"correctiva")</f>
        <v/>
      </c>
      <c r="G9" s="17">
        <f>E9+F9</f>
        <v/>
      </c>
      <c r="H9" s="17">
        <f>D9-G9</f>
        <v/>
      </c>
      <c r="I9" s="16">
        <f>IF(D9=0,"",G9/D9)</f>
        <v/>
      </c>
      <c r="N9" s="22">
        <f>IF(N8="","",IF(N8+7&gt;MAX('ORDENES'!$J$4:$J$1203),"",N8+7))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SUMIFS('ORDENES'!$M$4:$M$1203,'ORDENES'!$AA$4:$AA$1203,$A10,'ORDENES'!$O$4:$O$1203,$B10,'ORDENES'!$U$4:$U$1203,"preventiva")</f>
        <v/>
      </c>
      <c r="F10" s="17">
        <f>SUMIFS('ORDENES'!$M$4:$M$1203,'ORDENES'!$AA$4:$AA$1203,$A10,'ORDENES'!$O$4:$O$1203,$B10,'ORDENES'!$U$4:$U$1203,"correctiva")</f>
        <v/>
      </c>
      <c r="G10" s="17">
        <f>E10+F10</f>
        <v/>
      </c>
      <c r="H10" s="17">
        <f>D10-G10</f>
        <v/>
      </c>
      <c r="I10" s="16">
        <f>IF(D10=0,"",G10/D10)</f>
        <v/>
      </c>
      <c r="N10" s="22">
        <f>IF(N9="","",IF(N9+7&gt;MAX('ORDENES'!$J$4:$J$1203),"",N9+7))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SUMIFS('ORDENES'!$M$4:$M$1203,'ORDENES'!$AA$4:$AA$1203,$A11,'ORDENES'!$O$4:$O$1203,$B11,'ORDENES'!$U$4:$U$1203,"preventiva")</f>
        <v/>
      </c>
      <c r="F11" s="17">
        <f>SUMIFS('ORDENES'!$M$4:$M$1203,'ORDENES'!$AA$4:$AA$1203,$A11,'ORDENES'!$O$4:$O$1203,$B11,'ORDENES'!$U$4:$U$1203,"correctiva")</f>
        <v/>
      </c>
      <c r="G11" s="17">
        <f>E11+F11</f>
        <v/>
      </c>
      <c r="H11" s="17">
        <f>D11-G11</f>
        <v/>
      </c>
      <c r="I11" s="16">
        <f>IF(D11=0,"",G11/D11)</f>
        <v/>
      </c>
      <c r="N11" s="22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SUMIFS('ORDENES'!$M$4:$M$1203,'ORDENES'!$AA$4:$AA$1203,$A12,'ORDENES'!$O$4:$O$1203,$B12,'ORDENES'!$U$4:$U$1203,"preventiva")</f>
        <v/>
      </c>
      <c r="F12" s="17">
        <f>SUMIFS('ORDENES'!$M$4:$M$1203,'ORDENES'!$AA$4:$AA$1203,$A12,'ORDENES'!$O$4:$O$1203,$B12,'ORDENES'!$U$4:$U$1203,"correctiva")</f>
        <v/>
      </c>
      <c r="G12" s="17">
        <f>E12+F12</f>
        <v/>
      </c>
      <c r="H12" s="17">
        <f>D12-G12</f>
        <v/>
      </c>
      <c r="I12" s="16">
        <f>IF(D12=0,"",G12/D12)</f>
        <v/>
      </c>
      <c r="N12" s="22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SUMIFS('ORDENES'!$M$4:$M$1203,'ORDENES'!$AA$4:$AA$1203,$A13,'ORDENES'!$O$4:$O$1203,$B13,'ORDENES'!$U$4:$U$1203,"preventiva")</f>
        <v/>
      </c>
      <c r="F13" s="17">
        <f>SUMIFS('ORDENES'!$M$4:$M$1203,'ORDENES'!$AA$4:$AA$1203,$A13,'ORDENES'!$O$4:$O$1203,$B13,'ORDENES'!$U$4:$U$1203,"correctiva")</f>
        <v/>
      </c>
      <c r="G13" s="17">
        <f>E13+F13</f>
        <v/>
      </c>
      <c r="H13" s="17">
        <f>D13-G13</f>
        <v/>
      </c>
      <c r="I13" s="16">
        <f>IF(D13=0,"",G13/D13)</f>
        <v/>
      </c>
      <c r="N13" s="22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SUMIFS('ORDENES'!$M$4:$M$1203,'ORDENES'!$AA$4:$AA$1203,$A14,'ORDENES'!$O$4:$O$1203,$B14,'ORDENES'!$U$4:$U$1203,"preventiva")</f>
        <v/>
      </c>
      <c r="F14" s="17">
        <f>SUMIFS('ORDENES'!$M$4:$M$1203,'ORDENES'!$AA$4:$AA$1203,$A14,'ORDENES'!$O$4:$O$1203,$B14,'ORDENES'!$U$4:$U$1203,"correctiva")</f>
        <v/>
      </c>
      <c r="G14" s="17">
        <f>E14+F14</f>
        <v/>
      </c>
      <c r="H14" s="17">
        <f>D14-G14</f>
        <v/>
      </c>
      <c r="I14" s="16">
        <f>IF(D14=0,"",G14/D14)</f>
        <v/>
      </c>
      <c r="N14" s="22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SUMIFS('ORDENES'!$M$4:$M$1203,'ORDENES'!$AA$4:$AA$1203,$A15,'ORDENES'!$O$4:$O$1203,$B15,'ORDENES'!$U$4:$U$1203,"preventiva")</f>
        <v/>
      </c>
      <c r="F15" s="17">
        <f>SUMIFS('ORDENES'!$M$4:$M$1203,'ORDENES'!$AA$4:$AA$1203,$A15,'ORDENES'!$O$4:$O$1203,$B15,'ORDENES'!$U$4:$U$1203,"correctiva")</f>
        <v/>
      </c>
      <c r="G15" s="17">
        <f>E15+F15</f>
        <v/>
      </c>
      <c r="H15" s="17">
        <f>D15-G15</f>
        <v/>
      </c>
      <c r="I15" s="16">
        <f>IF(D15=0,"",G15/D15)</f>
        <v/>
      </c>
      <c r="N15" s="22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SUMIFS('ORDENES'!$M$4:$M$1203,'ORDENES'!$AA$4:$AA$1203,$A16,'ORDENES'!$O$4:$O$1203,$B16,'ORDENES'!$U$4:$U$1203,"preventiva")</f>
        <v/>
      </c>
      <c r="F16" s="17">
        <f>SUMIFS('ORDENES'!$M$4:$M$1203,'ORDENES'!$AA$4:$AA$1203,$A16,'ORDENES'!$O$4:$O$1203,$B16,'ORDENES'!$U$4:$U$1203,"correctiva")</f>
        <v/>
      </c>
      <c r="G16" s="17">
        <f>E16+F16</f>
        <v/>
      </c>
      <c r="H16" s="17">
        <f>D16-G16</f>
        <v/>
      </c>
      <c r="I16" s="16">
        <f>IF(D16=0,"",G16/D16)</f>
        <v/>
      </c>
      <c r="N16" s="22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SUMIFS('ORDENES'!$M$4:$M$1203,'ORDENES'!$AA$4:$AA$1203,$A17,'ORDENES'!$O$4:$O$1203,$B17,'ORDENES'!$U$4:$U$1203,"preventiva")</f>
        <v/>
      </c>
      <c r="F17" s="17">
        <f>SUMIFS('ORDENES'!$M$4:$M$1203,'ORDENES'!$AA$4:$AA$1203,$A17,'ORDENES'!$O$4:$O$1203,$B17,'ORDENES'!$U$4:$U$1203,"correctiva")</f>
        <v/>
      </c>
      <c r="G17" s="17">
        <f>E17+F17</f>
        <v/>
      </c>
      <c r="H17" s="17">
        <f>D17-G17</f>
        <v/>
      </c>
      <c r="I17" s="16">
        <f>IF(D17=0,"",G17/D17)</f>
        <v/>
      </c>
      <c r="N17" s="22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SUMIFS('ORDENES'!$M$4:$M$1203,'ORDENES'!$AA$4:$AA$1203,$A18,'ORDENES'!$O$4:$O$1203,$B18,'ORDENES'!$U$4:$U$1203,"preventiva")</f>
        <v/>
      </c>
      <c r="F18" s="17">
        <f>SUMIFS('ORDENES'!$M$4:$M$1203,'ORDENES'!$AA$4:$AA$1203,$A18,'ORDENES'!$O$4:$O$1203,$B18,'ORDENES'!$U$4:$U$1203,"correctiva")</f>
        <v/>
      </c>
      <c r="G18" s="17">
        <f>E18+F18</f>
        <v/>
      </c>
      <c r="H18" s="17">
        <f>D18-G18</f>
        <v/>
      </c>
      <c r="I18" s="16">
        <f>IF(D18=0,"",G18/D18)</f>
        <v/>
      </c>
      <c r="N18" s="22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SUMIFS('ORDENES'!$M$4:$M$1203,'ORDENES'!$AA$4:$AA$1203,$A19,'ORDENES'!$O$4:$O$1203,$B19,'ORDENES'!$U$4:$U$1203,"preventiva")</f>
        <v/>
      </c>
      <c r="F19" s="17">
        <f>SUMIFS('ORDENES'!$M$4:$M$1203,'ORDENES'!$AA$4:$AA$1203,$A19,'ORDENES'!$O$4:$O$1203,$B19,'ORDENES'!$U$4:$U$1203,"correctiva")</f>
        <v/>
      </c>
      <c r="G19" s="17">
        <f>E19+F19</f>
        <v/>
      </c>
      <c r="H19" s="17">
        <f>D19-G19</f>
        <v/>
      </c>
      <c r="I19" s="16">
        <f>IF(D19=0,"",G19/D19)</f>
        <v/>
      </c>
      <c r="N19" s="22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SUMIFS('ORDENES'!$M$4:$M$1203,'ORDENES'!$AA$4:$AA$1203,$A20,'ORDENES'!$O$4:$O$1203,$B20,'ORDENES'!$U$4:$U$1203,"preventiva")</f>
        <v/>
      </c>
      <c r="F20" s="17">
        <f>SUMIFS('ORDENES'!$M$4:$M$1203,'ORDENES'!$AA$4:$AA$1203,$A20,'ORDENES'!$O$4:$O$1203,$B20,'ORDENES'!$U$4:$U$1203,"correctiva")</f>
        <v/>
      </c>
      <c r="G20" s="17">
        <f>E20+F20</f>
        <v/>
      </c>
      <c r="H20" s="17">
        <f>D20-G20</f>
        <v/>
      </c>
      <c r="I20" s="16">
        <f>IF(D20=0,"",G20/D20)</f>
        <v/>
      </c>
      <c r="N20" s="22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SUMIFS('ORDENES'!$M$4:$M$1203,'ORDENES'!$AA$4:$AA$1203,$A21,'ORDENES'!$O$4:$O$1203,$B21,'ORDENES'!$U$4:$U$1203,"preventiva")</f>
        <v/>
      </c>
      <c r="F21" s="17">
        <f>SUMIFS('ORDENES'!$M$4:$M$1203,'ORDENES'!$AA$4:$AA$1203,$A21,'ORDENES'!$O$4:$O$1203,$B21,'ORDENES'!$U$4:$U$1203,"correctiva")</f>
        <v/>
      </c>
      <c r="G21" s="17">
        <f>E21+F21</f>
        <v/>
      </c>
      <c r="H21" s="17">
        <f>D21-G21</f>
        <v/>
      </c>
      <c r="I21" s="16">
        <f>IF(D21=0,"",G21/D21)</f>
        <v/>
      </c>
      <c r="N21" s="22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SUMIFS('ORDENES'!$M$4:$M$1203,'ORDENES'!$AA$4:$AA$1203,$A22,'ORDENES'!$O$4:$O$1203,$B22,'ORDENES'!$U$4:$U$1203,"preventiva")</f>
        <v/>
      </c>
      <c r="F22" s="17">
        <f>SUMIFS('ORDENES'!$M$4:$M$1203,'ORDENES'!$AA$4:$AA$1203,$A22,'ORDENES'!$O$4:$O$1203,$B22,'ORDENES'!$U$4:$U$1203,"correctiva")</f>
        <v/>
      </c>
      <c r="G22" s="17">
        <f>E22+F22</f>
        <v/>
      </c>
      <c r="H22" s="17">
        <f>D22-G22</f>
        <v/>
      </c>
      <c r="I22" s="16">
        <f>IF(D22=0,"",G22/D22)</f>
        <v/>
      </c>
      <c r="N22" s="22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SUMIFS('ORDENES'!$M$4:$M$1203,'ORDENES'!$AA$4:$AA$1203,$A23,'ORDENES'!$O$4:$O$1203,$B23,'ORDENES'!$U$4:$U$1203,"preventiva")</f>
        <v/>
      </c>
      <c r="F23" s="17">
        <f>SUMIFS('ORDENES'!$M$4:$M$1203,'ORDENES'!$AA$4:$AA$1203,$A23,'ORDENES'!$O$4:$O$1203,$B23,'ORDENES'!$U$4:$U$1203,"correctiva")</f>
        <v/>
      </c>
      <c r="G23" s="17">
        <f>E23+F23</f>
        <v/>
      </c>
      <c r="H23" s="17">
        <f>D23-G23</f>
        <v/>
      </c>
      <c r="I23" s="16">
        <f>IF(D23=0,"",G23/D23)</f>
        <v/>
      </c>
      <c r="N23" s="22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SUMIFS('ORDENES'!$M$4:$M$1203,'ORDENES'!$AA$4:$AA$1203,$A24,'ORDENES'!$O$4:$O$1203,$B24,'ORDENES'!$U$4:$U$1203,"preventiva")</f>
        <v/>
      </c>
      <c r="F24" s="17">
        <f>SUMIFS('ORDENES'!$M$4:$M$1203,'ORDENES'!$AA$4:$AA$1203,$A24,'ORDENES'!$O$4:$O$1203,$B24,'ORDENES'!$U$4:$U$1203,"correctiva")</f>
        <v/>
      </c>
      <c r="G24" s="17">
        <f>E24+F24</f>
        <v/>
      </c>
      <c r="H24" s="17">
        <f>D24-G24</f>
        <v/>
      </c>
      <c r="I24" s="16">
        <f>IF(D24=0,"",G24/D24)</f>
        <v/>
      </c>
      <c r="N24" s="22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SUMIFS('ORDENES'!$M$4:$M$1203,'ORDENES'!$AA$4:$AA$1203,$A25,'ORDENES'!$O$4:$O$1203,$B25,'ORDENES'!$U$4:$U$1203,"preventiva")</f>
        <v/>
      </c>
      <c r="F25" s="17">
        <f>SUMIFS('ORDENES'!$M$4:$M$1203,'ORDENES'!$AA$4:$AA$1203,$A25,'ORDENES'!$O$4:$O$1203,$B25,'ORDENES'!$U$4:$U$1203,"correctiva")</f>
        <v/>
      </c>
      <c r="G25" s="17">
        <f>E25+F25</f>
        <v/>
      </c>
      <c r="H25" s="17">
        <f>D25-G25</f>
        <v/>
      </c>
      <c r="I25" s="16">
        <f>IF(D25=0,"",G25/D25)</f>
        <v/>
      </c>
      <c r="N25" s="22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SUMIFS('ORDENES'!$M$4:$M$1203,'ORDENES'!$AA$4:$AA$1203,$A26,'ORDENES'!$O$4:$O$1203,$B26,'ORDENES'!$U$4:$U$1203,"preventiva")</f>
        <v/>
      </c>
      <c r="F26" s="17">
        <f>SUMIFS('ORDENES'!$M$4:$M$1203,'ORDENES'!$AA$4:$AA$1203,$A26,'ORDENES'!$O$4:$O$1203,$B26,'ORDENES'!$U$4:$U$1203,"correctiva")</f>
        <v/>
      </c>
      <c r="G26" s="17">
        <f>E26+F26</f>
        <v/>
      </c>
      <c r="H26" s="17">
        <f>D26-G26</f>
        <v/>
      </c>
      <c r="I26" s="16">
        <f>IF(D26=0,"",G26/D26)</f>
        <v/>
      </c>
      <c r="N26" s="22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SUMIFS('ORDENES'!$M$4:$M$1203,'ORDENES'!$AA$4:$AA$1203,$A27,'ORDENES'!$O$4:$O$1203,$B27,'ORDENES'!$U$4:$U$1203,"preventiva")</f>
        <v/>
      </c>
      <c r="F27" s="17">
        <f>SUMIFS('ORDENES'!$M$4:$M$1203,'ORDENES'!$AA$4:$AA$1203,$A27,'ORDENES'!$O$4:$O$1203,$B27,'ORDENES'!$U$4:$U$1203,"correctiva")</f>
        <v/>
      </c>
      <c r="G27" s="17">
        <f>E27+F27</f>
        <v/>
      </c>
      <c r="H27" s="17">
        <f>D27-G27</f>
        <v/>
      </c>
      <c r="I27" s="16">
        <f>IF(D27=0,"",G27/D27)</f>
        <v/>
      </c>
      <c r="N27" s="22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SUMIFS('ORDENES'!$M$4:$M$1203,'ORDENES'!$AA$4:$AA$1203,$A28,'ORDENES'!$O$4:$O$1203,$B28,'ORDENES'!$U$4:$U$1203,"preventiva")</f>
        <v/>
      </c>
      <c r="F28" s="17">
        <f>SUMIFS('ORDENES'!$M$4:$M$1203,'ORDENES'!$AA$4:$AA$1203,$A28,'ORDENES'!$O$4:$O$1203,$B28,'ORDENES'!$U$4:$U$1203,"correctiva")</f>
        <v/>
      </c>
      <c r="G28" s="17">
        <f>E28+F28</f>
        <v/>
      </c>
      <c r="H28" s="17">
        <f>D28-G28</f>
        <v/>
      </c>
      <c r="I28" s="16">
        <f>IF(D28=0,"",G28/D28)</f>
        <v/>
      </c>
      <c r="N28" s="22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SUMIFS('ORDENES'!$M$4:$M$1203,'ORDENES'!$AA$4:$AA$1203,$A29,'ORDENES'!$O$4:$O$1203,$B29,'ORDENES'!$U$4:$U$1203,"preventiva")</f>
        <v/>
      </c>
      <c r="F29" s="17">
        <f>SUMIFS('ORDENES'!$M$4:$M$1203,'ORDENES'!$AA$4:$AA$1203,$A29,'ORDENES'!$O$4:$O$1203,$B29,'ORDENES'!$U$4:$U$1203,"correctiva")</f>
        <v/>
      </c>
      <c r="G29" s="17">
        <f>E29+F29</f>
        <v/>
      </c>
      <c r="H29" s="17">
        <f>D29-G29</f>
        <v/>
      </c>
      <c r="I29" s="16">
        <f>IF(D29=0,"",G29/D29)</f>
        <v/>
      </c>
      <c r="N29" s="22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SUMIFS('ORDENES'!$M$4:$M$1203,'ORDENES'!$AA$4:$AA$1203,$A30,'ORDENES'!$O$4:$O$1203,$B30,'ORDENES'!$U$4:$U$1203,"preventiva")</f>
        <v/>
      </c>
      <c r="F30" s="17">
        <f>SUMIFS('ORDENES'!$M$4:$M$1203,'ORDENES'!$AA$4:$AA$1203,$A30,'ORDENES'!$O$4:$O$1203,$B30,'ORDENES'!$U$4:$U$1203,"correctiva")</f>
        <v/>
      </c>
      <c r="G30" s="17">
        <f>E30+F30</f>
        <v/>
      </c>
      <c r="H30" s="17">
        <f>D30-G30</f>
        <v/>
      </c>
      <c r="I30" s="16">
        <f>IF(D30=0,"",G30/D30)</f>
        <v/>
      </c>
      <c r="N30" s="22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SUMIFS('ORDENES'!$M$4:$M$1203,'ORDENES'!$AA$4:$AA$1203,$A31,'ORDENES'!$O$4:$O$1203,$B31,'ORDENES'!$U$4:$U$1203,"preventiva")</f>
        <v/>
      </c>
      <c r="F31" s="17">
        <f>SUMIFS('ORDENES'!$M$4:$M$1203,'ORDENES'!$AA$4:$AA$1203,$A31,'ORDENES'!$O$4:$O$1203,$B31,'ORDENES'!$U$4:$U$1203,"correctiva")</f>
        <v/>
      </c>
      <c r="G31" s="17">
        <f>E31+F31</f>
        <v/>
      </c>
      <c r="H31" s="17">
        <f>D31-G31</f>
        <v/>
      </c>
      <c r="I31" s="16">
        <f>IF(D31=0,"",G31/D31)</f>
        <v/>
      </c>
      <c r="N31" s="22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SUMIFS('ORDENES'!$M$4:$M$1203,'ORDENES'!$AA$4:$AA$1203,$A32,'ORDENES'!$O$4:$O$1203,$B32,'ORDENES'!$U$4:$U$1203,"preventiva")</f>
        <v/>
      </c>
      <c r="F32" s="17">
        <f>SUMIFS('ORDENES'!$M$4:$M$1203,'ORDENES'!$AA$4:$AA$1203,$A32,'ORDENES'!$O$4:$O$1203,$B32,'ORDENES'!$U$4:$U$1203,"correctiva")</f>
        <v/>
      </c>
      <c r="G32" s="17">
        <f>E32+F32</f>
        <v/>
      </c>
      <c r="H32" s="17">
        <f>D32-G32</f>
        <v/>
      </c>
      <c r="I32" s="16">
        <f>IF(D32=0,"",G32/D32)</f>
        <v/>
      </c>
      <c r="N32" s="22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SUMIFS('ORDENES'!$M$4:$M$1203,'ORDENES'!$AA$4:$AA$1203,$A33,'ORDENES'!$O$4:$O$1203,$B33,'ORDENES'!$U$4:$U$1203,"preventiva")</f>
        <v/>
      </c>
      <c r="F33" s="17">
        <f>SUMIFS('ORDENES'!$M$4:$M$1203,'ORDENES'!$AA$4:$AA$1203,$A33,'ORDENES'!$O$4:$O$1203,$B33,'ORDENES'!$U$4:$U$1203,"correctiva")</f>
        <v/>
      </c>
      <c r="G33" s="17">
        <f>E33+F33</f>
        <v/>
      </c>
      <c r="H33" s="17">
        <f>D33-G33</f>
        <v/>
      </c>
      <c r="I33" s="16">
        <f>IF(D33=0,"",G33/D33)</f>
        <v/>
      </c>
      <c r="N33" s="22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SUMIFS('ORDENES'!$M$4:$M$1203,'ORDENES'!$AA$4:$AA$1203,$A34,'ORDENES'!$O$4:$O$1203,$B34,'ORDENES'!$U$4:$U$1203,"preventiva")</f>
        <v/>
      </c>
      <c r="F34" s="17">
        <f>SUMIFS('ORDENES'!$M$4:$M$1203,'ORDENES'!$AA$4:$AA$1203,$A34,'ORDENES'!$O$4:$O$1203,$B34,'ORDENES'!$U$4:$U$1203,"correctiva")</f>
        <v/>
      </c>
      <c r="G34" s="17">
        <f>E34+F34</f>
        <v/>
      </c>
      <c r="H34" s="17">
        <f>D34-G34</f>
        <v/>
      </c>
      <c r="I34" s="16">
        <f>IF(D34=0,"",G34/D34)</f>
        <v/>
      </c>
      <c r="N34" s="22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SUMIFS('ORDENES'!$M$4:$M$1203,'ORDENES'!$AA$4:$AA$1203,$A35,'ORDENES'!$O$4:$O$1203,$B35,'ORDENES'!$U$4:$U$1203,"preventiva")</f>
        <v/>
      </c>
      <c r="F35" s="17">
        <f>SUMIFS('ORDENES'!$M$4:$M$1203,'ORDENES'!$AA$4:$AA$1203,$A35,'ORDENES'!$O$4:$O$1203,$B35,'ORDENES'!$U$4:$U$1203,"correctiva")</f>
        <v/>
      </c>
      <c r="G35" s="17">
        <f>E35+F35</f>
        <v/>
      </c>
      <c r="H35" s="17">
        <f>D35-G35</f>
        <v/>
      </c>
      <c r="I35" s="16">
        <f>IF(D35=0,"",G35/D35)</f>
        <v/>
      </c>
      <c r="N35" s="22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SUMIFS('ORDENES'!$M$4:$M$1203,'ORDENES'!$AA$4:$AA$1203,$A36,'ORDENES'!$O$4:$O$1203,$B36,'ORDENES'!$U$4:$U$1203,"preventiva")</f>
        <v/>
      </c>
      <c r="F36" s="17">
        <f>SUMIFS('ORDENES'!$M$4:$M$1203,'ORDENES'!$AA$4:$AA$1203,$A36,'ORDENES'!$O$4:$O$1203,$B36,'ORDENES'!$U$4:$U$1203,"correctiva")</f>
        <v/>
      </c>
      <c r="G36" s="17">
        <f>E36+F36</f>
        <v/>
      </c>
      <c r="H36" s="17">
        <f>D36-G36</f>
        <v/>
      </c>
      <c r="I36" s="16">
        <f>IF(D36=0,"",G36/D36)</f>
        <v/>
      </c>
      <c r="N36" s="22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SUMIFS('ORDENES'!$M$4:$M$1203,'ORDENES'!$AA$4:$AA$1203,$A37,'ORDENES'!$O$4:$O$1203,$B37,'ORDENES'!$U$4:$U$1203,"preventiva")</f>
        <v/>
      </c>
      <c r="F37" s="17">
        <f>SUMIFS('ORDENES'!$M$4:$M$1203,'ORDENES'!$AA$4:$AA$1203,$A37,'ORDENES'!$O$4:$O$1203,$B37,'ORDENES'!$U$4:$U$1203,"correctiva")</f>
        <v/>
      </c>
      <c r="G37" s="17">
        <f>E37+F37</f>
        <v/>
      </c>
      <c r="H37" s="17">
        <f>D37-G37</f>
        <v/>
      </c>
      <c r="I37" s="16">
        <f>IF(D37=0,"",G37/D37)</f>
        <v/>
      </c>
      <c r="N37" s="22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SUMIFS('ORDENES'!$M$4:$M$1203,'ORDENES'!$AA$4:$AA$1203,$A38,'ORDENES'!$O$4:$O$1203,$B38,'ORDENES'!$U$4:$U$1203,"preventiva")</f>
        <v/>
      </c>
      <c r="F38" s="17">
        <f>SUMIFS('ORDENES'!$M$4:$M$1203,'ORDENES'!$AA$4:$AA$1203,$A38,'ORDENES'!$O$4:$O$1203,$B38,'ORDENES'!$U$4:$U$1203,"correctiva")</f>
        <v/>
      </c>
      <c r="G38" s="17">
        <f>E38+F38</f>
        <v/>
      </c>
      <c r="H38" s="17">
        <f>D38-G38</f>
        <v/>
      </c>
      <c r="I38" s="16">
        <f>IF(D38=0,"",G38/D38)</f>
        <v/>
      </c>
      <c r="N38" s="22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SUMIFS('ORDENES'!$M$4:$M$1203,'ORDENES'!$AA$4:$AA$1203,$A39,'ORDENES'!$O$4:$O$1203,$B39,'ORDENES'!$U$4:$U$1203,"preventiva")</f>
        <v/>
      </c>
      <c r="F39" s="17">
        <f>SUMIFS('ORDENES'!$M$4:$M$1203,'ORDENES'!$AA$4:$AA$1203,$A39,'ORDENES'!$O$4:$O$1203,$B39,'ORDENES'!$U$4:$U$1203,"correctiva")</f>
        <v/>
      </c>
      <c r="G39" s="17">
        <f>E39+F39</f>
        <v/>
      </c>
      <c r="H39" s="17">
        <f>D39-G39</f>
        <v/>
      </c>
      <c r="I39" s="16">
        <f>IF(D39=0,"",G39/D39)</f>
        <v/>
      </c>
      <c r="N39" s="22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SUMIFS('ORDENES'!$M$4:$M$1203,'ORDENES'!$AA$4:$AA$1203,$A40,'ORDENES'!$O$4:$O$1203,$B40,'ORDENES'!$U$4:$U$1203,"preventiva")</f>
        <v/>
      </c>
      <c r="F40" s="17">
        <f>SUMIFS('ORDENES'!$M$4:$M$1203,'ORDENES'!$AA$4:$AA$1203,$A40,'ORDENES'!$O$4:$O$1203,$B40,'ORDENES'!$U$4:$U$1203,"correctiva")</f>
        <v/>
      </c>
      <c r="G40" s="17">
        <f>E40+F40</f>
        <v/>
      </c>
      <c r="H40" s="17">
        <f>D40-G40</f>
        <v/>
      </c>
      <c r="I40" s="16">
        <f>IF(D40=0,"",G40/D40)</f>
        <v/>
      </c>
      <c r="N40" s="22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SUMIFS('ORDENES'!$M$4:$M$1203,'ORDENES'!$AA$4:$AA$1203,$A41,'ORDENES'!$O$4:$O$1203,$B41,'ORDENES'!$U$4:$U$1203,"preventiva")</f>
        <v/>
      </c>
      <c r="F41" s="17">
        <f>SUMIFS('ORDENES'!$M$4:$M$1203,'ORDENES'!$AA$4:$AA$1203,$A41,'ORDENES'!$O$4:$O$1203,$B41,'ORDENES'!$U$4:$U$1203,"correctiva")</f>
        <v/>
      </c>
      <c r="G41" s="17">
        <f>E41+F41</f>
        <v/>
      </c>
      <c r="H41" s="17">
        <f>D41-G41</f>
        <v/>
      </c>
      <c r="I41" s="16">
        <f>IF(D41=0,"",G41/D41)</f>
        <v/>
      </c>
      <c r="N41" s="22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SUMIFS('ORDENES'!$M$4:$M$1203,'ORDENES'!$AA$4:$AA$1203,$A42,'ORDENES'!$O$4:$O$1203,$B42,'ORDENES'!$U$4:$U$1203,"preventiva")</f>
        <v/>
      </c>
      <c r="F42" s="17">
        <f>SUMIFS('ORDENES'!$M$4:$M$1203,'ORDENES'!$AA$4:$AA$1203,$A42,'ORDENES'!$O$4:$O$1203,$B42,'ORDENES'!$U$4:$U$1203,"correctiva")</f>
        <v/>
      </c>
      <c r="G42" s="17">
        <f>E42+F42</f>
        <v/>
      </c>
      <c r="H42" s="17">
        <f>D42-G42</f>
        <v/>
      </c>
      <c r="I42" s="16">
        <f>IF(D42=0,"",G42/D42)</f>
        <v/>
      </c>
      <c r="N42" s="22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SUMIFS('ORDENES'!$M$4:$M$1203,'ORDENES'!$AA$4:$AA$1203,$A43,'ORDENES'!$O$4:$O$1203,$B43,'ORDENES'!$U$4:$U$1203,"preventiva")</f>
        <v/>
      </c>
      <c r="F43" s="17">
        <f>SUMIFS('ORDENES'!$M$4:$M$1203,'ORDENES'!$AA$4:$AA$1203,$A43,'ORDENES'!$O$4:$O$1203,$B43,'ORDENES'!$U$4:$U$1203,"correctiva")</f>
        <v/>
      </c>
      <c r="G43" s="17">
        <f>E43+F43</f>
        <v/>
      </c>
      <c r="H43" s="17">
        <f>D43-G43</f>
        <v/>
      </c>
      <c r="I43" s="16">
        <f>IF(D43=0,"",G43/D43)</f>
        <v/>
      </c>
      <c r="N43" s="22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SUMIFS('ORDENES'!$M$4:$M$1203,'ORDENES'!$AA$4:$AA$1203,$A44,'ORDENES'!$O$4:$O$1203,$B44,'ORDENES'!$U$4:$U$1203,"preventiva")</f>
        <v/>
      </c>
      <c r="F44" s="17">
        <f>SUMIFS('ORDENES'!$M$4:$M$1203,'ORDENES'!$AA$4:$AA$1203,$A44,'ORDENES'!$O$4:$O$1203,$B44,'ORDENES'!$U$4:$U$1203,"correctiva")</f>
        <v/>
      </c>
      <c r="G44" s="17">
        <f>E44+F44</f>
        <v/>
      </c>
      <c r="H44" s="17">
        <f>D44-G44</f>
        <v/>
      </c>
      <c r="I44" s="16">
        <f>IF(D44=0,"",G44/D44)</f>
        <v/>
      </c>
      <c r="N44" s="22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SUMIFS('ORDENES'!$M$4:$M$1203,'ORDENES'!$AA$4:$AA$1203,$A45,'ORDENES'!$O$4:$O$1203,$B45,'ORDENES'!$U$4:$U$1203,"preventiva")</f>
        <v/>
      </c>
      <c r="F45" s="17">
        <f>SUMIFS('ORDENES'!$M$4:$M$1203,'ORDENES'!$AA$4:$AA$1203,$A45,'ORDENES'!$O$4:$O$1203,$B45,'ORDENES'!$U$4:$U$1203,"correctiva")</f>
        <v/>
      </c>
      <c r="G45" s="17">
        <f>E45+F45</f>
        <v/>
      </c>
      <c r="H45" s="17">
        <f>D45-G45</f>
        <v/>
      </c>
      <c r="I45" s="16">
        <f>IF(D45=0,"",G45/D45)</f>
        <v/>
      </c>
      <c r="N45" s="22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SUMIFS('ORDENES'!$M$4:$M$1203,'ORDENES'!$AA$4:$AA$1203,$A46,'ORDENES'!$O$4:$O$1203,$B46,'ORDENES'!$U$4:$U$1203,"preventiva")</f>
        <v/>
      </c>
      <c r="F46" s="17">
        <f>SUMIFS('ORDENES'!$M$4:$M$1203,'ORDENES'!$AA$4:$AA$1203,$A46,'ORDENES'!$O$4:$O$1203,$B46,'ORDENES'!$U$4:$U$1203,"correctiva")</f>
        <v/>
      </c>
      <c r="G46" s="17">
        <f>E46+F46</f>
        <v/>
      </c>
      <c r="H46" s="17">
        <f>D46-G46</f>
        <v/>
      </c>
      <c r="I46" s="16">
        <f>IF(D46=0,"",G46/D46)</f>
        <v/>
      </c>
      <c r="N46" s="22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SUMIFS('ORDENES'!$M$4:$M$1203,'ORDENES'!$AA$4:$AA$1203,$A47,'ORDENES'!$O$4:$O$1203,$B47,'ORDENES'!$U$4:$U$1203,"preventiva")</f>
        <v/>
      </c>
      <c r="F47" s="17">
        <f>SUMIFS('ORDENES'!$M$4:$M$1203,'ORDENES'!$AA$4:$AA$1203,$A47,'ORDENES'!$O$4:$O$1203,$B47,'ORDENES'!$U$4:$U$1203,"correctiva")</f>
        <v/>
      </c>
      <c r="G47" s="17">
        <f>E47+F47</f>
        <v/>
      </c>
      <c r="H47" s="17">
        <f>D47-G47</f>
        <v/>
      </c>
      <c r="I47" s="16">
        <f>IF(D47=0,"",G47/D47)</f>
        <v/>
      </c>
      <c r="N47" s="22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SUMIFS('ORDENES'!$M$4:$M$1203,'ORDENES'!$AA$4:$AA$1203,$A48,'ORDENES'!$O$4:$O$1203,$B48,'ORDENES'!$U$4:$U$1203,"preventiva")</f>
        <v/>
      </c>
      <c r="F48" s="17">
        <f>SUMIFS('ORDENES'!$M$4:$M$1203,'ORDENES'!$AA$4:$AA$1203,$A48,'ORDENES'!$O$4:$O$1203,$B48,'ORDENES'!$U$4:$U$1203,"correctiva")</f>
        <v/>
      </c>
      <c r="G48" s="17">
        <f>E48+F48</f>
        <v/>
      </c>
      <c r="H48" s="17">
        <f>D48-G48</f>
        <v/>
      </c>
      <c r="I48" s="16">
        <f>IF(D48=0,"",G48/D48)</f>
        <v/>
      </c>
      <c r="N48" s="22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SUMIFS('ORDENES'!$M$4:$M$1203,'ORDENES'!$AA$4:$AA$1203,$A49,'ORDENES'!$O$4:$O$1203,$B49,'ORDENES'!$U$4:$U$1203,"preventiva")</f>
        <v/>
      </c>
      <c r="F49" s="17">
        <f>SUMIFS('ORDENES'!$M$4:$M$1203,'ORDENES'!$AA$4:$AA$1203,$A49,'ORDENES'!$O$4:$O$1203,$B49,'ORDENES'!$U$4:$U$1203,"correctiva")</f>
        <v/>
      </c>
      <c r="G49" s="17">
        <f>E49+F49</f>
        <v/>
      </c>
      <c r="H49" s="17">
        <f>D49-G49</f>
        <v/>
      </c>
      <c r="I49" s="16">
        <f>IF(D49=0,"",G49/D49)</f>
        <v/>
      </c>
      <c r="N49" s="22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SUMIFS('ORDENES'!$M$4:$M$1203,'ORDENES'!$AA$4:$AA$1203,$A50,'ORDENES'!$O$4:$O$1203,$B50,'ORDENES'!$U$4:$U$1203,"preventiva")</f>
        <v/>
      </c>
      <c r="F50" s="17">
        <f>SUMIFS('ORDENES'!$M$4:$M$1203,'ORDENES'!$AA$4:$AA$1203,$A50,'ORDENES'!$O$4:$O$1203,$B50,'ORDENES'!$U$4:$U$1203,"correctiva")</f>
        <v/>
      </c>
      <c r="G50" s="17">
        <f>E50+F50</f>
        <v/>
      </c>
      <c r="H50" s="17">
        <f>D50-G50</f>
        <v/>
      </c>
      <c r="I50" s="16">
        <f>IF(D50=0,"",G50/D50)</f>
        <v/>
      </c>
      <c r="N50" s="22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SUMIFS('ORDENES'!$M$4:$M$1203,'ORDENES'!$AA$4:$AA$1203,$A51,'ORDENES'!$O$4:$O$1203,$B51,'ORDENES'!$U$4:$U$1203,"preventiva")</f>
        <v/>
      </c>
      <c r="F51" s="17">
        <f>SUMIFS('ORDENES'!$M$4:$M$1203,'ORDENES'!$AA$4:$AA$1203,$A51,'ORDENES'!$O$4:$O$1203,$B51,'ORDENES'!$U$4:$U$1203,"correctiva")</f>
        <v/>
      </c>
      <c r="G51" s="17">
        <f>E51+F51</f>
        <v/>
      </c>
      <c r="H51" s="17">
        <f>D51-G51</f>
        <v/>
      </c>
      <c r="I51" s="16">
        <f>IF(D51=0,"",G51/D51)</f>
        <v/>
      </c>
      <c r="N51" s="22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SUMIFS('ORDENES'!$M$4:$M$1203,'ORDENES'!$AA$4:$AA$1203,$A52,'ORDENES'!$O$4:$O$1203,$B52,'ORDENES'!$U$4:$U$1203,"preventiva")</f>
        <v/>
      </c>
      <c r="F52" s="17">
        <f>SUMIFS('ORDENES'!$M$4:$M$1203,'ORDENES'!$AA$4:$AA$1203,$A52,'ORDENES'!$O$4:$O$1203,$B52,'ORDENES'!$U$4:$U$1203,"correctiva")</f>
        <v/>
      </c>
      <c r="G52" s="17">
        <f>E52+F52</f>
        <v/>
      </c>
      <c r="H52" s="17">
        <f>D52-G52</f>
        <v/>
      </c>
      <c r="I52" s="16">
        <f>IF(D52=0,"",G52/D52)</f>
        <v/>
      </c>
      <c r="N52" s="22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SUMIFS('ORDENES'!$M$4:$M$1203,'ORDENES'!$AA$4:$AA$1203,$A53,'ORDENES'!$O$4:$O$1203,$B53,'ORDENES'!$U$4:$U$1203,"preventiva")</f>
        <v/>
      </c>
      <c r="F53" s="17">
        <f>SUMIFS('ORDENES'!$M$4:$M$1203,'ORDENES'!$AA$4:$AA$1203,$A53,'ORDENES'!$O$4:$O$1203,$B53,'ORDENES'!$U$4:$U$1203,"correctiva")</f>
        <v/>
      </c>
      <c r="G53" s="17">
        <f>E53+F53</f>
        <v/>
      </c>
      <c r="H53" s="17">
        <f>D53-G53</f>
        <v/>
      </c>
      <c r="I53" s="16">
        <f>IF(D53=0,"",G53/D53)</f>
        <v/>
      </c>
      <c r="N53" s="22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SUMIFS('ORDENES'!$M$4:$M$1203,'ORDENES'!$AA$4:$AA$1203,$A54,'ORDENES'!$O$4:$O$1203,$B54,'ORDENES'!$U$4:$U$1203,"preventiva")</f>
        <v/>
      </c>
      <c r="F54" s="17">
        <f>SUMIFS('ORDENES'!$M$4:$M$1203,'ORDENES'!$AA$4:$AA$1203,$A54,'ORDENES'!$O$4:$O$1203,$B54,'ORDENES'!$U$4:$U$1203,"correctiva")</f>
        <v/>
      </c>
      <c r="G54" s="17">
        <f>E54+F54</f>
        <v/>
      </c>
      <c r="H54" s="17">
        <f>D54-G54</f>
        <v/>
      </c>
      <c r="I54" s="16">
        <f>IF(D54=0,"",G54/D54)</f>
        <v/>
      </c>
      <c r="N54" s="22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SUMIFS('ORDENES'!$M$4:$M$1203,'ORDENES'!$AA$4:$AA$1203,$A55,'ORDENES'!$O$4:$O$1203,$B55,'ORDENES'!$U$4:$U$1203,"preventiva")</f>
        <v/>
      </c>
      <c r="F55" s="17">
        <f>SUMIFS('ORDENES'!$M$4:$M$1203,'ORDENES'!$AA$4:$AA$1203,$A55,'ORDENES'!$O$4:$O$1203,$B55,'ORDENES'!$U$4:$U$1203,"correctiva")</f>
        <v/>
      </c>
      <c r="G55" s="17">
        <f>E55+F55</f>
        <v/>
      </c>
      <c r="H55" s="17">
        <f>D55-G55</f>
        <v/>
      </c>
      <c r="I55" s="16">
        <f>IF(D55=0,"",G55/D55)</f>
        <v/>
      </c>
      <c r="N55" s="22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SUMIFS('ORDENES'!$M$4:$M$1203,'ORDENES'!$AA$4:$AA$1203,$A56,'ORDENES'!$O$4:$O$1203,$B56,'ORDENES'!$U$4:$U$1203,"preventiva")</f>
        <v/>
      </c>
      <c r="F56" s="17">
        <f>SUMIFS('ORDENES'!$M$4:$M$1203,'ORDENES'!$AA$4:$AA$1203,$A56,'ORDENES'!$O$4:$O$1203,$B56,'ORDENES'!$U$4:$U$1203,"correctiva")</f>
        <v/>
      </c>
      <c r="G56" s="17">
        <f>E56+F56</f>
        <v/>
      </c>
      <c r="H56" s="17">
        <f>D56-G56</f>
        <v/>
      </c>
      <c r="I56" s="16">
        <f>IF(D56=0,"",G56/D56)</f>
        <v/>
      </c>
      <c r="N56" s="22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SUMIFS('ORDENES'!$M$4:$M$1203,'ORDENES'!$AA$4:$AA$1203,$A57,'ORDENES'!$O$4:$O$1203,$B57,'ORDENES'!$U$4:$U$1203,"preventiva")</f>
        <v/>
      </c>
      <c r="F57" s="17">
        <f>SUMIFS('ORDENES'!$M$4:$M$1203,'ORDENES'!$AA$4:$AA$1203,$A57,'ORDENES'!$O$4:$O$1203,$B57,'ORDENES'!$U$4:$U$1203,"correctiva")</f>
        <v/>
      </c>
      <c r="G57" s="17">
        <f>E57+F57</f>
        <v/>
      </c>
      <c r="H57" s="17">
        <f>D57-G57</f>
        <v/>
      </c>
      <c r="I57" s="16">
        <f>IF(D57=0,"",G57/D57)</f>
        <v/>
      </c>
      <c r="N57" s="22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SUMIFS('ORDENES'!$M$4:$M$1203,'ORDENES'!$AA$4:$AA$1203,$A58,'ORDENES'!$O$4:$O$1203,$B58,'ORDENES'!$U$4:$U$1203,"preventiva")</f>
        <v/>
      </c>
      <c r="F58" s="17">
        <f>SUMIFS('ORDENES'!$M$4:$M$1203,'ORDENES'!$AA$4:$AA$1203,$A58,'ORDENES'!$O$4:$O$1203,$B58,'ORDENES'!$U$4:$U$1203,"correctiva")</f>
        <v/>
      </c>
      <c r="G58" s="17">
        <f>E58+F58</f>
        <v/>
      </c>
      <c r="H58" s="17">
        <f>D58-G58</f>
        <v/>
      </c>
      <c r="I58" s="16">
        <f>IF(D58=0,"",G58/D58)</f>
        <v/>
      </c>
      <c r="N58" s="22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SUMIFS('ORDENES'!$M$4:$M$1203,'ORDENES'!$AA$4:$AA$1203,$A59,'ORDENES'!$O$4:$O$1203,$B59,'ORDENES'!$U$4:$U$1203,"preventiva")</f>
        <v/>
      </c>
      <c r="F59" s="17">
        <f>SUMIFS('ORDENES'!$M$4:$M$1203,'ORDENES'!$AA$4:$AA$1203,$A59,'ORDENES'!$O$4:$O$1203,$B59,'ORDENES'!$U$4:$U$1203,"correctiva")</f>
        <v/>
      </c>
      <c r="G59" s="17">
        <f>E59+F59</f>
        <v/>
      </c>
      <c r="H59" s="17">
        <f>D59-G59</f>
        <v/>
      </c>
      <c r="I59" s="16">
        <f>IF(D59=0,"",G59/D59)</f>
        <v/>
      </c>
      <c r="N59" s="22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SUMIFS('ORDENES'!$M$4:$M$1203,'ORDENES'!$AA$4:$AA$1203,$A60,'ORDENES'!$O$4:$O$1203,$B60,'ORDENES'!$U$4:$U$1203,"preventiva")</f>
        <v/>
      </c>
      <c r="F60" s="17">
        <f>SUMIFS('ORDENES'!$M$4:$M$1203,'ORDENES'!$AA$4:$AA$1203,$A60,'ORDENES'!$O$4:$O$1203,$B60,'ORDENES'!$U$4:$U$1203,"correctiva")</f>
        <v/>
      </c>
      <c r="G60" s="17">
        <f>E60+F60</f>
        <v/>
      </c>
      <c r="H60" s="17">
        <f>D60-G60</f>
        <v/>
      </c>
      <c r="I60" s="16">
        <f>IF(D60=0,"",G60/D60)</f>
        <v/>
      </c>
      <c r="N60" s="22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SUMIFS('ORDENES'!$M$4:$M$1203,'ORDENES'!$AA$4:$AA$1203,$A61,'ORDENES'!$O$4:$O$1203,$B61,'ORDENES'!$U$4:$U$1203,"preventiva")</f>
        <v/>
      </c>
      <c r="F61" s="17">
        <f>SUMIFS('ORDENES'!$M$4:$M$1203,'ORDENES'!$AA$4:$AA$1203,$A61,'ORDENES'!$O$4:$O$1203,$B61,'ORDENES'!$U$4:$U$1203,"correctiva")</f>
        <v/>
      </c>
      <c r="G61" s="17">
        <f>E61+F61</f>
        <v/>
      </c>
      <c r="H61" s="17">
        <f>D61-G61</f>
        <v/>
      </c>
      <c r="I61" s="16">
        <f>IF(D61=0,"",G61/D61)</f>
        <v/>
      </c>
      <c r="N61" s="22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SUMIFS('ORDENES'!$M$4:$M$1203,'ORDENES'!$AA$4:$AA$1203,$A62,'ORDENES'!$O$4:$O$1203,$B62,'ORDENES'!$U$4:$U$1203,"preventiva")</f>
        <v/>
      </c>
      <c r="F62" s="17">
        <f>SUMIFS('ORDENES'!$M$4:$M$1203,'ORDENES'!$AA$4:$AA$1203,$A62,'ORDENES'!$O$4:$O$1203,$B62,'ORDENES'!$U$4:$U$1203,"correctiva")</f>
        <v/>
      </c>
      <c r="G62" s="17">
        <f>E62+F62</f>
        <v/>
      </c>
      <c r="H62" s="17">
        <f>D62-G62</f>
        <v/>
      </c>
      <c r="I62" s="16">
        <f>IF(D62=0,"",G62/D62)</f>
        <v/>
      </c>
      <c r="N62" s="22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SUMIFS('ORDENES'!$M$4:$M$1203,'ORDENES'!$AA$4:$AA$1203,$A63,'ORDENES'!$O$4:$O$1203,$B63,'ORDENES'!$U$4:$U$1203,"preventiva")</f>
        <v/>
      </c>
      <c r="F63" s="17">
        <f>SUMIFS('ORDENES'!$M$4:$M$1203,'ORDENES'!$AA$4:$AA$1203,$A63,'ORDENES'!$O$4:$O$1203,$B63,'ORDENES'!$U$4:$U$1203,"correctiva")</f>
        <v/>
      </c>
      <c r="G63" s="17">
        <f>E63+F63</f>
        <v/>
      </c>
      <c r="H63" s="17">
        <f>D63-G63</f>
        <v/>
      </c>
      <c r="I63" s="16">
        <f>IF(D63=0,"",G63/D63)</f>
        <v/>
      </c>
      <c r="N63" s="22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SUMIFS('ORDENES'!$M$4:$M$1203,'ORDENES'!$AA$4:$AA$1203,$A64,'ORDENES'!$O$4:$O$1203,$B64,'ORDENES'!$U$4:$U$1203,"preventiva")</f>
        <v/>
      </c>
      <c r="F64" s="17">
        <f>SUMIFS('ORDENES'!$M$4:$M$1203,'ORDENES'!$AA$4:$AA$1203,$A64,'ORDENES'!$O$4:$O$1203,$B64,'ORDENES'!$U$4:$U$1203,"correctiva")</f>
        <v/>
      </c>
      <c r="G64" s="17">
        <f>E64+F64</f>
        <v/>
      </c>
      <c r="H64" s="17">
        <f>D64-G64</f>
        <v/>
      </c>
      <c r="I64" s="16">
        <f>IF(D64=0,"",G64/D64)</f>
        <v/>
      </c>
    </row>
    <row r="65">
      <c r="A65" s="5" t="inlineStr">
        <is>
          <t>ELE</t>
        </is>
      </c>
      <c r="B65" s="5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SUMIFS('ORDENES'!$M$4:$M$1203,'ORDENES'!$AA$4:$AA$1203,$A65,'ORDENES'!$O$4:$O$1203,$B65,'ORDENES'!$U$4:$U$1203,"preventiva")</f>
        <v/>
      </c>
      <c r="F65" s="17">
        <f>SUMIFS('ORDENES'!$M$4:$M$1203,'ORDENES'!$AA$4:$AA$1203,$A65,'ORDENES'!$O$4:$O$1203,$B65,'ORDENES'!$U$4:$U$1203,"correctiva")</f>
        <v/>
      </c>
      <c r="G65" s="17">
        <f>E65+F65</f>
        <v/>
      </c>
      <c r="H65" s="17">
        <f>D65-G65</f>
        <v/>
      </c>
      <c r="I65" s="16">
        <f>IF(D65=0,"",G65/D65)</f>
        <v/>
      </c>
    </row>
    <row r="66">
      <c r="A66" s="5" t="inlineStr">
        <is>
          <t>AUT</t>
        </is>
      </c>
      <c r="B66" s="5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SUMIFS('ORDENES'!$M$4:$M$1203,'ORDENES'!$AA$4:$AA$1203,$A66,'ORDENES'!$O$4:$O$1203,$B66,'ORDENES'!$U$4:$U$1203,"preventiva")</f>
        <v/>
      </c>
      <c r="F66" s="17">
        <f>SUMIFS('ORDENES'!$M$4:$M$1203,'ORDENES'!$AA$4:$AA$1203,$A66,'ORDENES'!$O$4:$O$1203,$B66,'ORDENES'!$U$4:$U$1203,"correctiva")</f>
        <v/>
      </c>
      <c r="G66" s="17">
        <f>E66+F66</f>
        <v/>
      </c>
      <c r="H66" s="17">
        <f>D66-G66</f>
        <v/>
      </c>
      <c r="I66" s="16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SUMIFS('ORDENES'!$M$4:$M$1203,'ORDENES'!$AA$4:$AA$1203,$A67,'ORDENES'!$O$4:$O$1203,$B67,'ORDENES'!$U$4:$U$1203,"preventiva")</f>
        <v/>
      </c>
      <c r="F67" s="17">
        <f>SUMIFS('ORDENES'!$M$4:$M$1203,'ORDENES'!$AA$4:$AA$1203,$A67,'ORDENES'!$O$4:$O$1203,$B67,'ORDENES'!$U$4:$U$1203,"correctiva")</f>
        <v/>
      </c>
      <c r="G67" s="17">
        <f>E67+F67</f>
        <v/>
      </c>
      <c r="H67" s="17">
        <f>D67-G67</f>
        <v/>
      </c>
      <c r="I67" s="16">
        <f>IF(D67=0,"",G67/D67)</f>
        <v/>
      </c>
    </row>
    <row r="68">
      <c r="A68" s="5" t="inlineStr">
        <is>
          <t>MEC</t>
        </is>
      </c>
      <c r="B68" s="5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SUMIFS('ORDENES'!$M$4:$M$1203,'ORDENES'!$AA$4:$AA$1203,$A68,'ORDENES'!$O$4:$O$1203,$B68,'ORDENES'!$U$4:$U$1203,"preventiva")</f>
        <v/>
      </c>
      <c r="F68" s="17">
        <f>SUMIFS('ORDENES'!$M$4:$M$1203,'ORDENES'!$AA$4:$AA$1203,$A68,'ORDENES'!$O$4:$O$1203,$B68,'ORDENES'!$U$4:$U$1203,"correctiva")</f>
        <v/>
      </c>
      <c r="G68" s="17">
        <f>E68+F68</f>
        <v/>
      </c>
      <c r="H68" s="17">
        <f>D68-G68</f>
        <v/>
      </c>
      <c r="I68" s="16">
        <f>IF(D68=0,"",G68/D68)</f>
        <v/>
      </c>
    </row>
    <row r="69">
      <c r="A69" s="5" t="inlineStr">
        <is>
          <t>ELE</t>
        </is>
      </c>
      <c r="B69" s="5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SUMIFS('ORDENES'!$M$4:$M$1203,'ORDENES'!$AA$4:$AA$1203,$A69,'ORDENES'!$O$4:$O$1203,$B69,'ORDENES'!$U$4:$U$1203,"preventiva")</f>
        <v/>
      </c>
      <c r="F69" s="17">
        <f>SUMIFS('ORDENES'!$M$4:$M$1203,'ORDENES'!$AA$4:$AA$1203,$A69,'ORDENES'!$O$4:$O$1203,$B69,'ORDENES'!$U$4:$U$1203,"correctiva")</f>
        <v/>
      </c>
      <c r="G69" s="17">
        <f>E69+F69</f>
        <v/>
      </c>
      <c r="H69" s="17">
        <f>D69-G69</f>
        <v/>
      </c>
      <c r="I69" s="16">
        <f>IF(D69=0,"",G69/D69)</f>
        <v/>
      </c>
    </row>
    <row r="70">
      <c r="A70" s="5" t="inlineStr">
        <is>
          <t>AUT</t>
        </is>
      </c>
      <c r="B70" s="5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SUMIFS('ORDENES'!$M$4:$M$1203,'ORDENES'!$AA$4:$AA$1203,$A70,'ORDENES'!$O$4:$O$1203,$B70,'ORDENES'!$U$4:$U$1203,"preventiva")</f>
        <v/>
      </c>
      <c r="F70" s="17">
        <f>SUMIFS('ORDENES'!$M$4:$M$1203,'ORDENES'!$AA$4:$AA$1203,$A70,'ORDENES'!$O$4:$O$1203,$B70,'ORDENES'!$U$4:$U$1203,"correctiva")</f>
        <v/>
      </c>
      <c r="G70" s="17">
        <f>E70+F70</f>
        <v/>
      </c>
      <c r="H70" s="17">
        <f>D70-G70</f>
        <v/>
      </c>
      <c r="I70" s="16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SUMIFS('ORDENES'!$M$4:$M$1203,'ORDENES'!$AA$4:$AA$1203,$A71,'ORDENES'!$O$4:$O$1203,$B71,'ORDENES'!$U$4:$U$1203,"preventiva")</f>
        <v/>
      </c>
      <c r="F71" s="17">
        <f>SUMIFS('ORDENES'!$M$4:$M$1203,'ORDENES'!$AA$4:$AA$1203,$A71,'ORDENES'!$O$4:$O$1203,$B71,'ORDENES'!$U$4:$U$1203,"correctiva")</f>
        <v/>
      </c>
      <c r="G71" s="17">
        <f>E71+F71</f>
        <v/>
      </c>
      <c r="H71" s="17">
        <f>D71-G71</f>
        <v/>
      </c>
      <c r="I71" s="16">
        <f>IF(D71=0,"",G71/D71)</f>
        <v/>
      </c>
    </row>
    <row r="72">
      <c r="A72" s="5" t="inlineStr">
        <is>
          <t>MEC</t>
        </is>
      </c>
      <c r="B72" s="5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SUMIFS('ORDENES'!$M$4:$M$1203,'ORDENES'!$AA$4:$AA$1203,$A72,'ORDENES'!$O$4:$O$1203,$B72,'ORDENES'!$U$4:$U$1203,"preventiva")</f>
        <v/>
      </c>
      <c r="F72" s="17">
        <f>SUMIFS('ORDENES'!$M$4:$M$1203,'ORDENES'!$AA$4:$AA$1203,$A72,'ORDENES'!$O$4:$O$1203,$B72,'ORDENES'!$U$4:$U$1203,"correctiva")</f>
        <v/>
      </c>
      <c r="G72" s="17">
        <f>E72+F72</f>
        <v/>
      </c>
      <c r="H72" s="17">
        <f>D72-G72</f>
        <v/>
      </c>
      <c r="I72" s="16">
        <f>IF(D72=0,"",G72/D72)</f>
        <v/>
      </c>
    </row>
    <row r="73">
      <c r="A73" s="5" t="inlineStr">
        <is>
          <t>ELE</t>
        </is>
      </c>
      <c r="B73" s="5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SUMIFS('ORDENES'!$M$4:$M$1203,'ORDENES'!$AA$4:$AA$1203,$A73,'ORDENES'!$O$4:$O$1203,$B73,'ORDENES'!$U$4:$U$1203,"preventiva")</f>
        <v/>
      </c>
      <c r="F73" s="17">
        <f>SUMIFS('ORDENES'!$M$4:$M$1203,'ORDENES'!$AA$4:$AA$1203,$A73,'ORDENES'!$O$4:$O$1203,$B73,'ORDENES'!$U$4:$U$1203,"correctiva")</f>
        <v/>
      </c>
      <c r="G73" s="17">
        <f>E73+F73</f>
        <v/>
      </c>
      <c r="H73" s="17">
        <f>D73-G73</f>
        <v/>
      </c>
      <c r="I73" s="16">
        <f>IF(D73=0,"",G73/D73)</f>
        <v/>
      </c>
    </row>
    <row r="74">
      <c r="A74" s="5" t="inlineStr">
        <is>
          <t>AUT</t>
        </is>
      </c>
      <c r="B74" s="5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SUMIFS('ORDENES'!$M$4:$M$1203,'ORDENES'!$AA$4:$AA$1203,$A74,'ORDENES'!$O$4:$O$1203,$B74,'ORDENES'!$U$4:$U$1203,"preventiva")</f>
        <v/>
      </c>
      <c r="F74" s="17">
        <f>SUMIFS('ORDENES'!$M$4:$M$1203,'ORDENES'!$AA$4:$AA$1203,$A74,'ORDENES'!$O$4:$O$1203,$B74,'ORDENES'!$U$4:$U$1203,"correctiva")</f>
        <v/>
      </c>
      <c r="G74" s="17">
        <f>E74+F74</f>
        <v/>
      </c>
      <c r="H74" s="17">
        <f>D74-G74</f>
        <v/>
      </c>
      <c r="I74" s="16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SUMIFS('ORDENES'!$M$4:$M$1203,'ORDENES'!$AA$4:$AA$1203,$A75,'ORDENES'!$O$4:$O$1203,$B75,'ORDENES'!$U$4:$U$1203,"preventiva")</f>
        <v/>
      </c>
      <c r="F75" s="17">
        <f>SUMIFS('ORDENES'!$M$4:$M$1203,'ORDENES'!$AA$4:$AA$1203,$A75,'ORDENES'!$O$4:$O$1203,$B75,'ORDENES'!$U$4:$U$1203,"correctiva")</f>
        <v/>
      </c>
      <c r="G75" s="17">
        <f>E75+F75</f>
        <v/>
      </c>
      <c r="H75" s="17">
        <f>D75-G75</f>
        <v/>
      </c>
      <c r="I75" s="16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SUMIFS('ORDENES'!$M$4:$M$1203,'ORDENES'!$AA$4:$AA$1203,$A76,'ORDENES'!$O$4:$O$1203,$B76,'ORDENES'!$U$4:$U$1203,"preventiva")</f>
        <v/>
      </c>
      <c r="F76" s="17">
        <f>SUMIFS('ORDENES'!$M$4:$M$1203,'ORDENES'!$AA$4:$AA$1203,$A76,'ORDENES'!$O$4:$O$1203,$B76,'ORDENES'!$U$4:$U$1203,"correctiva")</f>
        <v/>
      </c>
      <c r="G76" s="17">
        <f>E76+F76</f>
        <v/>
      </c>
      <c r="H76" s="17">
        <f>D76-G76</f>
        <v/>
      </c>
      <c r="I76" s="16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SUMIFS('ORDENES'!$M$4:$M$1203,'ORDENES'!$AA$4:$AA$1203,$A77,'ORDENES'!$O$4:$O$1203,$B77,'ORDENES'!$U$4:$U$1203,"preventiva")</f>
        <v/>
      </c>
      <c r="F77" s="17">
        <f>SUMIFS('ORDENES'!$M$4:$M$1203,'ORDENES'!$AA$4:$AA$1203,$A77,'ORDENES'!$O$4:$O$1203,$B77,'ORDENES'!$U$4:$U$1203,"correctiva")</f>
        <v/>
      </c>
      <c r="G77" s="17">
        <f>E77+F77</f>
        <v/>
      </c>
      <c r="H77" s="17">
        <f>D77-G77</f>
        <v/>
      </c>
      <c r="I77" s="16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SUMIFS('ORDENES'!$M$4:$M$1203,'ORDENES'!$AA$4:$AA$1203,$A78,'ORDENES'!$O$4:$O$1203,$B78,'ORDENES'!$U$4:$U$1203,"preventiva")</f>
        <v/>
      </c>
      <c r="F78" s="17">
        <f>SUMIFS('ORDENES'!$M$4:$M$1203,'ORDENES'!$AA$4:$AA$1203,$A78,'ORDENES'!$O$4:$O$1203,$B78,'ORDENES'!$U$4:$U$1203,"correctiva")</f>
        <v/>
      </c>
      <c r="G78" s="17">
        <f>E78+F78</f>
        <v/>
      </c>
      <c r="H78" s="17">
        <f>D78-G78</f>
        <v/>
      </c>
      <c r="I78" s="16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SUMIFS('ORDENES'!$M$4:$M$1203,'ORDENES'!$AA$4:$AA$1203,$A79,'ORDENES'!$O$4:$O$1203,$B79,'ORDENES'!$U$4:$U$1203,"preventiva")</f>
        <v/>
      </c>
      <c r="F79" s="17">
        <f>SUMIFS('ORDENES'!$M$4:$M$1203,'ORDENES'!$AA$4:$AA$1203,$A79,'ORDENES'!$O$4:$O$1203,$B79,'ORDENES'!$U$4:$U$1203,"correctiva")</f>
        <v/>
      </c>
      <c r="G79" s="17">
        <f>E79+F79</f>
        <v/>
      </c>
      <c r="H79" s="17">
        <f>D79-G79</f>
        <v/>
      </c>
      <c r="I79" s="16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SUMIFS('ORDENES'!$M$4:$M$1203,'ORDENES'!$AA$4:$AA$1203,$A80,'ORDENES'!$O$4:$O$1203,$B80,'ORDENES'!$U$4:$U$1203,"preventiva")</f>
        <v/>
      </c>
      <c r="F80" s="17">
        <f>SUMIFS('ORDENES'!$M$4:$M$1203,'ORDENES'!$AA$4:$AA$1203,$A80,'ORDENES'!$O$4:$O$1203,$B80,'ORDENES'!$U$4:$U$1203,"correctiva")</f>
        <v/>
      </c>
      <c r="G80" s="17">
        <f>E80+F80</f>
        <v/>
      </c>
      <c r="H80" s="17">
        <f>D80-G80</f>
        <v/>
      </c>
      <c r="I80" s="16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SUMIFS('ORDENES'!$M$4:$M$1203,'ORDENES'!$AA$4:$AA$1203,$A81,'ORDENES'!$O$4:$O$1203,$B81,'ORDENES'!$U$4:$U$1203,"preventiva")</f>
        <v/>
      </c>
      <c r="F81" s="17">
        <f>SUMIFS('ORDENES'!$M$4:$M$1203,'ORDENES'!$AA$4:$AA$1203,$A81,'ORDENES'!$O$4:$O$1203,$B81,'ORDENES'!$U$4:$U$1203,"correctiva")</f>
        <v/>
      </c>
      <c r="G81" s="17">
        <f>E81+F81</f>
        <v/>
      </c>
      <c r="H81" s="17">
        <f>D81-G81</f>
        <v/>
      </c>
      <c r="I81" s="16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SUMIFS('ORDENES'!$M$4:$M$1203,'ORDENES'!$AA$4:$AA$1203,$A82,'ORDENES'!$O$4:$O$1203,$B82,'ORDENES'!$U$4:$U$1203,"preventiva")</f>
        <v/>
      </c>
      <c r="F82" s="17">
        <f>SUMIFS('ORDENES'!$M$4:$M$1203,'ORDENES'!$AA$4:$AA$1203,$A82,'ORDENES'!$O$4:$O$1203,$B82,'ORDENES'!$U$4:$U$1203,"correctiva")</f>
        <v/>
      </c>
      <c r="G82" s="17">
        <f>E82+F82</f>
        <v/>
      </c>
      <c r="H82" s="17">
        <f>D82-G82</f>
        <v/>
      </c>
      <c r="I82" s="16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SUMIFS('ORDENES'!$M$4:$M$1203,'ORDENES'!$AA$4:$AA$1203,$A83,'ORDENES'!$O$4:$O$1203,$B83,'ORDENES'!$U$4:$U$1203,"preventiva")</f>
        <v/>
      </c>
      <c r="F83" s="17">
        <f>SUMIFS('ORDENES'!$M$4:$M$1203,'ORDENES'!$AA$4:$AA$1203,$A83,'ORDENES'!$O$4:$O$1203,$B83,'ORDENES'!$U$4:$U$1203,"correctiva")</f>
        <v/>
      </c>
      <c r="G83" s="17">
        <f>E83+F83</f>
        <v/>
      </c>
      <c r="H83" s="17">
        <f>D83-G83</f>
        <v/>
      </c>
      <c r="I83" s="16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SUMIFS('ORDENES'!$M$4:$M$1203,'ORDENES'!$AA$4:$AA$1203,$A84,'ORDENES'!$O$4:$O$1203,$B84,'ORDENES'!$U$4:$U$1203,"preventiva")</f>
        <v/>
      </c>
      <c r="F84" s="17">
        <f>SUMIFS('ORDENES'!$M$4:$M$1203,'ORDENES'!$AA$4:$AA$1203,$A84,'ORDENES'!$O$4:$O$1203,$B84,'ORDENES'!$U$4:$U$1203,"correctiva")</f>
        <v/>
      </c>
      <c r="G84" s="17">
        <f>E84+F84</f>
        <v/>
      </c>
      <c r="H84" s="17">
        <f>D84-G84</f>
        <v/>
      </c>
      <c r="I84" s="16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SUMIFS('ORDENES'!$M$4:$M$1203,'ORDENES'!$AA$4:$AA$1203,$A85,'ORDENES'!$O$4:$O$1203,$B85,'ORDENES'!$U$4:$U$1203,"preventiva")</f>
        <v/>
      </c>
      <c r="F85" s="17">
        <f>SUMIFS('ORDENES'!$M$4:$M$1203,'ORDENES'!$AA$4:$AA$1203,$A85,'ORDENES'!$O$4:$O$1203,$B85,'ORDENES'!$U$4:$U$1203,"correctiva")</f>
        <v/>
      </c>
      <c r="G85" s="17">
        <f>E85+F85</f>
        <v/>
      </c>
      <c r="H85" s="17">
        <f>D85-G85</f>
        <v/>
      </c>
      <c r="I85" s="16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SUMIFS('ORDENES'!$M$4:$M$1203,'ORDENES'!$AA$4:$AA$1203,$A86,'ORDENES'!$O$4:$O$1203,$B86,'ORDENES'!$U$4:$U$1203,"preventiva")</f>
        <v/>
      </c>
      <c r="F86" s="17">
        <f>SUMIFS('ORDENES'!$M$4:$M$1203,'ORDENES'!$AA$4:$AA$1203,$A86,'ORDENES'!$O$4:$O$1203,$B86,'ORDENES'!$U$4:$U$1203,"correctiva")</f>
        <v/>
      </c>
      <c r="G86" s="17">
        <f>E86+F86</f>
        <v/>
      </c>
      <c r="H86" s="17">
        <f>D86-G86</f>
        <v/>
      </c>
      <c r="I86" s="16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SUMIFS('ORDENES'!$M$4:$M$1203,'ORDENES'!$AA$4:$AA$1203,$A87,'ORDENES'!$O$4:$O$1203,$B87,'ORDENES'!$U$4:$U$1203,"preventiva")</f>
        <v/>
      </c>
      <c r="F87" s="17">
        <f>SUMIFS('ORDENES'!$M$4:$M$1203,'ORDENES'!$AA$4:$AA$1203,$A87,'ORDENES'!$O$4:$O$1203,$B87,'ORDENES'!$U$4:$U$1203,"correctiva")</f>
        <v/>
      </c>
      <c r="G87" s="17">
        <f>E87+F87</f>
        <v/>
      </c>
      <c r="H87" s="17">
        <f>D87-G87</f>
        <v/>
      </c>
      <c r="I87" s="16">
        <f>IF(D87=0,"",G87/D87)</f>
        <v/>
      </c>
    </row>
    <row r="88">
      <c r="A88" s="5" t="inlineStr">
        <is>
          <t>MEC</t>
        </is>
      </c>
      <c r="B88" s="5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SUMIFS('ORDENES'!$M$4:$M$1203,'ORDENES'!$AA$4:$AA$1203,$A88,'ORDENES'!$O$4:$O$1203,$B88,'ORDENES'!$U$4:$U$1203,"preventiva")</f>
        <v/>
      </c>
      <c r="F88" s="17">
        <f>SUMIFS('ORDENES'!$M$4:$M$1203,'ORDENES'!$AA$4:$AA$1203,$A88,'ORDENES'!$O$4:$O$1203,$B88,'ORDENES'!$U$4:$U$1203,"correctiva")</f>
        <v/>
      </c>
      <c r="G88" s="17">
        <f>E88+F88</f>
        <v/>
      </c>
      <c r="H88" s="17">
        <f>D88-G88</f>
        <v/>
      </c>
      <c r="I88" s="16">
        <f>IF(D88=0,"",G88/D88)</f>
        <v/>
      </c>
    </row>
    <row r="89">
      <c r="A89" s="5" t="inlineStr">
        <is>
          <t>ELE</t>
        </is>
      </c>
      <c r="B89" s="5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SUMIFS('ORDENES'!$M$4:$M$1203,'ORDENES'!$AA$4:$AA$1203,$A89,'ORDENES'!$O$4:$O$1203,$B89,'ORDENES'!$U$4:$U$1203,"preventiva")</f>
        <v/>
      </c>
      <c r="F89" s="17">
        <f>SUMIFS('ORDENES'!$M$4:$M$1203,'ORDENES'!$AA$4:$AA$1203,$A89,'ORDENES'!$O$4:$O$1203,$B89,'ORDENES'!$U$4:$U$1203,"correctiva")</f>
        <v/>
      </c>
      <c r="G89" s="17">
        <f>E89+F89</f>
        <v/>
      </c>
      <c r="H89" s="17">
        <f>D89-G89</f>
        <v/>
      </c>
      <c r="I89" s="16">
        <f>IF(D89=0,"",G89/D89)</f>
        <v/>
      </c>
    </row>
    <row r="90">
      <c r="A90" s="5" t="inlineStr">
        <is>
          <t>AUT</t>
        </is>
      </c>
      <c r="B90" s="5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SUMIFS('ORDENES'!$M$4:$M$1203,'ORDENES'!$AA$4:$AA$1203,$A90,'ORDENES'!$O$4:$O$1203,$B90,'ORDENES'!$U$4:$U$1203,"preventiva")</f>
        <v/>
      </c>
      <c r="F90" s="17">
        <f>SUMIFS('ORDENES'!$M$4:$M$1203,'ORDENES'!$AA$4:$AA$1203,$A90,'ORDENES'!$O$4:$O$1203,$B90,'ORDENES'!$U$4:$U$1203,"correctiva")</f>
        <v/>
      </c>
      <c r="G90" s="17">
        <f>E90+F90</f>
        <v/>
      </c>
      <c r="H90" s="17">
        <f>D90-G90</f>
        <v/>
      </c>
      <c r="I90" s="16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SUMIFS('ORDENES'!$M$4:$M$1203,'ORDENES'!$AA$4:$AA$1203,$A91,'ORDENES'!$O$4:$O$1203,$B91,'ORDENES'!$U$4:$U$1203,"preventiva")</f>
        <v/>
      </c>
      <c r="F91" s="17">
        <f>SUMIFS('ORDENES'!$M$4:$M$1203,'ORDENES'!$AA$4:$AA$1203,$A91,'ORDENES'!$O$4:$O$1203,$B91,'ORDENES'!$U$4:$U$1203,"correctiva")</f>
        <v/>
      </c>
      <c r="G91" s="17">
        <f>E91+F91</f>
        <v/>
      </c>
      <c r="H91" s="17">
        <f>D91-G91</f>
        <v/>
      </c>
      <c r="I91" s="16">
        <f>IF(D91=0,"",G91/D91)</f>
        <v/>
      </c>
    </row>
    <row r="92">
      <c r="A92" s="5" t="inlineStr">
        <is>
          <t>MEC</t>
        </is>
      </c>
      <c r="B92" s="5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SUMIFS('ORDENES'!$M$4:$M$1203,'ORDENES'!$AA$4:$AA$1203,$A92,'ORDENES'!$O$4:$O$1203,$B92,'ORDENES'!$U$4:$U$1203,"preventiva")</f>
        <v/>
      </c>
      <c r="F92" s="17">
        <f>SUMIFS('ORDENES'!$M$4:$M$1203,'ORDENES'!$AA$4:$AA$1203,$A92,'ORDENES'!$O$4:$O$1203,$B92,'ORDENES'!$U$4:$U$1203,"correctiva")</f>
        <v/>
      </c>
      <c r="G92" s="17">
        <f>E92+F92</f>
        <v/>
      </c>
      <c r="H92" s="17">
        <f>D92-G92</f>
        <v/>
      </c>
      <c r="I92" s="16">
        <f>IF(D92=0,"",G92/D92)</f>
        <v/>
      </c>
    </row>
    <row r="93">
      <c r="A93" s="5" t="inlineStr">
        <is>
          <t>ELE</t>
        </is>
      </c>
      <c r="B93" s="5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SUMIFS('ORDENES'!$M$4:$M$1203,'ORDENES'!$AA$4:$AA$1203,$A93,'ORDENES'!$O$4:$O$1203,$B93,'ORDENES'!$U$4:$U$1203,"preventiva")</f>
        <v/>
      </c>
      <c r="F93" s="17">
        <f>SUMIFS('ORDENES'!$M$4:$M$1203,'ORDENES'!$AA$4:$AA$1203,$A93,'ORDENES'!$O$4:$O$1203,$B93,'ORDENES'!$U$4:$U$1203,"correctiva")</f>
        <v/>
      </c>
      <c r="G93" s="17">
        <f>E93+F93</f>
        <v/>
      </c>
      <c r="H93" s="17">
        <f>D93-G93</f>
        <v/>
      </c>
      <c r="I93" s="16">
        <f>IF(D93=0,"",G93/D93)</f>
        <v/>
      </c>
    </row>
    <row r="94">
      <c r="A94" s="5" t="inlineStr">
        <is>
          <t>AUT</t>
        </is>
      </c>
      <c r="B94" s="5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SUMIFS('ORDENES'!$M$4:$M$1203,'ORDENES'!$AA$4:$AA$1203,$A94,'ORDENES'!$O$4:$O$1203,$B94,'ORDENES'!$U$4:$U$1203,"preventiva")</f>
        <v/>
      </c>
      <c r="F94" s="17">
        <f>SUMIFS('ORDENES'!$M$4:$M$1203,'ORDENES'!$AA$4:$AA$1203,$A94,'ORDENES'!$O$4:$O$1203,$B94,'ORDENES'!$U$4:$U$1203,"correctiva")</f>
        <v/>
      </c>
      <c r="G94" s="17">
        <f>E94+F94</f>
        <v/>
      </c>
      <c r="H94" s="17">
        <f>D94-G94</f>
        <v/>
      </c>
      <c r="I94" s="16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SUMIFS('ORDENES'!$M$4:$M$1203,'ORDENES'!$AA$4:$AA$1203,$A95,'ORDENES'!$O$4:$O$1203,$B95,'ORDENES'!$U$4:$U$1203,"preventiva")</f>
        <v/>
      </c>
      <c r="F95" s="17">
        <f>SUMIFS('ORDENES'!$M$4:$M$1203,'ORDENES'!$AA$4:$AA$1203,$A95,'ORDENES'!$O$4:$O$1203,$B95,'ORDENES'!$U$4:$U$1203,"correctiva")</f>
        <v/>
      </c>
      <c r="G95" s="17">
        <f>E95+F95</f>
        <v/>
      </c>
      <c r="H95" s="17">
        <f>D95-G95</f>
        <v/>
      </c>
      <c r="I95" s="16">
        <f>IF(D95=0,"",G95/D95)</f>
        <v/>
      </c>
    </row>
    <row r="96">
      <c r="A96" s="5" t="inlineStr">
        <is>
          <t>MEC</t>
        </is>
      </c>
      <c r="B96" s="5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SUMIFS('ORDENES'!$M$4:$M$1203,'ORDENES'!$AA$4:$AA$1203,$A96,'ORDENES'!$O$4:$O$1203,$B96,'ORDENES'!$U$4:$U$1203,"preventiva")</f>
        <v/>
      </c>
      <c r="F96" s="17">
        <f>SUMIFS('ORDENES'!$M$4:$M$1203,'ORDENES'!$AA$4:$AA$1203,$A96,'ORDENES'!$O$4:$O$1203,$B96,'ORDENES'!$U$4:$U$1203,"correctiva")</f>
        <v/>
      </c>
      <c r="G96" s="17">
        <f>E96+F96</f>
        <v/>
      </c>
      <c r="H96" s="17">
        <f>D96-G96</f>
        <v/>
      </c>
      <c r="I96" s="16">
        <f>IF(D96=0,"",G96/D96)</f>
        <v/>
      </c>
    </row>
    <row r="97">
      <c r="A97" s="5" t="inlineStr">
        <is>
          <t>ELE</t>
        </is>
      </c>
      <c r="B97" s="5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SUMIFS('ORDENES'!$M$4:$M$1203,'ORDENES'!$AA$4:$AA$1203,$A97,'ORDENES'!$O$4:$O$1203,$B97,'ORDENES'!$U$4:$U$1203,"preventiva")</f>
        <v/>
      </c>
      <c r="F97" s="17">
        <f>SUMIFS('ORDENES'!$M$4:$M$1203,'ORDENES'!$AA$4:$AA$1203,$A97,'ORDENES'!$O$4:$O$1203,$B97,'ORDENES'!$U$4:$U$1203,"correctiva")</f>
        <v/>
      </c>
      <c r="G97" s="17">
        <f>E97+F97</f>
        <v/>
      </c>
      <c r="H97" s="17">
        <f>D97-G97</f>
        <v/>
      </c>
      <c r="I97" s="16">
        <f>IF(D97=0,"",G97/D97)</f>
        <v/>
      </c>
    </row>
    <row r="98">
      <c r="A98" s="5" t="inlineStr">
        <is>
          <t>AUT</t>
        </is>
      </c>
      <c r="B98" s="5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SUMIFS('ORDENES'!$M$4:$M$1203,'ORDENES'!$AA$4:$AA$1203,$A98,'ORDENES'!$O$4:$O$1203,$B98,'ORDENES'!$U$4:$U$1203,"preventiva")</f>
        <v/>
      </c>
      <c r="F98" s="17">
        <f>SUMIFS('ORDENES'!$M$4:$M$1203,'ORDENES'!$AA$4:$AA$1203,$A98,'ORDENES'!$O$4:$O$1203,$B98,'ORDENES'!$U$4:$U$1203,"correctiva")</f>
        <v/>
      </c>
      <c r="G98" s="17">
        <f>E98+F98</f>
        <v/>
      </c>
      <c r="H98" s="17">
        <f>D98-G98</f>
        <v/>
      </c>
      <c r="I98" s="16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SUMIFS('ORDENES'!$M$4:$M$1203,'ORDENES'!$AA$4:$AA$1203,$A99,'ORDENES'!$O$4:$O$1203,$B99,'ORDENES'!$U$4:$U$1203,"preventiva")</f>
        <v/>
      </c>
      <c r="F99" s="17">
        <f>SUMIFS('ORDENES'!$M$4:$M$1203,'ORDENES'!$AA$4:$AA$1203,$A99,'ORDENES'!$O$4:$O$1203,$B99,'ORDENES'!$U$4:$U$1203,"correctiva")</f>
        <v/>
      </c>
      <c r="G99" s="17">
        <f>E99+F99</f>
        <v/>
      </c>
      <c r="H99" s="17">
        <f>D99-G99</f>
        <v/>
      </c>
      <c r="I99" s="16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SUMIFS('ORDENES'!$M$4:$M$1203,'ORDENES'!$AA$4:$AA$1203,$A100,'ORDENES'!$O$4:$O$1203,$B100,'ORDENES'!$U$4:$U$1203,"preventiva")</f>
        <v/>
      </c>
      <c r="F100" s="17">
        <f>SUMIFS('ORDENES'!$M$4:$M$1203,'ORDENES'!$AA$4:$AA$1203,$A100,'ORDENES'!$O$4:$O$1203,$B100,'ORDENES'!$U$4:$U$1203,"correctiva")</f>
        <v/>
      </c>
      <c r="G100" s="17">
        <f>E100+F100</f>
        <v/>
      </c>
      <c r="H100" s="17">
        <f>D100-G100</f>
        <v/>
      </c>
      <c r="I100" s="16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SUMIFS('ORDENES'!$M$4:$M$1203,'ORDENES'!$AA$4:$AA$1203,$A101,'ORDENES'!$O$4:$O$1203,$B101,'ORDENES'!$U$4:$U$1203,"preventiva")</f>
        <v/>
      </c>
      <c r="F101" s="17">
        <f>SUMIFS('ORDENES'!$M$4:$M$1203,'ORDENES'!$AA$4:$AA$1203,$A101,'ORDENES'!$O$4:$O$1203,$B101,'ORDENES'!$U$4:$U$1203,"correctiva")</f>
        <v/>
      </c>
      <c r="G101" s="17">
        <f>E101+F101</f>
        <v/>
      </c>
      <c r="H101" s="17">
        <f>D101-G101</f>
        <v/>
      </c>
      <c r="I101" s="16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SUMIFS('ORDENES'!$M$4:$M$1203,'ORDENES'!$AA$4:$AA$1203,$A102,'ORDENES'!$O$4:$O$1203,$B102,'ORDENES'!$U$4:$U$1203,"preventiva")</f>
        <v/>
      </c>
      <c r="F102" s="17">
        <f>SUMIFS('ORDENES'!$M$4:$M$1203,'ORDENES'!$AA$4:$AA$1203,$A102,'ORDENES'!$O$4:$O$1203,$B102,'ORDENES'!$U$4:$U$1203,"correctiva")</f>
        <v/>
      </c>
      <c r="G102" s="17">
        <f>E102+F102</f>
        <v/>
      </c>
      <c r="H102" s="17">
        <f>D102-G102</f>
        <v/>
      </c>
      <c r="I102" s="16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SUMIFS('ORDENES'!$M$4:$M$1203,'ORDENES'!$AA$4:$AA$1203,$A103,'ORDENES'!$O$4:$O$1203,$B103,'ORDENES'!$U$4:$U$1203,"preventiva")</f>
        <v/>
      </c>
      <c r="F103" s="17">
        <f>SUMIFS('ORDENES'!$M$4:$M$1203,'ORDENES'!$AA$4:$AA$1203,$A103,'ORDENES'!$O$4:$O$1203,$B103,'ORDENES'!$U$4:$U$1203,"correctiva")</f>
        <v/>
      </c>
      <c r="G103" s="17">
        <f>E103+F103</f>
        <v/>
      </c>
      <c r="H103" s="17">
        <f>D103-G103</f>
        <v/>
      </c>
      <c r="I103" s="16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SUMIFS('ORDENES'!$M$4:$M$1203,'ORDENES'!$AA$4:$AA$1203,$A104,'ORDENES'!$O$4:$O$1203,$B104,'ORDENES'!$U$4:$U$1203,"preventiva")</f>
        <v/>
      </c>
      <c r="F104" s="17">
        <f>SUMIFS('ORDENES'!$M$4:$M$1203,'ORDENES'!$AA$4:$AA$1203,$A104,'ORDENES'!$O$4:$O$1203,$B104,'ORDENES'!$U$4:$U$1203,"correctiva")</f>
        <v/>
      </c>
      <c r="G104" s="17">
        <f>E104+F104</f>
        <v/>
      </c>
      <c r="H104" s="17">
        <f>D104-G104</f>
        <v/>
      </c>
      <c r="I104" s="16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SUMIFS('ORDENES'!$M$4:$M$1203,'ORDENES'!$AA$4:$AA$1203,$A105,'ORDENES'!$O$4:$O$1203,$B105,'ORDENES'!$U$4:$U$1203,"preventiva")</f>
        <v/>
      </c>
      <c r="F105" s="17">
        <f>SUMIFS('ORDENES'!$M$4:$M$1203,'ORDENES'!$AA$4:$AA$1203,$A105,'ORDENES'!$O$4:$O$1203,$B105,'ORDENES'!$U$4:$U$1203,"correctiva")</f>
        <v/>
      </c>
      <c r="G105" s="17">
        <f>E105+F105</f>
        <v/>
      </c>
      <c r="H105" s="17">
        <f>D105-G105</f>
        <v/>
      </c>
      <c r="I105" s="16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SUMIFS('ORDENES'!$M$4:$M$1203,'ORDENES'!$AA$4:$AA$1203,$A106,'ORDENES'!$O$4:$O$1203,$B106,'ORDENES'!$U$4:$U$1203,"preventiva")</f>
        <v/>
      </c>
      <c r="F106" s="17">
        <f>SUMIFS('ORDENES'!$M$4:$M$1203,'ORDENES'!$AA$4:$AA$1203,$A106,'ORDENES'!$O$4:$O$1203,$B106,'ORDENES'!$U$4:$U$1203,"correctiva")</f>
        <v/>
      </c>
      <c r="G106" s="17">
        <f>E106+F106</f>
        <v/>
      </c>
      <c r="H106" s="17">
        <f>D106-G106</f>
        <v/>
      </c>
      <c r="I106" s="16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SUMIFS('ORDENES'!$M$4:$M$1203,'ORDENES'!$AA$4:$AA$1203,$A107,'ORDENES'!$O$4:$O$1203,$B107,'ORDENES'!$U$4:$U$1203,"preventiva")</f>
        <v/>
      </c>
      <c r="F107" s="17">
        <f>SUMIFS('ORDENES'!$M$4:$M$1203,'ORDENES'!$AA$4:$AA$1203,$A107,'ORDENES'!$O$4:$O$1203,$B107,'ORDENES'!$U$4:$U$1203,"correctiva")</f>
        <v/>
      </c>
      <c r="G107" s="17">
        <f>E107+F107</f>
        <v/>
      </c>
      <c r="H107" s="17">
        <f>D107-G107</f>
        <v/>
      </c>
      <c r="I107" s="16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SUMIFS('ORDENES'!$M$4:$M$1203,'ORDENES'!$AA$4:$AA$1203,$A108,'ORDENES'!$O$4:$O$1203,$B108,'ORDENES'!$U$4:$U$1203,"preventiva")</f>
        <v/>
      </c>
      <c r="F108" s="17">
        <f>SUMIFS('ORDENES'!$M$4:$M$1203,'ORDENES'!$AA$4:$AA$1203,$A108,'ORDENES'!$O$4:$O$1203,$B108,'ORDENES'!$U$4:$U$1203,"correctiva")</f>
        <v/>
      </c>
      <c r="G108" s="17">
        <f>E108+F108</f>
        <v/>
      </c>
      <c r="H108" s="17">
        <f>D108-G108</f>
        <v/>
      </c>
      <c r="I108" s="16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SUMIFS('ORDENES'!$M$4:$M$1203,'ORDENES'!$AA$4:$AA$1203,$A109,'ORDENES'!$O$4:$O$1203,$B109,'ORDENES'!$U$4:$U$1203,"preventiva")</f>
        <v/>
      </c>
      <c r="F109" s="17">
        <f>SUMIFS('ORDENES'!$M$4:$M$1203,'ORDENES'!$AA$4:$AA$1203,$A109,'ORDENES'!$O$4:$O$1203,$B109,'ORDENES'!$U$4:$U$1203,"correctiva")</f>
        <v/>
      </c>
      <c r="G109" s="17">
        <f>E109+F109</f>
        <v/>
      </c>
      <c r="H109" s="17">
        <f>D109-G109</f>
        <v/>
      </c>
      <c r="I109" s="16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SUMIFS('ORDENES'!$M$4:$M$1203,'ORDENES'!$AA$4:$AA$1203,$A110,'ORDENES'!$O$4:$O$1203,$B110,'ORDENES'!$U$4:$U$1203,"preventiva")</f>
        <v/>
      </c>
      <c r="F110" s="17">
        <f>SUMIFS('ORDENES'!$M$4:$M$1203,'ORDENES'!$AA$4:$AA$1203,$A110,'ORDENES'!$O$4:$O$1203,$B110,'ORDENES'!$U$4:$U$1203,"correctiva")</f>
        <v/>
      </c>
      <c r="G110" s="17">
        <f>E110+F110</f>
        <v/>
      </c>
      <c r="H110" s="17">
        <f>D110-G110</f>
        <v/>
      </c>
      <c r="I110" s="16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SUMIFS('ORDENES'!$M$4:$M$1203,'ORDENES'!$AA$4:$AA$1203,$A111,'ORDENES'!$O$4:$O$1203,$B111,'ORDENES'!$U$4:$U$1203,"preventiva")</f>
        <v/>
      </c>
      <c r="F111" s="17">
        <f>SUMIFS('ORDENES'!$M$4:$M$1203,'ORDENES'!$AA$4:$AA$1203,$A111,'ORDENES'!$O$4:$O$1203,$B111,'ORDENES'!$U$4:$U$1203,"correctiva")</f>
        <v/>
      </c>
      <c r="G111" s="17">
        <f>E111+F111</f>
        <v/>
      </c>
      <c r="H111" s="17">
        <f>D111-G111</f>
        <v/>
      </c>
      <c r="I111" s="16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SUMIFS('ORDENES'!$M$4:$M$1203,'ORDENES'!$AA$4:$AA$1203,$A112,'ORDENES'!$O$4:$O$1203,$B112,'ORDENES'!$U$4:$U$1203,"preventiva")</f>
        <v/>
      </c>
      <c r="F112" s="17">
        <f>SUMIFS('ORDENES'!$M$4:$M$1203,'ORDENES'!$AA$4:$AA$1203,$A112,'ORDENES'!$O$4:$O$1203,$B112,'ORDENES'!$U$4:$U$1203,"correctiva")</f>
        <v/>
      </c>
      <c r="G112" s="17">
        <f>E112+F112</f>
        <v/>
      </c>
      <c r="H112" s="17">
        <f>D112-G112</f>
        <v/>
      </c>
      <c r="I112" s="16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SUMIFS('ORDENES'!$M$4:$M$1203,'ORDENES'!$AA$4:$AA$1203,$A113,'ORDENES'!$O$4:$O$1203,$B113,'ORDENES'!$U$4:$U$1203,"preventiva")</f>
        <v/>
      </c>
      <c r="F113" s="17">
        <f>SUMIFS('ORDENES'!$M$4:$M$1203,'ORDENES'!$AA$4:$AA$1203,$A113,'ORDENES'!$O$4:$O$1203,$B113,'ORDENES'!$U$4:$U$1203,"correctiva")</f>
        <v/>
      </c>
      <c r="G113" s="17">
        <f>E113+F113</f>
        <v/>
      </c>
      <c r="H113" s="17">
        <f>D113-G113</f>
        <v/>
      </c>
      <c r="I113" s="16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SUMIFS('ORDENES'!$M$4:$M$1203,'ORDENES'!$AA$4:$AA$1203,$A114,'ORDENES'!$O$4:$O$1203,$B114,'ORDENES'!$U$4:$U$1203,"preventiva")</f>
        <v/>
      </c>
      <c r="F114" s="17">
        <f>SUMIFS('ORDENES'!$M$4:$M$1203,'ORDENES'!$AA$4:$AA$1203,$A114,'ORDENES'!$O$4:$O$1203,$B114,'ORDENES'!$U$4:$U$1203,"correctiva")</f>
        <v/>
      </c>
      <c r="G114" s="17">
        <f>E114+F114</f>
        <v/>
      </c>
      <c r="H114" s="17">
        <f>D114-G114</f>
        <v/>
      </c>
      <c r="I114" s="16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SUMIFS('ORDENES'!$M$4:$M$1203,'ORDENES'!$AA$4:$AA$1203,$A115,'ORDENES'!$O$4:$O$1203,$B115,'ORDENES'!$U$4:$U$1203,"preventiva")</f>
        <v/>
      </c>
      <c r="F115" s="17">
        <f>SUMIFS('ORDENES'!$M$4:$M$1203,'ORDENES'!$AA$4:$AA$1203,$A115,'ORDENES'!$O$4:$O$1203,$B115,'ORDENES'!$U$4:$U$1203,"correctiva")</f>
        <v/>
      </c>
      <c r="G115" s="17">
        <f>E115+F115</f>
        <v/>
      </c>
      <c r="H115" s="17">
        <f>D115-G115</f>
        <v/>
      </c>
      <c r="I115" s="16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SUMIFS('ORDENES'!$M$4:$M$1203,'ORDENES'!$AA$4:$AA$1203,$A116,'ORDENES'!$O$4:$O$1203,$B116,'ORDENES'!$U$4:$U$1203,"preventiva")</f>
        <v/>
      </c>
      <c r="F116" s="17">
        <f>SUMIFS('ORDENES'!$M$4:$M$1203,'ORDENES'!$AA$4:$AA$1203,$A116,'ORDENES'!$O$4:$O$1203,$B116,'ORDENES'!$U$4:$U$1203,"correctiva")</f>
        <v/>
      </c>
      <c r="G116" s="17">
        <f>E116+F116</f>
        <v/>
      </c>
      <c r="H116" s="17">
        <f>D116-G116</f>
        <v/>
      </c>
      <c r="I116" s="16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SUMIFS('ORDENES'!$M$4:$M$1203,'ORDENES'!$AA$4:$AA$1203,$A117,'ORDENES'!$O$4:$O$1203,$B117,'ORDENES'!$U$4:$U$1203,"preventiva")</f>
        <v/>
      </c>
      <c r="F117" s="17">
        <f>SUMIFS('ORDENES'!$M$4:$M$1203,'ORDENES'!$AA$4:$AA$1203,$A117,'ORDENES'!$O$4:$O$1203,$B117,'ORDENES'!$U$4:$U$1203,"correctiva")</f>
        <v/>
      </c>
      <c r="G117" s="17">
        <f>E117+F117</f>
        <v/>
      </c>
      <c r="H117" s="17">
        <f>D117-G117</f>
        <v/>
      </c>
      <c r="I117" s="16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SUMIFS('ORDENES'!$M$4:$M$1203,'ORDENES'!$AA$4:$AA$1203,$A118,'ORDENES'!$O$4:$O$1203,$B118,'ORDENES'!$U$4:$U$1203,"preventiva")</f>
        <v/>
      </c>
      <c r="F118" s="17">
        <f>SUMIFS('ORDENES'!$M$4:$M$1203,'ORDENES'!$AA$4:$AA$1203,$A118,'ORDENES'!$O$4:$O$1203,$B118,'ORDENES'!$U$4:$U$1203,"correctiva")</f>
        <v/>
      </c>
      <c r="G118" s="17">
        <f>E118+F118</f>
        <v/>
      </c>
      <c r="H118" s="17">
        <f>D118-G118</f>
        <v/>
      </c>
      <c r="I118" s="16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SUMIFS('ORDENES'!$M$4:$M$1203,'ORDENES'!$AA$4:$AA$1203,$A119,'ORDENES'!$O$4:$O$1203,$B119,'ORDENES'!$U$4:$U$1203,"preventiva")</f>
        <v/>
      </c>
      <c r="F119" s="17">
        <f>SUMIFS('ORDENES'!$M$4:$M$1203,'ORDENES'!$AA$4:$AA$1203,$A119,'ORDENES'!$O$4:$O$1203,$B119,'ORDENES'!$U$4:$U$1203,"correctiva")</f>
        <v/>
      </c>
      <c r="G119" s="17">
        <f>E119+F119</f>
        <v/>
      </c>
      <c r="H119" s="17">
        <f>D119-G119</f>
        <v/>
      </c>
      <c r="I119" s="16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SUMIFS('ORDENES'!$M$4:$M$1203,'ORDENES'!$AA$4:$AA$1203,$A120,'ORDENES'!$O$4:$O$1203,$B120,'ORDENES'!$U$4:$U$1203,"preventiva")</f>
        <v/>
      </c>
      <c r="F120" s="17">
        <f>SUMIFS('ORDENES'!$M$4:$M$1203,'ORDENES'!$AA$4:$AA$1203,$A120,'ORDENES'!$O$4:$O$1203,$B120,'ORDENES'!$U$4:$U$1203,"correctiva")</f>
        <v/>
      </c>
      <c r="G120" s="17">
        <f>E120+F120</f>
        <v/>
      </c>
      <c r="H120" s="17">
        <f>D120-G120</f>
        <v/>
      </c>
      <c r="I120" s="16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SUMIFS('ORDENES'!$M$4:$M$1203,'ORDENES'!$AA$4:$AA$1203,$A121,'ORDENES'!$O$4:$O$1203,$B121,'ORDENES'!$U$4:$U$1203,"preventiva")</f>
        <v/>
      </c>
      <c r="F121" s="17">
        <f>SUMIFS('ORDENES'!$M$4:$M$1203,'ORDENES'!$AA$4:$AA$1203,$A121,'ORDENES'!$O$4:$O$1203,$B121,'ORDENES'!$U$4:$U$1203,"correctiva")</f>
        <v/>
      </c>
      <c r="G121" s="17">
        <f>E121+F121</f>
        <v/>
      </c>
      <c r="H121" s="17">
        <f>D121-G121</f>
        <v/>
      </c>
      <c r="I121" s="16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SUMIFS('ORDENES'!$M$4:$M$1203,'ORDENES'!$AA$4:$AA$1203,$A122,'ORDENES'!$O$4:$O$1203,$B122,'ORDENES'!$U$4:$U$1203,"preventiva")</f>
        <v/>
      </c>
      <c r="F122" s="17">
        <f>SUMIFS('ORDENES'!$M$4:$M$1203,'ORDENES'!$AA$4:$AA$1203,$A122,'ORDENES'!$O$4:$O$1203,$B122,'ORDENES'!$U$4:$U$1203,"correctiva")</f>
        <v/>
      </c>
      <c r="G122" s="17">
        <f>E122+F122</f>
        <v/>
      </c>
      <c r="H122" s="17">
        <f>D122-G122</f>
        <v/>
      </c>
      <c r="I122" s="16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SUMIFS('ORDENES'!$M$4:$M$1203,'ORDENES'!$AA$4:$AA$1203,$A123,'ORDENES'!$O$4:$O$1203,$B123,'ORDENES'!$U$4:$U$1203,"preventiva")</f>
        <v/>
      </c>
      <c r="F123" s="17">
        <f>SUMIFS('ORDENES'!$M$4:$M$1203,'ORDENES'!$AA$4:$AA$1203,$A123,'ORDENES'!$O$4:$O$1203,$B123,'ORDENES'!$U$4:$U$1203,"correctiva")</f>
        <v/>
      </c>
      <c r="G123" s="17">
        <f>E123+F123</f>
        <v/>
      </c>
      <c r="H123" s="17">
        <f>D123-G123</f>
        <v/>
      </c>
      <c r="I123" s="16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SUMIFS('ORDENES'!$M$4:$M$1203,'ORDENES'!$AA$4:$AA$1203,$A124,'ORDENES'!$O$4:$O$1203,$B124,'ORDENES'!$U$4:$U$1203,"preventiva")</f>
        <v/>
      </c>
      <c r="F124" s="17">
        <f>SUMIFS('ORDENES'!$M$4:$M$1203,'ORDENES'!$AA$4:$AA$1203,$A124,'ORDENES'!$O$4:$O$1203,$B124,'ORDENES'!$U$4:$U$1203,"correctiva")</f>
        <v/>
      </c>
      <c r="G124" s="17">
        <f>E124+F124</f>
        <v/>
      </c>
      <c r="H124" s="17">
        <f>D124-G124</f>
        <v/>
      </c>
      <c r="I124" s="16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SUMIFS('ORDENES'!$M$4:$M$1203,'ORDENES'!$AA$4:$AA$1203,$A125,'ORDENES'!$O$4:$O$1203,$B125,'ORDENES'!$U$4:$U$1203,"preventiva")</f>
        <v/>
      </c>
      <c r="F125" s="17">
        <f>SUMIFS('ORDENES'!$M$4:$M$1203,'ORDENES'!$AA$4:$AA$1203,$A125,'ORDENES'!$O$4:$O$1203,$B125,'ORDENES'!$U$4:$U$1203,"correctiva")</f>
        <v/>
      </c>
      <c r="G125" s="17">
        <f>E125+F125</f>
        <v/>
      </c>
      <c r="H125" s="17">
        <f>D125-G125</f>
        <v/>
      </c>
      <c r="I125" s="16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SUMIFS('ORDENES'!$M$4:$M$1203,'ORDENES'!$AA$4:$AA$1203,$A126,'ORDENES'!$O$4:$O$1203,$B126,'ORDENES'!$U$4:$U$1203,"preventiva")</f>
        <v/>
      </c>
      <c r="F126" s="17">
        <f>SUMIFS('ORDENES'!$M$4:$M$1203,'ORDENES'!$AA$4:$AA$1203,$A126,'ORDENES'!$O$4:$O$1203,$B126,'ORDENES'!$U$4:$U$1203,"correctiva")</f>
        <v/>
      </c>
      <c r="G126" s="17">
        <f>E126+F126</f>
        <v/>
      </c>
      <c r="H126" s="17">
        <f>D126-G126</f>
        <v/>
      </c>
      <c r="I126" s="16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SUMIFS('ORDENES'!$M$4:$M$1203,'ORDENES'!$AA$4:$AA$1203,$A127,'ORDENES'!$O$4:$O$1203,$B127,'ORDENES'!$U$4:$U$1203,"preventiva")</f>
        <v/>
      </c>
      <c r="F127" s="17">
        <f>SUMIFS('ORDENES'!$M$4:$M$1203,'ORDENES'!$AA$4:$AA$1203,$A127,'ORDENES'!$O$4:$O$1203,$B127,'ORDENES'!$U$4:$U$1203,"correctiva")</f>
        <v/>
      </c>
      <c r="G127" s="17">
        <f>E127+F127</f>
        <v/>
      </c>
      <c r="H127" s="17">
        <f>D127-G127</f>
        <v/>
      </c>
      <c r="I127" s="16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SUMIFS('ORDENES'!$M$4:$M$1203,'ORDENES'!$AA$4:$AA$1203,$A128,'ORDENES'!$O$4:$O$1203,$B128,'ORDENES'!$U$4:$U$1203,"preventiva")</f>
        <v/>
      </c>
      <c r="F128" s="17">
        <f>SUMIFS('ORDENES'!$M$4:$M$1203,'ORDENES'!$AA$4:$AA$1203,$A128,'ORDENES'!$O$4:$O$1203,$B128,'ORDENES'!$U$4:$U$1203,"correctiva")</f>
        <v/>
      </c>
      <c r="G128" s="17">
        <f>E128+F128</f>
        <v/>
      </c>
      <c r="H128" s="17">
        <f>D128-G128</f>
        <v/>
      </c>
      <c r="I128" s="16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SUMIFS('ORDENES'!$M$4:$M$1203,'ORDENES'!$AA$4:$AA$1203,$A129,'ORDENES'!$O$4:$O$1203,$B129,'ORDENES'!$U$4:$U$1203,"preventiva")</f>
        <v/>
      </c>
      <c r="F129" s="17">
        <f>SUMIFS('ORDENES'!$M$4:$M$1203,'ORDENES'!$AA$4:$AA$1203,$A129,'ORDENES'!$O$4:$O$1203,$B129,'ORDENES'!$U$4:$U$1203,"correctiva")</f>
        <v/>
      </c>
      <c r="G129" s="17">
        <f>E129+F129</f>
        <v/>
      </c>
      <c r="H129" s="17">
        <f>D129-G129</f>
        <v/>
      </c>
      <c r="I129" s="16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SUMIFS('ORDENES'!$M$4:$M$1203,'ORDENES'!$AA$4:$AA$1203,$A130,'ORDENES'!$O$4:$O$1203,$B130,'ORDENES'!$U$4:$U$1203,"preventiva")</f>
        <v/>
      </c>
      <c r="F130" s="17">
        <f>SUMIFS('ORDENES'!$M$4:$M$1203,'ORDENES'!$AA$4:$AA$1203,$A130,'ORDENES'!$O$4:$O$1203,$B130,'ORDENES'!$U$4:$U$1203,"correctiva")</f>
        <v/>
      </c>
      <c r="G130" s="17">
        <f>E130+F130</f>
        <v/>
      </c>
      <c r="H130" s="17">
        <f>D130-G130</f>
        <v/>
      </c>
      <c r="I130" s="16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SUMIFS('ORDENES'!$M$4:$M$1203,'ORDENES'!$AA$4:$AA$1203,$A131,'ORDENES'!$O$4:$O$1203,$B131,'ORDENES'!$U$4:$U$1203,"preventiva")</f>
        <v/>
      </c>
      <c r="F131" s="17">
        <f>SUMIFS('ORDENES'!$M$4:$M$1203,'ORDENES'!$AA$4:$AA$1203,$A131,'ORDENES'!$O$4:$O$1203,$B131,'ORDENES'!$U$4:$U$1203,"correctiva")</f>
        <v/>
      </c>
      <c r="G131" s="17">
        <f>E131+F131</f>
        <v/>
      </c>
      <c r="H131" s="17">
        <f>D131-G131</f>
        <v/>
      </c>
      <c r="I131" s="16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SUMIFS('ORDENES'!$M$4:$M$1203,'ORDENES'!$AA$4:$AA$1203,$A132,'ORDENES'!$O$4:$O$1203,$B132,'ORDENES'!$U$4:$U$1203,"preventiva")</f>
        <v/>
      </c>
      <c r="F132" s="17">
        <f>SUMIFS('ORDENES'!$M$4:$M$1203,'ORDENES'!$AA$4:$AA$1203,$A132,'ORDENES'!$O$4:$O$1203,$B132,'ORDENES'!$U$4:$U$1203,"correctiva")</f>
        <v/>
      </c>
      <c r="G132" s="17">
        <f>E132+F132</f>
        <v/>
      </c>
      <c r="H132" s="17">
        <f>D132-G132</f>
        <v/>
      </c>
      <c r="I132" s="16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SUMIFS('ORDENES'!$M$4:$M$1203,'ORDENES'!$AA$4:$AA$1203,$A133,'ORDENES'!$O$4:$O$1203,$B133,'ORDENES'!$U$4:$U$1203,"preventiva")</f>
        <v/>
      </c>
      <c r="F133" s="17">
        <f>SUMIFS('ORDENES'!$M$4:$M$1203,'ORDENES'!$AA$4:$AA$1203,$A133,'ORDENES'!$O$4:$O$1203,$B133,'ORDENES'!$U$4:$U$1203,"correctiva")</f>
        <v/>
      </c>
      <c r="G133" s="17">
        <f>E133+F133</f>
        <v/>
      </c>
      <c r="H133" s="17">
        <f>D133-G133</f>
        <v/>
      </c>
      <c r="I133" s="16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SUMIFS('ORDENES'!$M$4:$M$1203,'ORDENES'!$AA$4:$AA$1203,$A134,'ORDENES'!$O$4:$O$1203,$B134,'ORDENES'!$U$4:$U$1203,"preventiva")</f>
        <v/>
      </c>
      <c r="F134" s="17">
        <f>SUMIFS('ORDENES'!$M$4:$M$1203,'ORDENES'!$AA$4:$AA$1203,$A134,'ORDENES'!$O$4:$O$1203,$B134,'ORDENES'!$U$4:$U$1203,"correctiva")</f>
        <v/>
      </c>
      <c r="G134" s="17">
        <f>E134+F134</f>
        <v/>
      </c>
      <c r="H134" s="17">
        <f>D134-G134</f>
        <v/>
      </c>
      <c r="I134" s="16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SUMIFS('ORDENES'!$M$4:$M$1203,'ORDENES'!$AA$4:$AA$1203,$A135,'ORDENES'!$O$4:$O$1203,$B135,'ORDENES'!$U$4:$U$1203,"preventiva")</f>
        <v/>
      </c>
      <c r="F135" s="17">
        <f>SUMIFS('ORDENES'!$M$4:$M$1203,'ORDENES'!$AA$4:$AA$1203,$A135,'ORDENES'!$O$4:$O$1203,$B135,'ORDENES'!$U$4:$U$1203,"correctiva")</f>
        <v/>
      </c>
      <c r="G135" s="17">
        <f>E135+F135</f>
        <v/>
      </c>
      <c r="H135" s="17">
        <f>D135-G135</f>
        <v/>
      </c>
      <c r="I135" s="16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SUMIFS('ORDENES'!$M$4:$M$1203,'ORDENES'!$AA$4:$AA$1203,$A136,'ORDENES'!$O$4:$O$1203,$B136,'ORDENES'!$U$4:$U$1203,"preventiva")</f>
        <v/>
      </c>
      <c r="F136" s="17">
        <f>SUMIFS('ORDENES'!$M$4:$M$1203,'ORDENES'!$AA$4:$AA$1203,$A136,'ORDENES'!$O$4:$O$1203,$B136,'ORDENES'!$U$4:$U$1203,"correctiva")</f>
        <v/>
      </c>
      <c r="G136" s="17">
        <f>E136+F136</f>
        <v/>
      </c>
      <c r="H136" s="17">
        <f>D136-G136</f>
        <v/>
      </c>
      <c r="I136" s="16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SUMIFS('ORDENES'!$M$4:$M$1203,'ORDENES'!$AA$4:$AA$1203,$A137,'ORDENES'!$O$4:$O$1203,$B137,'ORDENES'!$U$4:$U$1203,"preventiva")</f>
        <v/>
      </c>
      <c r="F137" s="17">
        <f>SUMIFS('ORDENES'!$M$4:$M$1203,'ORDENES'!$AA$4:$AA$1203,$A137,'ORDENES'!$O$4:$O$1203,$B137,'ORDENES'!$U$4:$U$1203,"correctiva")</f>
        <v/>
      </c>
      <c r="G137" s="17">
        <f>E137+F137</f>
        <v/>
      </c>
      <c r="H137" s="17">
        <f>D137-G137</f>
        <v/>
      </c>
      <c r="I137" s="16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SUMIFS('ORDENES'!$M$4:$M$1203,'ORDENES'!$AA$4:$AA$1203,$A138,'ORDENES'!$O$4:$O$1203,$B138,'ORDENES'!$U$4:$U$1203,"preventiva")</f>
        <v/>
      </c>
      <c r="F138" s="17">
        <f>SUMIFS('ORDENES'!$M$4:$M$1203,'ORDENES'!$AA$4:$AA$1203,$A138,'ORDENES'!$O$4:$O$1203,$B138,'ORDENES'!$U$4:$U$1203,"correctiva")</f>
        <v/>
      </c>
      <c r="G138" s="17">
        <f>E138+F138</f>
        <v/>
      </c>
      <c r="H138" s="17">
        <f>D138-G138</f>
        <v/>
      </c>
      <c r="I138" s="16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SUMIFS('ORDENES'!$M$4:$M$1203,'ORDENES'!$AA$4:$AA$1203,$A139,'ORDENES'!$O$4:$O$1203,$B139,'ORDENES'!$U$4:$U$1203,"preventiva")</f>
        <v/>
      </c>
      <c r="F139" s="17">
        <f>SUMIFS('ORDENES'!$M$4:$M$1203,'ORDENES'!$AA$4:$AA$1203,$A139,'ORDENES'!$O$4:$O$1203,$B139,'ORDENES'!$U$4:$U$1203,"correctiva")</f>
        <v/>
      </c>
      <c r="G139" s="17">
        <f>E139+F139</f>
        <v/>
      </c>
      <c r="H139" s="17">
        <f>D139-G139</f>
        <v/>
      </c>
      <c r="I139" s="16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SUMIFS('ORDENES'!$M$4:$M$1203,'ORDENES'!$AA$4:$AA$1203,$A140,'ORDENES'!$O$4:$O$1203,$B140,'ORDENES'!$U$4:$U$1203,"preventiva")</f>
        <v/>
      </c>
      <c r="F140" s="17">
        <f>SUMIFS('ORDENES'!$M$4:$M$1203,'ORDENES'!$AA$4:$AA$1203,$A140,'ORDENES'!$O$4:$O$1203,$B140,'ORDENES'!$U$4:$U$1203,"correctiva")</f>
        <v/>
      </c>
      <c r="G140" s="17">
        <f>E140+F140</f>
        <v/>
      </c>
      <c r="H140" s="17">
        <f>D140-G140</f>
        <v/>
      </c>
      <c r="I140" s="16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SUMIFS('ORDENES'!$M$4:$M$1203,'ORDENES'!$AA$4:$AA$1203,$A141,'ORDENES'!$O$4:$O$1203,$B141,'ORDENES'!$U$4:$U$1203,"preventiva")</f>
        <v/>
      </c>
      <c r="F141" s="17">
        <f>SUMIFS('ORDENES'!$M$4:$M$1203,'ORDENES'!$AA$4:$AA$1203,$A141,'ORDENES'!$O$4:$O$1203,$B141,'ORDENES'!$U$4:$U$1203,"correctiva")</f>
        <v/>
      </c>
      <c r="G141" s="17">
        <f>E141+F141</f>
        <v/>
      </c>
      <c r="H141" s="17">
        <f>D141-G141</f>
        <v/>
      </c>
      <c r="I141" s="16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SUMIFS('ORDENES'!$M$4:$M$1203,'ORDENES'!$AA$4:$AA$1203,$A142,'ORDENES'!$O$4:$O$1203,$B142,'ORDENES'!$U$4:$U$1203,"preventiva")</f>
        <v/>
      </c>
      <c r="F142" s="17">
        <f>SUMIFS('ORDENES'!$M$4:$M$1203,'ORDENES'!$AA$4:$AA$1203,$A142,'ORDENES'!$O$4:$O$1203,$B142,'ORDENES'!$U$4:$U$1203,"correctiva")</f>
        <v/>
      </c>
      <c r="G142" s="17">
        <f>E142+F142</f>
        <v/>
      </c>
      <c r="H142" s="17">
        <f>D142-G142</f>
        <v/>
      </c>
      <c r="I142" s="16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SUMIFS('ORDENES'!$M$4:$M$1203,'ORDENES'!$AA$4:$AA$1203,$A143,'ORDENES'!$O$4:$O$1203,$B143,'ORDENES'!$U$4:$U$1203,"preventiva")</f>
        <v/>
      </c>
      <c r="F143" s="17">
        <f>SUMIFS('ORDENES'!$M$4:$M$1203,'ORDENES'!$AA$4:$AA$1203,$A143,'ORDENES'!$O$4:$O$1203,$B143,'ORDENES'!$U$4:$U$1203,"correctiva")</f>
        <v/>
      </c>
      <c r="G143" s="17">
        <f>E143+F143</f>
        <v/>
      </c>
      <c r="H143" s="17">
        <f>D143-G143</f>
        <v/>
      </c>
      <c r="I143" s="16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SUMIFS('ORDENES'!$M$4:$M$1203,'ORDENES'!$AA$4:$AA$1203,$A144,'ORDENES'!$O$4:$O$1203,$B144,'ORDENES'!$U$4:$U$1203,"preventiva")</f>
        <v/>
      </c>
      <c r="F144" s="17">
        <f>SUMIFS('ORDENES'!$M$4:$M$1203,'ORDENES'!$AA$4:$AA$1203,$A144,'ORDENES'!$O$4:$O$1203,$B144,'ORDENES'!$U$4:$U$1203,"correctiva")</f>
        <v/>
      </c>
      <c r="G144" s="17">
        <f>E144+F144</f>
        <v/>
      </c>
      <c r="H144" s="17">
        <f>D144-G144</f>
        <v/>
      </c>
      <c r="I144" s="16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SUMIFS('ORDENES'!$M$4:$M$1203,'ORDENES'!$AA$4:$AA$1203,$A145,'ORDENES'!$O$4:$O$1203,$B145,'ORDENES'!$U$4:$U$1203,"preventiva")</f>
        <v/>
      </c>
      <c r="F145" s="17">
        <f>SUMIFS('ORDENES'!$M$4:$M$1203,'ORDENES'!$AA$4:$AA$1203,$A145,'ORDENES'!$O$4:$O$1203,$B145,'ORDENES'!$U$4:$U$1203,"correctiva")</f>
        <v/>
      </c>
      <c r="G145" s="17">
        <f>E145+F145</f>
        <v/>
      </c>
      <c r="H145" s="17">
        <f>D145-G145</f>
        <v/>
      </c>
      <c r="I145" s="16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SUMIFS('ORDENES'!$M$4:$M$1203,'ORDENES'!$AA$4:$AA$1203,$A146,'ORDENES'!$O$4:$O$1203,$B146,'ORDENES'!$U$4:$U$1203,"preventiva")</f>
        <v/>
      </c>
      <c r="F146" s="17">
        <f>SUMIFS('ORDENES'!$M$4:$M$1203,'ORDENES'!$AA$4:$AA$1203,$A146,'ORDENES'!$O$4:$O$1203,$B146,'ORDENES'!$U$4:$U$1203,"correctiva")</f>
        <v/>
      </c>
      <c r="G146" s="17">
        <f>E146+F146</f>
        <v/>
      </c>
      <c r="H146" s="17">
        <f>D146-G146</f>
        <v/>
      </c>
      <c r="I146" s="16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SUMIFS('ORDENES'!$M$4:$M$1203,'ORDENES'!$AA$4:$AA$1203,$A147,'ORDENES'!$O$4:$O$1203,$B147,'ORDENES'!$U$4:$U$1203,"preventiva")</f>
        <v/>
      </c>
      <c r="F147" s="17">
        <f>SUMIFS('ORDENES'!$M$4:$M$1203,'ORDENES'!$AA$4:$AA$1203,$A147,'ORDENES'!$O$4:$O$1203,$B147,'ORDENES'!$U$4:$U$1203,"correctiva")</f>
        <v/>
      </c>
      <c r="G147" s="17">
        <f>E147+F147</f>
        <v/>
      </c>
      <c r="H147" s="17">
        <f>D147-G147</f>
        <v/>
      </c>
      <c r="I147" s="16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SUMIFS('ORDENES'!$M$4:$M$1203,'ORDENES'!$AA$4:$AA$1203,$A148,'ORDENES'!$O$4:$O$1203,$B148,'ORDENES'!$U$4:$U$1203,"preventiva")</f>
        <v/>
      </c>
      <c r="F148" s="17">
        <f>SUMIFS('ORDENES'!$M$4:$M$1203,'ORDENES'!$AA$4:$AA$1203,$A148,'ORDENES'!$O$4:$O$1203,$B148,'ORDENES'!$U$4:$U$1203,"correctiva")</f>
        <v/>
      </c>
      <c r="G148" s="17">
        <f>E148+F148</f>
        <v/>
      </c>
      <c r="H148" s="17">
        <f>D148-G148</f>
        <v/>
      </c>
      <c r="I148" s="16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SUMIFS('ORDENES'!$M$4:$M$1203,'ORDENES'!$AA$4:$AA$1203,$A149,'ORDENES'!$O$4:$O$1203,$B149,'ORDENES'!$U$4:$U$1203,"preventiva")</f>
        <v/>
      </c>
      <c r="F149" s="17">
        <f>SUMIFS('ORDENES'!$M$4:$M$1203,'ORDENES'!$AA$4:$AA$1203,$A149,'ORDENES'!$O$4:$O$1203,$B149,'ORDENES'!$U$4:$U$1203,"correctiva")</f>
        <v/>
      </c>
      <c r="G149" s="17">
        <f>E149+F149</f>
        <v/>
      </c>
      <c r="H149" s="17">
        <f>D149-G149</f>
        <v/>
      </c>
      <c r="I149" s="16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SUMIFS('ORDENES'!$M$4:$M$1203,'ORDENES'!$AA$4:$AA$1203,$A150,'ORDENES'!$O$4:$O$1203,$B150,'ORDENES'!$U$4:$U$1203,"preventiva")</f>
        <v/>
      </c>
      <c r="F150" s="17">
        <f>SUMIFS('ORDENES'!$M$4:$M$1203,'ORDENES'!$AA$4:$AA$1203,$A150,'ORDENES'!$O$4:$O$1203,$B150,'ORDENES'!$U$4:$U$1203,"correctiva")</f>
        <v/>
      </c>
      <c r="G150" s="17">
        <f>E150+F150</f>
        <v/>
      </c>
      <c r="H150" s="17">
        <f>D150-G150</f>
        <v/>
      </c>
      <c r="I150" s="16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SUMIFS('ORDENES'!$M$4:$M$1203,'ORDENES'!$AA$4:$AA$1203,$A151,'ORDENES'!$O$4:$O$1203,$B151,'ORDENES'!$U$4:$U$1203,"preventiva")</f>
        <v/>
      </c>
      <c r="F151" s="17">
        <f>SUMIFS('ORDENES'!$M$4:$M$1203,'ORDENES'!$AA$4:$AA$1203,$A151,'ORDENES'!$O$4:$O$1203,$B151,'ORDENES'!$U$4:$U$1203,"correctiva")</f>
        <v/>
      </c>
      <c r="G151" s="17">
        <f>E151+F151</f>
        <v/>
      </c>
      <c r="H151" s="17">
        <f>D151-G151</f>
        <v/>
      </c>
      <c r="I151" s="16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SUMIFS('ORDENES'!$M$4:$M$1203,'ORDENES'!$AA$4:$AA$1203,$A152,'ORDENES'!$O$4:$O$1203,$B152,'ORDENES'!$U$4:$U$1203,"preventiva")</f>
        <v/>
      </c>
      <c r="F152" s="17">
        <f>SUMIFS('ORDENES'!$M$4:$M$1203,'ORDENES'!$AA$4:$AA$1203,$A152,'ORDENES'!$O$4:$O$1203,$B152,'ORDENES'!$U$4:$U$1203,"correctiva")</f>
        <v/>
      </c>
      <c r="G152" s="17">
        <f>E152+F152</f>
        <v/>
      </c>
      <c r="H152" s="17">
        <f>D152-G152</f>
        <v/>
      </c>
      <c r="I152" s="16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SUMIFS('ORDENES'!$M$4:$M$1203,'ORDENES'!$AA$4:$AA$1203,$A153,'ORDENES'!$O$4:$O$1203,$B153,'ORDENES'!$U$4:$U$1203,"preventiva")</f>
        <v/>
      </c>
      <c r="F153" s="17">
        <f>SUMIFS('ORDENES'!$M$4:$M$1203,'ORDENES'!$AA$4:$AA$1203,$A153,'ORDENES'!$O$4:$O$1203,$B153,'ORDENES'!$U$4:$U$1203,"correctiva")</f>
        <v/>
      </c>
      <c r="G153" s="17">
        <f>E153+F153</f>
        <v/>
      </c>
      <c r="H153" s="17">
        <f>D153-G153</f>
        <v/>
      </c>
      <c r="I153" s="16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SUMIFS('ORDENES'!$M$4:$M$1203,'ORDENES'!$AA$4:$AA$1203,$A154,'ORDENES'!$O$4:$O$1203,$B154,'ORDENES'!$U$4:$U$1203,"preventiva")</f>
        <v/>
      </c>
      <c r="F154" s="17">
        <f>SUMIFS('ORDENES'!$M$4:$M$1203,'ORDENES'!$AA$4:$AA$1203,$A154,'ORDENES'!$O$4:$O$1203,$B154,'ORDENES'!$U$4:$U$1203,"correctiva")</f>
        <v/>
      </c>
      <c r="G154" s="17">
        <f>E154+F154</f>
        <v/>
      </c>
      <c r="H154" s="17">
        <f>D154-G154</f>
        <v/>
      </c>
      <c r="I154" s="16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SUMIFS('ORDENES'!$M$4:$M$1203,'ORDENES'!$AA$4:$AA$1203,$A155,'ORDENES'!$O$4:$O$1203,$B155,'ORDENES'!$U$4:$U$1203,"preventiva")</f>
        <v/>
      </c>
      <c r="F155" s="17">
        <f>SUMIFS('ORDENES'!$M$4:$M$1203,'ORDENES'!$AA$4:$AA$1203,$A155,'ORDENES'!$O$4:$O$1203,$B155,'ORDENES'!$U$4:$U$1203,"correctiva")</f>
        <v/>
      </c>
      <c r="G155" s="17">
        <f>E155+F155</f>
        <v/>
      </c>
      <c r="H155" s="17">
        <f>D155-G155</f>
        <v/>
      </c>
      <c r="I155" s="16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SUMIFS('ORDENES'!$M$4:$M$1203,'ORDENES'!$AA$4:$AA$1203,$A156,'ORDENES'!$O$4:$O$1203,$B156,'ORDENES'!$U$4:$U$1203,"preventiva")</f>
        <v/>
      </c>
      <c r="F156" s="17">
        <f>SUMIFS('ORDENES'!$M$4:$M$1203,'ORDENES'!$AA$4:$AA$1203,$A156,'ORDENES'!$O$4:$O$1203,$B156,'ORDENES'!$U$4:$U$1203,"correctiva")</f>
        <v/>
      </c>
      <c r="G156" s="17">
        <f>E156+F156</f>
        <v/>
      </c>
      <c r="H156" s="17">
        <f>D156-G156</f>
        <v/>
      </c>
      <c r="I156" s="16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SUMIFS('ORDENES'!$M$4:$M$1203,'ORDENES'!$AA$4:$AA$1203,$A157,'ORDENES'!$O$4:$O$1203,$B157,'ORDENES'!$U$4:$U$1203,"preventiva")</f>
        <v/>
      </c>
      <c r="F157" s="17">
        <f>SUMIFS('ORDENES'!$M$4:$M$1203,'ORDENES'!$AA$4:$AA$1203,$A157,'ORDENES'!$O$4:$O$1203,$B157,'ORDENES'!$U$4:$U$1203,"correctiva")</f>
        <v/>
      </c>
      <c r="G157" s="17">
        <f>E157+F157</f>
        <v/>
      </c>
      <c r="H157" s="17">
        <f>D157-G157</f>
        <v/>
      </c>
      <c r="I157" s="16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SUMIFS('ORDENES'!$M$4:$M$1203,'ORDENES'!$AA$4:$AA$1203,$A158,'ORDENES'!$O$4:$O$1203,$B158,'ORDENES'!$U$4:$U$1203,"preventiva")</f>
        <v/>
      </c>
      <c r="F158" s="17">
        <f>SUMIFS('ORDENES'!$M$4:$M$1203,'ORDENES'!$AA$4:$AA$1203,$A158,'ORDENES'!$O$4:$O$1203,$B158,'ORDENES'!$U$4:$U$1203,"correctiva")</f>
        <v/>
      </c>
      <c r="G158" s="17">
        <f>E158+F158</f>
        <v/>
      </c>
      <c r="H158" s="17">
        <f>D158-G158</f>
        <v/>
      </c>
      <c r="I158" s="16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SUMIFS('ORDENES'!$M$4:$M$1203,'ORDENES'!$AA$4:$AA$1203,$A159,'ORDENES'!$O$4:$O$1203,$B159,'ORDENES'!$U$4:$U$1203,"preventiva")</f>
        <v/>
      </c>
      <c r="F159" s="17">
        <f>SUMIFS('ORDENES'!$M$4:$M$1203,'ORDENES'!$AA$4:$AA$1203,$A159,'ORDENES'!$O$4:$O$1203,$B159,'ORDENES'!$U$4:$U$1203,"correctiva")</f>
        <v/>
      </c>
      <c r="G159" s="17">
        <f>E159+F159</f>
        <v/>
      </c>
      <c r="H159" s="17">
        <f>D159-G159</f>
        <v/>
      </c>
      <c r="I159" s="16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SUMIFS('ORDENES'!$M$4:$M$1203,'ORDENES'!$AA$4:$AA$1203,$A160,'ORDENES'!$O$4:$O$1203,$B160,'ORDENES'!$U$4:$U$1203,"preventiva")</f>
        <v/>
      </c>
      <c r="F160" s="17">
        <f>SUMIFS('ORDENES'!$M$4:$M$1203,'ORDENES'!$AA$4:$AA$1203,$A160,'ORDENES'!$O$4:$O$1203,$B160,'ORDENES'!$U$4:$U$1203,"correctiva")</f>
        <v/>
      </c>
      <c r="G160" s="17">
        <f>E160+F160</f>
        <v/>
      </c>
      <c r="H160" s="17">
        <f>D160-G160</f>
        <v/>
      </c>
      <c r="I160" s="16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SUMIFS('ORDENES'!$M$4:$M$1203,'ORDENES'!$AA$4:$AA$1203,$A161,'ORDENES'!$O$4:$O$1203,$B161,'ORDENES'!$U$4:$U$1203,"preventiva")</f>
        <v/>
      </c>
      <c r="F161" s="17">
        <f>SUMIFS('ORDENES'!$M$4:$M$1203,'ORDENES'!$AA$4:$AA$1203,$A161,'ORDENES'!$O$4:$O$1203,$B161,'ORDENES'!$U$4:$U$1203,"correctiva")</f>
        <v/>
      </c>
      <c r="G161" s="17">
        <f>E161+F161</f>
        <v/>
      </c>
      <c r="H161" s="17">
        <f>D161-G161</f>
        <v/>
      </c>
      <c r="I161" s="16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SUMIFS('ORDENES'!$M$4:$M$1203,'ORDENES'!$AA$4:$AA$1203,$A162,'ORDENES'!$O$4:$O$1203,$B162,'ORDENES'!$U$4:$U$1203,"preventiva")</f>
        <v/>
      </c>
      <c r="F162" s="17">
        <f>SUMIFS('ORDENES'!$M$4:$M$1203,'ORDENES'!$AA$4:$AA$1203,$A162,'ORDENES'!$O$4:$O$1203,$B162,'ORDENES'!$U$4:$U$1203,"correctiva")</f>
        <v/>
      </c>
      <c r="G162" s="17">
        <f>E162+F162</f>
        <v/>
      </c>
      <c r="H162" s="17">
        <f>D162-G162</f>
        <v/>
      </c>
      <c r="I162" s="16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SUMIFS('ORDENES'!$M$4:$M$1203,'ORDENES'!$AA$4:$AA$1203,$A163,'ORDENES'!$O$4:$O$1203,$B163,'ORDENES'!$U$4:$U$1203,"preventiva")</f>
        <v/>
      </c>
      <c r="F163" s="17">
        <f>SUMIFS('ORDENES'!$M$4:$M$1203,'ORDENES'!$AA$4:$AA$1203,$A163,'ORDENES'!$O$4:$O$1203,$B163,'ORDENES'!$U$4:$U$1203,"correctiva")</f>
        <v/>
      </c>
      <c r="G163" s="17">
        <f>E163+F163</f>
        <v/>
      </c>
      <c r="H163" s="17">
        <f>D163-G163</f>
        <v/>
      </c>
      <c r="I163" s="16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SUMIFS('ORDENES'!$M$4:$M$1203,'ORDENES'!$AA$4:$AA$1203,$A164,'ORDENES'!$O$4:$O$1203,$B164,'ORDENES'!$U$4:$U$1203,"preventiva")</f>
        <v/>
      </c>
      <c r="F164" s="17">
        <f>SUMIFS('ORDENES'!$M$4:$M$1203,'ORDENES'!$AA$4:$AA$1203,$A164,'ORDENES'!$O$4:$O$1203,$B164,'ORDENES'!$U$4:$U$1203,"correctiva")</f>
        <v/>
      </c>
      <c r="G164" s="17">
        <f>E164+F164</f>
        <v/>
      </c>
      <c r="H164" s="17">
        <f>D164-G164</f>
        <v/>
      </c>
      <c r="I164" s="16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SUMIFS('ORDENES'!$M$4:$M$1203,'ORDENES'!$AA$4:$AA$1203,$A165,'ORDENES'!$O$4:$O$1203,$B165,'ORDENES'!$U$4:$U$1203,"preventiva")</f>
        <v/>
      </c>
      <c r="F165" s="17">
        <f>SUMIFS('ORDENES'!$M$4:$M$1203,'ORDENES'!$AA$4:$AA$1203,$A165,'ORDENES'!$O$4:$O$1203,$B165,'ORDENES'!$U$4:$U$1203,"correctiva")</f>
        <v/>
      </c>
      <c r="G165" s="17">
        <f>E165+F165</f>
        <v/>
      </c>
      <c r="H165" s="17">
        <f>D165-G165</f>
        <v/>
      </c>
      <c r="I165" s="16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SUMIFS('ORDENES'!$M$4:$M$1203,'ORDENES'!$AA$4:$AA$1203,$A166,'ORDENES'!$O$4:$O$1203,$B166,'ORDENES'!$U$4:$U$1203,"preventiva")</f>
        <v/>
      </c>
      <c r="F166" s="17">
        <f>SUMIFS('ORDENES'!$M$4:$M$1203,'ORDENES'!$AA$4:$AA$1203,$A166,'ORDENES'!$O$4:$O$1203,$B166,'ORDENES'!$U$4:$U$1203,"correctiva")</f>
        <v/>
      </c>
      <c r="G166" s="17">
        <f>E166+F166</f>
        <v/>
      </c>
      <c r="H166" s="17">
        <f>D166-G166</f>
        <v/>
      </c>
      <c r="I166" s="16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SUMIFS('ORDENES'!$M$4:$M$1203,'ORDENES'!$AA$4:$AA$1203,$A167,'ORDENES'!$O$4:$O$1203,$B167,'ORDENES'!$U$4:$U$1203,"preventiva")</f>
        <v/>
      </c>
      <c r="F167" s="17">
        <f>SUMIFS('ORDENES'!$M$4:$M$1203,'ORDENES'!$AA$4:$AA$1203,$A167,'ORDENES'!$O$4:$O$1203,$B167,'ORDENES'!$U$4:$U$1203,"correctiva")</f>
        <v/>
      </c>
      <c r="G167" s="17">
        <f>E167+F167</f>
        <v/>
      </c>
      <c r="H167" s="17">
        <f>D167-G167</f>
        <v/>
      </c>
      <c r="I167" s="16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SUMIFS('ORDENES'!$M$4:$M$1203,'ORDENES'!$AA$4:$AA$1203,$A168,'ORDENES'!$O$4:$O$1203,$B168,'ORDENES'!$U$4:$U$1203,"preventiva")</f>
        <v/>
      </c>
      <c r="F168" s="17">
        <f>SUMIFS('ORDENES'!$M$4:$M$1203,'ORDENES'!$AA$4:$AA$1203,$A168,'ORDENES'!$O$4:$O$1203,$B168,'ORDENES'!$U$4:$U$1203,"correctiva")</f>
        <v/>
      </c>
      <c r="G168" s="17">
        <f>E168+F168</f>
        <v/>
      </c>
      <c r="H168" s="17">
        <f>D168-G168</f>
        <v/>
      </c>
      <c r="I168" s="16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SUMIFS('ORDENES'!$M$4:$M$1203,'ORDENES'!$AA$4:$AA$1203,$A169,'ORDENES'!$O$4:$O$1203,$B169,'ORDENES'!$U$4:$U$1203,"preventiva")</f>
        <v/>
      </c>
      <c r="F169" s="17">
        <f>SUMIFS('ORDENES'!$M$4:$M$1203,'ORDENES'!$AA$4:$AA$1203,$A169,'ORDENES'!$O$4:$O$1203,$B169,'ORDENES'!$U$4:$U$1203,"correctiva")</f>
        <v/>
      </c>
      <c r="G169" s="17">
        <f>E169+F169</f>
        <v/>
      </c>
      <c r="H169" s="17">
        <f>D169-G169</f>
        <v/>
      </c>
      <c r="I169" s="16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SUMIFS('ORDENES'!$M$4:$M$1203,'ORDENES'!$AA$4:$AA$1203,$A170,'ORDENES'!$O$4:$O$1203,$B170,'ORDENES'!$U$4:$U$1203,"preventiva")</f>
        <v/>
      </c>
      <c r="F170" s="17">
        <f>SUMIFS('ORDENES'!$M$4:$M$1203,'ORDENES'!$AA$4:$AA$1203,$A170,'ORDENES'!$O$4:$O$1203,$B170,'ORDENES'!$U$4:$U$1203,"correctiva")</f>
        <v/>
      </c>
      <c r="G170" s="17">
        <f>E170+F170</f>
        <v/>
      </c>
      <c r="H170" s="17">
        <f>D170-G170</f>
        <v/>
      </c>
      <c r="I170" s="16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SUMIFS('ORDENES'!$M$4:$M$1203,'ORDENES'!$AA$4:$AA$1203,$A171,'ORDENES'!$O$4:$O$1203,$B171,'ORDENES'!$U$4:$U$1203,"preventiva")</f>
        <v/>
      </c>
      <c r="F171" s="17">
        <f>SUMIFS('ORDENES'!$M$4:$M$1203,'ORDENES'!$AA$4:$AA$1203,$A171,'ORDENES'!$O$4:$O$1203,$B171,'ORDENES'!$U$4:$U$1203,"correctiva")</f>
        <v/>
      </c>
      <c r="G171" s="17">
        <f>E171+F171</f>
        <v/>
      </c>
      <c r="H171" s="17">
        <f>D171-G171</f>
        <v/>
      </c>
      <c r="I171" s="16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SUMIFS('ORDENES'!$M$4:$M$1203,'ORDENES'!$AA$4:$AA$1203,$A172,'ORDENES'!$O$4:$O$1203,$B172,'ORDENES'!$U$4:$U$1203,"preventiva")</f>
        <v/>
      </c>
      <c r="F172" s="17">
        <f>SUMIFS('ORDENES'!$M$4:$M$1203,'ORDENES'!$AA$4:$AA$1203,$A172,'ORDENES'!$O$4:$O$1203,$B172,'ORDENES'!$U$4:$U$1203,"correctiva")</f>
        <v/>
      </c>
      <c r="G172" s="17">
        <f>E172+F172</f>
        <v/>
      </c>
      <c r="H172" s="17">
        <f>D172-G172</f>
        <v/>
      </c>
      <c r="I172" s="16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SUMIFS('ORDENES'!$M$4:$M$1203,'ORDENES'!$AA$4:$AA$1203,$A173,'ORDENES'!$O$4:$O$1203,$B173,'ORDENES'!$U$4:$U$1203,"preventiva")</f>
        <v/>
      </c>
      <c r="F173" s="17">
        <f>SUMIFS('ORDENES'!$M$4:$M$1203,'ORDENES'!$AA$4:$AA$1203,$A173,'ORDENES'!$O$4:$O$1203,$B173,'ORDENES'!$U$4:$U$1203,"correctiva")</f>
        <v/>
      </c>
      <c r="G173" s="17">
        <f>E173+F173</f>
        <v/>
      </c>
      <c r="H173" s="17">
        <f>D173-G173</f>
        <v/>
      </c>
      <c r="I173" s="16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SUMIFS('ORDENES'!$M$4:$M$1203,'ORDENES'!$AA$4:$AA$1203,$A174,'ORDENES'!$O$4:$O$1203,$B174,'ORDENES'!$U$4:$U$1203,"preventiva")</f>
        <v/>
      </c>
      <c r="F174" s="17">
        <f>SUMIFS('ORDENES'!$M$4:$M$1203,'ORDENES'!$AA$4:$AA$1203,$A174,'ORDENES'!$O$4:$O$1203,$B174,'ORDENES'!$U$4:$U$1203,"correctiva")</f>
        <v/>
      </c>
      <c r="G174" s="17">
        <f>E174+F174</f>
        <v/>
      </c>
      <c r="H174" s="17">
        <f>D174-G174</f>
        <v/>
      </c>
      <c r="I174" s="16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SUMIFS('ORDENES'!$M$4:$M$1203,'ORDENES'!$AA$4:$AA$1203,$A175,'ORDENES'!$O$4:$O$1203,$B175,'ORDENES'!$U$4:$U$1203,"preventiva")</f>
        <v/>
      </c>
      <c r="F175" s="17">
        <f>SUMIFS('ORDENES'!$M$4:$M$1203,'ORDENES'!$AA$4:$AA$1203,$A175,'ORDENES'!$O$4:$O$1203,$B175,'ORDENES'!$U$4:$U$1203,"correctiva")</f>
        <v/>
      </c>
      <c r="G175" s="17">
        <f>E175+F175</f>
        <v/>
      </c>
      <c r="H175" s="17">
        <f>D175-G175</f>
        <v/>
      </c>
      <c r="I175" s="16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SUMIFS('ORDENES'!$M$4:$M$1203,'ORDENES'!$AA$4:$AA$1203,$A176,'ORDENES'!$O$4:$O$1203,$B176,'ORDENES'!$U$4:$U$1203,"preventiva")</f>
        <v/>
      </c>
      <c r="F176" s="17">
        <f>SUMIFS('ORDENES'!$M$4:$M$1203,'ORDENES'!$AA$4:$AA$1203,$A176,'ORDENES'!$O$4:$O$1203,$B176,'ORDENES'!$U$4:$U$1203,"correctiva")</f>
        <v/>
      </c>
      <c r="G176" s="17">
        <f>E176+F176</f>
        <v/>
      </c>
      <c r="H176" s="17">
        <f>D176-G176</f>
        <v/>
      </c>
      <c r="I176" s="16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SUMIFS('ORDENES'!$M$4:$M$1203,'ORDENES'!$AA$4:$AA$1203,$A177,'ORDENES'!$O$4:$O$1203,$B177,'ORDENES'!$U$4:$U$1203,"preventiva")</f>
        <v/>
      </c>
      <c r="F177" s="17">
        <f>SUMIFS('ORDENES'!$M$4:$M$1203,'ORDENES'!$AA$4:$AA$1203,$A177,'ORDENES'!$O$4:$O$1203,$B177,'ORDENES'!$U$4:$U$1203,"correctiva")</f>
        <v/>
      </c>
      <c r="G177" s="17">
        <f>E177+F177</f>
        <v/>
      </c>
      <c r="H177" s="17">
        <f>D177-G177</f>
        <v/>
      </c>
      <c r="I177" s="16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SUMIFS('ORDENES'!$M$4:$M$1203,'ORDENES'!$AA$4:$AA$1203,$A178,'ORDENES'!$O$4:$O$1203,$B178,'ORDENES'!$U$4:$U$1203,"preventiva")</f>
        <v/>
      </c>
      <c r="F178" s="17">
        <f>SUMIFS('ORDENES'!$M$4:$M$1203,'ORDENES'!$AA$4:$AA$1203,$A178,'ORDENES'!$O$4:$O$1203,$B178,'ORDENES'!$U$4:$U$1203,"correctiva")</f>
        <v/>
      </c>
      <c r="G178" s="17">
        <f>E178+F178</f>
        <v/>
      </c>
      <c r="H178" s="17">
        <f>D178-G178</f>
        <v/>
      </c>
      <c r="I178" s="16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SUMIFS('ORDENES'!$M$4:$M$1203,'ORDENES'!$AA$4:$AA$1203,$A179,'ORDENES'!$O$4:$O$1203,$B179,'ORDENES'!$U$4:$U$1203,"preventiva")</f>
        <v/>
      </c>
      <c r="F179" s="17">
        <f>SUMIFS('ORDENES'!$M$4:$M$1203,'ORDENES'!$AA$4:$AA$1203,$A179,'ORDENES'!$O$4:$O$1203,$B179,'ORDENES'!$U$4:$U$1203,"correctiva")</f>
        <v/>
      </c>
      <c r="G179" s="17">
        <f>E179+F179</f>
        <v/>
      </c>
      <c r="H179" s="17">
        <f>D179-G179</f>
        <v/>
      </c>
      <c r="I179" s="16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SUMIFS('ORDENES'!$M$4:$M$1203,'ORDENES'!$AA$4:$AA$1203,$A180,'ORDENES'!$O$4:$O$1203,$B180,'ORDENES'!$U$4:$U$1203,"preventiva")</f>
        <v/>
      </c>
      <c r="F180" s="17">
        <f>SUMIFS('ORDENES'!$M$4:$M$1203,'ORDENES'!$AA$4:$AA$1203,$A180,'ORDENES'!$O$4:$O$1203,$B180,'ORDENES'!$U$4:$U$1203,"correctiva")</f>
        <v/>
      </c>
      <c r="G180" s="17">
        <f>E180+F180</f>
        <v/>
      </c>
      <c r="H180" s="17">
        <f>D180-G180</f>
        <v/>
      </c>
      <c r="I180" s="16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SUMIFS('ORDENES'!$M$4:$M$1203,'ORDENES'!$AA$4:$AA$1203,$A181,'ORDENES'!$O$4:$O$1203,$B181,'ORDENES'!$U$4:$U$1203,"preventiva")</f>
        <v/>
      </c>
      <c r="F181" s="17">
        <f>SUMIFS('ORDENES'!$M$4:$M$1203,'ORDENES'!$AA$4:$AA$1203,$A181,'ORDENES'!$O$4:$O$1203,$B181,'ORDENES'!$U$4:$U$1203,"correctiva")</f>
        <v/>
      </c>
      <c r="G181" s="17">
        <f>E181+F181</f>
        <v/>
      </c>
      <c r="H181" s="17">
        <f>D181-G181</f>
        <v/>
      </c>
      <c r="I181" s="16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SUMIFS('ORDENES'!$M$4:$M$1203,'ORDENES'!$AA$4:$AA$1203,$A182,'ORDENES'!$O$4:$O$1203,$B182,'ORDENES'!$U$4:$U$1203,"preventiva")</f>
        <v/>
      </c>
      <c r="F182" s="17">
        <f>SUMIFS('ORDENES'!$M$4:$M$1203,'ORDENES'!$AA$4:$AA$1203,$A182,'ORDENES'!$O$4:$O$1203,$B182,'ORDENES'!$U$4:$U$1203,"correctiva")</f>
        <v/>
      </c>
      <c r="G182" s="17">
        <f>E182+F182</f>
        <v/>
      </c>
      <c r="H182" s="17">
        <f>D182-G182</f>
        <v/>
      </c>
      <c r="I182" s="16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SUMIFS('ORDENES'!$M$4:$M$1203,'ORDENES'!$AA$4:$AA$1203,$A183,'ORDENES'!$O$4:$O$1203,$B183,'ORDENES'!$U$4:$U$1203,"preventiva")</f>
        <v/>
      </c>
      <c r="F183" s="17">
        <f>SUMIFS('ORDENES'!$M$4:$M$1203,'ORDENES'!$AA$4:$AA$1203,$A183,'ORDENES'!$O$4:$O$1203,$B183,'ORDENES'!$U$4:$U$1203,"correctiva")</f>
        <v/>
      </c>
      <c r="G183" s="17">
        <f>E183+F183</f>
        <v/>
      </c>
      <c r="H183" s="17">
        <f>D183-G183</f>
        <v/>
      </c>
      <c r="I183" s="16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SUMIFS('ORDENES'!$M$4:$M$1203,'ORDENES'!$AA$4:$AA$1203,$A184,'ORDENES'!$O$4:$O$1203,$B184,'ORDENES'!$U$4:$U$1203,"preventiva")</f>
        <v/>
      </c>
      <c r="F184" s="17">
        <f>SUMIFS('ORDENES'!$M$4:$M$1203,'ORDENES'!$AA$4:$AA$1203,$A184,'ORDENES'!$O$4:$O$1203,$B184,'ORDENES'!$U$4:$U$1203,"correctiva")</f>
        <v/>
      </c>
      <c r="G184" s="17">
        <f>E184+F184</f>
        <v/>
      </c>
      <c r="H184" s="17">
        <f>D184-G184</f>
        <v/>
      </c>
      <c r="I184" s="16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SUMIFS('ORDENES'!$M$4:$M$1203,'ORDENES'!$AA$4:$AA$1203,$A185,'ORDENES'!$O$4:$O$1203,$B185,'ORDENES'!$U$4:$U$1203,"preventiva")</f>
        <v/>
      </c>
      <c r="F185" s="17">
        <f>SUMIFS('ORDENES'!$M$4:$M$1203,'ORDENES'!$AA$4:$AA$1203,$A185,'ORDENES'!$O$4:$O$1203,$B185,'ORDENES'!$U$4:$U$1203,"correctiva")</f>
        <v/>
      </c>
      <c r="G185" s="17">
        <f>E185+F185</f>
        <v/>
      </c>
      <c r="H185" s="17">
        <f>D185-G185</f>
        <v/>
      </c>
      <c r="I185" s="16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SUMIFS('ORDENES'!$M$4:$M$1203,'ORDENES'!$AA$4:$AA$1203,$A186,'ORDENES'!$O$4:$O$1203,$B186,'ORDENES'!$U$4:$U$1203,"preventiva")</f>
        <v/>
      </c>
      <c r="F186" s="17">
        <f>SUMIFS('ORDENES'!$M$4:$M$1203,'ORDENES'!$AA$4:$AA$1203,$A186,'ORDENES'!$O$4:$O$1203,$B186,'ORDENES'!$U$4:$U$1203,"correctiva")</f>
        <v/>
      </c>
      <c r="G186" s="17">
        <f>E186+F186</f>
        <v/>
      </c>
      <c r="H186" s="17">
        <f>D186-G186</f>
        <v/>
      </c>
      <c r="I186" s="16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SUMIFS('ORDENES'!$M$4:$M$1203,'ORDENES'!$AA$4:$AA$1203,$A187,'ORDENES'!$O$4:$O$1203,$B187,'ORDENES'!$U$4:$U$1203,"preventiva")</f>
        <v/>
      </c>
      <c r="F187" s="17">
        <f>SUMIFS('ORDENES'!$M$4:$M$1203,'ORDENES'!$AA$4:$AA$1203,$A187,'ORDENES'!$O$4:$O$1203,$B187,'ORDENES'!$U$4:$U$1203,"correctiva")</f>
        <v/>
      </c>
      <c r="G187" s="17">
        <f>E187+F187</f>
        <v/>
      </c>
      <c r="H187" s="17">
        <f>D187-G187</f>
        <v/>
      </c>
      <c r="I187" s="16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SUMIFS('ORDENES'!$M$4:$M$1203,'ORDENES'!$AA$4:$AA$1203,$A188,'ORDENES'!$O$4:$O$1203,$B188,'ORDENES'!$U$4:$U$1203,"preventiva")</f>
        <v/>
      </c>
      <c r="F188" s="17">
        <f>SUMIFS('ORDENES'!$M$4:$M$1203,'ORDENES'!$AA$4:$AA$1203,$A188,'ORDENES'!$O$4:$O$1203,$B188,'ORDENES'!$U$4:$U$1203,"correctiva")</f>
        <v/>
      </c>
      <c r="G188" s="17">
        <f>E188+F188</f>
        <v/>
      </c>
      <c r="H188" s="17">
        <f>D188-G188</f>
        <v/>
      </c>
      <c r="I188" s="16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SUMIFS('ORDENES'!$M$4:$M$1203,'ORDENES'!$AA$4:$AA$1203,$A189,'ORDENES'!$O$4:$O$1203,$B189,'ORDENES'!$U$4:$U$1203,"preventiva")</f>
        <v/>
      </c>
      <c r="F189" s="17">
        <f>SUMIFS('ORDENES'!$M$4:$M$1203,'ORDENES'!$AA$4:$AA$1203,$A189,'ORDENES'!$O$4:$O$1203,$B189,'ORDENES'!$U$4:$U$1203,"correctiva")</f>
        <v/>
      </c>
      <c r="G189" s="17">
        <f>E189+F189</f>
        <v/>
      </c>
      <c r="H189" s="17">
        <f>D189-G189</f>
        <v/>
      </c>
      <c r="I189" s="16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SUMIFS('ORDENES'!$M$4:$M$1203,'ORDENES'!$AA$4:$AA$1203,$A190,'ORDENES'!$O$4:$O$1203,$B190,'ORDENES'!$U$4:$U$1203,"preventiva")</f>
        <v/>
      </c>
      <c r="F190" s="17">
        <f>SUMIFS('ORDENES'!$M$4:$M$1203,'ORDENES'!$AA$4:$AA$1203,$A190,'ORDENES'!$O$4:$O$1203,$B190,'ORDENES'!$U$4:$U$1203,"correctiva")</f>
        <v/>
      </c>
      <c r="G190" s="17">
        <f>E190+F190</f>
        <v/>
      </c>
      <c r="H190" s="17">
        <f>D190-G190</f>
        <v/>
      </c>
      <c r="I190" s="16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SUMIFS('ORDENES'!$M$4:$M$1203,'ORDENES'!$AA$4:$AA$1203,$A191,'ORDENES'!$O$4:$O$1203,$B191,'ORDENES'!$U$4:$U$1203,"preventiva")</f>
        <v/>
      </c>
      <c r="F191" s="17">
        <f>SUMIFS('ORDENES'!$M$4:$M$1203,'ORDENES'!$AA$4:$AA$1203,$A191,'ORDENES'!$O$4:$O$1203,$B191,'ORDENES'!$U$4:$U$1203,"correctiva")</f>
        <v/>
      </c>
      <c r="G191" s="17">
        <f>E191+F191</f>
        <v/>
      </c>
      <c r="H191" s="17">
        <f>D191-G191</f>
        <v/>
      </c>
      <c r="I191" s="16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SUMIFS('ORDENES'!$M$4:$M$1203,'ORDENES'!$AA$4:$AA$1203,$A192,'ORDENES'!$O$4:$O$1203,$B192,'ORDENES'!$U$4:$U$1203,"preventiva")</f>
        <v/>
      </c>
      <c r="F192" s="17">
        <f>SUMIFS('ORDENES'!$M$4:$M$1203,'ORDENES'!$AA$4:$AA$1203,$A192,'ORDENES'!$O$4:$O$1203,$B192,'ORDENES'!$U$4:$U$1203,"correctiva")</f>
        <v/>
      </c>
      <c r="G192" s="17">
        <f>E192+F192</f>
        <v/>
      </c>
      <c r="H192" s="17">
        <f>D192-G192</f>
        <v/>
      </c>
      <c r="I192" s="16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SUMIFS('ORDENES'!$M$4:$M$1203,'ORDENES'!$AA$4:$AA$1203,$A193,'ORDENES'!$O$4:$O$1203,$B193,'ORDENES'!$U$4:$U$1203,"preventiva")</f>
        <v/>
      </c>
      <c r="F193" s="17">
        <f>SUMIFS('ORDENES'!$M$4:$M$1203,'ORDENES'!$AA$4:$AA$1203,$A193,'ORDENES'!$O$4:$O$1203,$B193,'ORDENES'!$U$4:$U$1203,"correctiva")</f>
        <v/>
      </c>
      <c r="G193" s="17">
        <f>E193+F193</f>
        <v/>
      </c>
      <c r="H193" s="17">
        <f>D193-G193</f>
        <v/>
      </c>
      <c r="I193" s="16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SUMIFS('ORDENES'!$M$4:$M$1203,'ORDENES'!$AA$4:$AA$1203,$A194,'ORDENES'!$O$4:$O$1203,$B194,'ORDENES'!$U$4:$U$1203,"preventiva")</f>
        <v/>
      </c>
      <c r="F194" s="17">
        <f>SUMIFS('ORDENES'!$M$4:$M$1203,'ORDENES'!$AA$4:$AA$1203,$A194,'ORDENES'!$O$4:$O$1203,$B194,'ORDENES'!$U$4:$U$1203,"correctiva")</f>
        <v/>
      </c>
      <c r="G194" s="17">
        <f>E194+F194</f>
        <v/>
      </c>
      <c r="H194" s="17">
        <f>D194-G194</f>
        <v/>
      </c>
      <c r="I194" s="16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SUMIFS('ORDENES'!$M$4:$M$1203,'ORDENES'!$AA$4:$AA$1203,$A195,'ORDENES'!$O$4:$O$1203,$B195,'ORDENES'!$U$4:$U$1203,"preventiva")</f>
        <v/>
      </c>
      <c r="F195" s="17">
        <f>SUMIFS('ORDENES'!$M$4:$M$1203,'ORDENES'!$AA$4:$AA$1203,$A195,'ORDENES'!$O$4:$O$1203,$B195,'ORDENES'!$U$4:$U$1203,"correctiva")</f>
        <v/>
      </c>
      <c r="G195" s="17">
        <f>E195+F195</f>
        <v/>
      </c>
      <c r="H195" s="17">
        <f>D195-G195</f>
        <v/>
      </c>
      <c r="I195" s="16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SUMIFS('ORDENES'!$M$4:$M$1203,'ORDENES'!$AA$4:$AA$1203,$A196,'ORDENES'!$O$4:$O$1203,$B196,'ORDENES'!$U$4:$U$1203,"preventiva")</f>
        <v/>
      </c>
      <c r="F196" s="17">
        <f>SUMIFS('ORDENES'!$M$4:$M$1203,'ORDENES'!$AA$4:$AA$1203,$A196,'ORDENES'!$O$4:$O$1203,$B196,'ORDENES'!$U$4:$U$1203,"correctiva")</f>
        <v/>
      </c>
      <c r="G196" s="17">
        <f>E196+F196</f>
        <v/>
      </c>
      <c r="H196" s="17">
        <f>D196-G196</f>
        <v/>
      </c>
      <c r="I196" s="16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SUMIFS('ORDENES'!$M$4:$M$1203,'ORDENES'!$AA$4:$AA$1203,$A197,'ORDENES'!$O$4:$O$1203,$B197,'ORDENES'!$U$4:$U$1203,"preventiva")</f>
        <v/>
      </c>
      <c r="F197" s="17">
        <f>SUMIFS('ORDENES'!$M$4:$M$1203,'ORDENES'!$AA$4:$AA$1203,$A197,'ORDENES'!$O$4:$O$1203,$B197,'ORDENES'!$U$4:$U$1203,"correctiva")</f>
        <v/>
      </c>
      <c r="G197" s="17">
        <f>E197+F197</f>
        <v/>
      </c>
      <c r="H197" s="17">
        <f>D197-G197</f>
        <v/>
      </c>
      <c r="I197" s="16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SUMIFS('ORDENES'!$M$4:$M$1203,'ORDENES'!$AA$4:$AA$1203,$A198,'ORDENES'!$O$4:$O$1203,$B198,'ORDENES'!$U$4:$U$1203,"preventiva")</f>
        <v/>
      </c>
      <c r="F198" s="17">
        <f>SUMIFS('ORDENES'!$M$4:$M$1203,'ORDENES'!$AA$4:$AA$1203,$A198,'ORDENES'!$O$4:$O$1203,$B198,'ORDENES'!$U$4:$U$1203,"correctiva")</f>
        <v/>
      </c>
      <c r="G198" s="17">
        <f>E198+F198</f>
        <v/>
      </c>
      <c r="H198" s="17">
        <f>D198-G198</f>
        <v/>
      </c>
      <c r="I198" s="16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SUMIFS('ORDENES'!$M$4:$M$1203,'ORDENES'!$AA$4:$AA$1203,$A199,'ORDENES'!$O$4:$O$1203,$B199,'ORDENES'!$U$4:$U$1203,"preventiva")</f>
        <v/>
      </c>
      <c r="F199" s="17">
        <f>SUMIFS('ORDENES'!$M$4:$M$1203,'ORDENES'!$AA$4:$AA$1203,$A199,'ORDENES'!$O$4:$O$1203,$B199,'ORDENES'!$U$4:$U$1203,"correctiva")</f>
        <v/>
      </c>
      <c r="G199" s="17">
        <f>E199+F199</f>
        <v/>
      </c>
      <c r="H199" s="17">
        <f>D199-G199</f>
        <v/>
      </c>
      <c r="I199" s="16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SUMIFS('ORDENES'!$M$4:$M$1203,'ORDENES'!$AA$4:$AA$1203,$A200,'ORDENES'!$O$4:$O$1203,$B200,'ORDENES'!$U$4:$U$1203,"preventiva")</f>
        <v/>
      </c>
      <c r="F200" s="17">
        <f>SUMIFS('ORDENES'!$M$4:$M$1203,'ORDENES'!$AA$4:$AA$1203,$A200,'ORDENES'!$O$4:$O$1203,$B200,'ORDENES'!$U$4:$U$1203,"correctiva")</f>
        <v/>
      </c>
      <c r="G200" s="17">
        <f>E200+F200</f>
        <v/>
      </c>
      <c r="H200" s="17">
        <f>D200-G200</f>
        <v/>
      </c>
      <c r="I200" s="16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SUMIFS('ORDENES'!$M$4:$M$1203,'ORDENES'!$AA$4:$AA$1203,$A201,'ORDENES'!$O$4:$O$1203,$B201,'ORDENES'!$U$4:$U$1203,"preventiva")</f>
        <v/>
      </c>
      <c r="F201" s="17">
        <f>SUMIFS('ORDENES'!$M$4:$M$1203,'ORDENES'!$AA$4:$AA$1203,$A201,'ORDENES'!$O$4:$O$1203,$B201,'ORDENES'!$U$4:$U$1203,"correctiva")</f>
        <v/>
      </c>
      <c r="G201" s="17">
        <f>E201+F201</f>
        <v/>
      </c>
      <c r="H201" s="17">
        <f>D201-G201</f>
        <v/>
      </c>
      <c r="I201" s="16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SUMIFS('ORDENES'!$M$4:$M$1203,'ORDENES'!$AA$4:$AA$1203,$A202,'ORDENES'!$O$4:$O$1203,$B202,'ORDENES'!$U$4:$U$1203,"preventiva")</f>
        <v/>
      </c>
      <c r="F202" s="17">
        <f>SUMIFS('ORDENES'!$M$4:$M$1203,'ORDENES'!$AA$4:$AA$1203,$A202,'ORDENES'!$O$4:$O$1203,$B202,'ORDENES'!$U$4:$U$1203,"correctiva")</f>
        <v/>
      </c>
      <c r="G202" s="17">
        <f>E202+F202</f>
        <v/>
      </c>
      <c r="H202" s="17">
        <f>D202-G202</f>
        <v/>
      </c>
      <c r="I202" s="16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SUMIFS('ORDENES'!$M$4:$M$1203,'ORDENES'!$AA$4:$AA$1203,$A203,'ORDENES'!$O$4:$O$1203,$B203,'ORDENES'!$U$4:$U$1203,"preventiva")</f>
        <v/>
      </c>
      <c r="F203" s="17">
        <f>SUMIFS('ORDENES'!$M$4:$M$1203,'ORDENES'!$AA$4:$AA$1203,$A203,'ORDENES'!$O$4:$O$1203,$B203,'ORDENES'!$U$4:$U$1203,"correctiva")</f>
        <v/>
      </c>
      <c r="G203" s="17">
        <f>E203+F203</f>
        <v/>
      </c>
      <c r="H203" s="17">
        <f>D203-G203</f>
        <v/>
      </c>
      <c r="I203" s="16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SUMIFS('ORDENES'!$M$4:$M$1203,'ORDENES'!$AA$4:$AA$1203,$A204,'ORDENES'!$O$4:$O$1203,$B204,'ORDENES'!$U$4:$U$1203,"preventiva")</f>
        <v/>
      </c>
      <c r="F204" s="17">
        <f>SUMIFS('ORDENES'!$M$4:$M$1203,'ORDENES'!$AA$4:$AA$1203,$A204,'ORDENES'!$O$4:$O$1203,$B204,'ORDENES'!$U$4:$U$1203,"correctiva")</f>
        <v/>
      </c>
      <c r="G204" s="17">
        <f>E204+F204</f>
        <v/>
      </c>
      <c r="H204" s="17">
        <f>D204-G204</f>
        <v/>
      </c>
      <c r="I204" s="16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SUMIFS('ORDENES'!$M$4:$M$1203,'ORDENES'!$AA$4:$AA$1203,$A205,'ORDENES'!$O$4:$O$1203,$B205,'ORDENES'!$U$4:$U$1203,"preventiva")</f>
        <v/>
      </c>
      <c r="F205" s="17">
        <f>SUMIFS('ORDENES'!$M$4:$M$1203,'ORDENES'!$AA$4:$AA$1203,$A205,'ORDENES'!$O$4:$O$1203,$B205,'ORDENES'!$U$4:$U$1203,"correctiva")</f>
        <v/>
      </c>
      <c r="G205" s="17">
        <f>E205+F205</f>
        <v/>
      </c>
      <c r="H205" s="17">
        <f>D205-G205</f>
        <v/>
      </c>
      <c r="I205" s="16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SUMIFS('ORDENES'!$M$4:$M$1203,'ORDENES'!$AA$4:$AA$1203,$A206,'ORDENES'!$O$4:$O$1203,$B206,'ORDENES'!$U$4:$U$1203,"preventiva")</f>
        <v/>
      </c>
      <c r="F206" s="17">
        <f>SUMIFS('ORDENES'!$M$4:$M$1203,'ORDENES'!$AA$4:$AA$1203,$A206,'ORDENES'!$O$4:$O$1203,$B206,'ORDENES'!$U$4:$U$1203,"correctiva")</f>
        <v/>
      </c>
      <c r="G206" s="17">
        <f>E206+F206</f>
        <v/>
      </c>
      <c r="H206" s="17">
        <f>D206-G206</f>
        <v/>
      </c>
      <c r="I206" s="16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SUMIFS('ORDENES'!$M$4:$M$1203,'ORDENES'!$AA$4:$AA$1203,$A207,'ORDENES'!$O$4:$O$1203,$B207,'ORDENES'!$U$4:$U$1203,"preventiva")</f>
        <v/>
      </c>
      <c r="F207" s="17">
        <f>SUMIFS('ORDENES'!$M$4:$M$1203,'ORDENES'!$AA$4:$AA$1203,$A207,'ORDENES'!$O$4:$O$1203,$B207,'ORDENES'!$U$4:$U$1203,"correctiva")</f>
        <v/>
      </c>
      <c r="G207" s="17">
        <f>E207+F207</f>
        <v/>
      </c>
      <c r="H207" s="17">
        <f>D207-G207</f>
        <v/>
      </c>
      <c r="I207" s="16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SUMIFS('ORDENES'!$M$4:$M$1203,'ORDENES'!$AA$4:$AA$1203,$A208,'ORDENES'!$O$4:$O$1203,$B208,'ORDENES'!$U$4:$U$1203,"preventiva")</f>
        <v/>
      </c>
      <c r="F208" s="17">
        <f>SUMIFS('ORDENES'!$M$4:$M$1203,'ORDENES'!$AA$4:$AA$1203,$A208,'ORDENES'!$O$4:$O$1203,$B208,'ORDENES'!$U$4:$U$1203,"correctiva")</f>
        <v/>
      </c>
      <c r="G208" s="17">
        <f>E208+F208</f>
        <v/>
      </c>
      <c r="H208" s="17">
        <f>D208-G208</f>
        <v/>
      </c>
      <c r="I208" s="16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SUMIFS('ORDENES'!$M$4:$M$1203,'ORDENES'!$AA$4:$AA$1203,$A209,'ORDENES'!$O$4:$O$1203,$B209,'ORDENES'!$U$4:$U$1203,"preventiva")</f>
        <v/>
      </c>
      <c r="F209" s="17">
        <f>SUMIFS('ORDENES'!$M$4:$M$1203,'ORDENES'!$AA$4:$AA$1203,$A209,'ORDENES'!$O$4:$O$1203,$B209,'ORDENES'!$U$4:$U$1203,"correctiva")</f>
        <v/>
      </c>
      <c r="G209" s="17">
        <f>E209+F209</f>
        <v/>
      </c>
      <c r="H209" s="17">
        <f>D209-G209</f>
        <v/>
      </c>
      <c r="I209" s="16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SUMIFS('ORDENES'!$M$4:$M$1203,'ORDENES'!$AA$4:$AA$1203,$A210,'ORDENES'!$O$4:$O$1203,$B210,'ORDENES'!$U$4:$U$1203,"preventiva")</f>
        <v/>
      </c>
      <c r="F210" s="17">
        <f>SUMIFS('ORDENES'!$M$4:$M$1203,'ORDENES'!$AA$4:$AA$1203,$A210,'ORDENES'!$O$4:$O$1203,$B210,'ORDENES'!$U$4:$U$1203,"correctiva")</f>
        <v/>
      </c>
      <c r="G210" s="17">
        <f>E210+F210</f>
        <v/>
      </c>
      <c r="H210" s="17">
        <f>D210-G210</f>
        <v/>
      </c>
      <c r="I210" s="16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SUMIFS('ORDENES'!$M$4:$M$1203,'ORDENES'!$AA$4:$AA$1203,$A211,'ORDENES'!$O$4:$O$1203,$B211,'ORDENES'!$U$4:$U$1203,"preventiva")</f>
        <v/>
      </c>
      <c r="F211" s="17">
        <f>SUMIFS('ORDENES'!$M$4:$M$1203,'ORDENES'!$AA$4:$AA$1203,$A211,'ORDENES'!$O$4:$O$1203,$B211,'ORDENES'!$U$4:$U$1203,"correctiva")</f>
        <v/>
      </c>
      <c r="G211" s="17">
        <f>E211+F211</f>
        <v/>
      </c>
      <c r="H211" s="17">
        <f>D211-G211</f>
        <v/>
      </c>
      <c r="I211" s="16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SUMIFS('ORDENES'!$M$4:$M$1203,'ORDENES'!$AA$4:$AA$1203,$A212,'ORDENES'!$O$4:$O$1203,$B212,'ORDENES'!$U$4:$U$1203,"preventiva")</f>
        <v/>
      </c>
      <c r="F212" s="17">
        <f>SUMIFS('ORDENES'!$M$4:$M$1203,'ORDENES'!$AA$4:$AA$1203,$A212,'ORDENES'!$O$4:$O$1203,$B212,'ORDENES'!$U$4:$U$1203,"correctiva")</f>
        <v/>
      </c>
      <c r="G212" s="17">
        <f>E212+F212</f>
        <v/>
      </c>
      <c r="H212" s="17">
        <f>D212-G212</f>
        <v/>
      </c>
      <c r="I212" s="16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SUMIFS('ORDENES'!$M$4:$M$1203,'ORDENES'!$AA$4:$AA$1203,$A213,'ORDENES'!$O$4:$O$1203,$B213,'ORDENES'!$U$4:$U$1203,"preventiva")</f>
        <v/>
      </c>
      <c r="F213" s="17">
        <f>SUMIFS('ORDENES'!$M$4:$M$1203,'ORDENES'!$AA$4:$AA$1203,$A213,'ORDENES'!$O$4:$O$1203,$B213,'ORDENES'!$U$4:$U$1203,"correctiva")</f>
        <v/>
      </c>
      <c r="G213" s="17">
        <f>E213+F213</f>
        <v/>
      </c>
      <c r="H213" s="17">
        <f>D213-G213</f>
        <v/>
      </c>
      <c r="I213" s="16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SUMIFS('ORDENES'!$M$4:$M$1203,'ORDENES'!$AA$4:$AA$1203,$A214,'ORDENES'!$O$4:$O$1203,$B214,'ORDENES'!$U$4:$U$1203,"preventiva")</f>
        <v/>
      </c>
      <c r="F214" s="17">
        <f>SUMIFS('ORDENES'!$M$4:$M$1203,'ORDENES'!$AA$4:$AA$1203,$A214,'ORDENES'!$O$4:$O$1203,$B214,'ORDENES'!$U$4:$U$1203,"correctiva")</f>
        <v/>
      </c>
      <c r="G214" s="17">
        <f>E214+F214</f>
        <v/>
      </c>
      <c r="H214" s="17">
        <f>D214-G214</f>
        <v/>
      </c>
      <c r="I214" s="16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SUMIFS('ORDENES'!$M$4:$M$1203,'ORDENES'!$AA$4:$AA$1203,$A215,'ORDENES'!$O$4:$O$1203,$B215,'ORDENES'!$U$4:$U$1203,"preventiva")</f>
        <v/>
      </c>
      <c r="F215" s="17">
        <f>SUMIFS('ORDENES'!$M$4:$M$1203,'ORDENES'!$AA$4:$AA$1203,$A215,'ORDENES'!$O$4:$O$1203,$B215,'ORDENES'!$U$4:$U$1203,"correctiva")</f>
        <v/>
      </c>
      <c r="G215" s="17">
        <f>E215+F215</f>
        <v/>
      </c>
      <c r="H215" s="17">
        <f>D215-G215</f>
        <v/>
      </c>
      <c r="I215" s="16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SUMIFS('ORDENES'!$M$4:$M$1203,'ORDENES'!$AA$4:$AA$1203,$A216,'ORDENES'!$O$4:$O$1203,$B216,'ORDENES'!$U$4:$U$1203,"preventiva")</f>
        <v/>
      </c>
      <c r="F216" s="17">
        <f>SUMIFS('ORDENES'!$M$4:$M$1203,'ORDENES'!$AA$4:$AA$1203,$A216,'ORDENES'!$O$4:$O$1203,$B216,'ORDENES'!$U$4:$U$1203,"correctiva")</f>
        <v/>
      </c>
      <c r="G216" s="17">
        <f>E216+F216</f>
        <v/>
      </c>
      <c r="H216" s="17">
        <f>D216-G216</f>
        <v/>
      </c>
      <c r="I216" s="16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SUMIFS('ORDENES'!$M$4:$M$1203,'ORDENES'!$AA$4:$AA$1203,$A217,'ORDENES'!$O$4:$O$1203,$B217,'ORDENES'!$U$4:$U$1203,"preventiva")</f>
        <v/>
      </c>
      <c r="F217" s="17">
        <f>SUMIFS('ORDENES'!$M$4:$M$1203,'ORDENES'!$AA$4:$AA$1203,$A217,'ORDENES'!$O$4:$O$1203,$B217,'ORDENES'!$U$4:$U$1203,"correctiva")</f>
        <v/>
      </c>
      <c r="G217" s="17">
        <f>E217+F217</f>
        <v/>
      </c>
      <c r="H217" s="17">
        <f>D217-G217</f>
        <v/>
      </c>
      <c r="I217" s="16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SUMIFS('ORDENES'!$M$4:$M$1203,'ORDENES'!$AA$4:$AA$1203,$A218,'ORDENES'!$O$4:$O$1203,$B218,'ORDENES'!$U$4:$U$1203,"preventiva")</f>
        <v/>
      </c>
      <c r="F218" s="17">
        <f>SUMIFS('ORDENES'!$M$4:$M$1203,'ORDENES'!$AA$4:$AA$1203,$A218,'ORDENES'!$O$4:$O$1203,$B218,'ORDENES'!$U$4:$U$1203,"correctiva")</f>
        <v/>
      </c>
      <c r="G218" s="17">
        <f>E218+F218</f>
        <v/>
      </c>
      <c r="H218" s="17">
        <f>D218-G218</f>
        <v/>
      </c>
      <c r="I218" s="16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SUMIFS('ORDENES'!$M$4:$M$1203,'ORDENES'!$AA$4:$AA$1203,$A219,'ORDENES'!$O$4:$O$1203,$B219,'ORDENES'!$U$4:$U$1203,"preventiva")</f>
        <v/>
      </c>
      <c r="F219" s="17">
        <f>SUMIFS('ORDENES'!$M$4:$M$1203,'ORDENES'!$AA$4:$AA$1203,$A219,'ORDENES'!$O$4:$O$1203,$B219,'ORDENES'!$U$4:$U$1203,"correctiva")</f>
        <v/>
      </c>
      <c r="G219" s="17">
        <f>E219+F219</f>
        <v/>
      </c>
      <c r="H219" s="17">
        <f>D219-G219</f>
        <v/>
      </c>
      <c r="I219" s="16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SUMIFS('ORDENES'!$M$4:$M$1203,'ORDENES'!$AA$4:$AA$1203,$A220,'ORDENES'!$O$4:$O$1203,$B220,'ORDENES'!$U$4:$U$1203,"preventiva")</f>
        <v/>
      </c>
      <c r="F220" s="17">
        <f>SUMIFS('ORDENES'!$M$4:$M$1203,'ORDENES'!$AA$4:$AA$1203,$A220,'ORDENES'!$O$4:$O$1203,$B220,'ORDENES'!$U$4:$U$1203,"correctiva")</f>
        <v/>
      </c>
      <c r="G220" s="17">
        <f>E220+F220</f>
        <v/>
      </c>
      <c r="H220" s="17">
        <f>D220-G220</f>
        <v/>
      </c>
      <c r="I220" s="16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SUMIFS('ORDENES'!$M$4:$M$1203,'ORDENES'!$AA$4:$AA$1203,$A221,'ORDENES'!$O$4:$O$1203,$B221,'ORDENES'!$U$4:$U$1203,"preventiva")</f>
        <v/>
      </c>
      <c r="F221" s="17">
        <f>SUMIFS('ORDENES'!$M$4:$M$1203,'ORDENES'!$AA$4:$AA$1203,$A221,'ORDENES'!$O$4:$O$1203,$B221,'ORDENES'!$U$4:$U$1203,"correctiva")</f>
        <v/>
      </c>
      <c r="G221" s="17">
        <f>E221+F221</f>
        <v/>
      </c>
      <c r="H221" s="17">
        <f>D221-G221</f>
        <v/>
      </c>
      <c r="I221" s="16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SUMIFS('ORDENES'!$M$4:$M$1203,'ORDENES'!$AA$4:$AA$1203,$A222,'ORDENES'!$O$4:$O$1203,$B222,'ORDENES'!$U$4:$U$1203,"preventiva")</f>
        <v/>
      </c>
      <c r="F222" s="17">
        <f>SUMIFS('ORDENES'!$M$4:$M$1203,'ORDENES'!$AA$4:$AA$1203,$A222,'ORDENES'!$O$4:$O$1203,$B222,'ORDENES'!$U$4:$U$1203,"correctiva")</f>
        <v/>
      </c>
      <c r="G222" s="17">
        <f>E222+F222</f>
        <v/>
      </c>
      <c r="H222" s="17">
        <f>D222-G222</f>
        <v/>
      </c>
      <c r="I222" s="16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SUMIFS('ORDENES'!$M$4:$M$1203,'ORDENES'!$AA$4:$AA$1203,$A223,'ORDENES'!$O$4:$O$1203,$B223,'ORDENES'!$U$4:$U$1203,"preventiva")</f>
        <v/>
      </c>
      <c r="F223" s="17">
        <f>SUMIFS('ORDENES'!$M$4:$M$1203,'ORDENES'!$AA$4:$AA$1203,$A223,'ORDENES'!$O$4:$O$1203,$B223,'ORDENES'!$U$4:$U$1203,"correctiva")</f>
        <v/>
      </c>
      <c r="G223" s="17">
        <f>E223+F223</f>
        <v/>
      </c>
      <c r="H223" s="17">
        <f>D223-G223</f>
        <v/>
      </c>
      <c r="I223" s="16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SUMIFS('ORDENES'!$M$4:$M$1203,'ORDENES'!$AA$4:$AA$1203,$A224,'ORDENES'!$O$4:$O$1203,$B224,'ORDENES'!$U$4:$U$1203,"preventiva")</f>
        <v/>
      </c>
      <c r="F224" s="17">
        <f>SUMIFS('ORDENES'!$M$4:$M$1203,'ORDENES'!$AA$4:$AA$1203,$A224,'ORDENES'!$O$4:$O$1203,$B224,'ORDENES'!$U$4:$U$1203,"correctiva")</f>
        <v/>
      </c>
      <c r="G224" s="17">
        <f>E224+F224</f>
        <v/>
      </c>
      <c r="H224" s="17">
        <f>D224-G224</f>
        <v/>
      </c>
      <c r="I224" s="16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SUMIFS('ORDENES'!$M$4:$M$1203,'ORDENES'!$AA$4:$AA$1203,$A225,'ORDENES'!$O$4:$O$1203,$B225,'ORDENES'!$U$4:$U$1203,"preventiva")</f>
        <v/>
      </c>
      <c r="F225" s="17">
        <f>SUMIFS('ORDENES'!$M$4:$M$1203,'ORDENES'!$AA$4:$AA$1203,$A225,'ORDENES'!$O$4:$O$1203,$B225,'ORDENES'!$U$4:$U$1203,"correctiva")</f>
        <v/>
      </c>
      <c r="G225" s="17">
        <f>E225+F225</f>
        <v/>
      </c>
      <c r="H225" s="17">
        <f>D225-G225</f>
        <v/>
      </c>
      <c r="I225" s="16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SUMIFS('ORDENES'!$M$4:$M$1203,'ORDENES'!$AA$4:$AA$1203,$A226,'ORDENES'!$O$4:$O$1203,$B226,'ORDENES'!$U$4:$U$1203,"preventiva")</f>
        <v/>
      </c>
      <c r="F226" s="17">
        <f>SUMIFS('ORDENES'!$M$4:$M$1203,'ORDENES'!$AA$4:$AA$1203,$A226,'ORDENES'!$O$4:$O$1203,$B226,'ORDENES'!$U$4:$U$1203,"correctiva")</f>
        <v/>
      </c>
      <c r="G226" s="17">
        <f>E226+F226</f>
        <v/>
      </c>
      <c r="H226" s="17">
        <f>D226-G226</f>
        <v/>
      </c>
      <c r="I226" s="16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SUMIFS('ORDENES'!$M$4:$M$1203,'ORDENES'!$AA$4:$AA$1203,$A227,'ORDENES'!$O$4:$O$1203,$B227,'ORDENES'!$U$4:$U$1203,"preventiva")</f>
        <v/>
      </c>
      <c r="F227" s="17">
        <f>SUMIFS('ORDENES'!$M$4:$M$1203,'ORDENES'!$AA$4:$AA$1203,$A227,'ORDENES'!$O$4:$O$1203,$B227,'ORDENES'!$U$4:$U$1203,"correctiva")</f>
        <v/>
      </c>
      <c r="G227" s="17">
        <f>E227+F227</f>
        <v/>
      </c>
      <c r="H227" s="17">
        <f>D227-G227</f>
        <v/>
      </c>
      <c r="I227" s="16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SUMIFS('ORDENES'!$M$4:$M$1203,'ORDENES'!$AA$4:$AA$1203,$A228,'ORDENES'!$O$4:$O$1203,$B228,'ORDENES'!$U$4:$U$1203,"preventiva")</f>
        <v/>
      </c>
      <c r="F228" s="17">
        <f>SUMIFS('ORDENES'!$M$4:$M$1203,'ORDENES'!$AA$4:$AA$1203,$A228,'ORDENES'!$O$4:$O$1203,$B228,'ORDENES'!$U$4:$U$1203,"correctiva")</f>
        <v/>
      </c>
      <c r="G228" s="17">
        <f>E228+F228</f>
        <v/>
      </c>
      <c r="H228" s="17">
        <f>D228-G228</f>
        <v/>
      </c>
      <c r="I228" s="16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SUMIFS('ORDENES'!$M$4:$M$1203,'ORDENES'!$AA$4:$AA$1203,$A229,'ORDENES'!$O$4:$O$1203,$B229,'ORDENES'!$U$4:$U$1203,"preventiva")</f>
        <v/>
      </c>
      <c r="F229" s="17">
        <f>SUMIFS('ORDENES'!$M$4:$M$1203,'ORDENES'!$AA$4:$AA$1203,$A229,'ORDENES'!$O$4:$O$1203,$B229,'ORDENES'!$U$4:$U$1203,"correctiva")</f>
        <v/>
      </c>
      <c r="G229" s="17">
        <f>E229+F229</f>
        <v/>
      </c>
      <c r="H229" s="17">
        <f>D229-G229</f>
        <v/>
      </c>
      <c r="I229" s="16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SUMIFS('ORDENES'!$M$4:$M$1203,'ORDENES'!$AA$4:$AA$1203,$A230,'ORDENES'!$O$4:$O$1203,$B230,'ORDENES'!$U$4:$U$1203,"preventiva")</f>
        <v/>
      </c>
      <c r="F230" s="17">
        <f>SUMIFS('ORDENES'!$M$4:$M$1203,'ORDENES'!$AA$4:$AA$1203,$A230,'ORDENES'!$O$4:$O$1203,$B230,'ORDENES'!$U$4:$U$1203,"correctiva")</f>
        <v/>
      </c>
      <c r="G230" s="17">
        <f>E230+F230</f>
        <v/>
      </c>
      <c r="H230" s="17">
        <f>D230-G230</f>
        <v/>
      </c>
      <c r="I230" s="16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SUMIFS('ORDENES'!$M$4:$M$1203,'ORDENES'!$AA$4:$AA$1203,$A231,'ORDENES'!$O$4:$O$1203,$B231,'ORDENES'!$U$4:$U$1203,"preventiva")</f>
        <v/>
      </c>
      <c r="F231" s="17">
        <f>SUMIFS('ORDENES'!$M$4:$M$1203,'ORDENES'!$AA$4:$AA$1203,$A231,'ORDENES'!$O$4:$O$1203,$B231,'ORDENES'!$U$4:$U$1203,"correctiva")</f>
        <v/>
      </c>
      <c r="G231" s="17">
        <f>E231+F231</f>
        <v/>
      </c>
      <c r="H231" s="17">
        <f>D231-G231</f>
        <v/>
      </c>
      <c r="I231" s="16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SUMIFS('ORDENES'!$M$4:$M$1203,'ORDENES'!$AA$4:$AA$1203,$A232,'ORDENES'!$O$4:$O$1203,$B232,'ORDENES'!$U$4:$U$1203,"preventiva")</f>
        <v/>
      </c>
      <c r="F232" s="17">
        <f>SUMIFS('ORDENES'!$M$4:$M$1203,'ORDENES'!$AA$4:$AA$1203,$A232,'ORDENES'!$O$4:$O$1203,$B232,'ORDENES'!$U$4:$U$1203,"correctiva")</f>
        <v/>
      </c>
      <c r="G232" s="17">
        <f>E232+F232</f>
        <v/>
      </c>
      <c r="H232" s="17">
        <f>D232-G232</f>
        <v/>
      </c>
      <c r="I232" s="16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SUMIFS('ORDENES'!$M$4:$M$1203,'ORDENES'!$AA$4:$AA$1203,$A233,'ORDENES'!$O$4:$O$1203,$B233,'ORDENES'!$U$4:$U$1203,"preventiva")</f>
        <v/>
      </c>
      <c r="F233" s="17">
        <f>SUMIFS('ORDENES'!$M$4:$M$1203,'ORDENES'!$AA$4:$AA$1203,$A233,'ORDENES'!$O$4:$O$1203,$B233,'ORDENES'!$U$4:$U$1203,"correctiva")</f>
        <v/>
      </c>
      <c r="G233" s="17">
        <f>E233+F233</f>
        <v/>
      </c>
      <c r="H233" s="17">
        <f>D233-G233</f>
        <v/>
      </c>
      <c r="I233" s="16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SUMIFS('ORDENES'!$M$4:$M$1203,'ORDENES'!$AA$4:$AA$1203,$A234,'ORDENES'!$O$4:$O$1203,$B234,'ORDENES'!$U$4:$U$1203,"preventiva")</f>
        <v/>
      </c>
      <c r="F234" s="17">
        <f>SUMIFS('ORDENES'!$M$4:$M$1203,'ORDENES'!$AA$4:$AA$1203,$A234,'ORDENES'!$O$4:$O$1203,$B234,'ORDENES'!$U$4:$U$1203,"correctiva")</f>
        <v/>
      </c>
      <c r="G234" s="17">
        <f>E234+F234</f>
        <v/>
      </c>
      <c r="H234" s="17">
        <f>D234-G234</f>
        <v/>
      </c>
      <c r="I234" s="16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SUMIFS('ORDENES'!$M$4:$M$1203,'ORDENES'!$AA$4:$AA$1203,$A235,'ORDENES'!$O$4:$O$1203,$B235,'ORDENES'!$U$4:$U$1203,"preventiva")</f>
        <v/>
      </c>
      <c r="F235" s="17">
        <f>SUMIFS('ORDENES'!$M$4:$M$1203,'ORDENES'!$AA$4:$AA$1203,$A235,'ORDENES'!$O$4:$O$1203,$B235,'ORDENES'!$U$4:$U$1203,"correctiva")</f>
        <v/>
      </c>
      <c r="G235" s="17">
        <f>E235+F235</f>
        <v/>
      </c>
      <c r="H235" s="17">
        <f>D235-G235</f>
        <v/>
      </c>
      <c r="I235" s="16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SUMIFS('ORDENES'!$M$4:$M$1203,'ORDENES'!$AA$4:$AA$1203,$A236,'ORDENES'!$O$4:$O$1203,$B236,'ORDENES'!$U$4:$U$1203,"preventiva")</f>
        <v/>
      </c>
      <c r="F236" s="17">
        <f>SUMIFS('ORDENES'!$M$4:$M$1203,'ORDENES'!$AA$4:$AA$1203,$A236,'ORDENES'!$O$4:$O$1203,$B236,'ORDENES'!$U$4:$U$1203,"correctiva")</f>
        <v/>
      </c>
      <c r="G236" s="17">
        <f>E236+F236</f>
        <v/>
      </c>
      <c r="H236" s="17">
        <f>D236-G236</f>
        <v/>
      </c>
      <c r="I236" s="16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SUMIFS('ORDENES'!$M$4:$M$1203,'ORDENES'!$AA$4:$AA$1203,$A237,'ORDENES'!$O$4:$O$1203,$B237,'ORDENES'!$U$4:$U$1203,"preventiva")</f>
        <v/>
      </c>
      <c r="F237" s="17">
        <f>SUMIFS('ORDENES'!$M$4:$M$1203,'ORDENES'!$AA$4:$AA$1203,$A237,'ORDENES'!$O$4:$O$1203,$B237,'ORDENES'!$U$4:$U$1203,"correctiva")</f>
        <v/>
      </c>
      <c r="G237" s="17">
        <f>E237+F237</f>
        <v/>
      </c>
      <c r="H237" s="17">
        <f>D237-G237</f>
        <v/>
      </c>
      <c r="I237" s="16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SUMIFS('ORDENES'!$M$4:$M$1203,'ORDENES'!$AA$4:$AA$1203,$A238,'ORDENES'!$O$4:$O$1203,$B238,'ORDENES'!$U$4:$U$1203,"preventiva")</f>
        <v/>
      </c>
      <c r="F238" s="17">
        <f>SUMIFS('ORDENES'!$M$4:$M$1203,'ORDENES'!$AA$4:$AA$1203,$A238,'ORDENES'!$O$4:$O$1203,$B238,'ORDENES'!$U$4:$U$1203,"correctiva")</f>
        <v/>
      </c>
      <c r="G238" s="17">
        <f>E238+F238</f>
        <v/>
      </c>
      <c r="H238" s="17">
        <f>D238-G238</f>
        <v/>
      </c>
      <c r="I238" s="16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SUMIFS('ORDENES'!$M$4:$M$1203,'ORDENES'!$AA$4:$AA$1203,$A239,'ORDENES'!$O$4:$O$1203,$B239,'ORDENES'!$U$4:$U$1203,"preventiva")</f>
        <v/>
      </c>
      <c r="F239" s="17">
        <f>SUMIFS('ORDENES'!$M$4:$M$1203,'ORDENES'!$AA$4:$AA$1203,$A239,'ORDENES'!$O$4:$O$1203,$B239,'ORDENES'!$U$4:$U$1203,"correctiva")</f>
        <v/>
      </c>
      <c r="G239" s="17">
        <f>E239+F239</f>
        <v/>
      </c>
      <c r="H239" s="17">
        <f>D239-G239</f>
        <v/>
      </c>
      <c r="I239" s="16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SUMIFS('ORDENES'!$M$4:$M$1203,'ORDENES'!$AA$4:$AA$1203,$A240,'ORDENES'!$O$4:$O$1203,$B240,'ORDENES'!$U$4:$U$1203,"preventiva")</f>
        <v/>
      </c>
      <c r="F240" s="17">
        <f>SUMIFS('ORDENES'!$M$4:$M$1203,'ORDENES'!$AA$4:$AA$1203,$A240,'ORDENES'!$O$4:$O$1203,$B240,'ORDENES'!$U$4:$U$1203,"correctiva")</f>
        <v/>
      </c>
      <c r="G240" s="17">
        <f>E240+F240</f>
        <v/>
      </c>
      <c r="H240" s="17">
        <f>D240-G240</f>
        <v/>
      </c>
      <c r="I240" s="16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SUMIFS('ORDENES'!$M$4:$M$1203,'ORDENES'!$AA$4:$AA$1203,$A241,'ORDENES'!$O$4:$O$1203,$B241,'ORDENES'!$U$4:$U$1203,"preventiva")</f>
        <v/>
      </c>
      <c r="F241" s="17">
        <f>SUMIFS('ORDENES'!$M$4:$M$1203,'ORDENES'!$AA$4:$AA$1203,$A241,'ORDENES'!$O$4:$O$1203,$B241,'ORDENES'!$U$4:$U$1203,"correctiva")</f>
        <v/>
      </c>
      <c r="G241" s="17">
        <f>E241+F241</f>
        <v/>
      </c>
      <c r="H241" s="17">
        <f>D241-G241</f>
        <v/>
      </c>
      <c r="I241" s="16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SUMIFS('ORDENES'!$M$4:$M$1203,'ORDENES'!$AA$4:$AA$1203,$A242,'ORDENES'!$O$4:$O$1203,$B242,'ORDENES'!$U$4:$U$1203,"preventiva")</f>
        <v/>
      </c>
      <c r="F242" s="17">
        <f>SUMIFS('ORDENES'!$M$4:$M$1203,'ORDENES'!$AA$4:$AA$1203,$A242,'ORDENES'!$O$4:$O$1203,$B242,'ORDENES'!$U$4:$U$1203,"correctiva")</f>
        <v/>
      </c>
      <c r="G242" s="17">
        <f>E242+F242</f>
        <v/>
      </c>
      <c r="H242" s="17">
        <f>D242-G242</f>
        <v/>
      </c>
      <c r="I242" s="16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SUMIFS('ORDENES'!$M$4:$M$1203,'ORDENES'!$AA$4:$AA$1203,$A243,'ORDENES'!$O$4:$O$1203,$B243,'ORDENES'!$U$4:$U$1203,"preventiva")</f>
        <v/>
      </c>
      <c r="F243" s="17">
        <f>SUMIFS('ORDENES'!$M$4:$M$1203,'ORDENES'!$AA$4:$AA$1203,$A243,'ORDENES'!$O$4:$O$1203,$B243,'ORDENES'!$U$4:$U$1203,"correctiva")</f>
        <v/>
      </c>
      <c r="G243" s="17">
        <f>E243+F243</f>
        <v/>
      </c>
      <c r="H243" s="17">
        <f>D243-G243</f>
        <v/>
      </c>
      <c r="I243" s="16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5" t="inlineStr">
        <is>
          <t>semana</t>
        </is>
      </c>
      <c r="B246" s="15" t="inlineStr">
        <is>
          <t>MEC</t>
        </is>
      </c>
      <c r="C246" s="15" t="inlineStr">
        <is>
          <t>ELE</t>
        </is>
      </c>
      <c r="D246" s="15" t="inlineStr">
        <is>
          <t>AUT</t>
        </is>
      </c>
      <c r="E246" s="15" t="inlineStr">
        <is>
          <t>TERCERO</t>
        </is>
      </c>
    </row>
    <row r="247">
      <c r="A247" s="5">
        <f>$O$4</f>
        <v/>
      </c>
      <c r="B247" s="16">
        <f>$I$4</f>
        <v/>
      </c>
      <c r="C247" s="16">
        <f>$I$5</f>
        <v/>
      </c>
      <c r="D247" s="16">
        <f>$I$6</f>
        <v/>
      </c>
      <c r="E247" s="16">
        <f>$I$7</f>
        <v/>
      </c>
    </row>
    <row r="248" hidden="1">
      <c r="A248" s="5">
        <f>$O$5</f>
        <v/>
      </c>
      <c r="B248" s="16">
        <f>$I$8</f>
        <v/>
      </c>
      <c r="C248" s="16">
        <f>$I$9</f>
        <v/>
      </c>
      <c r="D248" s="16">
        <f>$I$10</f>
        <v/>
      </c>
      <c r="E248" s="16">
        <f>$I$11</f>
        <v/>
      </c>
    </row>
    <row r="249">
      <c r="A249" s="5">
        <f>$O$6</f>
        <v/>
      </c>
      <c r="B249" s="16">
        <f>$I$12</f>
        <v/>
      </c>
      <c r="C249" s="16">
        <f>$I$13</f>
        <v/>
      </c>
      <c r="D249" s="16">
        <f>$I$14</f>
        <v/>
      </c>
      <c r="E249" s="16">
        <f>$I$15</f>
        <v/>
      </c>
    </row>
    <row r="250">
      <c r="A250" s="5">
        <f>$O$7</f>
        <v/>
      </c>
      <c r="B250" s="16">
        <f>$I$16</f>
        <v/>
      </c>
      <c r="C250" s="16">
        <f>$I$17</f>
        <v/>
      </c>
      <c r="D250" s="16">
        <f>$I$18</f>
        <v/>
      </c>
      <c r="E250" s="16">
        <f>$I$19</f>
        <v/>
      </c>
    </row>
    <row r="251">
      <c r="A251" s="5">
        <f>$O$8</f>
        <v/>
      </c>
      <c r="B251" s="16">
        <f>$I$20</f>
        <v/>
      </c>
      <c r="C251" s="16">
        <f>$I$21</f>
        <v/>
      </c>
      <c r="D251" s="16">
        <f>$I$22</f>
        <v/>
      </c>
      <c r="E251" s="16">
        <f>$I$23</f>
        <v/>
      </c>
    </row>
    <row r="252">
      <c r="A252" s="5">
        <f>$O$9</f>
        <v/>
      </c>
      <c r="B252" s="16">
        <f>$I$24</f>
        <v/>
      </c>
      <c r="C252" s="16">
        <f>$I$25</f>
        <v/>
      </c>
      <c r="D252" s="16">
        <f>$I$26</f>
        <v/>
      </c>
      <c r="E252" s="16">
        <f>$I$27</f>
        <v/>
      </c>
    </row>
    <row r="253">
      <c r="A253" s="5">
        <f>$O$10</f>
        <v/>
      </c>
      <c r="B253" s="16">
        <f>$I$28</f>
        <v/>
      </c>
      <c r="C253" s="16">
        <f>$I$29</f>
        <v/>
      </c>
      <c r="D253" s="16">
        <f>$I$30</f>
        <v/>
      </c>
      <c r="E253" s="16">
        <f>$I$31</f>
        <v/>
      </c>
    </row>
    <row r="254">
      <c r="A254" s="5">
        <f>$O$11</f>
        <v/>
      </c>
      <c r="B254" s="16">
        <f>$I$32</f>
        <v/>
      </c>
      <c r="C254" s="16">
        <f>$I$33</f>
        <v/>
      </c>
      <c r="D254" s="16">
        <f>$I$34</f>
        <v/>
      </c>
      <c r="E254" s="16">
        <f>$I$35</f>
        <v/>
      </c>
    </row>
    <row r="255">
      <c r="A255" s="5">
        <f>$O$12</f>
        <v/>
      </c>
      <c r="B255" s="16">
        <f>$I$36</f>
        <v/>
      </c>
      <c r="C255" s="16">
        <f>$I$37</f>
        <v/>
      </c>
      <c r="D255" s="16">
        <f>$I$38</f>
        <v/>
      </c>
      <c r="E255" s="16">
        <f>$I$39</f>
        <v/>
      </c>
    </row>
    <row r="256">
      <c r="A256" s="5">
        <f>$O$13</f>
        <v/>
      </c>
      <c r="B256" s="16">
        <f>$I$40</f>
        <v/>
      </c>
      <c r="C256" s="16">
        <f>$I$41</f>
        <v/>
      </c>
      <c r="D256" s="16">
        <f>$I$42</f>
        <v/>
      </c>
      <c r="E256" s="16">
        <f>$I$43</f>
        <v/>
      </c>
    </row>
    <row r="257">
      <c r="A257" s="5">
        <f>$O$14</f>
        <v/>
      </c>
      <c r="B257" s="16">
        <f>$I$44</f>
        <v/>
      </c>
      <c r="C257" s="16">
        <f>$I$45</f>
        <v/>
      </c>
      <c r="D257" s="16">
        <f>$I$46</f>
        <v/>
      </c>
      <c r="E257" s="16">
        <f>$I$47</f>
        <v/>
      </c>
    </row>
    <row r="258">
      <c r="A258" s="5">
        <f>$O$15</f>
        <v/>
      </c>
      <c r="B258" s="16">
        <f>$I$48</f>
        <v/>
      </c>
      <c r="C258" s="16">
        <f>$I$49</f>
        <v/>
      </c>
      <c r="D258" s="16">
        <f>$I$50</f>
        <v/>
      </c>
      <c r="E258" s="16">
        <f>$I$51</f>
        <v/>
      </c>
    </row>
    <row r="259">
      <c r="A259" s="5">
        <f>$O$16</f>
        <v/>
      </c>
      <c r="B259" s="16">
        <f>$I$52</f>
        <v/>
      </c>
      <c r="C259" s="16">
        <f>$I$53</f>
        <v/>
      </c>
      <c r="D259" s="16">
        <f>$I$54</f>
        <v/>
      </c>
      <c r="E259" s="16">
        <f>$I$55</f>
        <v/>
      </c>
    </row>
    <row r="260">
      <c r="A260" s="5">
        <f>$O$17</f>
        <v/>
      </c>
      <c r="B260" s="16">
        <f>$I$56</f>
        <v/>
      </c>
      <c r="C260" s="16">
        <f>$I$57</f>
        <v/>
      </c>
      <c r="D260" s="16">
        <f>$I$58</f>
        <v/>
      </c>
      <c r="E260" s="16">
        <f>$I$59</f>
        <v/>
      </c>
    </row>
    <row r="261">
      <c r="A261" s="5">
        <f>$O$18</f>
        <v/>
      </c>
      <c r="B261" s="16">
        <f>$I$60</f>
        <v/>
      </c>
      <c r="C261" s="16">
        <f>$I$61</f>
        <v/>
      </c>
      <c r="D261" s="16">
        <f>$I$62</f>
        <v/>
      </c>
      <c r="E261" s="16">
        <f>$I$63</f>
        <v/>
      </c>
    </row>
    <row r="262">
      <c r="A262" s="5">
        <f>$O$19</f>
        <v/>
      </c>
      <c r="B262" s="16">
        <f>$I$64</f>
        <v/>
      </c>
      <c r="C262" s="16">
        <f>$I$65</f>
        <v/>
      </c>
      <c r="D262" s="16">
        <f>$I$66</f>
        <v/>
      </c>
      <c r="E262" s="16">
        <f>$I$67</f>
        <v/>
      </c>
    </row>
    <row r="263">
      <c r="A263" s="5">
        <f>$O$20</f>
        <v/>
      </c>
      <c r="B263" s="16">
        <f>$I$68</f>
        <v/>
      </c>
      <c r="C263" s="16">
        <f>$I$69</f>
        <v/>
      </c>
      <c r="D263" s="16">
        <f>$I$70</f>
        <v/>
      </c>
      <c r="E263" s="16">
        <f>$I$71</f>
        <v/>
      </c>
    </row>
    <row r="264">
      <c r="A264" s="5">
        <f>$O$21</f>
        <v/>
      </c>
      <c r="B264" s="16">
        <f>$I$72</f>
        <v/>
      </c>
      <c r="C264" s="16">
        <f>$I$73</f>
        <v/>
      </c>
      <c r="D264" s="16">
        <f>$I$74</f>
        <v/>
      </c>
      <c r="E264" s="16">
        <f>$I$75</f>
        <v/>
      </c>
    </row>
    <row r="265" hidden="1">
      <c r="A265" s="5">
        <f>$O$22</f>
        <v/>
      </c>
      <c r="B265" s="16">
        <f>$I$76</f>
        <v/>
      </c>
      <c r="C265" s="16">
        <f>$I$77</f>
        <v/>
      </c>
      <c r="D265" s="16">
        <f>$I$78</f>
        <v/>
      </c>
      <c r="E265" s="16">
        <f>$I$79</f>
        <v/>
      </c>
    </row>
    <row r="266" hidden="1">
      <c r="A266" s="5">
        <f>$O$23</f>
        <v/>
      </c>
      <c r="B266" s="16">
        <f>$I$80</f>
        <v/>
      </c>
      <c r="C266" s="16">
        <f>$I$81</f>
        <v/>
      </c>
      <c r="D266" s="16">
        <f>$I$82</f>
        <v/>
      </c>
      <c r="E266" s="16">
        <f>$I$83</f>
        <v/>
      </c>
    </row>
    <row r="267" hidden="1">
      <c r="A267" s="5">
        <f>$O$24</f>
        <v/>
      </c>
      <c r="B267" s="16">
        <f>$I$84</f>
        <v/>
      </c>
      <c r="C267" s="16">
        <f>$I$85</f>
        <v/>
      </c>
      <c r="D267" s="16">
        <f>$I$86</f>
        <v/>
      </c>
      <c r="E267" s="16">
        <f>$I$87</f>
        <v/>
      </c>
    </row>
    <row r="268">
      <c r="A268" s="5">
        <f>$O$25</f>
        <v/>
      </c>
      <c r="B268" s="16">
        <f>$I$88</f>
        <v/>
      </c>
      <c r="C268" s="16">
        <f>$I$89</f>
        <v/>
      </c>
      <c r="D268" s="16">
        <f>$I$90</f>
        <v/>
      </c>
      <c r="E268" s="16">
        <f>$I$91</f>
        <v/>
      </c>
    </row>
    <row r="269">
      <c r="A269" s="5">
        <f>$O$26</f>
        <v/>
      </c>
      <c r="B269" s="16">
        <f>$I$92</f>
        <v/>
      </c>
      <c r="C269" s="16">
        <f>$I$93</f>
        <v/>
      </c>
      <c r="D269" s="16">
        <f>$I$94</f>
        <v/>
      </c>
      <c r="E269" s="16">
        <f>$I$95</f>
        <v/>
      </c>
    </row>
    <row r="270">
      <c r="A270" s="5">
        <f>$O$27</f>
        <v/>
      </c>
      <c r="B270" s="16">
        <f>$I$96</f>
        <v/>
      </c>
      <c r="C270" s="16">
        <f>$I$97</f>
        <v/>
      </c>
      <c r="D270" s="16">
        <f>$I$98</f>
        <v/>
      </c>
      <c r="E270" s="16">
        <f>$I$99</f>
        <v/>
      </c>
    </row>
    <row r="271">
      <c r="A271" s="5">
        <f>$O$28</f>
        <v/>
      </c>
      <c r="B271" s="16">
        <f>$I$100</f>
        <v/>
      </c>
      <c r="C271" s="16">
        <f>$I$101</f>
        <v/>
      </c>
      <c r="D271" s="16">
        <f>$I$102</f>
        <v/>
      </c>
      <c r="E271" s="16">
        <f>$I$103</f>
        <v/>
      </c>
    </row>
    <row r="272" hidden="1">
      <c r="A272" s="5">
        <f>$O$29</f>
        <v/>
      </c>
      <c r="B272" s="16">
        <f>$I$104</f>
        <v/>
      </c>
      <c r="C272" s="16">
        <f>$I$105</f>
        <v/>
      </c>
      <c r="D272" s="16">
        <f>$I$106</f>
        <v/>
      </c>
      <c r="E272" s="16">
        <f>$I$107</f>
        <v/>
      </c>
    </row>
    <row r="273" hidden="1">
      <c r="A273" s="5">
        <f>$O$30</f>
        <v/>
      </c>
      <c r="B273" s="16">
        <f>$I$108</f>
        <v/>
      </c>
      <c r="C273" s="16">
        <f>$I$109</f>
        <v/>
      </c>
      <c r="D273" s="16">
        <f>$I$110</f>
        <v/>
      </c>
      <c r="E273" s="16">
        <f>$I$111</f>
        <v/>
      </c>
    </row>
    <row r="274">
      <c r="A274" s="5">
        <f>$O$31</f>
        <v/>
      </c>
      <c r="B274" s="16">
        <f>$I$112</f>
        <v/>
      </c>
      <c r="C274" s="16">
        <f>$I$113</f>
        <v/>
      </c>
      <c r="D274" s="16">
        <f>$I$114</f>
        <v/>
      </c>
      <c r="E274" s="16">
        <f>$I$115</f>
        <v/>
      </c>
    </row>
    <row r="275" hidden="1">
      <c r="A275" s="5">
        <f>$O$32</f>
        <v/>
      </c>
      <c r="B275" s="16">
        <f>$I$116</f>
        <v/>
      </c>
      <c r="C275" s="16">
        <f>$I$117</f>
        <v/>
      </c>
      <c r="D275" s="16">
        <f>$I$118</f>
        <v/>
      </c>
      <c r="E275" s="16">
        <f>$I$119</f>
        <v/>
      </c>
    </row>
    <row r="276" hidden="1">
      <c r="A276" s="5">
        <f>$O$33</f>
        <v/>
      </c>
      <c r="B276" s="16">
        <f>$I$120</f>
        <v/>
      </c>
      <c r="C276" s="16">
        <f>$I$121</f>
        <v/>
      </c>
      <c r="D276" s="16">
        <f>$I$122</f>
        <v/>
      </c>
      <c r="E276" s="16">
        <f>$I$123</f>
        <v/>
      </c>
    </row>
    <row r="277" hidden="1">
      <c r="A277" s="5">
        <f>$O$34</f>
        <v/>
      </c>
      <c r="B277" s="16">
        <f>$I$124</f>
        <v/>
      </c>
      <c r="C277" s="16">
        <f>$I$125</f>
        <v/>
      </c>
      <c r="D277" s="16">
        <f>$I$126</f>
        <v/>
      </c>
      <c r="E277" s="16">
        <f>$I$127</f>
        <v/>
      </c>
    </row>
    <row r="278" hidden="1">
      <c r="A278" s="5">
        <f>$O$35</f>
        <v/>
      </c>
      <c r="B278" s="16">
        <f>$I$128</f>
        <v/>
      </c>
      <c r="C278" s="16">
        <f>$I$129</f>
        <v/>
      </c>
      <c r="D278" s="16">
        <f>$I$130</f>
        <v/>
      </c>
      <c r="E278" s="16">
        <f>$I$131</f>
        <v/>
      </c>
    </row>
    <row r="279" hidden="1">
      <c r="A279" s="5">
        <f>$O$36</f>
        <v/>
      </c>
      <c r="B279" s="16">
        <f>$I$132</f>
        <v/>
      </c>
      <c r="C279" s="16">
        <f>$I$133</f>
        <v/>
      </c>
      <c r="D279" s="16">
        <f>$I$134</f>
        <v/>
      </c>
      <c r="E279" s="16">
        <f>$I$135</f>
        <v/>
      </c>
    </row>
    <row r="280" hidden="1">
      <c r="A280" s="5">
        <f>$O$37</f>
        <v/>
      </c>
      <c r="B280" s="16">
        <f>$I$136</f>
        <v/>
      </c>
      <c r="C280" s="16">
        <f>$I$137</f>
        <v/>
      </c>
      <c r="D280" s="16">
        <f>$I$138</f>
        <v/>
      </c>
      <c r="E280" s="16">
        <f>$I$139</f>
        <v/>
      </c>
    </row>
    <row r="281" hidden="1">
      <c r="A281" s="5">
        <f>$O$38</f>
        <v/>
      </c>
      <c r="B281" s="16">
        <f>$I$140</f>
        <v/>
      </c>
      <c r="C281" s="16">
        <f>$I$141</f>
        <v/>
      </c>
      <c r="D281" s="16">
        <f>$I$142</f>
        <v/>
      </c>
      <c r="E281" s="16">
        <f>$I$143</f>
        <v/>
      </c>
    </row>
    <row r="282" hidden="1">
      <c r="A282" s="5">
        <f>$O$39</f>
        <v/>
      </c>
      <c r="B282" s="16">
        <f>$I$144</f>
        <v/>
      </c>
      <c r="C282" s="16">
        <f>$I$145</f>
        <v/>
      </c>
      <c r="D282" s="16">
        <f>$I$146</f>
        <v/>
      </c>
      <c r="E282" s="16">
        <f>$I$147</f>
        <v/>
      </c>
    </row>
    <row r="283">
      <c r="A283" s="5">
        <f>$O$40</f>
        <v/>
      </c>
      <c r="B283" s="16">
        <f>$I$148</f>
        <v/>
      </c>
      <c r="C283" s="16">
        <f>$I$149</f>
        <v/>
      </c>
      <c r="D283" s="16">
        <f>$I$150</f>
        <v/>
      </c>
      <c r="E283" s="16">
        <f>$I$151</f>
        <v/>
      </c>
    </row>
    <row r="284" hidden="1">
      <c r="A284" s="5">
        <f>$O$41</f>
        <v/>
      </c>
      <c r="B284" s="16">
        <f>$I$152</f>
        <v/>
      </c>
      <c r="C284" s="16">
        <f>$I$153</f>
        <v/>
      </c>
      <c r="D284" s="16">
        <f>$I$154</f>
        <v/>
      </c>
      <c r="E284" s="16">
        <f>$I$155</f>
        <v/>
      </c>
    </row>
    <row r="285" hidden="1">
      <c r="A285" s="5">
        <f>$O$42</f>
        <v/>
      </c>
      <c r="B285" s="16">
        <f>$I$156</f>
        <v/>
      </c>
      <c r="C285" s="16">
        <f>$I$157</f>
        <v/>
      </c>
      <c r="D285" s="16">
        <f>$I$158</f>
        <v/>
      </c>
      <c r="E285" s="16">
        <f>$I$159</f>
        <v/>
      </c>
    </row>
    <row r="286" hidden="1">
      <c r="A286" s="5">
        <f>$O$43</f>
        <v/>
      </c>
      <c r="B286" s="16">
        <f>$I$160</f>
        <v/>
      </c>
      <c r="C286" s="16">
        <f>$I$161</f>
        <v/>
      </c>
      <c r="D286" s="16">
        <f>$I$162</f>
        <v/>
      </c>
      <c r="E286" s="16">
        <f>$I$163</f>
        <v/>
      </c>
    </row>
    <row r="287" hidden="1">
      <c r="A287" s="5">
        <f>$O$44</f>
        <v/>
      </c>
      <c r="B287" s="16">
        <f>$I$164</f>
        <v/>
      </c>
      <c r="C287" s="16">
        <f>$I$165</f>
        <v/>
      </c>
      <c r="D287" s="16">
        <f>$I$166</f>
        <v/>
      </c>
      <c r="E287" s="16">
        <f>$I$167</f>
        <v/>
      </c>
    </row>
    <row r="288" hidden="1">
      <c r="A288" s="5">
        <f>$O$45</f>
        <v/>
      </c>
      <c r="B288" s="16">
        <f>$I$168</f>
        <v/>
      </c>
      <c r="C288" s="16">
        <f>$I$169</f>
        <v/>
      </c>
      <c r="D288" s="16">
        <f>$I$170</f>
        <v/>
      </c>
      <c r="E288" s="16">
        <f>$I$171</f>
        <v/>
      </c>
    </row>
    <row r="289" hidden="1">
      <c r="A289" s="5">
        <f>$O$46</f>
        <v/>
      </c>
      <c r="B289" s="16">
        <f>$I$172</f>
        <v/>
      </c>
      <c r="C289" s="16">
        <f>$I$173</f>
        <v/>
      </c>
      <c r="D289" s="16">
        <f>$I$174</f>
        <v/>
      </c>
      <c r="E289" s="16">
        <f>$I$175</f>
        <v/>
      </c>
    </row>
    <row r="290" hidden="1">
      <c r="A290" s="5">
        <f>$O$47</f>
        <v/>
      </c>
      <c r="B290" s="16">
        <f>$I$176</f>
        <v/>
      </c>
      <c r="C290" s="16">
        <f>$I$177</f>
        <v/>
      </c>
      <c r="D290" s="16">
        <f>$I$178</f>
        <v/>
      </c>
      <c r="E290" s="16">
        <f>$I$179</f>
        <v/>
      </c>
    </row>
    <row r="291">
      <c r="A291" s="5">
        <f>$O$48</f>
        <v/>
      </c>
      <c r="B291" s="16">
        <f>$I$180</f>
        <v/>
      </c>
      <c r="C291" s="16">
        <f>$I$181</f>
        <v/>
      </c>
      <c r="D291" s="16">
        <f>$I$182</f>
        <v/>
      </c>
      <c r="E291" s="16">
        <f>$I$183</f>
        <v/>
      </c>
    </row>
    <row r="292">
      <c r="A292" s="5">
        <f>$O$49</f>
        <v/>
      </c>
      <c r="B292" s="16">
        <f>$I$184</f>
        <v/>
      </c>
      <c r="C292" s="16">
        <f>$I$185</f>
        <v/>
      </c>
      <c r="D292" s="16">
        <f>$I$186</f>
        <v/>
      </c>
      <c r="E292" s="16">
        <f>$I$187</f>
        <v/>
      </c>
    </row>
    <row r="293" hidden="1">
      <c r="A293" s="5">
        <f>$O$50</f>
        <v/>
      </c>
      <c r="B293" s="16">
        <f>$I$188</f>
        <v/>
      </c>
      <c r="C293" s="16">
        <f>$I$189</f>
        <v/>
      </c>
      <c r="D293" s="16">
        <f>$I$190</f>
        <v/>
      </c>
      <c r="E293" s="16">
        <f>$I$191</f>
        <v/>
      </c>
    </row>
    <row r="294" hidden="1">
      <c r="A294" s="5">
        <f>$O$51</f>
        <v/>
      </c>
      <c r="B294" s="16">
        <f>$I$192</f>
        <v/>
      </c>
      <c r="C294" s="16">
        <f>$I$193</f>
        <v/>
      </c>
      <c r="D294" s="16">
        <f>$I$194</f>
        <v/>
      </c>
      <c r="E294" s="16">
        <f>$I$195</f>
        <v/>
      </c>
    </row>
    <row r="295" hidden="1">
      <c r="A295" s="5">
        <f>$O$52</f>
        <v/>
      </c>
      <c r="B295" s="16">
        <f>$I$196</f>
        <v/>
      </c>
      <c r="C295" s="16">
        <f>$I$197</f>
        <v/>
      </c>
      <c r="D295" s="16">
        <f>$I$198</f>
        <v/>
      </c>
      <c r="E295" s="16">
        <f>$I$199</f>
        <v/>
      </c>
    </row>
    <row r="296" hidden="1">
      <c r="A296" s="5">
        <f>$O$53</f>
        <v/>
      </c>
      <c r="B296" s="16">
        <f>$I$200</f>
        <v/>
      </c>
      <c r="C296" s="16">
        <f>$I$201</f>
        <v/>
      </c>
      <c r="D296" s="16">
        <f>$I$202</f>
        <v/>
      </c>
      <c r="E296" s="16">
        <f>$I$203</f>
        <v/>
      </c>
    </row>
    <row r="297" hidden="1">
      <c r="A297" s="5">
        <f>$O$54</f>
        <v/>
      </c>
      <c r="B297" s="16">
        <f>$I$204</f>
        <v/>
      </c>
      <c r="C297" s="16">
        <f>$I$205</f>
        <v/>
      </c>
      <c r="D297" s="16">
        <f>$I$206</f>
        <v/>
      </c>
      <c r="E297" s="16">
        <f>$I$207</f>
        <v/>
      </c>
    </row>
    <row r="298" hidden="1">
      <c r="A298" s="5">
        <f>$O$55</f>
        <v/>
      </c>
      <c r="B298" s="16">
        <f>$I$208</f>
        <v/>
      </c>
      <c r="C298" s="16">
        <f>$I$209</f>
        <v/>
      </c>
      <c r="D298" s="16">
        <f>$I$210</f>
        <v/>
      </c>
      <c r="E298" s="16">
        <f>$I$211</f>
        <v/>
      </c>
    </row>
    <row r="299" hidden="1">
      <c r="A299" s="5">
        <f>$O$56</f>
        <v/>
      </c>
      <c r="B299" s="16">
        <f>$I$212</f>
        <v/>
      </c>
      <c r="C299" s="16">
        <f>$I$213</f>
        <v/>
      </c>
      <c r="D299" s="16">
        <f>$I$214</f>
        <v/>
      </c>
      <c r="E299" s="16">
        <f>$I$215</f>
        <v/>
      </c>
    </row>
    <row r="300" hidden="1">
      <c r="A300" s="5">
        <f>$O$57</f>
        <v/>
      </c>
      <c r="B300" s="16">
        <f>$I$216</f>
        <v/>
      </c>
      <c r="C300" s="16">
        <f>$I$217</f>
        <v/>
      </c>
      <c r="D300" s="16">
        <f>$I$218</f>
        <v/>
      </c>
      <c r="E300" s="16">
        <f>$I$219</f>
        <v/>
      </c>
    </row>
    <row r="301" hidden="1">
      <c r="A301" s="5">
        <f>$O$58</f>
        <v/>
      </c>
      <c r="B301" s="16">
        <f>$I$220</f>
        <v/>
      </c>
      <c r="C301" s="16">
        <f>$I$221</f>
        <v/>
      </c>
      <c r="D301" s="16">
        <f>$I$222</f>
        <v/>
      </c>
      <c r="E301" s="16">
        <f>$I$223</f>
        <v/>
      </c>
    </row>
    <row r="302" hidden="1">
      <c r="A302" s="5">
        <f>$O$59</f>
        <v/>
      </c>
      <c r="B302" s="16">
        <f>$I$224</f>
        <v/>
      </c>
      <c r="C302" s="16">
        <f>$I$225</f>
        <v/>
      </c>
      <c r="D302" s="16">
        <f>$I$226</f>
        <v/>
      </c>
      <c r="E302" s="16">
        <f>$I$227</f>
        <v/>
      </c>
    </row>
    <row r="303" hidden="1">
      <c r="A303" s="5">
        <f>$O$60</f>
        <v/>
      </c>
      <c r="B303" s="16">
        <f>$I$228</f>
        <v/>
      </c>
      <c r="C303" s="16">
        <f>$I$229</f>
        <v/>
      </c>
      <c r="D303" s="16">
        <f>$I$230</f>
        <v/>
      </c>
      <c r="E303" s="16">
        <f>$I$231</f>
        <v/>
      </c>
    </row>
    <row r="304" hidden="1">
      <c r="A304" s="5">
        <f>$O$61</f>
        <v/>
      </c>
      <c r="B304" s="16">
        <f>$I$232</f>
        <v/>
      </c>
      <c r="C304" s="16">
        <f>$I$233</f>
        <v/>
      </c>
      <c r="D304" s="16">
        <f>$I$234</f>
        <v/>
      </c>
      <c r="E304" s="16">
        <f>$I$235</f>
        <v/>
      </c>
    </row>
    <row r="305" hidden="1">
      <c r="A305" s="5">
        <f>$O$62</f>
        <v/>
      </c>
      <c r="B305" s="16">
        <f>$I$236</f>
        <v/>
      </c>
      <c r="C305" s="16">
        <f>$I$237</f>
        <v/>
      </c>
      <c r="D305" s="16">
        <f>$I$238</f>
        <v/>
      </c>
      <c r="E305" s="16">
        <f>$I$239</f>
        <v/>
      </c>
    </row>
    <row r="306" hidden="1">
      <c r="A306" s="5">
        <f>$O$63</f>
        <v/>
      </c>
      <c r="B306" s="16">
        <f>$I$240</f>
        <v/>
      </c>
      <c r="C306" s="16">
        <f>$I$241</f>
        <v/>
      </c>
      <c r="D306" s="16">
        <f>$I$242</f>
        <v/>
      </c>
      <c r="E306" s="16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5" t="inlineStr">
        <is>
          <t>semana</t>
        </is>
      </c>
      <c r="B309" s="15" t="inlineStr">
        <is>
          <t>hh_preventiva</t>
        </is>
      </c>
      <c r="C309" s="15" t="inlineStr">
        <is>
          <t>hh_correctiva</t>
        </is>
      </c>
      <c r="D309" s="15" t="inlineStr">
        <is>
          <t>ratio_corr_prev</t>
        </is>
      </c>
      <c r="E309" s="15" t="inlineStr">
        <is>
          <t>pct_correctivo</t>
        </is>
      </c>
      <c r="F309" s="15" t="inlineStr">
        <is>
          <t>cumple_meta</t>
        </is>
      </c>
    </row>
    <row r="310">
      <c r="A310" s="5">
        <f>$O$4</f>
        <v/>
      </c>
      <c r="B310" s="17">
        <f>SUMIFS('ORDENES'!$M$4:$M$1203,'ORDENES'!$O$4:$O$1203,$A310,'ORDENES'!$U$4:$U$1203,"preventiva")</f>
        <v/>
      </c>
      <c r="C310" s="17">
        <f>SUMIFS('ORDENES'!$M$4:$M$1203,'ORDENES'!$O$4:$O$1203,$A310,'ORDENES'!$U$4:$U$1203,"correctiva")</f>
        <v/>
      </c>
      <c r="D310" s="16">
        <f>IF(B310=0,"",C310/B310)</f>
        <v/>
      </c>
      <c r="E310" s="16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17">
        <f>SUMIFS('ORDENES'!$M$4:$M$1203,'ORDENES'!$O$4:$O$1203,$A311,'ORDENES'!$U$4:$U$1203,"preventiva")</f>
        <v/>
      </c>
      <c r="C311" s="17">
        <f>SUMIFS('ORDENES'!$M$4:$M$1203,'ORDENES'!$O$4:$O$1203,$A311,'ORDENES'!$U$4:$U$1203,"correctiva")</f>
        <v/>
      </c>
      <c r="D311" s="16">
        <f>IF(B311=0,"",C311/B311)</f>
        <v/>
      </c>
      <c r="E311" s="16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17">
        <f>SUMIFS('ORDENES'!$M$4:$M$1203,'ORDENES'!$O$4:$O$1203,$A312,'ORDENES'!$U$4:$U$1203,"preventiva")</f>
        <v/>
      </c>
      <c r="C312" s="17">
        <f>SUMIFS('ORDENES'!$M$4:$M$1203,'ORDENES'!$O$4:$O$1203,$A312,'ORDENES'!$U$4:$U$1203,"correctiva")</f>
        <v/>
      </c>
      <c r="D312" s="16">
        <f>IF(B312=0,"",C312/B312)</f>
        <v/>
      </c>
      <c r="E312" s="16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17">
        <f>SUMIFS('ORDENES'!$M$4:$M$1203,'ORDENES'!$O$4:$O$1203,$A313,'ORDENES'!$U$4:$U$1203,"preventiva")</f>
        <v/>
      </c>
      <c r="C313" s="17">
        <f>SUMIFS('ORDENES'!$M$4:$M$1203,'ORDENES'!$O$4:$O$1203,$A313,'ORDENES'!$U$4:$U$1203,"correctiva")</f>
        <v/>
      </c>
      <c r="D313" s="16">
        <f>IF(B313=0,"",C313/B313)</f>
        <v/>
      </c>
      <c r="E313" s="16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17">
        <f>SUMIFS('ORDENES'!$M$4:$M$1203,'ORDENES'!$O$4:$O$1203,$A314,'ORDENES'!$U$4:$U$1203,"preventiva")</f>
        <v/>
      </c>
      <c r="C314" s="17">
        <f>SUMIFS('ORDENES'!$M$4:$M$1203,'ORDENES'!$O$4:$O$1203,$A314,'ORDENES'!$U$4:$U$1203,"correctiva")</f>
        <v/>
      </c>
      <c r="D314" s="16">
        <f>IF(B314=0,"",C314/B314)</f>
        <v/>
      </c>
      <c r="E314" s="16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17">
        <f>SUMIFS('ORDENES'!$M$4:$M$1203,'ORDENES'!$O$4:$O$1203,$A315,'ORDENES'!$U$4:$U$1203,"preventiva")</f>
        <v/>
      </c>
      <c r="C315" s="17">
        <f>SUMIFS('ORDENES'!$M$4:$M$1203,'ORDENES'!$O$4:$O$1203,$A315,'ORDENES'!$U$4:$U$1203,"correctiva")</f>
        <v/>
      </c>
      <c r="D315" s="16">
        <f>IF(B315=0,"",C315/B315)</f>
        <v/>
      </c>
      <c r="E315" s="16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17">
        <f>SUMIFS('ORDENES'!$M$4:$M$1203,'ORDENES'!$O$4:$O$1203,$A316,'ORDENES'!$U$4:$U$1203,"preventiva")</f>
        <v/>
      </c>
      <c r="C316" s="17">
        <f>SUMIFS('ORDENES'!$M$4:$M$1203,'ORDENES'!$O$4:$O$1203,$A316,'ORDENES'!$U$4:$U$1203,"correctiva")</f>
        <v/>
      </c>
      <c r="D316" s="16">
        <f>IF(B316=0,"",C316/B316)</f>
        <v/>
      </c>
      <c r="E316" s="16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17">
        <f>SUMIFS('ORDENES'!$M$4:$M$1203,'ORDENES'!$O$4:$O$1203,$A317,'ORDENES'!$U$4:$U$1203,"preventiva")</f>
        <v/>
      </c>
      <c r="C317" s="17">
        <f>SUMIFS('ORDENES'!$M$4:$M$1203,'ORDENES'!$O$4:$O$1203,$A317,'ORDENES'!$U$4:$U$1203,"correctiva")</f>
        <v/>
      </c>
      <c r="D317" s="16">
        <f>IF(B317=0,"",C317/B317)</f>
        <v/>
      </c>
      <c r="E317" s="16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17">
        <f>SUMIFS('ORDENES'!$M$4:$M$1203,'ORDENES'!$O$4:$O$1203,$A318,'ORDENES'!$U$4:$U$1203,"preventiva")</f>
        <v/>
      </c>
      <c r="C318" s="17">
        <f>SUMIFS('ORDENES'!$M$4:$M$1203,'ORDENES'!$O$4:$O$1203,$A318,'ORDENES'!$U$4:$U$1203,"correctiva")</f>
        <v/>
      </c>
      <c r="D318" s="16">
        <f>IF(B318=0,"",C318/B318)</f>
        <v/>
      </c>
      <c r="E318" s="16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17">
        <f>SUMIFS('ORDENES'!$M$4:$M$1203,'ORDENES'!$O$4:$O$1203,$A319,'ORDENES'!$U$4:$U$1203,"preventiva")</f>
        <v/>
      </c>
      <c r="C319" s="17">
        <f>SUMIFS('ORDENES'!$M$4:$M$1203,'ORDENES'!$O$4:$O$1203,$A319,'ORDENES'!$U$4:$U$1203,"correctiva")</f>
        <v/>
      </c>
      <c r="D319" s="16">
        <f>IF(B319=0,"",C319/B319)</f>
        <v/>
      </c>
      <c r="E319" s="16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17">
        <f>SUMIFS('ORDENES'!$M$4:$M$1203,'ORDENES'!$O$4:$O$1203,$A320,'ORDENES'!$U$4:$U$1203,"preventiva")</f>
        <v/>
      </c>
      <c r="C320" s="17">
        <f>SUMIFS('ORDENES'!$M$4:$M$1203,'ORDENES'!$O$4:$O$1203,$A320,'ORDENES'!$U$4:$U$1203,"correctiva")</f>
        <v/>
      </c>
      <c r="D320" s="16">
        <f>IF(B320=0,"",C320/B320)</f>
        <v/>
      </c>
      <c r="E320" s="16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17">
        <f>SUMIFS('ORDENES'!$M$4:$M$1203,'ORDENES'!$O$4:$O$1203,$A321,'ORDENES'!$U$4:$U$1203,"preventiva")</f>
        <v/>
      </c>
      <c r="C321" s="17">
        <f>SUMIFS('ORDENES'!$M$4:$M$1203,'ORDENES'!$O$4:$O$1203,$A321,'ORDENES'!$U$4:$U$1203,"correctiva")</f>
        <v/>
      </c>
      <c r="D321" s="16">
        <f>IF(B321=0,"",C321/B321)</f>
        <v/>
      </c>
      <c r="E321" s="16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17">
        <f>SUMIFS('ORDENES'!$M$4:$M$1203,'ORDENES'!$O$4:$O$1203,$A322,'ORDENES'!$U$4:$U$1203,"preventiva")</f>
        <v/>
      </c>
      <c r="C322" s="17">
        <f>SUMIFS('ORDENES'!$M$4:$M$1203,'ORDENES'!$O$4:$O$1203,$A322,'ORDENES'!$U$4:$U$1203,"correctiva")</f>
        <v/>
      </c>
      <c r="D322" s="16">
        <f>IF(B322=0,"",C322/B322)</f>
        <v/>
      </c>
      <c r="E322" s="16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17">
        <f>SUMIFS('ORDENES'!$M$4:$M$1203,'ORDENES'!$O$4:$O$1203,$A323,'ORDENES'!$U$4:$U$1203,"preventiva")</f>
        <v/>
      </c>
      <c r="C323" s="17">
        <f>SUMIFS('ORDENES'!$M$4:$M$1203,'ORDENES'!$O$4:$O$1203,$A323,'ORDENES'!$U$4:$U$1203,"correctiva")</f>
        <v/>
      </c>
      <c r="D323" s="16">
        <f>IF(B323=0,"",C323/B323)</f>
        <v/>
      </c>
      <c r="E323" s="16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17">
        <f>SUMIFS('ORDENES'!$M$4:$M$1203,'ORDENES'!$O$4:$O$1203,$A324,'ORDENES'!$U$4:$U$1203,"preventiva")</f>
        <v/>
      </c>
      <c r="C324" s="17">
        <f>SUMIFS('ORDENES'!$M$4:$M$1203,'ORDENES'!$O$4:$O$1203,$A324,'ORDENES'!$U$4:$U$1203,"correctiva")</f>
        <v/>
      </c>
      <c r="D324" s="16">
        <f>IF(B324=0,"",C324/B324)</f>
        <v/>
      </c>
      <c r="E324" s="16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17">
        <f>SUMIFS('ORDENES'!$M$4:$M$1203,'ORDENES'!$O$4:$O$1203,$A325,'ORDENES'!$U$4:$U$1203,"preventiva")</f>
        <v/>
      </c>
      <c r="C325" s="17">
        <f>SUMIFS('ORDENES'!$M$4:$M$1203,'ORDENES'!$O$4:$O$1203,$A325,'ORDENES'!$U$4:$U$1203,"correctiva")</f>
        <v/>
      </c>
      <c r="D325" s="16">
        <f>IF(B325=0,"",C325/B325)</f>
        <v/>
      </c>
      <c r="E325" s="16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17">
        <f>SUMIFS('ORDENES'!$M$4:$M$1203,'ORDENES'!$O$4:$O$1203,$A326,'ORDENES'!$U$4:$U$1203,"preventiva")</f>
        <v/>
      </c>
      <c r="C326" s="17">
        <f>SUMIFS('ORDENES'!$M$4:$M$1203,'ORDENES'!$O$4:$O$1203,$A326,'ORDENES'!$U$4:$U$1203,"correctiva")</f>
        <v/>
      </c>
      <c r="D326" s="16">
        <f>IF(B326=0,"",C326/B326)</f>
        <v/>
      </c>
      <c r="E326" s="16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17">
        <f>SUMIFS('ORDENES'!$M$4:$M$1203,'ORDENES'!$O$4:$O$1203,$A327,'ORDENES'!$U$4:$U$1203,"preventiva")</f>
        <v/>
      </c>
      <c r="C327" s="17">
        <f>SUMIFS('ORDENES'!$M$4:$M$1203,'ORDENES'!$O$4:$O$1203,$A327,'ORDENES'!$U$4:$U$1203,"correctiva")</f>
        <v/>
      </c>
      <c r="D327" s="16">
        <f>IF(B327=0,"",C327/B327)</f>
        <v/>
      </c>
      <c r="E327" s="16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SUMIFS('ORDENES'!$M$4:$M$1203,'ORDENES'!$O$4:$O$1203,$A328,'ORDENES'!$U$4:$U$1203,"preventiva")</f>
        <v/>
      </c>
      <c r="C328" s="17">
        <f>SUMIFS('ORDENES'!$M$4:$M$1203,'ORDENES'!$O$4:$O$1203,$A328,'ORDENES'!$U$4:$U$1203,"correctiva")</f>
        <v/>
      </c>
      <c r="D328" s="16">
        <f>IF(B328=0,"",C328/B328)</f>
        <v/>
      </c>
      <c r="E328" s="16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SUMIFS('ORDENES'!$M$4:$M$1203,'ORDENES'!$O$4:$O$1203,$A329,'ORDENES'!$U$4:$U$1203,"preventiva")</f>
        <v/>
      </c>
      <c r="C329" s="17">
        <f>SUMIFS('ORDENES'!$M$4:$M$1203,'ORDENES'!$O$4:$O$1203,$A329,'ORDENES'!$U$4:$U$1203,"correctiva")</f>
        <v/>
      </c>
      <c r="D329" s="16">
        <f>IF(B329=0,"",C329/B329)</f>
        <v/>
      </c>
      <c r="E329" s="16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SUMIFS('ORDENES'!$M$4:$M$1203,'ORDENES'!$O$4:$O$1203,$A330,'ORDENES'!$U$4:$U$1203,"preventiva")</f>
        <v/>
      </c>
      <c r="C330" s="17">
        <f>SUMIFS('ORDENES'!$M$4:$M$1203,'ORDENES'!$O$4:$O$1203,$A330,'ORDENES'!$U$4:$U$1203,"correctiva")</f>
        <v/>
      </c>
      <c r="D330" s="16">
        <f>IF(B330=0,"",C330/B330)</f>
        <v/>
      </c>
      <c r="E330" s="16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17">
        <f>SUMIFS('ORDENES'!$M$4:$M$1203,'ORDENES'!$O$4:$O$1203,$A331,'ORDENES'!$U$4:$U$1203,"preventiva")</f>
        <v/>
      </c>
      <c r="C331" s="17">
        <f>SUMIFS('ORDENES'!$M$4:$M$1203,'ORDENES'!$O$4:$O$1203,$A331,'ORDENES'!$U$4:$U$1203,"correctiva")</f>
        <v/>
      </c>
      <c r="D331" s="16">
        <f>IF(B331=0,"",C331/B331)</f>
        <v/>
      </c>
      <c r="E331" s="16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17">
        <f>SUMIFS('ORDENES'!$M$4:$M$1203,'ORDENES'!$O$4:$O$1203,$A332,'ORDENES'!$U$4:$U$1203,"preventiva")</f>
        <v/>
      </c>
      <c r="C332" s="17">
        <f>SUMIFS('ORDENES'!$M$4:$M$1203,'ORDENES'!$O$4:$O$1203,$A332,'ORDENES'!$U$4:$U$1203,"correctiva")</f>
        <v/>
      </c>
      <c r="D332" s="16">
        <f>IF(B332=0,"",C332/B332)</f>
        <v/>
      </c>
      <c r="E332" s="16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17">
        <f>SUMIFS('ORDENES'!$M$4:$M$1203,'ORDENES'!$O$4:$O$1203,$A333,'ORDENES'!$U$4:$U$1203,"preventiva")</f>
        <v/>
      </c>
      <c r="C333" s="17">
        <f>SUMIFS('ORDENES'!$M$4:$M$1203,'ORDENES'!$O$4:$O$1203,$A333,'ORDENES'!$U$4:$U$1203,"correctiva")</f>
        <v/>
      </c>
      <c r="D333" s="16">
        <f>IF(B333=0,"",C333/B333)</f>
        <v/>
      </c>
      <c r="E333" s="16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17">
        <f>SUMIFS('ORDENES'!$M$4:$M$1203,'ORDENES'!$O$4:$O$1203,$A334,'ORDENES'!$U$4:$U$1203,"preventiva")</f>
        <v/>
      </c>
      <c r="C334" s="17">
        <f>SUMIFS('ORDENES'!$M$4:$M$1203,'ORDENES'!$O$4:$O$1203,$A334,'ORDENES'!$U$4:$U$1203,"correctiva")</f>
        <v/>
      </c>
      <c r="D334" s="16">
        <f>IF(B334=0,"",C334/B334)</f>
        <v/>
      </c>
      <c r="E334" s="16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SUMIFS('ORDENES'!$M$4:$M$1203,'ORDENES'!$O$4:$O$1203,$A335,'ORDENES'!$U$4:$U$1203,"preventiva")</f>
        <v/>
      </c>
      <c r="C335" s="17">
        <f>SUMIFS('ORDENES'!$M$4:$M$1203,'ORDENES'!$O$4:$O$1203,$A335,'ORDENES'!$U$4:$U$1203,"correctiva")</f>
        <v/>
      </c>
      <c r="D335" s="16">
        <f>IF(B335=0,"",C335/B335)</f>
        <v/>
      </c>
      <c r="E335" s="16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SUMIFS('ORDENES'!$M$4:$M$1203,'ORDENES'!$O$4:$O$1203,$A336,'ORDENES'!$U$4:$U$1203,"preventiva")</f>
        <v/>
      </c>
      <c r="C336" s="17">
        <f>SUMIFS('ORDENES'!$M$4:$M$1203,'ORDENES'!$O$4:$O$1203,$A336,'ORDENES'!$U$4:$U$1203,"correctiva")</f>
        <v/>
      </c>
      <c r="D336" s="16">
        <f>IF(B336=0,"",C336/B336)</f>
        <v/>
      </c>
      <c r="E336" s="16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17">
        <f>SUMIFS('ORDENES'!$M$4:$M$1203,'ORDENES'!$O$4:$O$1203,$A337,'ORDENES'!$U$4:$U$1203,"preventiva")</f>
        <v/>
      </c>
      <c r="C337" s="17">
        <f>SUMIFS('ORDENES'!$M$4:$M$1203,'ORDENES'!$O$4:$O$1203,$A337,'ORDENES'!$U$4:$U$1203,"correctiva")</f>
        <v/>
      </c>
      <c r="D337" s="16">
        <f>IF(B337=0,"",C337/B337)</f>
        <v/>
      </c>
      <c r="E337" s="16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SUMIFS('ORDENES'!$M$4:$M$1203,'ORDENES'!$O$4:$O$1203,$A338,'ORDENES'!$U$4:$U$1203,"preventiva")</f>
        <v/>
      </c>
      <c r="C338" s="17">
        <f>SUMIFS('ORDENES'!$M$4:$M$1203,'ORDENES'!$O$4:$O$1203,$A338,'ORDENES'!$U$4:$U$1203,"correctiva")</f>
        <v/>
      </c>
      <c r="D338" s="16">
        <f>IF(B338=0,"",C338/B338)</f>
        <v/>
      </c>
      <c r="E338" s="16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SUMIFS('ORDENES'!$M$4:$M$1203,'ORDENES'!$O$4:$O$1203,$A339,'ORDENES'!$U$4:$U$1203,"preventiva")</f>
        <v/>
      </c>
      <c r="C339" s="17">
        <f>SUMIFS('ORDENES'!$M$4:$M$1203,'ORDENES'!$O$4:$O$1203,$A339,'ORDENES'!$U$4:$U$1203,"correctiva")</f>
        <v/>
      </c>
      <c r="D339" s="16">
        <f>IF(B339=0,"",C339/B339)</f>
        <v/>
      </c>
      <c r="E339" s="16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SUMIFS('ORDENES'!$M$4:$M$1203,'ORDENES'!$O$4:$O$1203,$A340,'ORDENES'!$U$4:$U$1203,"preventiva")</f>
        <v/>
      </c>
      <c r="C340" s="17">
        <f>SUMIFS('ORDENES'!$M$4:$M$1203,'ORDENES'!$O$4:$O$1203,$A340,'ORDENES'!$U$4:$U$1203,"correctiva")</f>
        <v/>
      </c>
      <c r="D340" s="16">
        <f>IF(B340=0,"",C340/B340)</f>
        <v/>
      </c>
      <c r="E340" s="16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SUMIFS('ORDENES'!$M$4:$M$1203,'ORDENES'!$O$4:$O$1203,$A341,'ORDENES'!$U$4:$U$1203,"preventiva")</f>
        <v/>
      </c>
      <c r="C341" s="17">
        <f>SUMIFS('ORDENES'!$M$4:$M$1203,'ORDENES'!$O$4:$O$1203,$A341,'ORDENES'!$U$4:$U$1203,"correctiva")</f>
        <v/>
      </c>
      <c r="D341" s="16">
        <f>IF(B341=0,"",C341/B341)</f>
        <v/>
      </c>
      <c r="E341" s="16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SUMIFS('ORDENES'!$M$4:$M$1203,'ORDENES'!$O$4:$O$1203,$A342,'ORDENES'!$U$4:$U$1203,"preventiva")</f>
        <v/>
      </c>
      <c r="C342" s="17">
        <f>SUMIFS('ORDENES'!$M$4:$M$1203,'ORDENES'!$O$4:$O$1203,$A342,'ORDENES'!$U$4:$U$1203,"correctiva")</f>
        <v/>
      </c>
      <c r="D342" s="16">
        <f>IF(B342=0,"",C342/B342)</f>
        <v/>
      </c>
      <c r="E342" s="16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SUMIFS('ORDENES'!$M$4:$M$1203,'ORDENES'!$O$4:$O$1203,$A343,'ORDENES'!$U$4:$U$1203,"preventiva")</f>
        <v/>
      </c>
      <c r="C343" s="17">
        <f>SUMIFS('ORDENES'!$M$4:$M$1203,'ORDENES'!$O$4:$O$1203,$A343,'ORDENES'!$U$4:$U$1203,"correctiva")</f>
        <v/>
      </c>
      <c r="D343" s="16">
        <f>IF(B343=0,"",C343/B343)</f>
        <v/>
      </c>
      <c r="E343" s="16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SUMIFS('ORDENES'!$M$4:$M$1203,'ORDENES'!$O$4:$O$1203,$A344,'ORDENES'!$U$4:$U$1203,"preventiva")</f>
        <v/>
      </c>
      <c r="C344" s="17">
        <f>SUMIFS('ORDENES'!$M$4:$M$1203,'ORDENES'!$O$4:$O$1203,$A344,'ORDENES'!$U$4:$U$1203,"correctiva")</f>
        <v/>
      </c>
      <c r="D344" s="16">
        <f>IF(B344=0,"",C344/B344)</f>
        <v/>
      </c>
      <c r="E344" s="16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SUMIFS('ORDENES'!$M$4:$M$1203,'ORDENES'!$O$4:$O$1203,$A345,'ORDENES'!$U$4:$U$1203,"preventiva")</f>
        <v/>
      </c>
      <c r="C345" s="17">
        <f>SUMIFS('ORDENES'!$M$4:$M$1203,'ORDENES'!$O$4:$O$1203,$A345,'ORDENES'!$U$4:$U$1203,"correctiva")</f>
        <v/>
      </c>
      <c r="D345" s="16">
        <f>IF(B345=0,"",C345/B345)</f>
        <v/>
      </c>
      <c r="E345" s="16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17">
        <f>SUMIFS('ORDENES'!$M$4:$M$1203,'ORDENES'!$O$4:$O$1203,$A346,'ORDENES'!$U$4:$U$1203,"preventiva")</f>
        <v/>
      </c>
      <c r="C346" s="17">
        <f>SUMIFS('ORDENES'!$M$4:$M$1203,'ORDENES'!$O$4:$O$1203,$A346,'ORDENES'!$U$4:$U$1203,"correctiva")</f>
        <v/>
      </c>
      <c r="D346" s="16">
        <f>IF(B346=0,"",C346/B346)</f>
        <v/>
      </c>
      <c r="E346" s="16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SUMIFS('ORDENES'!$M$4:$M$1203,'ORDENES'!$O$4:$O$1203,$A347,'ORDENES'!$U$4:$U$1203,"preventiva")</f>
        <v/>
      </c>
      <c r="C347" s="17">
        <f>SUMIFS('ORDENES'!$M$4:$M$1203,'ORDENES'!$O$4:$O$1203,$A347,'ORDENES'!$U$4:$U$1203,"correctiva")</f>
        <v/>
      </c>
      <c r="D347" s="16">
        <f>IF(B347=0,"",C347/B347)</f>
        <v/>
      </c>
      <c r="E347" s="16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SUMIFS('ORDENES'!$M$4:$M$1203,'ORDENES'!$O$4:$O$1203,$A348,'ORDENES'!$U$4:$U$1203,"preventiva")</f>
        <v/>
      </c>
      <c r="C348" s="17">
        <f>SUMIFS('ORDENES'!$M$4:$M$1203,'ORDENES'!$O$4:$O$1203,$A348,'ORDENES'!$U$4:$U$1203,"correctiva")</f>
        <v/>
      </c>
      <c r="D348" s="16">
        <f>IF(B348=0,"",C348/B348)</f>
        <v/>
      </c>
      <c r="E348" s="16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SUMIFS('ORDENES'!$M$4:$M$1203,'ORDENES'!$O$4:$O$1203,$A349,'ORDENES'!$U$4:$U$1203,"preventiva")</f>
        <v/>
      </c>
      <c r="C349" s="17">
        <f>SUMIFS('ORDENES'!$M$4:$M$1203,'ORDENES'!$O$4:$O$1203,$A349,'ORDENES'!$U$4:$U$1203,"correctiva")</f>
        <v/>
      </c>
      <c r="D349" s="16">
        <f>IF(B349=0,"",C349/B349)</f>
        <v/>
      </c>
      <c r="E349" s="16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SUMIFS('ORDENES'!$M$4:$M$1203,'ORDENES'!$O$4:$O$1203,$A350,'ORDENES'!$U$4:$U$1203,"preventiva")</f>
        <v/>
      </c>
      <c r="C350" s="17">
        <f>SUMIFS('ORDENES'!$M$4:$M$1203,'ORDENES'!$O$4:$O$1203,$A350,'ORDENES'!$U$4:$U$1203,"correctiva")</f>
        <v/>
      </c>
      <c r="D350" s="16">
        <f>IF(B350=0,"",C350/B350)</f>
        <v/>
      </c>
      <c r="E350" s="16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SUMIFS('ORDENES'!$M$4:$M$1203,'ORDENES'!$O$4:$O$1203,$A351,'ORDENES'!$U$4:$U$1203,"preventiva")</f>
        <v/>
      </c>
      <c r="C351" s="17">
        <f>SUMIFS('ORDENES'!$M$4:$M$1203,'ORDENES'!$O$4:$O$1203,$A351,'ORDENES'!$U$4:$U$1203,"correctiva")</f>
        <v/>
      </c>
      <c r="D351" s="16">
        <f>IF(B351=0,"",C351/B351)</f>
        <v/>
      </c>
      <c r="E351" s="16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SUMIFS('ORDENES'!$M$4:$M$1203,'ORDENES'!$O$4:$O$1203,$A352,'ORDENES'!$U$4:$U$1203,"preventiva")</f>
        <v/>
      </c>
      <c r="C352" s="17">
        <f>SUMIFS('ORDENES'!$M$4:$M$1203,'ORDENES'!$O$4:$O$1203,$A352,'ORDENES'!$U$4:$U$1203,"correctiva")</f>
        <v/>
      </c>
      <c r="D352" s="16">
        <f>IF(B352=0,"",C352/B352)</f>
        <v/>
      </c>
      <c r="E352" s="16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SUMIFS('ORDENES'!$M$4:$M$1203,'ORDENES'!$O$4:$O$1203,$A353,'ORDENES'!$U$4:$U$1203,"preventiva")</f>
        <v/>
      </c>
      <c r="C353" s="17">
        <f>SUMIFS('ORDENES'!$M$4:$M$1203,'ORDENES'!$O$4:$O$1203,$A353,'ORDENES'!$U$4:$U$1203,"correctiva")</f>
        <v/>
      </c>
      <c r="D353" s="16">
        <f>IF(B353=0,"",C353/B353)</f>
        <v/>
      </c>
      <c r="E353" s="16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17">
        <f>SUMIFS('ORDENES'!$M$4:$M$1203,'ORDENES'!$O$4:$O$1203,$A354,'ORDENES'!$U$4:$U$1203,"preventiva")</f>
        <v/>
      </c>
      <c r="C354" s="17">
        <f>SUMIFS('ORDENES'!$M$4:$M$1203,'ORDENES'!$O$4:$O$1203,$A354,'ORDENES'!$U$4:$U$1203,"correctiva")</f>
        <v/>
      </c>
      <c r="D354" s="16">
        <f>IF(B354=0,"",C354/B354)</f>
        <v/>
      </c>
      <c r="E354" s="16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17">
        <f>SUMIFS('ORDENES'!$M$4:$M$1203,'ORDENES'!$O$4:$O$1203,$A355,'ORDENES'!$U$4:$U$1203,"preventiva")</f>
        <v/>
      </c>
      <c r="C355" s="17">
        <f>SUMIFS('ORDENES'!$M$4:$M$1203,'ORDENES'!$O$4:$O$1203,$A355,'ORDENES'!$U$4:$U$1203,"correctiva")</f>
        <v/>
      </c>
      <c r="D355" s="16">
        <f>IF(B355=0,"",C355/B355)</f>
        <v/>
      </c>
      <c r="E355" s="16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SUMIFS('ORDENES'!$M$4:$M$1203,'ORDENES'!$O$4:$O$1203,$A356,'ORDENES'!$U$4:$U$1203,"preventiva")</f>
        <v/>
      </c>
      <c r="C356" s="17">
        <f>SUMIFS('ORDENES'!$M$4:$M$1203,'ORDENES'!$O$4:$O$1203,$A356,'ORDENES'!$U$4:$U$1203,"correctiva")</f>
        <v/>
      </c>
      <c r="D356" s="16">
        <f>IF(B356=0,"",C356/B356)</f>
        <v/>
      </c>
      <c r="E356" s="16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SUMIFS('ORDENES'!$M$4:$M$1203,'ORDENES'!$O$4:$O$1203,$A357,'ORDENES'!$U$4:$U$1203,"preventiva")</f>
        <v/>
      </c>
      <c r="C357" s="17">
        <f>SUMIFS('ORDENES'!$M$4:$M$1203,'ORDENES'!$O$4:$O$1203,$A357,'ORDENES'!$U$4:$U$1203,"correctiva")</f>
        <v/>
      </c>
      <c r="D357" s="16">
        <f>IF(B357=0,"",C357/B357)</f>
        <v/>
      </c>
      <c r="E357" s="16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SUMIFS('ORDENES'!$M$4:$M$1203,'ORDENES'!$O$4:$O$1203,$A358,'ORDENES'!$U$4:$U$1203,"preventiva")</f>
        <v/>
      </c>
      <c r="C358" s="17">
        <f>SUMIFS('ORDENES'!$M$4:$M$1203,'ORDENES'!$O$4:$O$1203,$A358,'ORDENES'!$U$4:$U$1203,"correctiva")</f>
        <v/>
      </c>
      <c r="D358" s="16">
        <f>IF(B358=0,"",C358/B358)</f>
        <v/>
      </c>
      <c r="E358" s="16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SUMIFS('ORDENES'!$M$4:$M$1203,'ORDENES'!$O$4:$O$1203,$A359,'ORDENES'!$U$4:$U$1203,"preventiva")</f>
        <v/>
      </c>
      <c r="C359" s="17">
        <f>SUMIFS('ORDENES'!$M$4:$M$1203,'ORDENES'!$O$4:$O$1203,$A359,'ORDENES'!$U$4:$U$1203,"correctiva")</f>
        <v/>
      </c>
      <c r="D359" s="16">
        <f>IF(B359=0,"",C359/B359)</f>
        <v/>
      </c>
      <c r="E359" s="16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SUMIFS('ORDENES'!$M$4:$M$1203,'ORDENES'!$O$4:$O$1203,$A360,'ORDENES'!$U$4:$U$1203,"preventiva")</f>
        <v/>
      </c>
      <c r="C360" s="17">
        <f>SUMIFS('ORDENES'!$M$4:$M$1203,'ORDENES'!$O$4:$O$1203,$A360,'ORDENES'!$U$4:$U$1203,"correctiva")</f>
        <v/>
      </c>
      <c r="D360" s="16">
        <f>IF(B360=0,"",C360/B360)</f>
        <v/>
      </c>
      <c r="E360" s="16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SUMIFS('ORDENES'!$M$4:$M$1203,'ORDENES'!$O$4:$O$1203,$A361,'ORDENES'!$U$4:$U$1203,"preventiva")</f>
        <v/>
      </c>
      <c r="C361" s="17">
        <f>SUMIFS('ORDENES'!$M$4:$M$1203,'ORDENES'!$O$4:$O$1203,$A361,'ORDENES'!$U$4:$U$1203,"correctiva")</f>
        <v/>
      </c>
      <c r="D361" s="16">
        <f>IF(B361=0,"",C361/B361)</f>
        <v/>
      </c>
      <c r="E361" s="16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SUMIFS('ORDENES'!$M$4:$M$1203,'ORDENES'!$O$4:$O$1203,$A362,'ORDENES'!$U$4:$U$1203,"preventiva")</f>
        <v/>
      </c>
      <c r="C362" s="17">
        <f>SUMIFS('ORDENES'!$M$4:$M$1203,'ORDENES'!$O$4:$O$1203,$A362,'ORDENES'!$U$4:$U$1203,"correctiva")</f>
        <v/>
      </c>
      <c r="D362" s="16">
        <f>IF(B362=0,"",C362/B362)</f>
        <v/>
      </c>
      <c r="E362" s="16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SUMIFS('ORDENES'!$M$4:$M$1203,'ORDENES'!$O$4:$O$1203,$A363,'ORDENES'!$U$4:$U$1203,"preventiva")</f>
        <v/>
      </c>
      <c r="C363" s="17">
        <f>SUMIFS('ORDENES'!$M$4:$M$1203,'ORDENES'!$O$4:$O$1203,$A363,'ORDENES'!$U$4:$U$1203,"correctiva")</f>
        <v/>
      </c>
      <c r="D363" s="16">
        <f>IF(B363=0,"",C363/B363)</f>
        <v/>
      </c>
      <c r="E363" s="16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SUMIFS('ORDENES'!$M$4:$M$1203,'ORDENES'!$O$4:$O$1203,$A364,'ORDENES'!$U$4:$U$1203,"preventiva")</f>
        <v/>
      </c>
      <c r="C364" s="17">
        <f>SUMIFS('ORDENES'!$M$4:$M$1203,'ORDENES'!$O$4:$O$1203,$A364,'ORDENES'!$U$4:$U$1203,"correctiva")</f>
        <v/>
      </c>
      <c r="D364" s="16">
        <f>IF(B364=0,"",C364/B364)</f>
        <v/>
      </c>
      <c r="E364" s="16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SUMIFS('ORDENES'!$M$4:$M$1203,'ORDENES'!$O$4:$O$1203,$A365,'ORDENES'!$U$4:$U$1203,"preventiva")</f>
        <v/>
      </c>
      <c r="C365" s="17">
        <f>SUMIFS('ORDENES'!$M$4:$M$1203,'ORDENES'!$O$4:$O$1203,$A365,'ORDENES'!$U$4:$U$1203,"correctiva")</f>
        <v/>
      </c>
      <c r="D365" s="16">
        <f>IF(B365=0,"",C365/B365)</f>
        <v/>
      </c>
      <c r="E365" s="16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SUMIFS('ORDENES'!$M$4:$M$1203,'ORDENES'!$O$4:$O$1203,$A366,'ORDENES'!$U$4:$U$1203,"preventiva")</f>
        <v/>
      </c>
      <c r="C366" s="17">
        <f>SUMIFS('ORDENES'!$M$4:$M$1203,'ORDENES'!$O$4:$O$1203,$A366,'ORDENES'!$U$4:$U$1203,"correctiva")</f>
        <v/>
      </c>
      <c r="D366" s="16">
        <f>IF(B366=0,"",C366/B366)</f>
        <v/>
      </c>
      <c r="E366" s="16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SUMIFS('ORDENES'!$M$4:$M$1203,'ORDENES'!$O$4:$O$1203,$A367,'ORDENES'!$U$4:$U$1203,"preventiva")</f>
        <v/>
      </c>
      <c r="C367" s="17">
        <f>SUMIFS('ORDENES'!$M$4:$M$1203,'ORDENES'!$O$4:$O$1203,$A367,'ORDENES'!$U$4:$U$1203,"correctiva")</f>
        <v/>
      </c>
      <c r="D367" s="16">
        <f>IF(B367=0,"",C367/B367)</f>
        <v/>
      </c>
      <c r="E367" s="16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SUMIFS('ORDENES'!$M$4:$M$1203,'ORDENES'!$O$4:$O$1203,$A368,'ORDENES'!$U$4:$U$1203,"preventiva")</f>
        <v/>
      </c>
      <c r="C368" s="17">
        <f>SUMIFS('ORDENES'!$M$4:$M$1203,'ORDENES'!$O$4:$O$1203,$A368,'ORDENES'!$U$4:$U$1203,"correctiva")</f>
        <v/>
      </c>
      <c r="D368" s="16">
        <f>IF(B368=0,"",C368/B368)</f>
        <v/>
      </c>
      <c r="E368" s="16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SUMIFS('ORDENES'!$M$4:$M$1203,'ORDENES'!$O$4:$O$1203,$A369,'ORDENES'!$U$4:$U$1203,"preventiva")</f>
        <v/>
      </c>
      <c r="C369" s="17">
        <f>SUMIFS('ORDENES'!$M$4:$M$1203,'ORDENES'!$O$4:$O$1203,$A369,'ORDENES'!$U$4:$U$1203,"correctiva")</f>
        <v/>
      </c>
      <c r="D369" s="16">
        <f>IF(B369=0,"",C369/B369)</f>
        <v/>
      </c>
      <c r="E369" s="16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5" t="inlineStr">
        <is>
          <t>mes</t>
        </is>
      </c>
      <c r="B372" s="15" t="inlineStr">
        <is>
          <t>corte</t>
        </is>
      </c>
      <c r="C372" s="15" t="inlineStr">
        <is>
          <t>inicio_mes</t>
        </is>
      </c>
      <c r="D372" s="15" t="inlineStr">
        <is>
          <t>planificada_MEC</t>
        </is>
      </c>
      <c r="E372" s="15" t="inlineStr">
        <is>
          <t>productiva_MEC</t>
        </is>
      </c>
      <c r="F372" s="15" t="inlineStr">
        <is>
          <t>planificada_ELE</t>
        </is>
      </c>
      <c r="G372" s="15" t="inlineStr">
        <is>
          <t>productiva_ELE</t>
        </is>
      </c>
      <c r="H372" s="15" t="inlineStr">
        <is>
          <t>planificada_AUT</t>
        </is>
      </c>
      <c r="I372" s="15" t="inlineStr">
        <is>
          <t>productiva_AUT</t>
        </is>
      </c>
      <c r="J372" s="15" t="inlineStr">
        <is>
          <t>planificada_TOTAL</t>
        </is>
      </c>
      <c r="K372" s="15" t="inlineStr">
        <is>
          <t>productiva_TOTAL</t>
        </is>
      </c>
      <c r="L372" s="15" t="inlineStr">
        <is>
          <t>pct_carga</t>
        </is>
      </c>
    </row>
    <row r="373">
      <c r="A373" s="5" t="inlineStr">
        <is>
          <t>2026-02</t>
        </is>
      </c>
      <c r="B373" s="22">
        <f>IF($A373="","",IF($A373=YEAR(p_fecha_datos)&amp;"-"&amp;TEXT(MONTH(p_fecha_datos),"00"),p_fecha_datos-1,DATE(VALUE(LEFT($A373,4)),VALUE(RIGHT($A373,2))+1,0)))</f>
        <v/>
      </c>
      <c r="C373" s="22">
        <f>DATE(VALUE(LEFT($A373,4)),VALUE(RIGHT($A373,2)),1)</f>
        <v/>
      </c>
      <c r="D373" s="17">
        <f>SUMIFS('ORDENES'!$M$4:$M$1203,'ORDENES'!$AA$4:$AA$1203,"MEC",'ORDENES'!$R$4:$R$1203,$A373,'ORDENES'!$J$4:$J$1203,"&lt;="&amp;$B373)</f>
        <v/>
      </c>
      <c r="E373" s="17">
        <f>SUMIFS('ASIGNACIONES'!$M$4:$M$451,'ASIGNACIONES'!$E$4:$E$451,"MEC",'ASIGNACIONES'!$L$4:$L$451,"&gt;="&amp;$C373,'ASIGNACIONES'!$L$4:$L$451,"&lt;="&amp;$B373)*p_factor_productividad</f>
        <v/>
      </c>
      <c r="F373" s="17">
        <f>SUMIFS('ORDENES'!$M$4:$M$1203,'ORDENES'!$AA$4:$AA$1203,"ELE",'ORDENES'!$R$4:$R$1203,$A373,'ORDENES'!$J$4:$J$1203,"&lt;="&amp;$B373)</f>
        <v/>
      </c>
      <c r="G373" s="17">
        <f>SUMIFS('ASIGNACIONES'!$M$4:$M$451,'ASIGNACIONES'!$E$4:$E$451,"ELE",'ASIGNACIONES'!$L$4:$L$451,"&gt;="&amp;$C373,'ASIGNACIONES'!$L$4:$L$451,"&lt;="&amp;$B373)*p_factor_productividad</f>
        <v/>
      </c>
      <c r="H373" s="17">
        <f>SUMIFS('ORDENES'!$M$4:$M$1203,'ORDENES'!$AA$4:$AA$1203,"AUT",'ORDENES'!$R$4:$R$1203,$A373,'ORDENES'!$J$4:$J$1203,"&lt;="&amp;$B373)</f>
        <v/>
      </c>
      <c r="I373" s="17">
        <f>SUMIFS('ASIGNACIONES'!$M$4:$M$451,'ASIGNACIONES'!$E$4:$E$451,"AUT",'ASIGNACIONES'!$L$4:$L$451,"&gt;="&amp;$C373,'ASIGNACIONES'!$L$4:$L$451,"&lt;="&amp;$B373)*p_factor_productividad</f>
        <v/>
      </c>
      <c r="J373" s="17">
        <f>D373+F373+H373</f>
        <v/>
      </c>
      <c r="K373" s="17">
        <f>E373+G373+I373</f>
        <v/>
      </c>
      <c r="L373" s="16">
        <f>IF(K373=0,"",J373/K373)</f>
        <v/>
      </c>
    </row>
    <row r="374">
      <c r="A374" s="5" t="inlineStr">
        <is>
          <t>2026-03</t>
        </is>
      </c>
      <c r="B374" s="22">
        <f>IF($A374="","",IF($A374=YEAR(p_fecha_datos)&amp;"-"&amp;TEXT(MONTH(p_fecha_datos),"00"),p_fecha_datos-1,DATE(VALUE(LEFT($A374,4)),VALUE(RIGHT($A374,2))+1,0)))</f>
        <v/>
      </c>
      <c r="C374" s="22">
        <f>DATE(VALUE(LEFT($A374,4)),VALUE(RIGHT($A374,2)),1)</f>
        <v/>
      </c>
      <c r="D374" s="17">
        <f>SUMIFS('ORDENES'!$M$4:$M$1203,'ORDENES'!$AA$4:$AA$1203,"MEC",'ORDENES'!$R$4:$R$1203,$A374,'ORDENES'!$J$4:$J$1203,"&lt;="&amp;$B374)</f>
        <v/>
      </c>
      <c r="E374" s="17">
        <f>SUMIFS('ASIGNACIONES'!$M$4:$M$451,'ASIGNACIONES'!$E$4:$E$451,"MEC",'ASIGNACIONES'!$L$4:$L$451,"&gt;="&amp;$C374,'ASIGNACIONES'!$L$4:$L$451,"&lt;="&amp;$B374)*p_factor_productividad</f>
        <v/>
      </c>
      <c r="F374" s="17">
        <f>SUMIFS('ORDENES'!$M$4:$M$1203,'ORDENES'!$AA$4:$AA$1203,"ELE",'ORDENES'!$R$4:$R$1203,$A374,'ORDENES'!$J$4:$J$1203,"&lt;="&amp;$B374)</f>
        <v/>
      </c>
      <c r="G374" s="17">
        <f>SUMIFS('ASIGNACIONES'!$M$4:$M$451,'ASIGNACIONES'!$E$4:$E$451,"ELE",'ASIGNACIONES'!$L$4:$L$451,"&gt;="&amp;$C374,'ASIGNACIONES'!$L$4:$L$451,"&lt;="&amp;$B374)*p_factor_productividad</f>
        <v/>
      </c>
      <c r="H374" s="17">
        <f>SUMIFS('ORDENES'!$M$4:$M$1203,'ORDENES'!$AA$4:$AA$1203,"AUT",'ORDENES'!$R$4:$R$1203,$A374,'ORDENES'!$J$4:$J$1203,"&lt;="&amp;$B374)</f>
        <v/>
      </c>
      <c r="I374" s="17">
        <f>SUMIFS('ASIGNACIONES'!$M$4:$M$451,'ASIGNACIONES'!$E$4:$E$451,"AUT",'ASIGNACIONES'!$L$4:$L$451,"&gt;="&amp;$C374,'ASIGNACIONES'!$L$4:$L$451,"&lt;="&amp;$B374)*p_factor_productividad</f>
        <v/>
      </c>
      <c r="J374" s="17">
        <f>D374+F374+H374</f>
        <v/>
      </c>
      <c r="K374" s="17">
        <f>E374+G374+I374</f>
        <v/>
      </c>
      <c r="L374" s="16">
        <f>IF(K374=0,"",J374/K374)</f>
        <v/>
      </c>
    </row>
    <row r="375">
      <c r="A375" s="5" t="inlineStr">
        <is>
          <t>2026-04</t>
        </is>
      </c>
      <c r="B375" s="22">
        <f>IF($A375="","",IF($A375=YEAR(p_fecha_datos)&amp;"-"&amp;TEXT(MONTH(p_fecha_datos),"00"),p_fecha_datos-1,DATE(VALUE(LEFT($A375,4)),VALUE(RIGHT($A375,2))+1,0)))</f>
        <v/>
      </c>
      <c r="C375" s="22">
        <f>DATE(VALUE(LEFT($A375,4)),VALUE(RIGHT($A375,2)),1)</f>
        <v/>
      </c>
      <c r="D375" s="17">
        <f>SUMIFS('ORDENES'!$M$4:$M$1203,'ORDENES'!$AA$4:$AA$1203,"MEC",'ORDENES'!$R$4:$R$1203,$A375,'ORDENES'!$J$4:$J$1203,"&lt;="&amp;$B375)</f>
        <v/>
      </c>
      <c r="E375" s="17">
        <f>SUMIFS('ASIGNACIONES'!$M$4:$M$451,'ASIGNACIONES'!$E$4:$E$451,"MEC",'ASIGNACIONES'!$L$4:$L$451,"&gt;="&amp;$C375,'ASIGNACIONES'!$L$4:$L$451,"&lt;="&amp;$B375)*p_factor_productividad</f>
        <v/>
      </c>
      <c r="F375" s="17">
        <f>SUMIFS('ORDENES'!$M$4:$M$1203,'ORDENES'!$AA$4:$AA$1203,"ELE",'ORDENES'!$R$4:$R$1203,$A375,'ORDENES'!$J$4:$J$1203,"&lt;="&amp;$B375)</f>
        <v/>
      </c>
      <c r="G375" s="17">
        <f>SUMIFS('ASIGNACIONES'!$M$4:$M$451,'ASIGNACIONES'!$E$4:$E$451,"ELE",'ASIGNACIONES'!$L$4:$L$451,"&gt;="&amp;$C375,'ASIGNACIONES'!$L$4:$L$451,"&lt;="&amp;$B375)*p_factor_productividad</f>
        <v/>
      </c>
      <c r="H375" s="17">
        <f>SUMIFS('ORDENES'!$M$4:$M$1203,'ORDENES'!$AA$4:$AA$1203,"AUT",'ORDENES'!$R$4:$R$1203,$A375,'ORDENES'!$J$4:$J$1203,"&lt;="&amp;$B375)</f>
        <v/>
      </c>
      <c r="I375" s="17">
        <f>SUMIFS('ASIGNACIONES'!$M$4:$M$451,'ASIGNACIONES'!$E$4:$E$451,"AUT",'ASIGNACIONES'!$L$4:$L$451,"&gt;="&amp;$C375,'ASIGNACIONES'!$L$4:$L$451,"&lt;="&amp;$B375)*p_factor_productividad</f>
        <v/>
      </c>
      <c r="J375" s="17">
        <f>D375+F375+H375</f>
        <v/>
      </c>
      <c r="K375" s="17">
        <f>E375+G375+I375</f>
        <v/>
      </c>
      <c r="L375" s="16">
        <f>IF(K375=0,"",J375/K375)</f>
        <v/>
      </c>
    </row>
    <row r="376">
      <c r="A376" s="5" t="inlineStr">
        <is>
          <t>2026-05</t>
        </is>
      </c>
      <c r="B376" s="22">
        <f>IF($A376="","",IF($A376=YEAR(p_fecha_datos)&amp;"-"&amp;TEXT(MONTH(p_fecha_datos),"00"),p_fecha_datos-1,DATE(VALUE(LEFT($A376,4)),VALUE(RIGHT($A376,2))+1,0)))</f>
        <v/>
      </c>
      <c r="C376" s="22">
        <f>DATE(VALUE(LEFT($A376,4)),VALUE(RIGHT($A376,2)),1)</f>
        <v/>
      </c>
      <c r="D376" s="17">
        <f>SUMIFS('ORDENES'!$M$4:$M$1203,'ORDENES'!$AA$4:$AA$1203,"MEC",'ORDENES'!$R$4:$R$1203,$A376,'ORDENES'!$J$4:$J$1203,"&lt;="&amp;$B376)</f>
        <v/>
      </c>
      <c r="E376" s="17">
        <f>SUMIFS('ASIGNACIONES'!$M$4:$M$451,'ASIGNACIONES'!$E$4:$E$451,"MEC",'ASIGNACIONES'!$L$4:$L$451,"&gt;="&amp;$C376,'ASIGNACIONES'!$L$4:$L$451,"&lt;="&amp;$B376)*p_factor_productividad</f>
        <v/>
      </c>
      <c r="F376" s="17">
        <f>SUMIFS('ORDENES'!$M$4:$M$1203,'ORDENES'!$AA$4:$AA$1203,"ELE",'ORDENES'!$R$4:$R$1203,$A376,'ORDENES'!$J$4:$J$1203,"&lt;="&amp;$B376)</f>
        <v/>
      </c>
      <c r="G376" s="17">
        <f>SUMIFS('ASIGNACIONES'!$M$4:$M$451,'ASIGNACIONES'!$E$4:$E$451,"ELE",'ASIGNACIONES'!$L$4:$L$451,"&gt;="&amp;$C376,'ASIGNACIONES'!$L$4:$L$451,"&lt;="&amp;$B376)*p_factor_productividad</f>
        <v/>
      </c>
      <c r="H376" s="17">
        <f>SUMIFS('ORDENES'!$M$4:$M$1203,'ORDENES'!$AA$4:$AA$1203,"AUT",'ORDENES'!$R$4:$R$1203,$A376,'ORDENES'!$J$4:$J$1203,"&lt;="&amp;$B376)</f>
        <v/>
      </c>
      <c r="I376" s="17">
        <f>SUMIFS('ASIGNACIONES'!$M$4:$M$451,'ASIGNACIONES'!$E$4:$E$451,"AUT",'ASIGNACIONES'!$L$4:$L$451,"&gt;="&amp;$C376,'ASIGNACIONES'!$L$4:$L$451,"&lt;="&amp;$B376)*p_factor_productividad</f>
        <v/>
      </c>
      <c r="J376" s="17">
        <f>D376+F376+H376</f>
        <v/>
      </c>
      <c r="K376" s="17">
        <f>E376+G376+I376</f>
        <v/>
      </c>
      <c r="L376" s="16">
        <f>IF(K376=0,"",J376/K376)</f>
        <v/>
      </c>
    </row>
    <row r="377">
      <c r="A377" s="5" t="inlineStr">
        <is>
          <t>2026-06</t>
        </is>
      </c>
      <c r="B377" s="22">
        <f>IF($A377="","",IF($A377=YEAR(p_fecha_datos)&amp;"-"&amp;TEXT(MONTH(p_fecha_datos),"00"),p_fecha_datos-1,DATE(VALUE(LEFT($A377,4)),VALUE(RIGHT($A377,2))+1,0)))</f>
        <v/>
      </c>
      <c r="C377" s="22">
        <f>DATE(VALUE(LEFT($A377,4)),VALUE(RIGHT($A377,2)),1)</f>
        <v/>
      </c>
      <c r="D377" s="17">
        <f>SUMIFS('ORDENES'!$M$4:$M$1203,'ORDENES'!$AA$4:$AA$1203,"MEC",'ORDENES'!$R$4:$R$1203,$A377,'ORDENES'!$J$4:$J$1203,"&lt;="&amp;$B377)</f>
        <v/>
      </c>
      <c r="E377" s="17">
        <f>SUMIFS('ASIGNACIONES'!$M$4:$M$451,'ASIGNACIONES'!$E$4:$E$451,"MEC",'ASIGNACIONES'!$L$4:$L$451,"&gt;="&amp;$C377,'ASIGNACIONES'!$L$4:$L$451,"&lt;="&amp;$B377)*p_factor_productividad</f>
        <v/>
      </c>
      <c r="F377" s="17">
        <f>SUMIFS('ORDENES'!$M$4:$M$1203,'ORDENES'!$AA$4:$AA$1203,"ELE",'ORDENES'!$R$4:$R$1203,$A377,'ORDENES'!$J$4:$J$1203,"&lt;="&amp;$B377)</f>
        <v/>
      </c>
      <c r="G377" s="17">
        <f>SUMIFS('ASIGNACIONES'!$M$4:$M$451,'ASIGNACIONES'!$E$4:$E$451,"ELE",'ASIGNACIONES'!$L$4:$L$451,"&gt;="&amp;$C377,'ASIGNACIONES'!$L$4:$L$451,"&lt;="&amp;$B377)*p_factor_productividad</f>
        <v/>
      </c>
      <c r="H377" s="17">
        <f>SUMIFS('ORDENES'!$M$4:$M$1203,'ORDENES'!$AA$4:$AA$1203,"AUT",'ORDENES'!$R$4:$R$1203,$A377,'ORDENES'!$J$4:$J$1203,"&lt;="&amp;$B377)</f>
        <v/>
      </c>
      <c r="I377" s="17">
        <f>SUMIFS('ASIGNACIONES'!$M$4:$M$451,'ASIGNACIONES'!$E$4:$E$451,"AUT",'ASIGNACIONES'!$L$4:$L$451,"&gt;="&amp;$C377,'ASIGNACIONES'!$L$4:$L$451,"&lt;="&amp;$B377)*p_factor_productividad</f>
        <v/>
      </c>
      <c r="J377" s="17">
        <f>D377+F377+H377</f>
        <v/>
      </c>
      <c r="K377" s="17">
        <f>E377+G377+I377</f>
        <v/>
      </c>
      <c r="L377" s="16">
        <f>IF(K377=0,"",J377/K377)</f>
        <v/>
      </c>
    </row>
    <row r="378">
      <c r="A378" s="5" t="inlineStr">
        <is>
          <t>2026-07</t>
        </is>
      </c>
      <c r="B378" s="22">
        <f>IF($A378="","",IF($A378=YEAR(p_fecha_datos)&amp;"-"&amp;TEXT(MONTH(p_fecha_datos),"00"),p_fecha_datos-1,DATE(VALUE(LEFT($A378,4)),VALUE(RIGHT($A378,2))+1,0)))</f>
        <v/>
      </c>
      <c r="C378" s="22">
        <f>DATE(VALUE(LEFT($A378,4)),VALUE(RIGHT($A378,2)),1)</f>
        <v/>
      </c>
      <c r="D378" s="17">
        <f>SUMIFS('ORDENES'!$M$4:$M$1203,'ORDENES'!$AA$4:$AA$1203,"MEC",'ORDENES'!$R$4:$R$1203,$A378,'ORDENES'!$J$4:$J$1203,"&lt;="&amp;$B378)</f>
        <v/>
      </c>
      <c r="E378" s="17">
        <f>SUMIFS('ASIGNACIONES'!$M$4:$M$451,'ASIGNACIONES'!$E$4:$E$451,"MEC",'ASIGNACIONES'!$L$4:$L$451,"&gt;="&amp;$C378,'ASIGNACIONES'!$L$4:$L$451,"&lt;="&amp;$B378)*p_factor_productividad</f>
        <v/>
      </c>
      <c r="F378" s="17">
        <f>SUMIFS('ORDENES'!$M$4:$M$1203,'ORDENES'!$AA$4:$AA$1203,"ELE",'ORDENES'!$R$4:$R$1203,$A378,'ORDENES'!$J$4:$J$1203,"&lt;="&amp;$B378)</f>
        <v/>
      </c>
      <c r="G378" s="17">
        <f>SUMIFS('ASIGNACIONES'!$M$4:$M$451,'ASIGNACIONES'!$E$4:$E$451,"ELE",'ASIGNACIONES'!$L$4:$L$451,"&gt;="&amp;$C378,'ASIGNACIONES'!$L$4:$L$451,"&lt;="&amp;$B378)*p_factor_productividad</f>
        <v/>
      </c>
      <c r="H378" s="17">
        <f>SUMIFS('ORDENES'!$M$4:$M$1203,'ORDENES'!$AA$4:$AA$1203,"AUT",'ORDENES'!$R$4:$R$1203,$A378,'ORDENES'!$J$4:$J$1203,"&lt;="&amp;$B378)</f>
        <v/>
      </c>
      <c r="I378" s="17">
        <f>SUMIFS('ASIGNACIONES'!$M$4:$M$451,'ASIGNACIONES'!$E$4:$E$451,"AUT",'ASIGNACIONES'!$L$4:$L$451,"&gt;="&amp;$C378,'ASIGNACIONES'!$L$4:$L$451,"&lt;="&amp;$B378)*p_factor_productividad</f>
        <v/>
      </c>
      <c r="J378" s="17">
        <f>D378+F378+H378</f>
        <v/>
      </c>
      <c r="K378" s="17">
        <f>E378+G378+I378</f>
        <v/>
      </c>
      <c r="L378" s="16">
        <f>IF(K378=0,"",J378/K378)</f>
        <v/>
      </c>
    </row>
    <row r="379">
      <c r="A379" s="5" t="inlineStr">
        <is>
          <t>2026-08</t>
        </is>
      </c>
      <c r="B379" s="22">
        <f>IF($A379="","",IF($A379=YEAR(p_fecha_datos)&amp;"-"&amp;TEXT(MONTH(p_fecha_datos),"00"),p_fecha_datos-1,DATE(VALUE(LEFT($A379,4)),VALUE(RIGHT($A379,2))+1,0)))</f>
        <v/>
      </c>
      <c r="C379" s="22">
        <f>DATE(VALUE(LEFT($A379,4)),VALUE(RIGHT($A379,2)),1)</f>
        <v/>
      </c>
      <c r="D379" s="17">
        <f>SUMIFS('ORDENES'!$M$4:$M$1203,'ORDENES'!$AA$4:$AA$1203,"MEC",'ORDENES'!$R$4:$R$1203,$A379,'ORDENES'!$J$4:$J$1203,"&lt;="&amp;$B379)</f>
        <v/>
      </c>
      <c r="E379" s="17">
        <f>SUMIFS('ASIGNACIONES'!$M$4:$M$451,'ASIGNACIONES'!$E$4:$E$451,"MEC",'ASIGNACIONES'!$L$4:$L$451,"&gt;="&amp;$C379,'ASIGNACIONES'!$L$4:$L$451,"&lt;="&amp;$B379)*p_factor_productividad</f>
        <v/>
      </c>
      <c r="F379" s="17">
        <f>SUMIFS('ORDENES'!$M$4:$M$1203,'ORDENES'!$AA$4:$AA$1203,"ELE",'ORDENES'!$R$4:$R$1203,$A379,'ORDENES'!$J$4:$J$1203,"&lt;="&amp;$B379)</f>
        <v/>
      </c>
      <c r="G379" s="17">
        <f>SUMIFS('ASIGNACIONES'!$M$4:$M$451,'ASIGNACIONES'!$E$4:$E$451,"ELE",'ASIGNACIONES'!$L$4:$L$451,"&gt;="&amp;$C379,'ASIGNACIONES'!$L$4:$L$451,"&lt;="&amp;$B379)*p_factor_productividad</f>
        <v/>
      </c>
      <c r="H379" s="17">
        <f>SUMIFS('ORDENES'!$M$4:$M$1203,'ORDENES'!$AA$4:$AA$1203,"AUT",'ORDENES'!$R$4:$R$1203,$A379,'ORDENES'!$J$4:$J$1203,"&lt;="&amp;$B379)</f>
        <v/>
      </c>
      <c r="I379" s="17">
        <f>SUMIFS('ASIGNACIONES'!$M$4:$M$451,'ASIGNACIONES'!$E$4:$E$451,"AUT",'ASIGNACIONES'!$L$4:$L$451,"&gt;="&amp;$C379,'ASIGNACIONES'!$L$4:$L$451,"&lt;="&amp;$B379)*p_factor_productividad</f>
        <v/>
      </c>
      <c r="J379" s="17">
        <f>D379+F379+H379</f>
        <v/>
      </c>
      <c r="K379" s="17">
        <f>E379+G379+I379</f>
        <v/>
      </c>
      <c r="L379" s="16">
        <f>IF(K379=0,"",J379/K379)</f>
        <v/>
      </c>
    </row>
    <row r="380">
      <c r="A380" s="5" t="inlineStr">
        <is>
          <t>2026-09</t>
        </is>
      </c>
      <c r="B380" s="22">
        <f>IF($A380="","",IF($A380=YEAR(p_fecha_datos)&amp;"-"&amp;TEXT(MONTH(p_fecha_datos),"00"),p_fecha_datos-1,DATE(VALUE(LEFT($A380,4)),VALUE(RIGHT($A380,2))+1,0)))</f>
        <v/>
      </c>
      <c r="C380" s="22">
        <f>DATE(VALUE(LEFT($A380,4)),VALUE(RIGHT($A380,2)),1)</f>
        <v/>
      </c>
      <c r="D380" s="17">
        <f>SUMIFS('ORDENES'!$M$4:$M$1203,'ORDENES'!$AA$4:$AA$1203,"MEC",'ORDENES'!$R$4:$R$1203,$A380,'ORDENES'!$J$4:$J$1203,"&lt;="&amp;$B380)</f>
        <v/>
      </c>
      <c r="E380" s="17">
        <f>SUMIFS('ASIGNACIONES'!$M$4:$M$451,'ASIGNACIONES'!$E$4:$E$451,"MEC",'ASIGNACIONES'!$L$4:$L$451,"&gt;="&amp;$C380,'ASIGNACIONES'!$L$4:$L$451,"&lt;="&amp;$B380)*p_factor_productividad</f>
        <v/>
      </c>
      <c r="F380" s="17">
        <f>SUMIFS('ORDENES'!$M$4:$M$1203,'ORDENES'!$AA$4:$AA$1203,"ELE",'ORDENES'!$R$4:$R$1203,$A380,'ORDENES'!$J$4:$J$1203,"&lt;="&amp;$B380)</f>
        <v/>
      </c>
      <c r="G380" s="17">
        <f>SUMIFS('ASIGNACIONES'!$M$4:$M$451,'ASIGNACIONES'!$E$4:$E$451,"ELE",'ASIGNACIONES'!$L$4:$L$451,"&gt;="&amp;$C380,'ASIGNACIONES'!$L$4:$L$451,"&lt;="&amp;$B380)*p_factor_productividad</f>
        <v/>
      </c>
      <c r="H380" s="17">
        <f>SUMIFS('ORDENES'!$M$4:$M$1203,'ORDENES'!$AA$4:$AA$1203,"AUT",'ORDENES'!$R$4:$R$1203,$A380,'ORDENES'!$J$4:$J$1203,"&lt;="&amp;$B380)</f>
        <v/>
      </c>
      <c r="I380" s="17">
        <f>SUMIFS('ASIGNACIONES'!$M$4:$M$451,'ASIGNACIONES'!$E$4:$E$451,"AUT",'ASIGNACIONES'!$L$4:$L$451,"&gt;="&amp;$C380,'ASIGNACIONES'!$L$4:$L$451,"&lt;="&amp;$B380)*p_factor_productividad</f>
        <v/>
      </c>
      <c r="J380" s="17">
        <f>D380+F380+H380</f>
        <v/>
      </c>
      <c r="K380" s="17">
        <f>E380+G380+I380</f>
        <v/>
      </c>
      <c r="L380" s="16">
        <f>IF(K380=0,"",J380/K380)</f>
        <v/>
      </c>
    </row>
    <row r="381">
      <c r="A381" s="5" t="inlineStr">
        <is>
          <t>2026-11</t>
        </is>
      </c>
      <c r="B381" s="22">
        <f>IF($A381="","",IF($A381=YEAR(p_fecha_datos)&amp;"-"&amp;TEXT(MONTH(p_fecha_datos),"00"),p_fecha_datos-1,DATE(VALUE(LEFT($A381,4)),VALUE(RIGHT($A381,2))+1,0)))</f>
        <v/>
      </c>
      <c r="C381" s="22">
        <f>DATE(VALUE(LEFT($A381,4)),VALUE(RIGHT($A381,2)),1)</f>
        <v/>
      </c>
      <c r="D381" s="17">
        <f>SUMIFS('ORDENES'!$M$4:$M$1203,'ORDENES'!$AA$4:$AA$1203,"MEC",'ORDENES'!$R$4:$R$1203,$A381,'ORDENES'!$J$4:$J$1203,"&lt;="&amp;$B381)</f>
        <v/>
      </c>
      <c r="E381" s="17">
        <f>SUMIFS('ASIGNACIONES'!$M$4:$M$451,'ASIGNACIONES'!$E$4:$E$451,"MEC",'ASIGNACIONES'!$L$4:$L$451,"&gt;="&amp;$C381,'ASIGNACIONES'!$L$4:$L$451,"&lt;="&amp;$B381)*p_factor_productividad</f>
        <v/>
      </c>
      <c r="F381" s="17">
        <f>SUMIFS('ORDENES'!$M$4:$M$1203,'ORDENES'!$AA$4:$AA$1203,"ELE",'ORDENES'!$R$4:$R$1203,$A381,'ORDENES'!$J$4:$J$1203,"&lt;="&amp;$B381)</f>
        <v/>
      </c>
      <c r="G381" s="17">
        <f>SUMIFS('ASIGNACIONES'!$M$4:$M$451,'ASIGNACIONES'!$E$4:$E$451,"ELE",'ASIGNACIONES'!$L$4:$L$451,"&gt;="&amp;$C381,'ASIGNACIONES'!$L$4:$L$451,"&lt;="&amp;$B381)*p_factor_productividad</f>
        <v/>
      </c>
      <c r="H381" s="17">
        <f>SUMIFS('ORDENES'!$M$4:$M$1203,'ORDENES'!$AA$4:$AA$1203,"AUT",'ORDENES'!$R$4:$R$1203,$A381,'ORDENES'!$J$4:$J$1203,"&lt;="&amp;$B381)</f>
        <v/>
      </c>
      <c r="I381" s="17">
        <f>SUMIFS('ASIGNACIONES'!$M$4:$M$451,'ASIGNACIONES'!$E$4:$E$451,"AUT",'ASIGNACIONES'!$L$4:$L$451,"&gt;="&amp;$C381,'ASIGNACIONES'!$L$4:$L$451,"&lt;="&amp;$B381)*p_factor_productividad</f>
        <v/>
      </c>
      <c r="J381" s="17">
        <f>D381+F381+H381</f>
        <v/>
      </c>
      <c r="K381" s="17">
        <f>E381+G381+I381</f>
        <v/>
      </c>
      <c r="L381" s="16">
        <f>IF(K381=0,"",J381/K381)</f>
        <v/>
      </c>
    </row>
    <row r="382">
      <c r="A382" s="5" t="inlineStr">
        <is>
          <t>2026-12</t>
        </is>
      </c>
      <c r="B382" s="22">
        <f>IF($A382="","",IF($A382=YEAR(p_fecha_datos)&amp;"-"&amp;TEXT(MONTH(p_fecha_datos),"00"),p_fecha_datos-1,DATE(VALUE(LEFT($A382,4)),VALUE(RIGHT($A382,2))+1,0)))</f>
        <v/>
      </c>
      <c r="C382" s="22">
        <f>DATE(VALUE(LEFT($A382,4)),VALUE(RIGHT($A382,2)),1)</f>
        <v/>
      </c>
      <c r="D382" s="17">
        <f>SUMIFS('ORDENES'!$M$4:$M$1203,'ORDENES'!$AA$4:$AA$1203,"MEC",'ORDENES'!$R$4:$R$1203,$A382,'ORDENES'!$J$4:$J$1203,"&lt;="&amp;$B382)</f>
        <v/>
      </c>
      <c r="E382" s="17">
        <f>SUMIFS('ASIGNACIONES'!$M$4:$M$451,'ASIGNACIONES'!$E$4:$E$451,"MEC",'ASIGNACIONES'!$L$4:$L$451,"&gt;="&amp;$C382,'ASIGNACIONES'!$L$4:$L$451,"&lt;="&amp;$B382)*p_factor_productividad</f>
        <v/>
      </c>
      <c r="F382" s="17">
        <f>SUMIFS('ORDENES'!$M$4:$M$1203,'ORDENES'!$AA$4:$AA$1203,"ELE",'ORDENES'!$R$4:$R$1203,$A382,'ORDENES'!$J$4:$J$1203,"&lt;="&amp;$B382)</f>
        <v/>
      </c>
      <c r="G382" s="17">
        <f>SUMIFS('ASIGNACIONES'!$M$4:$M$451,'ASIGNACIONES'!$E$4:$E$451,"ELE",'ASIGNACIONES'!$L$4:$L$451,"&gt;="&amp;$C382,'ASIGNACIONES'!$L$4:$L$451,"&lt;="&amp;$B382)*p_factor_productividad</f>
        <v/>
      </c>
      <c r="H382" s="17">
        <f>SUMIFS('ORDENES'!$M$4:$M$1203,'ORDENES'!$AA$4:$AA$1203,"AUT",'ORDENES'!$R$4:$R$1203,$A382,'ORDENES'!$J$4:$J$1203,"&lt;="&amp;$B382)</f>
        <v/>
      </c>
      <c r="I382" s="17">
        <f>SUMIFS('ASIGNACIONES'!$M$4:$M$451,'ASIGNACIONES'!$E$4:$E$451,"AUT",'ASIGNACIONES'!$L$4:$L$451,"&gt;="&amp;$C382,'ASIGNACIONES'!$L$4:$L$451,"&lt;="&amp;$B382)*p_factor_productividad</f>
        <v/>
      </c>
      <c r="J382" s="17">
        <f>D382+F382+H382</f>
        <v/>
      </c>
      <c r="K382" s="17">
        <f>E382+G382+I382</f>
        <v/>
      </c>
      <c r="L382" s="16">
        <f>IF(K382=0,"",J382/K382)</f>
        <v/>
      </c>
    </row>
    <row r="383">
      <c r="A383" s="5" t="inlineStr">
        <is>
          <t>2027-01</t>
        </is>
      </c>
      <c r="B383" s="22">
        <f>IF($A383="","",IF($A383=YEAR(p_fecha_datos)&amp;"-"&amp;TEXT(MONTH(p_fecha_datos),"00"),p_fecha_datos-1,DATE(VALUE(LEFT($A383,4)),VALUE(RIGHT($A383,2))+1,0)))</f>
        <v/>
      </c>
      <c r="C383" s="22">
        <f>DATE(VALUE(LEFT($A383,4)),VALUE(RIGHT($A383,2)),1)</f>
        <v/>
      </c>
      <c r="D383" s="17">
        <f>SUMIFS('ORDENES'!$M$4:$M$1203,'ORDENES'!$AA$4:$AA$1203,"MEC",'ORDENES'!$R$4:$R$1203,$A383,'ORDENES'!$J$4:$J$1203,"&lt;="&amp;$B383)</f>
        <v/>
      </c>
      <c r="E383" s="17">
        <f>SUMIFS('ASIGNACIONES'!$M$4:$M$451,'ASIGNACIONES'!$E$4:$E$451,"MEC",'ASIGNACIONES'!$L$4:$L$451,"&gt;="&amp;$C383,'ASIGNACIONES'!$L$4:$L$451,"&lt;="&amp;$B383)*p_factor_productividad</f>
        <v/>
      </c>
      <c r="F383" s="17">
        <f>SUMIFS('ORDENES'!$M$4:$M$1203,'ORDENES'!$AA$4:$AA$1203,"ELE",'ORDENES'!$R$4:$R$1203,$A383,'ORDENES'!$J$4:$J$1203,"&lt;="&amp;$B383)</f>
        <v/>
      </c>
      <c r="G383" s="17">
        <f>SUMIFS('ASIGNACIONES'!$M$4:$M$451,'ASIGNACIONES'!$E$4:$E$451,"ELE",'ASIGNACIONES'!$L$4:$L$451,"&gt;="&amp;$C383,'ASIGNACIONES'!$L$4:$L$451,"&lt;="&amp;$B383)*p_factor_productividad</f>
        <v/>
      </c>
      <c r="H383" s="17">
        <f>SUMIFS('ORDENES'!$M$4:$M$1203,'ORDENES'!$AA$4:$AA$1203,"AUT",'ORDENES'!$R$4:$R$1203,$A383,'ORDENES'!$J$4:$J$1203,"&lt;="&amp;$B383)</f>
        <v/>
      </c>
      <c r="I383" s="17">
        <f>SUMIFS('ASIGNACIONES'!$M$4:$M$451,'ASIGNACIONES'!$E$4:$E$451,"AUT",'ASIGNACIONES'!$L$4:$L$451,"&gt;="&amp;$C383,'ASIGNACIONES'!$L$4:$L$451,"&lt;="&amp;$B383)*p_factor_productividad</f>
        <v/>
      </c>
      <c r="J383" s="17">
        <f>D383+F383+H383</f>
        <v/>
      </c>
      <c r="K383" s="17">
        <f>E383+G383+I383</f>
        <v/>
      </c>
      <c r="L383" s="16">
        <f>IF(K383=0,"",J383/K383)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83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3">
      <c r="A3" s="15" t="inlineStr">
        <is>
          <t>tramo (días)</t>
        </is>
      </c>
      <c r="B3" s="15" t="inlineStr">
        <is>
          <t>ordenes</t>
        </is>
      </c>
      <c r="C3" s="15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COUNTIFS('ORDENES'!$N$4:$N$1203,"Pendiente",'ORDENES'!$AC$4:$AC$1203,"&gt;=0",'ORDENES'!$AC$4:$AC$1203,"&lt;=30")</f>
        <v/>
      </c>
      <c r="C4" s="17">
        <f>SUMIFS('ORDENES'!$M$4:$M$1203,'ORDENES'!$N$4:$N$1203,"Pendiente",'ORDENES'!$AC$4:$AC$1203,"&gt;=0",'ORDENES'!$AC$4:$AC$1203,"&lt;=30")</f>
        <v/>
      </c>
    </row>
    <row r="5">
      <c r="A5" s="5" t="inlineStr">
        <is>
          <t>31-60</t>
        </is>
      </c>
      <c r="B5" s="5">
        <f>COUNTIFS('ORDENES'!$N$4:$N$1203,"Pendiente",'ORDENES'!$AC$4:$AC$1203,"&gt;=31",'ORDENES'!$AC$4:$AC$1203,"&lt;=60")</f>
        <v/>
      </c>
      <c r="C5" s="17">
        <f>SUMIFS('ORDENES'!$M$4:$M$1203,'ORDENES'!$N$4:$N$1203,"Pendiente",'ORDENES'!$AC$4:$AC$1203,"&gt;=31",'ORDENES'!$AC$4:$AC$1203,"&lt;=60")</f>
        <v/>
      </c>
    </row>
    <row r="6">
      <c r="A6" s="5" t="inlineStr">
        <is>
          <t>61-90</t>
        </is>
      </c>
      <c r="B6" s="5">
        <f>COUNTIFS('ORDENES'!$N$4:$N$1203,"Pendiente",'ORDENES'!$AC$4:$AC$1203,"&gt;=61",'ORDENES'!$AC$4:$AC$1203,"&lt;=90")</f>
        <v/>
      </c>
      <c r="C6" s="17">
        <f>SUMIFS('ORDENES'!$M$4:$M$1203,'ORDENES'!$N$4:$N$1203,"Pendiente",'ORDENES'!$AC$4:$AC$1203,"&gt;=61",'ORDENES'!$AC$4:$AC$1203,"&lt;=90")</f>
        <v/>
      </c>
    </row>
    <row r="7">
      <c r="A7" s="5" t="inlineStr">
        <is>
          <t>&gt;90</t>
        </is>
      </c>
      <c r="B7" s="5">
        <f>COUNTIFS('ORDENES'!$N$4:$N$1203,"Pendiente",'ORDENES'!$AC$4:$AC$1203,"&gt;90")</f>
        <v/>
      </c>
      <c r="C7" s="17">
        <f>SUMIFS('ORDENES'!$M$4:$M$1203,'ORDENES'!$N$4:$N$1203,"Pendiente",'ORDENES'!$AC$4:$AC$1203,"&gt;90")</f>
        <v/>
      </c>
    </row>
    <row r="10">
      <c r="A10" s="3" t="inlineStr">
        <is>
          <t>POR ESPECIALIDAD</t>
        </is>
      </c>
    </row>
    <row r="11">
      <c r="A11" s="15" t="inlineStr">
        <is>
          <t>especialidad</t>
        </is>
      </c>
      <c r="B11" s="15" t="inlineStr">
        <is>
          <t>0-30</t>
        </is>
      </c>
      <c r="C11" s="15" t="inlineStr">
        <is>
          <t>31-60</t>
        </is>
      </c>
      <c r="D11" s="15" t="inlineStr">
        <is>
          <t>61-90</t>
        </is>
      </c>
      <c r="E11" s="15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COUNTIFS('ORDENES'!$N$4:$N$1203,"Pendiente",'ORDENES'!$AC$4:$AC$1203,"&gt;=0",'ORDENES'!$AC$4:$AC$1203,"&lt;=30",'ORDENES'!$AA$4:$AA$1203,$A12)</f>
        <v/>
      </c>
      <c r="C12" s="5">
        <f>COUNTIFS('ORDENES'!$N$4:$N$1203,"Pendiente",'ORDENES'!$AC$4:$AC$1203,"&gt;=31",'ORDENES'!$AC$4:$AC$1203,"&lt;=60",'ORDENES'!$AA$4:$AA$1203,$A12)</f>
        <v/>
      </c>
      <c r="D12" s="5">
        <f>COUNTIFS('ORDENES'!$N$4:$N$1203,"Pendiente",'ORDENES'!$AC$4:$AC$1203,"&gt;=61",'ORDENES'!$AC$4:$AC$1203,"&lt;=90",'ORDENES'!$AA$4:$AA$1203,$A12)</f>
        <v/>
      </c>
      <c r="E12" s="5">
        <f>COUNTIFS('ORDENES'!$N$4:$N$1203,"Pendiente",'ORDENES'!$AC$4:$AC$1203,"&gt;90",'ORDENES'!$AA$4:$AA$1203,$A12)</f>
        <v/>
      </c>
    </row>
    <row r="13">
      <c r="A13" s="5" t="inlineStr">
        <is>
          <t>ELE</t>
        </is>
      </c>
      <c r="B13" s="5">
        <f>COUNTIFS('ORDENES'!$N$4:$N$1203,"Pendiente",'ORDENES'!$AC$4:$AC$1203,"&gt;=0",'ORDENES'!$AC$4:$AC$1203,"&lt;=30",'ORDENES'!$AA$4:$AA$1203,$A13)</f>
        <v/>
      </c>
      <c r="C13" s="5">
        <f>COUNTIFS('ORDENES'!$N$4:$N$1203,"Pendiente",'ORDENES'!$AC$4:$AC$1203,"&gt;=31",'ORDENES'!$AC$4:$AC$1203,"&lt;=60",'ORDENES'!$AA$4:$AA$1203,$A13)</f>
        <v/>
      </c>
      <c r="D13" s="5">
        <f>COUNTIFS('ORDENES'!$N$4:$N$1203,"Pendiente",'ORDENES'!$AC$4:$AC$1203,"&gt;=61",'ORDENES'!$AC$4:$AC$1203,"&lt;=90",'ORDENES'!$AA$4:$AA$1203,$A13)</f>
        <v/>
      </c>
      <c r="E13" s="5">
        <f>COUNTIFS('ORDENES'!$N$4:$N$1203,"Pendiente",'ORDENES'!$AC$4:$AC$1203,"&gt;90",'ORDENES'!$AA$4:$AA$1203,$A13)</f>
        <v/>
      </c>
    </row>
    <row r="14">
      <c r="A14" s="5" t="inlineStr">
        <is>
          <t>AUT</t>
        </is>
      </c>
      <c r="B14" s="5">
        <f>COUNTIFS('ORDENES'!$N$4:$N$1203,"Pendiente",'ORDENES'!$AC$4:$AC$1203,"&gt;=0",'ORDENES'!$AC$4:$AC$1203,"&lt;=30",'ORDENES'!$AA$4:$AA$1203,$A14)</f>
        <v/>
      </c>
      <c r="C14" s="5">
        <f>COUNTIFS('ORDENES'!$N$4:$N$1203,"Pendiente",'ORDENES'!$AC$4:$AC$1203,"&gt;=31",'ORDENES'!$AC$4:$AC$1203,"&lt;=60",'ORDENES'!$AA$4:$AA$1203,$A14)</f>
        <v/>
      </c>
      <c r="D14" s="5">
        <f>COUNTIFS('ORDENES'!$N$4:$N$1203,"Pendiente",'ORDENES'!$AC$4:$AC$1203,"&gt;=61",'ORDENES'!$AC$4:$AC$1203,"&lt;=90",'ORDENES'!$AA$4:$AA$1203,$A14)</f>
        <v/>
      </c>
      <c r="E14" s="5">
        <f>COUNTIFS('ORDENES'!$N$4:$N$1203,"Pendiente",'ORDENES'!$AC$4:$AC$1203,"&gt;90",'ORDENES'!$AA$4:$AA$1203,$A14)</f>
        <v/>
      </c>
    </row>
    <row r="15">
      <c r="A15" s="5" t="inlineStr">
        <is>
          <t>TERCERO</t>
        </is>
      </c>
      <c r="B15" s="5">
        <f>COUNTIFS('ORDENES'!$N$4:$N$1203,"Pendiente",'ORDENES'!$AC$4:$AC$1203,"&gt;=0",'ORDENES'!$AC$4:$AC$1203,"&lt;=30",'ORDENES'!$AA$4:$AA$1203,$A15)</f>
        <v/>
      </c>
      <c r="C15" s="5">
        <f>COUNTIFS('ORDENES'!$N$4:$N$1203,"Pendiente",'ORDENES'!$AC$4:$AC$1203,"&gt;=31",'ORDENES'!$AC$4:$AC$1203,"&lt;=60",'ORDENES'!$AA$4:$AA$1203,$A15)</f>
        <v/>
      </c>
      <c r="D15" s="5">
        <f>COUNTIFS('ORDENES'!$N$4:$N$1203,"Pendiente",'ORDENES'!$AC$4:$AC$1203,"&gt;=61",'ORDENES'!$AC$4:$AC$1203,"&lt;=90",'ORDENES'!$AA$4:$AA$1203,$A15)</f>
        <v/>
      </c>
      <c r="E15" s="5">
        <f>COUNTIFS('ORDENES'!$N$4:$N$1203,"Pendiente",'ORDENES'!$AC$4:$AC$1203,"&gt;90",'ORDENES'!$AA$4:$AA$1203,$A15)</f>
        <v/>
      </c>
    </row>
    <row r="17">
      <c r="A17" s="3" t="inlineStr">
        <is>
          <t>POR ÁREA</t>
        </is>
      </c>
    </row>
    <row r="18">
      <c r="A18" s="15" t="inlineStr">
        <is>
          <t>area</t>
        </is>
      </c>
      <c r="B18" s="15" t="inlineStr">
        <is>
          <t>0-30</t>
        </is>
      </c>
      <c r="C18" s="15" t="inlineStr">
        <is>
          <t>31-60</t>
        </is>
      </c>
      <c r="D18" s="15" t="inlineStr">
        <is>
          <t>61-90</t>
        </is>
      </c>
      <c r="E18" s="15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COUNTIFS('ORDENES'!$N$4:$N$1203,"Pendiente",'ORDENES'!$AC$4:$AC$1203,"&gt;=0",'ORDENES'!$AC$4:$AC$1203,"&lt;=30",'ORDENES'!$X$4:$X$1203,$A19)</f>
        <v/>
      </c>
      <c r="C19" s="5">
        <f>COUNTIFS('ORDENES'!$N$4:$N$1203,"Pendiente",'ORDENES'!$AC$4:$AC$1203,"&gt;=31",'ORDENES'!$AC$4:$AC$1203,"&lt;=60",'ORDENES'!$X$4:$X$1203,$A19)</f>
        <v/>
      </c>
      <c r="D19" s="5">
        <f>COUNTIFS('ORDENES'!$N$4:$N$1203,"Pendiente",'ORDENES'!$AC$4:$AC$1203,"&gt;=61",'ORDENES'!$AC$4:$AC$1203,"&lt;=90",'ORDENES'!$X$4:$X$1203,$A19)</f>
        <v/>
      </c>
      <c r="E19" s="5">
        <f>COUNTIFS('ORDENES'!$N$4:$N$1203,"Pendiente",'ORDENES'!$AC$4:$AC$1203,"&gt;90",'ORDENES'!$X$4:$X$1203,$A19)</f>
        <v/>
      </c>
    </row>
    <row r="20">
      <c r="A20" s="5" t="inlineStr">
        <is>
          <t>EMPAQUE</t>
        </is>
      </c>
      <c r="B20" s="5">
        <f>COUNTIFS('ORDENES'!$N$4:$N$1203,"Pendiente",'ORDENES'!$AC$4:$AC$1203,"&gt;=0",'ORDENES'!$AC$4:$AC$1203,"&lt;=30",'ORDENES'!$X$4:$X$1203,$A20)</f>
        <v/>
      </c>
      <c r="C20" s="5">
        <f>COUNTIFS('ORDENES'!$N$4:$N$1203,"Pendiente",'ORDENES'!$AC$4:$AC$1203,"&gt;=31",'ORDENES'!$AC$4:$AC$1203,"&lt;=60",'ORDENES'!$X$4:$X$1203,$A20)</f>
        <v/>
      </c>
      <c r="D20" s="5">
        <f>COUNTIFS('ORDENES'!$N$4:$N$1203,"Pendiente",'ORDENES'!$AC$4:$AC$1203,"&gt;=61",'ORDENES'!$AC$4:$AC$1203,"&lt;=90",'ORDENES'!$X$4:$X$1203,$A20)</f>
        <v/>
      </c>
      <c r="E20" s="5">
        <f>COUNTIFS('ORDENES'!$N$4:$N$1203,"Pendiente",'ORDENES'!$AC$4:$AC$1203,"&gt;90",'ORDENES'!$X$4:$X$1203,$A20)</f>
        <v/>
      </c>
    </row>
    <row r="21">
      <c r="A21" s="5" t="inlineStr">
        <is>
          <t>SERVICIOS</t>
        </is>
      </c>
      <c r="B21" s="5">
        <f>COUNTIFS('ORDENES'!$N$4:$N$1203,"Pendiente",'ORDENES'!$AC$4:$AC$1203,"&gt;=0",'ORDENES'!$AC$4:$AC$1203,"&lt;=30",'ORDENES'!$X$4:$X$1203,$A21)</f>
        <v/>
      </c>
      <c r="C21" s="5">
        <f>COUNTIFS('ORDENES'!$N$4:$N$1203,"Pendiente",'ORDENES'!$AC$4:$AC$1203,"&gt;=31",'ORDENES'!$AC$4:$AC$1203,"&lt;=60",'ORDENES'!$X$4:$X$1203,$A21)</f>
        <v/>
      </c>
      <c r="D21" s="5">
        <f>COUNTIFS('ORDENES'!$N$4:$N$1203,"Pendiente",'ORDENES'!$AC$4:$AC$1203,"&gt;=61",'ORDENES'!$AC$4:$AC$1203,"&lt;=90",'ORDENES'!$X$4:$X$1203,$A21)</f>
        <v/>
      </c>
      <c r="E21" s="5">
        <f>COUNTIFS('ORDENES'!$N$4:$N$1203,"Pendiente",'ORDENES'!$AC$4:$AC$1203,"&gt;90",'ORDENES'!$X$4:$X$1203,$A21)</f>
        <v/>
      </c>
    </row>
    <row r="23">
      <c r="A23" s="3" t="inlineStr">
        <is>
          <t>POR SUB-ÁREA (herencia: área sin subdividir con su propio nombre)</t>
        </is>
      </c>
    </row>
    <row r="24">
      <c r="A24" s="15" t="inlineStr">
        <is>
          <t>sub_area</t>
        </is>
      </c>
      <c r="B24" s="15" t="inlineStr">
        <is>
          <t>0-30</t>
        </is>
      </c>
      <c r="C24" s="15" t="inlineStr">
        <is>
          <t>31-60</t>
        </is>
      </c>
      <c r="D24" s="15" t="inlineStr">
        <is>
          <t>61-90</t>
        </is>
      </c>
      <c r="E24" s="15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COUNTIFS('ORDENES'!$N$4:$N$1203,"Pendiente",'ORDENES'!$AC$4:$AC$1203,"&gt;=0",'ORDENES'!$AC$4:$AC$1203,"&lt;=30",'ORDENES'!$Y$4:$Y$1203,$A25)</f>
        <v/>
      </c>
      <c r="C25" s="5">
        <f>COUNTIFS('ORDENES'!$N$4:$N$1203,"Pendiente",'ORDENES'!$AC$4:$AC$1203,"&gt;=31",'ORDENES'!$AC$4:$AC$1203,"&lt;=60",'ORDENES'!$Y$4:$Y$1203,$A25)</f>
        <v/>
      </c>
      <c r="D25" s="5">
        <f>COUNTIFS('ORDENES'!$N$4:$N$1203,"Pendiente",'ORDENES'!$AC$4:$AC$1203,"&gt;=61",'ORDENES'!$AC$4:$AC$1203,"&lt;=90",'ORDENES'!$Y$4:$Y$1203,$A25)</f>
        <v/>
      </c>
      <c r="E25" s="5">
        <f>COUNTIFS('ORDENES'!$N$4:$N$1203,"Pendiente",'ORDENES'!$AC$4:$AC$1203,"&gt;90",'ORDENES'!$Y$4:$Y$1203,$A25)</f>
        <v/>
      </c>
    </row>
    <row r="26">
      <c r="A26" s="5" t="inlineStr">
        <is>
          <t>EMPAQUE</t>
        </is>
      </c>
      <c r="B26" s="5">
        <f>COUNTIFS('ORDENES'!$N$4:$N$1203,"Pendiente",'ORDENES'!$AC$4:$AC$1203,"&gt;=0",'ORDENES'!$AC$4:$AC$1203,"&lt;=30",'ORDENES'!$Y$4:$Y$1203,$A26)</f>
        <v/>
      </c>
      <c r="C26" s="5">
        <f>COUNTIFS('ORDENES'!$N$4:$N$1203,"Pendiente",'ORDENES'!$AC$4:$AC$1203,"&gt;=31",'ORDENES'!$AC$4:$AC$1203,"&lt;=60",'ORDENES'!$Y$4:$Y$1203,$A26)</f>
        <v/>
      </c>
      <c r="D26" s="5">
        <f>COUNTIFS('ORDENES'!$N$4:$N$1203,"Pendiente",'ORDENES'!$AC$4:$AC$1203,"&gt;=61",'ORDENES'!$AC$4:$AC$1203,"&lt;=90",'ORDENES'!$Y$4:$Y$1203,$A26)</f>
        <v/>
      </c>
      <c r="E26" s="5">
        <f>COUNTIFS('ORDENES'!$N$4:$N$1203,"Pendiente",'ORDENES'!$AC$4:$AC$1203,"&gt;90",'ORDENES'!$Y$4:$Y$1203,$A26)</f>
        <v/>
      </c>
    </row>
    <row r="27">
      <c r="A27" s="5" t="inlineStr">
        <is>
          <t>Vapor</t>
        </is>
      </c>
      <c r="B27" s="5">
        <f>COUNTIFS('ORDENES'!$N$4:$N$1203,"Pendiente",'ORDENES'!$AC$4:$AC$1203,"&gt;=0",'ORDENES'!$AC$4:$AC$1203,"&lt;=30",'ORDENES'!$Y$4:$Y$1203,$A27)</f>
        <v/>
      </c>
      <c r="C27" s="5">
        <f>COUNTIFS('ORDENES'!$N$4:$N$1203,"Pendiente",'ORDENES'!$AC$4:$AC$1203,"&gt;=31",'ORDENES'!$AC$4:$AC$1203,"&lt;=60",'ORDENES'!$Y$4:$Y$1203,$A27)</f>
        <v/>
      </c>
      <c r="D27" s="5">
        <f>COUNTIFS('ORDENES'!$N$4:$N$1203,"Pendiente",'ORDENES'!$AC$4:$AC$1203,"&gt;=61",'ORDENES'!$AC$4:$AC$1203,"&lt;=90",'ORDENES'!$Y$4:$Y$1203,$A27)</f>
        <v/>
      </c>
      <c r="E27" s="5">
        <f>COUNTIFS('ORDENES'!$N$4:$N$1203,"Pendiente",'ORDENES'!$AC$4:$AC$1203,"&gt;90",'ORDENES'!$Y$4:$Y$1203,$A27)</f>
        <v/>
      </c>
    </row>
    <row r="28">
      <c r="A28" s="5" t="inlineStr">
        <is>
          <t>Refrigeración</t>
        </is>
      </c>
      <c r="B28" s="5">
        <f>COUNTIFS('ORDENES'!$N$4:$N$1203,"Pendiente",'ORDENES'!$AC$4:$AC$1203,"&gt;=0",'ORDENES'!$AC$4:$AC$1203,"&lt;=30",'ORDENES'!$Y$4:$Y$1203,$A28)</f>
        <v/>
      </c>
      <c r="C28" s="5">
        <f>COUNTIFS('ORDENES'!$N$4:$N$1203,"Pendiente",'ORDENES'!$AC$4:$AC$1203,"&gt;=31",'ORDENES'!$AC$4:$AC$1203,"&lt;=60",'ORDENES'!$Y$4:$Y$1203,$A28)</f>
        <v/>
      </c>
      <c r="D28" s="5">
        <f>COUNTIFS('ORDENES'!$N$4:$N$1203,"Pendiente",'ORDENES'!$AC$4:$AC$1203,"&gt;=61",'ORDENES'!$AC$4:$AC$1203,"&lt;=90",'ORDENES'!$Y$4:$Y$1203,$A28)</f>
        <v/>
      </c>
      <c r="E28" s="5">
        <f>COUNTIFS('ORDENES'!$N$4:$N$1203,"Pendiente",'ORDENES'!$AC$4:$AC$1203,"&gt;90",'ORDENES'!$Y$4:$Y$1203,$A28)</f>
        <v/>
      </c>
    </row>
    <row r="29">
      <c r="A29" s="5" t="inlineStr">
        <is>
          <t>CO2</t>
        </is>
      </c>
      <c r="B29" s="5">
        <f>COUNTIFS('ORDENES'!$N$4:$N$1203,"Pendiente",'ORDENES'!$AC$4:$AC$1203,"&gt;=0",'ORDENES'!$AC$4:$AC$1203,"&lt;=30",'ORDENES'!$Y$4:$Y$1203,$A29)</f>
        <v/>
      </c>
      <c r="C29" s="5">
        <f>COUNTIFS('ORDENES'!$N$4:$N$1203,"Pendiente",'ORDENES'!$AC$4:$AC$1203,"&gt;=31",'ORDENES'!$AC$4:$AC$1203,"&lt;=60",'ORDENES'!$Y$4:$Y$1203,$A29)</f>
        <v/>
      </c>
      <c r="D29" s="5">
        <f>COUNTIFS('ORDENES'!$N$4:$N$1203,"Pendiente",'ORDENES'!$AC$4:$AC$1203,"&gt;=61",'ORDENES'!$AC$4:$AC$1203,"&lt;=90",'ORDENES'!$Y$4:$Y$1203,$A29)</f>
        <v/>
      </c>
      <c r="E29" s="5">
        <f>COUNTIFS('ORDENES'!$N$4:$N$1203,"Pendiente",'ORDENES'!$AC$4:$AC$1203,"&gt;90",'ORDENES'!$Y$4:$Y$1203,$A29)</f>
        <v/>
      </c>
    </row>
    <row r="30">
      <c r="A30" s="5" t="inlineStr">
        <is>
          <t>Aire comprimido</t>
        </is>
      </c>
      <c r="B30" s="5">
        <f>COUNTIFS('ORDENES'!$N$4:$N$1203,"Pendiente",'ORDENES'!$AC$4:$AC$1203,"&gt;=0",'ORDENES'!$AC$4:$AC$1203,"&lt;=30",'ORDENES'!$Y$4:$Y$1203,$A30)</f>
        <v/>
      </c>
      <c r="C30" s="5">
        <f>COUNTIFS('ORDENES'!$N$4:$N$1203,"Pendiente",'ORDENES'!$AC$4:$AC$1203,"&gt;=31",'ORDENES'!$AC$4:$AC$1203,"&lt;=60",'ORDENES'!$Y$4:$Y$1203,$A30)</f>
        <v/>
      </c>
      <c r="D30" s="5">
        <f>COUNTIFS('ORDENES'!$N$4:$N$1203,"Pendiente",'ORDENES'!$AC$4:$AC$1203,"&gt;=61",'ORDENES'!$AC$4:$AC$1203,"&lt;=90",'ORDENES'!$Y$4:$Y$1203,$A30)</f>
        <v/>
      </c>
      <c r="E30" s="5">
        <f>COUNTIFS('ORDENES'!$N$4:$N$1203,"Pendiente",'ORDENES'!$AC$4:$AC$1203,"&gt;90",'ORDENES'!$Y$4:$Y$1203,$A30)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5" t="inlineStr">
        <is>
          <t>mes</t>
        </is>
      </c>
      <c r="B33" s="15" t="inlineStr">
        <is>
          <t>corte</t>
        </is>
      </c>
      <c r="C33" s="15" t="inlineStr">
        <is>
          <t>ordenes_pendientes</t>
        </is>
      </c>
      <c r="D33" s="15" t="inlineStr">
        <is>
          <t>hh_pendientes</t>
        </is>
      </c>
      <c r="E33" s="15" t="inlineStr">
        <is>
          <t>capacidad_productiva_semanal</t>
        </is>
      </c>
      <c r="F33" s="15" t="inlineStr">
        <is>
          <t>semanas_de_backlog</t>
        </is>
      </c>
    </row>
    <row r="34">
      <c r="A34" s="5" t="inlineStr">
        <is>
          <t>2026-02</t>
        </is>
      </c>
      <c r="B34" s="22">
        <f>IF($A34="","",IF($A34=YEAR(p_fecha_datos)&amp;"-"&amp;TEXT(MONTH(p_fecha_datos),"00"),p_fecha_datos-1,DATE(VALUE(LEFT($A34,4)),VALUE(RIGHT($A34,2))+1,0)))</f>
        <v/>
      </c>
      <c r="C34" s="5">
        <f>COUNTIFS('ORDENES'!$N$4:$N$1203,"Pendiente",'ORDENES'!$J$4:$J$1203,"&lt;="&amp;$B34)</f>
        <v/>
      </c>
      <c r="D34" s="17">
        <f>SUMIFS('ORDENES'!$M$4:$M$1203,'ORDENES'!$N$4:$N$1203,"Pendiente",'ORDENES'!$J$4:$J$1203,"&lt;="&amp;$B34)</f>
        <v/>
      </c>
      <c r="E34" s="17">
        <f>p_base_semanal_horas*p_factor_productividad*COUNTIFS('TECNICOS'!$H$4:$H$19,"sí")</f>
        <v/>
      </c>
      <c r="F34" s="17">
        <f>IF($E34=0,"",$D34/$E34)</f>
        <v/>
      </c>
    </row>
    <row r="35">
      <c r="A35" s="5" t="inlineStr">
        <is>
          <t>2026-03</t>
        </is>
      </c>
      <c r="B35" s="22">
        <f>IF($A35="","",IF($A35=YEAR(p_fecha_datos)&amp;"-"&amp;TEXT(MONTH(p_fecha_datos),"00"),p_fecha_datos-1,DATE(VALUE(LEFT($A35,4)),VALUE(RIGHT($A35,2))+1,0)))</f>
        <v/>
      </c>
      <c r="C35" s="5">
        <f>COUNTIFS('ORDENES'!$N$4:$N$1203,"Pendiente",'ORDENES'!$J$4:$J$1203,"&lt;="&amp;$B35)</f>
        <v/>
      </c>
      <c r="D35" s="17">
        <f>SUMIFS('ORDENES'!$M$4:$M$1203,'ORDENES'!$N$4:$N$1203,"Pendiente",'ORDENES'!$J$4:$J$1203,"&lt;="&amp;$B35)</f>
        <v/>
      </c>
      <c r="E35" s="17">
        <f>p_base_semanal_horas*p_factor_productividad*COUNTIFS('TECNICOS'!$H$4:$H$19,"sí")</f>
        <v/>
      </c>
      <c r="F35" s="17">
        <f>IF($E35=0,"",$D35/$E35)</f>
        <v/>
      </c>
    </row>
    <row r="36">
      <c r="A36" s="5" t="inlineStr">
        <is>
          <t>2026-04</t>
        </is>
      </c>
      <c r="B36" s="22">
        <f>IF($A36="","",IF($A36=YEAR(p_fecha_datos)&amp;"-"&amp;TEXT(MONTH(p_fecha_datos),"00"),p_fecha_datos-1,DATE(VALUE(LEFT($A36,4)),VALUE(RIGHT($A36,2))+1,0)))</f>
        <v/>
      </c>
      <c r="C36" s="5">
        <f>COUNTIFS('ORDENES'!$N$4:$N$1203,"Pendiente",'ORDENES'!$J$4:$J$1203,"&lt;="&amp;$B36)</f>
        <v/>
      </c>
      <c r="D36" s="17">
        <f>SUMIFS('ORDENES'!$M$4:$M$1203,'ORDENES'!$N$4:$N$1203,"Pendiente",'ORDENES'!$J$4:$J$1203,"&lt;="&amp;$B36)</f>
        <v/>
      </c>
      <c r="E36" s="17">
        <f>p_base_semanal_horas*p_factor_productividad*COUNTIFS('TECNICOS'!$H$4:$H$19,"sí")</f>
        <v/>
      </c>
      <c r="F36" s="17">
        <f>IF($E36=0,"",$D36/$E36)</f>
        <v/>
      </c>
    </row>
    <row r="37">
      <c r="A37" s="5" t="inlineStr">
        <is>
          <t>2026-05</t>
        </is>
      </c>
      <c r="B37" s="22">
        <f>IF($A37="","",IF($A37=YEAR(p_fecha_datos)&amp;"-"&amp;TEXT(MONTH(p_fecha_datos),"00"),p_fecha_datos-1,DATE(VALUE(LEFT($A37,4)),VALUE(RIGHT($A37,2))+1,0)))</f>
        <v/>
      </c>
      <c r="C37" s="5">
        <f>COUNTIFS('ORDENES'!$N$4:$N$1203,"Pendiente",'ORDENES'!$J$4:$J$1203,"&lt;="&amp;$B37)</f>
        <v/>
      </c>
      <c r="D37" s="17">
        <f>SUMIFS('ORDENES'!$M$4:$M$1203,'ORDENES'!$N$4:$N$1203,"Pendiente",'ORDENES'!$J$4:$J$1203,"&lt;="&amp;$B37)</f>
        <v/>
      </c>
      <c r="E37" s="17">
        <f>p_base_semanal_horas*p_factor_productividad*COUNTIFS('TECNICOS'!$H$4:$H$19,"sí")</f>
        <v/>
      </c>
      <c r="F37" s="17">
        <f>IF($E37=0,"",$D37/$E37)</f>
        <v/>
      </c>
    </row>
    <row r="38">
      <c r="A38" s="5" t="inlineStr">
        <is>
          <t>2026-06</t>
        </is>
      </c>
      <c r="B38" s="22">
        <f>IF($A38="","",IF($A38=YEAR(p_fecha_datos)&amp;"-"&amp;TEXT(MONTH(p_fecha_datos),"00"),p_fecha_datos-1,DATE(VALUE(LEFT($A38,4)),VALUE(RIGHT($A38,2))+1,0)))</f>
        <v/>
      </c>
      <c r="C38" s="5">
        <f>COUNTIFS('ORDENES'!$N$4:$N$1203,"Pendiente",'ORDENES'!$J$4:$J$1203,"&lt;="&amp;$B38)</f>
        <v/>
      </c>
      <c r="D38" s="17">
        <f>SUMIFS('ORDENES'!$M$4:$M$1203,'ORDENES'!$N$4:$N$1203,"Pendiente",'ORDENES'!$J$4:$J$1203,"&lt;="&amp;$B38)</f>
        <v/>
      </c>
      <c r="E38" s="17">
        <f>p_base_semanal_horas*p_factor_productividad*COUNTIFS('TECNICOS'!$H$4:$H$19,"sí")</f>
        <v/>
      </c>
      <c r="F38" s="17">
        <f>IF($E38=0,"",$D38/$E38)</f>
        <v/>
      </c>
    </row>
    <row r="39">
      <c r="A39" s="5" t="inlineStr">
        <is>
          <t>2026-07</t>
        </is>
      </c>
      <c r="B39" s="22">
        <f>IF($A39="","",IF($A39=YEAR(p_fecha_datos)&amp;"-"&amp;TEXT(MONTH(p_fecha_datos),"00"),p_fecha_datos-1,DATE(VALUE(LEFT($A39,4)),VALUE(RIGHT($A39,2))+1,0)))</f>
        <v/>
      </c>
      <c r="C39" s="5">
        <f>COUNTIFS('ORDENES'!$N$4:$N$1203,"Pendiente",'ORDENES'!$J$4:$J$1203,"&lt;="&amp;$B39)</f>
        <v/>
      </c>
      <c r="D39" s="17">
        <f>SUMIFS('ORDENES'!$M$4:$M$1203,'ORDENES'!$N$4:$N$1203,"Pendiente",'ORDENES'!$J$4:$J$1203,"&lt;="&amp;$B39)</f>
        <v/>
      </c>
      <c r="E39" s="17">
        <f>p_base_semanal_horas*p_factor_productividad*COUNTIFS('TECNICOS'!$H$4:$H$19,"sí")</f>
        <v/>
      </c>
      <c r="F39" s="17">
        <f>IF($E39=0,"",$D39/$E39)</f>
        <v/>
      </c>
    </row>
    <row r="40">
      <c r="A40" s="5" t="inlineStr">
        <is>
          <t>2026-08</t>
        </is>
      </c>
      <c r="B40" s="22">
        <f>IF($A40="","",IF($A40=YEAR(p_fecha_datos)&amp;"-"&amp;TEXT(MONTH(p_fecha_datos),"00"),p_fecha_datos-1,DATE(VALUE(LEFT($A40,4)),VALUE(RIGHT($A40,2))+1,0)))</f>
        <v/>
      </c>
      <c r="C40" s="5">
        <f>COUNTIFS('ORDENES'!$N$4:$N$1203,"Pendiente",'ORDENES'!$J$4:$J$1203,"&lt;="&amp;$B40)</f>
        <v/>
      </c>
      <c r="D40" s="17">
        <f>SUMIFS('ORDENES'!$M$4:$M$1203,'ORDENES'!$N$4:$N$1203,"Pendiente",'ORDENES'!$J$4:$J$1203,"&lt;="&amp;$B40)</f>
        <v/>
      </c>
      <c r="E40" s="17">
        <f>p_base_semanal_horas*p_factor_productividad*COUNTIFS('TECNICOS'!$H$4:$H$19,"sí")</f>
        <v/>
      </c>
      <c r="F40" s="17">
        <f>IF($E40=0,"",$D40/$E40)</f>
        <v/>
      </c>
    </row>
    <row r="41">
      <c r="A41" s="5" t="inlineStr">
        <is>
          <t>2026-09</t>
        </is>
      </c>
      <c r="B41" s="22">
        <f>IF($A41="","",IF($A41=YEAR(p_fecha_datos)&amp;"-"&amp;TEXT(MONTH(p_fecha_datos),"00"),p_fecha_datos-1,DATE(VALUE(LEFT($A41,4)),VALUE(RIGHT($A41,2))+1,0)))</f>
        <v/>
      </c>
      <c r="C41" s="5">
        <f>COUNTIFS('ORDENES'!$N$4:$N$1203,"Pendiente",'ORDENES'!$J$4:$J$1203,"&lt;="&amp;$B41)</f>
        <v/>
      </c>
      <c r="D41" s="17">
        <f>SUMIFS('ORDENES'!$M$4:$M$1203,'ORDENES'!$N$4:$N$1203,"Pendiente",'ORDENES'!$J$4:$J$1203,"&lt;="&amp;$B41)</f>
        <v/>
      </c>
      <c r="E41" s="17">
        <f>p_base_semanal_horas*p_factor_productividad*COUNTIFS('TECNICOS'!$H$4:$H$19,"sí")</f>
        <v/>
      </c>
      <c r="F41" s="17">
        <f>IF($E41=0,"",$D41/$E41)</f>
        <v/>
      </c>
    </row>
    <row r="42">
      <c r="A42" s="5" t="inlineStr">
        <is>
          <t>2026-11</t>
        </is>
      </c>
      <c r="B42" s="22">
        <f>IF($A42="","",IF($A42=YEAR(p_fecha_datos)&amp;"-"&amp;TEXT(MONTH(p_fecha_datos),"00"),p_fecha_datos-1,DATE(VALUE(LEFT($A42,4)),VALUE(RIGHT($A42,2))+1,0)))</f>
        <v/>
      </c>
      <c r="C42" s="5">
        <f>COUNTIFS('ORDENES'!$N$4:$N$1203,"Pendiente",'ORDENES'!$J$4:$J$1203,"&lt;="&amp;$B42)</f>
        <v/>
      </c>
      <c r="D42" s="17">
        <f>SUMIFS('ORDENES'!$M$4:$M$1203,'ORDENES'!$N$4:$N$1203,"Pendiente",'ORDENES'!$J$4:$J$1203,"&lt;="&amp;$B42)</f>
        <v/>
      </c>
      <c r="E42" s="17">
        <f>p_base_semanal_horas*p_factor_productividad*COUNTIFS('TECNICOS'!$H$4:$H$19,"sí")</f>
        <v/>
      </c>
      <c r="F42" s="17">
        <f>IF($E42=0,"",$D42/$E42)</f>
        <v/>
      </c>
    </row>
    <row r="43">
      <c r="A43" s="5" t="inlineStr">
        <is>
          <t>2026-12</t>
        </is>
      </c>
      <c r="B43" s="22">
        <f>IF($A43="","",IF($A43=YEAR(p_fecha_datos)&amp;"-"&amp;TEXT(MONTH(p_fecha_datos),"00"),p_fecha_datos-1,DATE(VALUE(LEFT($A43,4)),VALUE(RIGHT($A43,2))+1,0)))</f>
        <v/>
      </c>
      <c r="C43" s="5">
        <f>COUNTIFS('ORDENES'!$N$4:$N$1203,"Pendiente",'ORDENES'!$J$4:$J$1203,"&lt;="&amp;$B43)</f>
        <v/>
      </c>
      <c r="D43" s="17">
        <f>SUMIFS('ORDENES'!$M$4:$M$1203,'ORDENES'!$N$4:$N$1203,"Pendiente",'ORDENES'!$J$4:$J$1203,"&lt;="&amp;$B43)</f>
        <v/>
      </c>
      <c r="E43" s="17">
        <f>p_base_semanal_horas*p_factor_productividad*COUNTIFS('TECNICOS'!$H$4:$H$19,"sí")</f>
        <v/>
      </c>
      <c r="F43" s="17">
        <f>IF($E43=0,"",$D43/$E43)</f>
        <v/>
      </c>
    </row>
    <row r="44">
      <c r="A44" s="5" t="inlineStr">
        <is>
          <t>2027-01</t>
        </is>
      </c>
      <c r="B44" s="22">
        <f>IF($A44="","",IF($A44=YEAR(p_fecha_datos)&amp;"-"&amp;TEXT(MONTH(p_fecha_datos),"00"),p_fecha_datos-1,DATE(VALUE(LEFT($A44,4)),VALUE(RIGHT($A44,2))+1,0)))</f>
        <v/>
      </c>
      <c r="C44" s="5">
        <f>COUNTIFS('ORDENES'!$N$4:$N$1203,"Pendiente",'ORDENES'!$J$4:$J$1203,"&lt;="&amp;$B44)</f>
        <v/>
      </c>
      <c r="D44" s="17">
        <f>SUMIFS('ORDENES'!$M$4:$M$1203,'ORDENES'!$N$4:$N$1203,"Pendiente",'ORDENES'!$J$4:$J$1203,"&lt;="&amp;$B44)</f>
        <v/>
      </c>
      <c r="E44" s="17">
        <f>p_base_semanal_horas*p_factor_productividad*COUNTIFS('TECNICOS'!$H$4:$H$19,"sí")</f>
        <v/>
      </c>
      <c r="F44" s="17">
        <f>IF($E44=0,"",$D44/$E44)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15" t="n">
        <v>2</v>
      </c>
      <c r="C5" s="15" t="n">
        <v>3</v>
      </c>
      <c r="D5" s="15" t="n">
        <v>4</v>
      </c>
      <c r="E5" s="15" t="n">
        <v>5</v>
      </c>
      <c r="F5" s="15" t="n">
        <v>6</v>
      </c>
      <c r="G5" s="15" t="n">
        <v>7</v>
      </c>
      <c r="H5" s="15" t="n">
        <v>8</v>
      </c>
      <c r="I5" s="15" t="n">
        <v>9</v>
      </c>
      <c r="J5" s="15" t="n">
        <v>11</v>
      </c>
      <c r="K5" s="15" t="n">
        <v>12</v>
      </c>
      <c r="L5" s="15" t="n">
        <v>1</v>
      </c>
      <c r="M5" s="15" t="inlineStr">
        <is>
          <t>TOTAL</t>
        </is>
      </c>
    </row>
    <row r="6">
      <c r="A6" s="5" t="inlineStr">
        <is>
          <t>PRODUCCION</t>
        </is>
      </c>
      <c r="B6" s="18">
        <f>SUMIFS('ORDENES'!$L$4:$L$1203,'ORDENES'!$X$4:$X$1203,$A6,'ORDENES'!$P$4:$P$1203,B$4,'ORDENES'!$Q$4:$Q$1203,B$5)</f>
        <v/>
      </c>
      <c r="C6" s="18">
        <f>SUMIFS('ORDENES'!$L$4:$L$1203,'ORDENES'!$X$4:$X$1203,$A6,'ORDENES'!$P$4:$P$1203,C$4,'ORDENES'!$Q$4:$Q$1203,C$5)</f>
        <v/>
      </c>
      <c r="D6" s="18">
        <f>SUMIFS('ORDENES'!$L$4:$L$1203,'ORDENES'!$X$4:$X$1203,$A6,'ORDENES'!$P$4:$P$1203,D$4,'ORDENES'!$Q$4:$Q$1203,D$5)</f>
        <v/>
      </c>
      <c r="E6" s="18">
        <f>SUMIFS('ORDENES'!$L$4:$L$1203,'ORDENES'!$X$4:$X$1203,$A6,'ORDENES'!$P$4:$P$1203,E$4,'ORDENES'!$Q$4:$Q$1203,E$5)</f>
        <v/>
      </c>
      <c r="F6" s="18">
        <f>SUMIFS('ORDENES'!$L$4:$L$1203,'ORDENES'!$X$4:$X$1203,$A6,'ORDENES'!$P$4:$P$1203,F$4,'ORDENES'!$Q$4:$Q$1203,F$5)</f>
        <v/>
      </c>
      <c r="G6" s="18">
        <f>SUMIFS('ORDENES'!$L$4:$L$1203,'ORDENES'!$X$4:$X$1203,$A6,'ORDENES'!$P$4:$P$1203,G$4,'ORDENES'!$Q$4:$Q$1203,G$5)</f>
        <v/>
      </c>
      <c r="H6" s="18">
        <f>SUMIFS('ORDENES'!$L$4:$L$1203,'ORDENES'!$X$4:$X$1203,$A6,'ORDENES'!$P$4:$P$1203,H$4,'ORDENES'!$Q$4:$Q$1203,H$5)</f>
        <v/>
      </c>
      <c r="I6" s="18">
        <f>SUMIFS('ORDENES'!$L$4:$L$1203,'ORDENES'!$X$4:$X$1203,$A6,'ORDENES'!$P$4:$P$1203,I$4,'ORDENES'!$Q$4:$Q$1203,I$5)</f>
        <v/>
      </c>
      <c r="J6" s="18">
        <f>SUMIFS('ORDENES'!$L$4:$L$1203,'ORDENES'!$X$4:$X$1203,$A6,'ORDENES'!$P$4:$P$1203,J$4,'ORDENES'!$Q$4:$Q$1203,J$5)</f>
        <v/>
      </c>
      <c r="K6" s="18">
        <f>SUMIFS('ORDENES'!$L$4:$L$1203,'ORDENES'!$X$4:$X$1203,$A6,'ORDENES'!$P$4:$P$1203,K$4,'ORDENES'!$Q$4:$Q$1203,K$5)</f>
        <v/>
      </c>
      <c r="L6" s="18">
        <f>SUMIFS('ORDENES'!$L$4:$L$1203,'ORDENES'!$X$4:$X$1203,$A6,'ORDENES'!$P$4:$P$1203,L$4,'ORDENES'!$Q$4:$Q$1203,L$5)</f>
        <v/>
      </c>
      <c r="M6" s="18">
        <f>SUM(B6:L6)</f>
        <v/>
      </c>
    </row>
    <row r="7">
      <c r="A7" s="5" t="inlineStr">
        <is>
          <t>EMPAQUE</t>
        </is>
      </c>
      <c r="B7" s="18">
        <f>SUMIFS('ORDENES'!$L$4:$L$1203,'ORDENES'!$X$4:$X$1203,$A7,'ORDENES'!$P$4:$P$1203,B$4,'ORDENES'!$Q$4:$Q$1203,B$5)</f>
        <v/>
      </c>
      <c r="C7" s="18">
        <f>SUMIFS('ORDENES'!$L$4:$L$1203,'ORDENES'!$X$4:$X$1203,$A7,'ORDENES'!$P$4:$P$1203,C$4,'ORDENES'!$Q$4:$Q$1203,C$5)</f>
        <v/>
      </c>
      <c r="D7" s="18">
        <f>SUMIFS('ORDENES'!$L$4:$L$1203,'ORDENES'!$X$4:$X$1203,$A7,'ORDENES'!$P$4:$P$1203,D$4,'ORDENES'!$Q$4:$Q$1203,D$5)</f>
        <v/>
      </c>
      <c r="E7" s="18">
        <f>SUMIFS('ORDENES'!$L$4:$L$1203,'ORDENES'!$X$4:$X$1203,$A7,'ORDENES'!$P$4:$P$1203,E$4,'ORDENES'!$Q$4:$Q$1203,E$5)</f>
        <v/>
      </c>
      <c r="F7" s="18">
        <f>SUMIFS('ORDENES'!$L$4:$L$1203,'ORDENES'!$X$4:$X$1203,$A7,'ORDENES'!$P$4:$P$1203,F$4,'ORDENES'!$Q$4:$Q$1203,F$5)</f>
        <v/>
      </c>
      <c r="G7" s="18">
        <f>SUMIFS('ORDENES'!$L$4:$L$1203,'ORDENES'!$X$4:$X$1203,$A7,'ORDENES'!$P$4:$P$1203,G$4,'ORDENES'!$Q$4:$Q$1203,G$5)</f>
        <v/>
      </c>
      <c r="H7" s="18">
        <f>SUMIFS('ORDENES'!$L$4:$L$1203,'ORDENES'!$X$4:$X$1203,$A7,'ORDENES'!$P$4:$P$1203,H$4,'ORDENES'!$Q$4:$Q$1203,H$5)</f>
        <v/>
      </c>
      <c r="I7" s="18">
        <f>SUMIFS('ORDENES'!$L$4:$L$1203,'ORDENES'!$X$4:$X$1203,$A7,'ORDENES'!$P$4:$P$1203,I$4,'ORDENES'!$Q$4:$Q$1203,I$5)</f>
        <v/>
      </c>
      <c r="J7" s="18">
        <f>SUMIFS('ORDENES'!$L$4:$L$1203,'ORDENES'!$X$4:$X$1203,$A7,'ORDENES'!$P$4:$P$1203,J$4,'ORDENES'!$Q$4:$Q$1203,J$5)</f>
        <v/>
      </c>
      <c r="K7" s="18">
        <f>SUMIFS('ORDENES'!$L$4:$L$1203,'ORDENES'!$X$4:$X$1203,$A7,'ORDENES'!$P$4:$P$1203,K$4,'ORDENES'!$Q$4:$Q$1203,K$5)</f>
        <v/>
      </c>
      <c r="L7" s="18">
        <f>SUMIFS('ORDENES'!$L$4:$L$1203,'ORDENES'!$X$4:$X$1203,$A7,'ORDENES'!$P$4:$P$1203,L$4,'ORDENES'!$Q$4:$Q$1203,L$5)</f>
        <v/>
      </c>
      <c r="M7" s="18">
        <f>SUM(B7:L7)</f>
        <v/>
      </c>
    </row>
    <row r="8">
      <c r="A8" s="5" t="inlineStr">
        <is>
          <t>SERVICIOS</t>
        </is>
      </c>
      <c r="B8" s="18">
        <f>SUMIFS('ORDENES'!$L$4:$L$1203,'ORDENES'!$X$4:$X$1203,$A8,'ORDENES'!$P$4:$P$1203,B$4,'ORDENES'!$Q$4:$Q$1203,B$5)</f>
        <v/>
      </c>
      <c r="C8" s="18">
        <f>SUMIFS('ORDENES'!$L$4:$L$1203,'ORDENES'!$X$4:$X$1203,$A8,'ORDENES'!$P$4:$P$1203,C$4,'ORDENES'!$Q$4:$Q$1203,C$5)</f>
        <v/>
      </c>
      <c r="D8" s="18">
        <f>SUMIFS('ORDENES'!$L$4:$L$1203,'ORDENES'!$X$4:$X$1203,$A8,'ORDENES'!$P$4:$P$1203,D$4,'ORDENES'!$Q$4:$Q$1203,D$5)</f>
        <v/>
      </c>
      <c r="E8" s="18">
        <f>SUMIFS('ORDENES'!$L$4:$L$1203,'ORDENES'!$X$4:$X$1203,$A8,'ORDENES'!$P$4:$P$1203,E$4,'ORDENES'!$Q$4:$Q$1203,E$5)</f>
        <v/>
      </c>
      <c r="F8" s="18">
        <f>SUMIFS('ORDENES'!$L$4:$L$1203,'ORDENES'!$X$4:$X$1203,$A8,'ORDENES'!$P$4:$P$1203,F$4,'ORDENES'!$Q$4:$Q$1203,F$5)</f>
        <v/>
      </c>
      <c r="G8" s="18">
        <f>SUMIFS('ORDENES'!$L$4:$L$1203,'ORDENES'!$X$4:$X$1203,$A8,'ORDENES'!$P$4:$P$1203,G$4,'ORDENES'!$Q$4:$Q$1203,G$5)</f>
        <v/>
      </c>
      <c r="H8" s="18">
        <f>SUMIFS('ORDENES'!$L$4:$L$1203,'ORDENES'!$X$4:$X$1203,$A8,'ORDENES'!$P$4:$P$1203,H$4,'ORDENES'!$Q$4:$Q$1203,H$5)</f>
        <v/>
      </c>
      <c r="I8" s="18">
        <f>SUMIFS('ORDENES'!$L$4:$L$1203,'ORDENES'!$X$4:$X$1203,$A8,'ORDENES'!$P$4:$P$1203,I$4,'ORDENES'!$Q$4:$Q$1203,I$5)</f>
        <v/>
      </c>
      <c r="J8" s="18">
        <f>SUMIFS('ORDENES'!$L$4:$L$1203,'ORDENES'!$X$4:$X$1203,$A8,'ORDENES'!$P$4:$P$1203,J$4,'ORDENES'!$Q$4:$Q$1203,J$5)</f>
        <v/>
      </c>
      <c r="K8" s="18">
        <f>SUMIFS('ORDENES'!$L$4:$L$1203,'ORDENES'!$X$4:$X$1203,$A8,'ORDENES'!$P$4:$P$1203,K$4,'ORDENES'!$Q$4:$Q$1203,K$5)</f>
        <v/>
      </c>
      <c r="L8" s="18">
        <f>SUMIFS('ORDENES'!$L$4:$L$1203,'ORDENES'!$X$4:$X$1203,$A8,'ORDENES'!$P$4:$P$1203,L$4,'ORDENES'!$Q$4:$Q$1203,L$5)</f>
        <v/>
      </c>
      <c r="M8" s="18">
        <f>SUM(B8:L8)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  <c r="K9" s="18">
        <f>SUM(K6:K8)</f>
        <v/>
      </c>
      <c r="L9" s="18">
        <f>SUM(L6:L8)</f>
        <v/>
      </c>
      <c r="M9" s="18">
        <f>SUM(M6:M8)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5" t="n">
        <v>2</v>
      </c>
      <c r="C13" s="15" t="n">
        <v>3</v>
      </c>
      <c r="D13" s="15" t="n">
        <v>4</v>
      </c>
      <c r="E13" s="15" t="n">
        <v>5</v>
      </c>
      <c r="F13" s="15" t="n">
        <v>6</v>
      </c>
      <c r="G13" s="15" t="n">
        <v>7</v>
      </c>
      <c r="H13" s="15" t="n">
        <v>8</v>
      </c>
      <c r="I13" s="15" t="n">
        <v>9</v>
      </c>
      <c r="J13" s="15" t="n">
        <v>11</v>
      </c>
      <c r="K13" s="15" t="n">
        <v>12</v>
      </c>
      <c r="L13" s="15" t="n">
        <v>1</v>
      </c>
      <c r="M13" s="15" t="inlineStr">
        <is>
          <t>TOTAL</t>
        </is>
      </c>
    </row>
    <row r="14">
      <c r="A14" s="5" t="inlineStr">
        <is>
          <t>PRODUCCION</t>
        </is>
      </c>
      <c r="B14" s="18">
        <f>SUMIFS('ORDENES'!$AM$4:$AM$1203,'ORDENES'!$X$4:$X$1203,$A14,'ORDENES'!$P$4:$P$1203,B$12,'ORDENES'!$Q$4:$Q$1203,B$13)</f>
        <v/>
      </c>
      <c r="C14" s="18">
        <f>SUMIFS('ORDENES'!$AM$4:$AM$1203,'ORDENES'!$X$4:$X$1203,$A14,'ORDENES'!$P$4:$P$1203,C$12,'ORDENES'!$Q$4:$Q$1203,C$13)</f>
        <v/>
      </c>
      <c r="D14" s="18">
        <f>SUMIFS('ORDENES'!$AM$4:$AM$1203,'ORDENES'!$X$4:$X$1203,$A14,'ORDENES'!$P$4:$P$1203,D$12,'ORDENES'!$Q$4:$Q$1203,D$13)</f>
        <v/>
      </c>
      <c r="E14" s="18">
        <f>SUMIFS('ORDENES'!$AM$4:$AM$1203,'ORDENES'!$X$4:$X$1203,$A14,'ORDENES'!$P$4:$P$1203,E$12,'ORDENES'!$Q$4:$Q$1203,E$13)</f>
        <v/>
      </c>
      <c r="F14" s="18">
        <f>SUMIFS('ORDENES'!$AM$4:$AM$1203,'ORDENES'!$X$4:$X$1203,$A14,'ORDENES'!$P$4:$P$1203,F$12,'ORDENES'!$Q$4:$Q$1203,F$13)</f>
        <v/>
      </c>
      <c r="G14" s="18">
        <f>SUMIFS('ORDENES'!$AM$4:$AM$1203,'ORDENES'!$X$4:$X$1203,$A14,'ORDENES'!$P$4:$P$1203,G$12,'ORDENES'!$Q$4:$Q$1203,G$13)</f>
        <v/>
      </c>
      <c r="H14" s="18">
        <f>SUMIFS('ORDENES'!$AM$4:$AM$1203,'ORDENES'!$X$4:$X$1203,$A14,'ORDENES'!$P$4:$P$1203,H$12,'ORDENES'!$Q$4:$Q$1203,H$13)</f>
        <v/>
      </c>
      <c r="I14" s="18">
        <f>SUMIFS('ORDENES'!$AM$4:$AM$1203,'ORDENES'!$X$4:$X$1203,$A14,'ORDENES'!$P$4:$P$1203,I$12,'ORDENES'!$Q$4:$Q$1203,I$13)</f>
        <v/>
      </c>
      <c r="J14" s="18">
        <f>SUMIFS('ORDENES'!$AM$4:$AM$1203,'ORDENES'!$X$4:$X$1203,$A14,'ORDENES'!$P$4:$P$1203,J$12,'ORDENES'!$Q$4:$Q$1203,J$13)</f>
        <v/>
      </c>
      <c r="K14" s="18">
        <f>SUMIFS('ORDENES'!$AM$4:$AM$1203,'ORDENES'!$X$4:$X$1203,$A14,'ORDENES'!$P$4:$P$1203,K$12,'ORDENES'!$Q$4:$Q$1203,K$13)</f>
        <v/>
      </c>
      <c r="L14" s="18">
        <f>SUMIFS('ORDENES'!$AM$4:$AM$1203,'ORDENES'!$X$4:$X$1203,$A14,'ORDENES'!$P$4:$P$1203,L$12,'ORDENES'!$Q$4:$Q$1203,L$13)</f>
        <v/>
      </c>
      <c r="M14" s="18">
        <f>SUM(B14:L14)</f>
        <v/>
      </c>
    </row>
    <row r="15">
      <c r="A15" s="5" t="inlineStr">
        <is>
          <t>EMPAQUE</t>
        </is>
      </c>
      <c r="B15" s="18">
        <f>SUMIFS('ORDENES'!$AM$4:$AM$1203,'ORDENES'!$X$4:$X$1203,$A15,'ORDENES'!$P$4:$P$1203,B$12,'ORDENES'!$Q$4:$Q$1203,B$13)</f>
        <v/>
      </c>
      <c r="C15" s="18">
        <f>SUMIFS('ORDENES'!$AM$4:$AM$1203,'ORDENES'!$X$4:$X$1203,$A15,'ORDENES'!$P$4:$P$1203,C$12,'ORDENES'!$Q$4:$Q$1203,C$13)</f>
        <v/>
      </c>
      <c r="D15" s="18">
        <f>SUMIFS('ORDENES'!$AM$4:$AM$1203,'ORDENES'!$X$4:$X$1203,$A15,'ORDENES'!$P$4:$P$1203,D$12,'ORDENES'!$Q$4:$Q$1203,D$13)</f>
        <v/>
      </c>
      <c r="E15" s="18">
        <f>SUMIFS('ORDENES'!$AM$4:$AM$1203,'ORDENES'!$X$4:$X$1203,$A15,'ORDENES'!$P$4:$P$1203,E$12,'ORDENES'!$Q$4:$Q$1203,E$13)</f>
        <v/>
      </c>
      <c r="F15" s="18">
        <f>SUMIFS('ORDENES'!$AM$4:$AM$1203,'ORDENES'!$X$4:$X$1203,$A15,'ORDENES'!$P$4:$P$1203,F$12,'ORDENES'!$Q$4:$Q$1203,F$13)</f>
        <v/>
      </c>
      <c r="G15" s="18">
        <f>SUMIFS('ORDENES'!$AM$4:$AM$1203,'ORDENES'!$X$4:$X$1203,$A15,'ORDENES'!$P$4:$P$1203,G$12,'ORDENES'!$Q$4:$Q$1203,G$13)</f>
        <v/>
      </c>
      <c r="H15" s="18">
        <f>SUMIFS('ORDENES'!$AM$4:$AM$1203,'ORDENES'!$X$4:$X$1203,$A15,'ORDENES'!$P$4:$P$1203,H$12,'ORDENES'!$Q$4:$Q$1203,H$13)</f>
        <v/>
      </c>
      <c r="I15" s="18">
        <f>SUMIFS('ORDENES'!$AM$4:$AM$1203,'ORDENES'!$X$4:$X$1203,$A15,'ORDENES'!$P$4:$P$1203,I$12,'ORDENES'!$Q$4:$Q$1203,I$13)</f>
        <v/>
      </c>
      <c r="J15" s="18">
        <f>SUMIFS('ORDENES'!$AM$4:$AM$1203,'ORDENES'!$X$4:$X$1203,$A15,'ORDENES'!$P$4:$P$1203,J$12,'ORDENES'!$Q$4:$Q$1203,J$13)</f>
        <v/>
      </c>
      <c r="K15" s="18">
        <f>SUMIFS('ORDENES'!$AM$4:$AM$1203,'ORDENES'!$X$4:$X$1203,$A15,'ORDENES'!$P$4:$P$1203,K$12,'ORDENES'!$Q$4:$Q$1203,K$13)</f>
        <v/>
      </c>
      <c r="L15" s="18">
        <f>SUMIFS('ORDENES'!$AM$4:$AM$1203,'ORDENES'!$X$4:$X$1203,$A15,'ORDENES'!$P$4:$P$1203,L$12,'ORDENES'!$Q$4:$Q$1203,L$13)</f>
        <v/>
      </c>
      <c r="M15" s="18">
        <f>SUM(B15:L15)</f>
        <v/>
      </c>
    </row>
    <row r="16">
      <c r="A16" s="5" t="inlineStr">
        <is>
          <t>SERVICIOS</t>
        </is>
      </c>
      <c r="B16" s="18">
        <f>SUMIFS('ORDENES'!$AM$4:$AM$1203,'ORDENES'!$X$4:$X$1203,$A16,'ORDENES'!$P$4:$P$1203,B$12,'ORDENES'!$Q$4:$Q$1203,B$13)</f>
        <v/>
      </c>
      <c r="C16" s="18">
        <f>SUMIFS('ORDENES'!$AM$4:$AM$1203,'ORDENES'!$X$4:$X$1203,$A16,'ORDENES'!$P$4:$P$1203,C$12,'ORDENES'!$Q$4:$Q$1203,C$13)</f>
        <v/>
      </c>
      <c r="D16" s="18">
        <f>SUMIFS('ORDENES'!$AM$4:$AM$1203,'ORDENES'!$X$4:$X$1203,$A16,'ORDENES'!$P$4:$P$1203,D$12,'ORDENES'!$Q$4:$Q$1203,D$13)</f>
        <v/>
      </c>
      <c r="E16" s="18">
        <f>SUMIFS('ORDENES'!$AM$4:$AM$1203,'ORDENES'!$X$4:$X$1203,$A16,'ORDENES'!$P$4:$P$1203,E$12,'ORDENES'!$Q$4:$Q$1203,E$13)</f>
        <v/>
      </c>
      <c r="F16" s="18">
        <f>SUMIFS('ORDENES'!$AM$4:$AM$1203,'ORDENES'!$X$4:$X$1203,$A16,'ORDENES'!$P$4:$P$1203,F$12,'ORDENES'!$Q$4:$Q$1203,F$13)</f>
        <v/>
      </c>
      <c r="G16" s="18">
        <f>SUMIFS('ORDENES'!$AM$4:$AM$1203,'ORDENES'!$X$4:$X$1203,$A16,'ORDENES'!$P$4:$P$1203,G$12,'ORDENES'!$Q$4:$Q$1203,G$13)</f>
        <v/>
      </c>
      <c r="H16" s="18">
        <f>SUMIFS('ORDENES'!$AM$4:$AM$1203,'ORDENES'!$X$4:$X$1203,$A16,'ORDENES'!$P$4:$P$1203,H$12,'ORDENES'!$Q$4:$Q$1203,H$13)</f>
        <v/>
      </c>
      <c r="I16" s="18">
        <f>SUMIFS('ORDENES'!$AM$4:$AM$1203,'ORDENES'!$X$4:$X$1203,$A16,'ORDENES'!$P$4:$P$1203,I$12,'ORDENES'!$Q$4:$Q$1203,I$13)</f>
        <v/>
      </c>
      <c r="J16" s="18">
        <f>SUMIFS('ORDENES'!$AM$4:$AM$1203,'ORDENES'!$X$4:$X$1203,$A16,'ORDENES'!$P$4:$P$1203,J$12,'ORDENES'!$Q$4:$Q$1203,J$13)</f>
        <v/>
      </c>
      <c r="K16" s="18">
        <f>SUMIFS('ORDENES'!$AM$4:$AM$1203,'ORDENES'!$X$4:$X$1203,$A16,'ORDENES'!$P$4:$P$1203,K$12,'ORDENES'!$Q$4:$Q$1203,K$13)</f>
        <v/>
      </c>
      <c r="L16" s="18">
        <f>SUMIFS('ORDENES'!$AM$4:$AM$1203,'ORDENES'!$X$4:$X$1203,$A16,'ORDENES'!$P$4:$P$1203,L$12,'ORDENES'!$Q$4:$Q$1203,L$13)</f>
        <v/>
      </c>
      <c r="M16" s="18">
        <f>SUM(B16:L16)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  <c r="K17" s="18">
        <f>SUM(K14:K16)</f>
        <v/>
      </c>
      <c r="L17" s="18">
        <f>SUM(L14:L16)</f>
        <v/>
      </c>
      <c r="M17" s="18">
        <f>SUM(M14:M16)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  <c r="E20" s="18">
        <f>E14-E6</f>
        <v/>
      </c>
      <c r="F20" s="18">
        <f>F14-F6</f>
        <v/>
      </c>
      <c r="G20" s="18">
        <f>G14-G6</f>
        <v/>
      </c>
      <c r="H20" s="18">
        <f>H14-H6</f>
        <v/>
      </c>
      <c r="I20" s="18">
        <f>I14-I6</f>
        <v/>
      </c>
      <c r="J20" s="18">
        <f>J14-J6</f>
        <v/>
      </c>
      <c r="K20" s="18">
        <f>K14-K6</f>
        <v/>
      </c>
      <c r="L20" s="18">
        <f>L14-L6</f>
        <v/>
      </c>
      <c r="M20" s="18">
        <f>M14-M6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  <c r="E21" s="18">
        <f>E15-E7</f>
        <v/>
      </c>
      <c r="F21" s="18">
        <f>F15-F7</f>
        <v/>
      </c>
      <c r="G21" s="18">
        <f>G15-G7</f>
        <v/>
      </c>
      <c r="H21" s="18">
        <f>H15-H7</f>
        <v/>
      </c>
      <c r="I21" s="18">
        <f>I15-I7</f>
        <v/>
      </c>
      <c r="J21" s="18">
        <f>J15-J7</f>
        <v/>
      </c>
      <c r="K21" s="18">
        <f>K15-K7</f>
        <v/>
      </c>
      <c r="L21" s="18">
        <f>L15-L7</f>
        <v/>
      </c>
      <c r="M21" s="18">
        <f>M15-M7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  <c r="E22" s="18">
        <f>E16-E8</f>
        <v/>
      </c>
      <c r="F22" s="18">
        <f>F16-F8</f>
        <v/>
      </c>
      <c r="G22" s="18">
        <f>G16-G8</f>
        <v/>
      </c>
      <c r="H22" s="18">
        <f>H16-H8</f>
        <v/>
      </c>
      <c r="I22" s="18">
        <f>I16-I8</f>
        <v/>
      </c>
      <c r="J22" s="18">
        <f>J16-J8</f>
        <v/>
      </c>
      <c r="K22" s="18">
        <f>K16-K8</f>
        <v/>
      </c>
      <c r="L22" s="18">
        <f>L16-L8</f>
        <v/>
      </c>
      <c r="M22" s="18">
        <f>M16-M8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  <c r="E23" s="18">
        <f>E17-E9</f>
        <v/>
      </c>
      <c r="F23" s="18">
        <f>F17-F9</f>
        <v/>
      </c>
      <c r="G23" s="18">
        <f>G17-G9</f>
        <v/>
      </c>
      <c r="H23" s="18">
        <f>H17-H9</f>
        <v/>
      </c>
      <c r="I23" s="18">
        <f>I17-I9</f>
        <v/>
      </c>
      <c r="J23" s="18">
        <f>J17-J9</f>
        <v/>
      </c>
      <c r="K23" s="18">
        <f>K17-K9</f>
        <v/>
      </c>
      <c r="L23" s="18">
        <f>L17-L9</f>
        <v/>
      </c>
      <c r="M23" s="18">
        <f>M17-M9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5" t="n">
        <v>2</v>
      </c>
      <c r="C27" s="15" t="n">
        <v>3</v>
      </c>
      <c r="D27" s="15" t="n">
        <v>4</v>
      </c>
      <c r="E27" s="15" t="n">
        <v>5</v>
      </c>
      <c r="F27" s="15" t="n">
        <v>6</v>
      </c>
      <c r="G27" s="15" t="n">
        <v>7</v>
      </c>
      <c r="H27" s="15" t="n">
        <v>8</v>
      </c>
      <c r="I27" s="15" t="n">
        <v>9</v>
      </c>
      <c r="J27" s="15" t="n">
        <v>11</v>
      </c>
      <c r="K27" s="15" t="n">
        <v>12</v>
      </c>
      <c r="L27" s="15" t="n">
        <v>1</v>
      </c>
      <c r="M27" s="15" t="inlineStr">
        <is>
          <t>TOTAL</t>
        </is>
      </c>
    </row>
    <row r="28">
      <c r="A28" s="5" t="inlineStr">
        <is>
          <t>PRODUCCION</t>
        </is>
      </c>
      <c r="B28" s="18">
        <f>SUMIFS('ORDENES'!$AM$4:$AM$1203,'ORDENES'!$Y$4:$Y$1203,$A28,'ORDENES'!$P$4:$P$1203,B$26,'ORDENES'!$Q$4:$Q$1203,B$27)</f>
        <v/>
      </c>
      <c r="C28" s="18">
        <f>SUMIFS('ORDENES'!$AM$4:$AM$1203,'ORDENES'!$Y$4:$Y$1203,$A28,'ORDENES'!$P$4:$P$1203,C$26,'ORDENES'!$Q$4:$Q$1203,C$27)</f>
        <v/>
      </c>
      <c r="D28" s="18">
        <f>SUMIFS('ORDENES'!$AM$4:$AM$1203,'ORDENES'!$Y$4:$Y$1203,$A28,'ORDENES'!$P$4:$P$1203,D$26,'ORDENES'!$Q$4:$Q$1203,D$27)</f>
        <v/>
      </c>
      <c r="E28" s="18">
        <f>SUMIFS('ORDENES'!$AM$4:$AM$1203,'ORDENES'!$Y$4:$Y$1203,$A28,'ORDENES'!$P$4:$P$1203,E$26,'ORDENES'!$Q$4:$Q$1203,E$27)</f>
        <v/>
      </c>
      <c r="F28" s="18">
        <f>SUMIFS('ORDENES'!$AM$4:$AM$1203,'ORDENES'!$Y$4:$Y$1203,$A28,'ORDENES'!$P$4:$P$1203,F$26,'ORDENES'!$Q$4:$Q$1203,F$27)</f>
        <v/>
      </c>
      <c r="G28" s="18">
        <f>SUMIFS('ORDENES'!$AM$4:$AM$1203,'ORDENES'!$Y$4:$Y$1203,$A28,'ORDENES'!$P$4:$P$1203,G$26,'ORDENES'!$Q$4:$Q$1203,G$27)</f>
        <v/>
      </c>
      <c r="H28" s="18">
        <f>SUMIFS('ORDENES'!$AM$4:$AM$1203,'ORDENES'!$Y$4:$Y$1203,$A28,'ORDENES'!$P$4:$P$1203,H$26,'ORDENES'!$Q$4:$Q$1203,H$27)</f>
        <v/>
      </c>
      <c r="I28" s="18">
        <f>SUMIFS('ORDENES'!$AM$4:$AM$1203,'ORDENES'!$Y$4:$Y$1203,$A28,'ORDENES'!$P$4:$P$1203,I$26,'ORDENES'!$Q$4:$Q$1203,I$27)</f>
        <v/>
      </c>
      <c r="J28" s="18">
        <f>SUMIFS('ORDENES'!$AM$4:$AM$1203,'ORDENES'!$Y$4:$Y$1203,$A28,'ORDENES'!$P$4:$P$1203,J$26,'ORDENES'!$Q$4:$Q$1203,J$27)</f>
        <v/>
      </c>
      <c r="K28" s="18">
        <f>SUMIFS('ORDENES'!$AM$4:$AM$1203,'ORDENES'!$Y$4:$Y$1203,$A28,'ORDENES'!$P$4:$P$1203,K$26,'ORDENES'!$Q$4:$Q$1203,K$27)</f>
        <v/>
      </c>
      <c r="L28" s="18">
        <f>SUMIFS('ORDENES'!$AM$4:$AM$1203,'ORDENES'!$Y$4:$Y$1203,$A28,'ORDENES'!$P$4:$P$1203,L$26,'ORDENES'!$Q$4:$Q$1203,L$27)</f>
        <v/>
      </c>
      <c r="M28" s="18">
        <f>SUM(B28:L28)</f>
        <v/>
      </c>
    </row>
    <row r="29">
      <c r="A29" s="5" t="inlineStr">
        <is>
          <t>EMPAQUE</t>
        </is>
      </c>
      <c r="B29" s="18">
        <f>SUMIFS('ORDENES'!$AM$4:$AM$1203,'ORDENES'!$Y$4:$Y$1203,$A29,'ORDENES'!$P$4:$P$1203,B$26,'ORDENES'!$Q$4:$Q$1203,B$27)</f>
        <v/>
      </c>
      <c r="C29" s="18">
        <f>SUMIFS('ORDENES'!$AM$4:$AM$1203,'ORDENES'!$Y$4:$Y$1203,$A29,'ORDENES'!$P$4:$P$1203,C$26,'ORDENES'!$Q$4:$Q$1203,C$27)</f>
        <v/>
      </c>
      <c r="D29" s="18">
        <f>SUMIFS('ORDENES'!$AM$4:$AM$1203,'ORDENES'!$Y$4:$Y$1203,$A29,'ORDENES'!$P$4:$P$1203,D$26,'ORDENES'!$Q$4:$Q$1203,D$27)</f>
        <v/>
      </c>
      <c r="E29" s="18">
        <f>SUMIFS('ORDENES'!$AM$4:$AM$1203,'ORDENES'!$Y$4:$Y$1203,$A29,'ORDENES'!$P$4:$P$1203,E$26,'ORDENES'!$Q$4:$Q$1203,E$27)</f>
        <v/>
      </c>
      <c r="F29" s="18">
        <f>SUMIFS('ORDENES'!$AM$4:$AM$1203,'ORDENES'!$Y$4:$Y$1203,$A29,'ORDENES'!$P$4:$P$1203,F$26,'ORDENES'!$Q$4:$Q$1203,F$27)</f>
        <v/>
      </c>
      <c r="G29" s="18">
        <f>SUMIFS('ORDENES'!$AM$4:$AM$1203,'ORDENES'!$Y$4:$Y$1203,$A29,'ORDENES'!$P$4:$P$1203,G$26,'ORDENES'!$Q$4:$Q$1203,G$27)</f>
        <v/>
      </c>
      <c r="H29" s="18">
        <f>SUMIFS('ORDENES'!$AM$4:$AM$1203,'ORDENES'!$Y$4:$Y$1203,$A29,'ORDENES'!$P$4:$P$1203,H$26,'ORDENES'!$Q$4:$Q$1203,H$27)</f>
        <v/>
      </c>
      <c r="I29" s="18">
        <f>SUMIFS('ORDENES'!$AM$4:$AM$1203,'ORDENES'!$Y$4:$Y$1203,$A29,'ORDENES'!$P$4:$P$1203,I$26,'ORDENES'!$Q$4:$Q$1203,I$27)</f>
        <v/>
      </c>
      <c r="J29" s="18">
        <f>SUMIFS('ORDENES'!$AM$4:$AM$1203,'ORDENES'!$Y$4:$Y$1203,$A29,'ORDENES'!$P$4:$P$1203,J$26,'ORDENES'!$Q$4:$Q$1203,J$27)</f>
        <v/>
      </c>
      <c r="K29" s="18">
        <f>SUMIFS('ORDENES'!$AM$4:$AM$1203,'ORDENES'!$Y$4:$Y$1203,$A29,'ORDENES'!$P$4:$P$1203,K$26,'ORDENES'!$Q$4:$Q$1203,K$27)</f>
        <v/>
      </c>
      <c r="L29" s="18">
        <f>SUMIFS('ORDENES'!$AM$4:$AM$1203,'ORDENES'!$Y$4:$Y$1203,$A29,'ORDENES'!$P$4:$P$1203,L$26,'ORDENES'!$Q$4:$Q$1203,L$27)</f>
        <v/>
      </c>
      <c r="M29" s="18">
        <f>SUM(B29:L29)</f>
        <v/>
      </c>
    </row>
    <row r="30">
      <c r="A30" s="5" t="inlineStr">
        <is>
          <t>Vapor</t>
        </is>
      </c>
      <c r="B30" s="18">
        <f>SUMIFS('ORDENES'!$AM$4:$AM$1203,'ORDENES'!$Y$4:$Y$1203,$A30,'ORDENES'!$P$4:$P$1203,B$26,'ORDENES'!$Q$4:$Q$1203,B$27)</f>
        <v/>
      </c>
      <c r="C30" s="18">
        <f>SUMIFS('ORDENES'!$AM$4:$AM$1203,'ORDENES'!$Y$4:$Y$1203,$A30,'ORDENES'!$P$4:$P$1203,C$26,'ORDENES'!$Q$4:$Q$1203,C$27)</f>
        <v/>
      </c>
      <c r="D30" s="18">
        <f>SUMIFS('ORDENES'!$AM$4:$AM$1203,'ORDENES'!$Y$4:$Y$1203,$A30,'ORDENES'!$P$4:$P$1203,D$26,'ORDENES'!$Q$4:$Q$1203,D$27)</f>
        <v/>
      </c>
      <c r="E30" s="18">
        <f>SUMIFS('ORDENES'!$AM$4:$AM$1203,'ORDENES'!$Y$4:$Y$1203,$A30,'ORDENES'!$P$4:$P$1203,E$26,'ORDENES'!$Q$4:$Q$1203,E$27)</f>
        <v/>
      </c>
      <c r="F30" s="18">
        <f>SUMIFS('ORDENES'!$AM$4:$AM$1203,'ORDENES'!$Y$4:$Y$1203,$A30,'ORDENES'!$P$4:$P$1203,F$26,'ORDENES'!$Q$4:$Q$1203,F$27)</f>
        <v/>
      </c>
      <c r="G30" s="18">
        <f>SUMIFS('ORDENES'!$AM$4:$AM$1203,'ORDENES'!$Y$4:$Y$1203,$A30,'ORDENES'!$P$4:$P$1203,G$26,'ORDENES'!$Q$4:$Q$1203,G$27)</f>
        <v/>
      </c>
      <c r="H30" s="18">
        <f>SUMIFS('ORDENES'!$AM$4:$AM$1203,'ORDENES'!$Y$4:$Y$1203,$A30,'ORDENES'!$P$4:$P$1203,H$26,'ORDENES'!$Q$4:$Q$1203,H$27)</f>
        <v/>
      </c>
      <c r="I30" s="18">
        <f>SUMIFS('ORDENES'!$AM$4:$AM$1203,'ORDENES'!$Y$4:$Y$1203,$A30,'ORDENES'!$P$4:$P$1203,I$26,'ORDENES'!$Q$4:$Q$1203,I$27)</f>
        <v/>
      </c>
      <c r="J30" s="18">
        <f>SUMIFS('ORDENES'!$AM$4:$AM$1203,'ORDENES'!$Y$4:$Y$1203,$A30,'ORDENES'!$P$4:$P$1203,J$26,'ORDENES'!$Q$4:$Q$1203,J$27)</f>
        <v/>
      </c>
      <c r="K30" s="18">
        <f>SUMIFS('ORDENES'!$AM$4:$AM$1203,'ORDENES'!$Y$4:$Y$1203,$A30,'ORDENES'!$P$4:$P$1203,K$26,'ORDENES'!$Q$4:$Q$1203,K$27)</f>
        <v/>
      </c>
      <c r="L30" s="18">
        <f>SUMIFS('ORDENES'!$AM$4:$AM$1203,'ORDENES'!$Y$4:$Y$1203,$A30,'ORDENES'!$P$4:$P$1203,L$26,'ORDENES'!$Q$4:$Q$1203,L$27)</f>
        <v/>
      </c>
      <c r="M30" s="18">
        <f>SUM(B30:L30)</f>
        <v/>
      </c>
    </row>
    <row r="31">
      <c r="A31" s="5" t="inlineStr">
        <is>
          <t>Refrigeración</t>
        </is>
      </c>
      <c r="B31" s="18">
        <f>SUMIFS('ORDENES'!$AM$4:$AM$1203,'ORDENES'!$Y$4:$Y$1203,$A31,'ORDENES'!$P$4:$P$1203,B$26,'ORDENES'!$Q$4:$Q$1203,B$27)</f>
        <v/>
      </c>
      <c r="C31" s="18">
        <f>SUMIFS('ORDENES'!$AM$4:$AM$1203,'ORDENES'!$Y$4:$Y$1203,$A31,'ORDENES'!$P$4:$P$1203,C$26,'ORDENES'!$Q$4:$Q$1203,C$27)</f>
        <v/>
      </c>
      <c r="D31" s="18">
        <f>SUMIFS('ORDENES'!$AM$4:$AM$1203,'ORDENES'!$Y$4:$Y$1203,$A31,'ORDENES'!$P$4:$P$1203,D$26,'ORDENES'!$Q$4:$Q$1203,D$27)</f>
        <v/>
      </c>
      <c r="E31" s="18">
        <f>SUMIFS('ORDENES'!$AM$4:$AM$1203,'ORDENES'!$Y$4:$Y$1203,$A31,'ORDENES'!$P$4:$P$1203,E$26,'ORDENES'!$Q$4:$Q$1203,E$27)</f>
        <v/>
      </c>
      <c r="F31" s="18">
        <f>SUMIFS('ORDENES'!$AM$4:$AM$1203,'ORDENES'!$Y$4:$Y$1203,$A31,'ORDENES'!$P$4:$P$1203,F$26,'ORDENES'!$Q$4:$Q$1203,F$27)</f>
        <v/>
      </c>
      <c r="G31" s="18">
        <f>SUMIFS('ORDENES'!$AM$4:$AM$1203,'ORDENES'!$Y$4:$Y$1203,$A31,'ORDENES'!$P$4:$P$1203,G$26,'ORDENES'!$Q$4:$Q$1203,G$27)</f>
        <v/>
      </c>
      <c r="H31" s="18">
        <f>SUMIFS('ORDENES'!$AM$4:$AM$1203,'ORDENES'!$Y$4:$Y$1203,$A31,'ORDENES'!$P$4:$P$1203,H$26,'ORDENES'!$Q$4:$Q$1203,H$27)</f>
        <v/>
      </c>
      <c r="I31" s="18">
        <f>SUMIFS('ORDENES'!$AM$4:$AM$1203,'ORDENES'!$Y$4:$Y$1203,$A31,'ORDENES'!$P$4:$P$1203,I$26,'ORDENES'!$Q$4:$Q$1203,I$27)</f>
        <v/>
      </c>
      <c r="J31" s="18">
        <f>SUMIFS('ORDENES'!$AM$4:$AM$1203,'ORDENES'!$Y$4:$Y$1203,$A31,'ORDENES'!$P$4:$P$1203,J$26,'ORDENES'!$Q$4:$Q$1203,J$27)</f>
        <v/>
      </c>
      <c r="K31" s="18">
        <f>SUMIFS('ORDENES'!$AM$4:$AM$1203,'ORDENES'!$Y$4:$Y$1203,$A31,'ORDENES'!$P$4:$P$1203,K$26,'ORDENES'!$Q$4:$Q$1203,K$27)</f>
        <v/>
      </c>
      <c r="L31" s="18">
        <f>SUMIFS('ORDENES'!$AM$4:$AM$1203,'ORDENES'!$Y$4:$Y$1203,$A31,'ORDENES'!$P$4:$P$1203,L$26,'ORDENES'!$Q$4:$Q$1203,L$27)</f>
        <v/>
      </c>
      <c r="M31" s="18">
        <f>SUM(B31:L31)</f>
        <v/>
      </c>
    </row>
    <row r="32">
      <c r="A32" s="5" t="inlineStr">
        <is>
          <t>CO2</t>
        </is>
      </c>
      <c r="B32" s="18">
        <f>SUMIFS('ORDENES'!$AM$4:$AM$1203,'ORDENES'!$Y$4:$Y$1203,$A32,'ORDENES'!$P$4:$P$1203,B$26,'ORDENES'!$Q$4:$Q$1203,B$27)</f>
        <v/>
      </c>
      <c r="C32" s="18">
        <f>SUMIFS('ORDENES'!$AM$4:$AM$1203,'ORDENES'!$Y$4:$Y$1203,$A32,'ORDENES'!$P$4:$P$1203,C$26,'ORDENES'!$Q$4:$Q$1203,C$27)</f>
        <v/>
      </c>
      <c r="D32" s="18">
        <f>SUMIFS('ORDENES'!$AM$4:$AM$1203,'ORDENES'!$Y$4:$Y$1203,$A32,'ORDENES'!$P$4:$P$1203,D$26,'ORDENES'!$Q$4:$Q$1203,D$27)</f>
        <v/>
      </c>
      <c r="E32" s="18">
        <f>SUMIFS('ORDENES'!$AM$4:$AM$1203,'ORDENES'!$Y$4:$Y$1203,$A32,'ORDENES'!$P$4:$P$1203,E$26,'ORDENES'!$Q$4:$Q$1203,E$27)</f>
        <v/>
      </c>
      <c r="F32" s="18">
        <f>SUMIFS('ORDENES'!$AM$4:$AM$1203,'ORDENES'!$Y$4:$Y$1203,$A32,'ORDENES'!$P$4:$P$1203,F$26,'ORDENES'!$Q$4:$Q$1203,F$27)</f>
        <v/>
      </c>
      <c r="G32" s="18">
        <f>SUMIFS('ORDENES'!$AM$4:$AM$1203,'ORDENES'!$Y$4:$Y$1203,$A32,'ORDENES'!$P$4:$P$1203,G$26,'ORDENES'!$Q$4:$Q$1203,G$27)</f>
        <v/>
      </c>
      <c r="H32" s="18">
        <f>SUMIFS('ORDENES'!$AM$4:$AM$1203,'ORDENES'!$Y$4:$Y$1203,$A32,'ORDENES'!$P$4:$P$1203,H$26,'ORDENES'!$Q$4:$Q$1203,H$27)</f>
        <v/>
      </c>
      <c r="I32" s="18">
        <f>SUMIFS('ORDENES'!$AM$4:$AM$1203,'ORDENES'!$Y$4:$Y$1203,$A32,'ORDENES'!$P$4:$P$1203,I$26,'ORDENES'!$Q$4:$Q$1203,I$27)</f>
        <v/>
      </c>
      <c r="J32" s="18">
        <f>SUMIFS('ORDENES'!$AM$4:$AM$1203,'ORDENES'!$Y$4:$Y$1203,$A32,'ORDENES'!$P$4:$P$1203,J$26,'ORDENES'!$Q$4:$Q$1203,J$27)</f>
        <v/>
      </c>
      <c r="K32" s="18">
        <f>SUMIFS('ORDENES'!$AM$4:$AM$1203,'ORDENES'!$Y$4:$Y$1203,$A32,'ORDENES'!$P$4:$P$1203,K$26,'ORDENES'!$Q$4:$Q$1203,K$27)</f>
        <v/>
      </c>
      <c r="L32" s="18">
        <f>SUMIFS('ORDENES'!$AM$4:$AM$1203,'ORDENES'!$Y$4:$Y$1203,$A32,'ORDENES'!$P$4:$P$1203,L$26,'ORDENES'!$Q$4:$Q$1203,L$27)</f>
        <v/>
      </c>
      <c r="M32" s="18">
        <f>SUM(B32:L32)</f>
        <v/>
      </c>
    </row>
    <row r="33">
      <c r="A33" s="5" t="inlineStr">
        <is>
          <t>Aire comprimido</t>
        </is>
      </c>
      <c r="B33" s="18">
        <f>SUMIFS('ORDENES'!$AM$4:$AM$1203,'ORDENES'!$Y$4:$Y$1203,$A33,'ORDENES'!$P$4:$P$1203,B$26,'ORDENES'!$Q$4:$Q$1203,B$27)</f>
        <v/>
      </c>
      <c r="C33" s="18">
        <f>SUMIFS('ORDENES'!$AM$4:$AM$1203,'ORDENES'!$Y$4:$Y$1203,$A33,'ORDENES'!$P$4:$P$1203,C$26,'ORDENES'!$Q$4:$Q$1203,C$27)</f>
        <v/>
      </c>
      <c r="D33" s="18">
        <f>SUMIFS('ORDENES'!$AM$4:$AM$1203,'ORDENES'!$Y$4:$Y$1203,$A33,'ORDENES'!$P$4:$P$1203,D$26,'ORDENES'!$Q$4:$Q$1203,D$27)</f>
        <v/>
      </c>
      <c r="E33" s="18">
        <f>SUMIFS('ORDENES'!$AM$4:$AM$1203,'ORDENES'!$Y$4:$Y$1203,$A33,'ORDENES'!$P$4:$P$1203,E$26,'ORDENES'!$Q$4:$Q$1203,E$27)</f>
        <v/>
      </c>
      <c r="F33" s="18">
        <f>SUMIFS('ORDENES'!$AM$4:$AM$1203,'ORDENES'!$Y$4:$Y$1203,$A33,'ORDENES'!$P$4:$P$1203,F$26,'ORDENES'!$Q$4:$Q$1203,F$27)</f>
        <v/>
      </c>
      <c r="G33" s="18">
        <f>SUMIFS('ORDENES'!$AM$4:$AM$1203,'ORDENES'!$Y$4:$Y$1203,$A33,'ORDENES'!$P$4:$P$1203,G$26,'ORDENES'!$Q$4:$Q$1203,G$27)</f>
        <v/>
      </c>
      <c r="H33" s="18">
        <f>SUMIFS('ORDENES'!$AM$4:$AM$1203,'ORDENES'!$Y$4:$Y$1203,$A33,'ORDENES'!$P$4:$P$1203,H$26,'ORDENES'!$Q$4:$Q$1203,H$27)</f>
        <v/>
      </c>
      <c r="I33" s="18">
        <f>SUMIFS('ORDENES'!$AM$4:$AM$1203,'ORDENES'!$Y$4:$Y$1203,$A33,'ORDENES'!$P$4:$P$1203,I$26,'ORDENES'!$Q$4:$Q$1203,I$27)</f>
        <v/>
      </c>
      <c r="J33" s="18">
        <f>SUMIFS('ORDENES'!$AM$4:$AM$1203,'ORDENES'!$Y$4:$Y$1203,$A33,'ORDENES'!$P$4:$P$1203,J$26,'ORDENES'!$Q$4:$Q$1203,J$27)</f>
        <v/>
      </c>
      <c r="K33" s="18">
        <f>SUMIFS('ORDENES'!$AM$4:$AM$1203,'ORDENES'!$Y$4:$Y$1203,$A33,'ORDENES'!$P$4:$P$1203,K$26,'ORDENES'!$Q$4:$Q$1203,K$27)</f>
        <v/>
      </c>
      <c r="L33" s="18">
        <f>SUMIFS('ORDENES'!$AM$4:$AM$1203,'ORDENES'!$Y$4:$Y$1203,$A33,'ORDENES'!$P$4:$P$1203,L$26,'ORDENES'!$Q$4:$Q$1203,L$27)</f>
        <v/>
      </c>
      <c r="M33" s="18">
        <f>SUM(B33:L33)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  <c r="E34" s="18">
        <f>SUM(E28:E33)</f>
        <v/>
      </c>
      <c r="F34" s="18">
        <f>SUM(F28:F33)</f>
        <v/>
      </c>
      <c r="G34" s="18">
        <f>SUM(G28:G33)</f>
        <v/>
      </c>
      <c r="H34" s="18">
        <f>SUM(H28:H33)</f>
        <v/>
      </c>
      <c r="I34" s="18">
        <f>SUM(I28:I33)</f>
        <v/>
      </c>
      <c r="J34" s="18">
        <f>SUM(J28:J33)</f>
        <v/>
      </c>
      <c r="K34" s="18">
        <f>SUM(K28:K33)</f>
        <v/>
      </c>
      <c r="L34" s="18">
        <f>SUM(L28:L33)</f>
        <v/>
      </c>
      <c r="M34" s="18">
        <f>SUM(M28:M33)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5" t="n">
        <v>2</v>
      </c>
      <c r="C38" s="15" t="n">
        <v>3</v>
      </c>
      <c r="D38" s="15" t="n">
        <v>4</v>
      </c>
      <c r="E38" s="15" t="n">
        <v>5</v>
      </c>
      <c r="F38" s="15" t="n">
        <v>6</v>
      </c>
      <c r="G38" s="15" t="n">
        <v>7</v>
      </c>
      <c r="H38" s="15" t="n">
        <v>8</v>
      </c>
      <c r="I38" s="15" t="n">
        <v>9</v>
      </c>
      <c r="J38" s="15" t="n">
        <v>11</v>
      </c>
      <c r="K38" s="15" t="n">
        <v>12</v>
      </c>
      <c r="L38" s="15" t="n">
        <v>1</v>
      </c>
      <c r="M38" s="15" t="inlineStr">
        <is>
          <t>TOTAL</t>
        </is>
      </c>
    </row>
    <row r="39">
      <c r="A39" s="5" t="inlineStr">
        <is>
          <t>L1</t>
        </is>
      </c>
      <c r="B39" s="18">
        <f>SUMIFS('ORDENES'!$AM$4:$AM$1203,'ORDENES'!$W$4:$W$1203,$A39,'ORDENES'!$P$4:$P$1203,B$37,'ORDENES'!$Q$4:$Q$1203,B$38)</f>
        <v/>
      </c>
      <c r="C39" s="18">
        <f>SUMIFS('ORDENES'!$AM$4:$AM$1203,'ORDENES'!$W$4:$W$1203,$A39,'ORDENES'!$P$4:$P$1203,C$37,'ORDENES'!$Q$4:$Q$1203,C$38)</f>
        <v/>
      </c>
      <c r="D39" s="18">
        <f>SUMIFS('ORDENES'!$AM$4:$AM$1203,'ORDENES'!$W$4:$W$1203,$A39,'ORDENES'!$P$4:$P$1203,D$37,'ORDENES'!$Q$4:$Q$1203,D$38)</f>
        <v/>
      </c>
      <c r="E39" s="18">
        <f>SUMIFS('ORDENES'!$AM$4:$AM$1203,'ORDENES'!$W$4:$W$1203,$A39,'ORDENES'!$P$4:$P$1203,E$37,'ORDENES'!$Q$4:$Q$1203,E$38)</f>
        <v/>
      </c>
      <c r="F39" s="18">
        <f>SUMIFS('ORDENES'!$AM$4:$AM$1203,'ORDENES'!$W$4:$W$1203,$A39,'ORDENES'!$P$4:$P$1203,F$37,'ORDENES'!$Q$4:$Q$1203,F$38)</f>
        <v/>
      </c>
      <c r="G39" s="18">
        <f>SUMIFS('ORDENES'!$AM$4:$AM$1203,'ORDENES'!$W$4:$W$1203,$A39,'ORDENES'!$P$4:$P$1203,G$37,'ORDENES'!$Q$4:$Q$1203,G$38)</f>
        <v/>
      </c>
      <c r="H39" s="18">
        <f>SUMIFS('ORDENES'!$AM$4:$AM$1203,'ORDENES'!$W$4:$W$1203,$A39,'ORDENES'!$P$4:$P$1203,H$37,'ORDENES'!$Q$4:$Q$1203,H$38)</f>
        <v/>
      </c>
      <c r="I39" s="18">
        <f>SUMIFS('ORDENES'!$AM$4:$AM$1203,'ORDENES'!$W$4:$W$1203,$A39,'ORDENES'!$P$4:$P$1203,I$37,'ORDENES'!$Q$4:$Q$1203,I$38)</f>
        <v/>
      </c>
      <c r="J39" s="18">
        <f>SUMIFS('ORDENES'!$AM$4:$AM$1203,'ORDENES'!$W$4:$W$1203,$A39,'ORDENES'!$P$4:$P$1203,J$37,'ORDENES'!$Q$4:$Q$1203,J$38)</f>
        <v/>
      </c>
      <c r="K39" s="18">
        <f>SUMIFS('ORDENES'!$AM$4:$AM$1203,'ORDENES'!$W$4:$W$1203,$A39,'ORDENES'!$P$4:$P$1203,K$37,'ORDENES'!$Q$4:$Q$1203,K$38)</f>
        <v/>
      </c>
      <c r="L39" s="18">
        <f>SUMIFS('ORDENES'!$AM$4:$AM$1203,'ORDENES'!$W$4:$W$1203,$A39,'ORDENES'!$P$4:$P$1203,L$37,'ORDENES'!$Q$4:$Q$1203,L$38)</f>
        <v/>
      </c>
      <c r="M39" s="18">
        <f>SUM(B39:L39)</f>
        <v/>
      </c>
    </row>
    <row r="40">
      <c r="A40" s="5" t="inlineStr">
        <is>
          <t>L2</t>
        </is>
      </c>
      <c r="B40" s="18">
        <f>SUMIFS('ORDENES'!$AM$4:$AM$1203,'ORDENES'!$W$4:$W$1203,$A40,'ORDENES'!$P$4:$P$1203,B$37,'ORDENES'!$Q$4:$Q$1203,B$38)</f>
        <v/>
      </c>
      <c r="C40" s="18">
        <f>SUMIFS('ORDENES'!$AM$4:$AM$1203,'ORDENES'!$W$4:$W$1203,$A40,'ORDENES'!$P$4:$P$1203,C$37,'ORDENES'!$Q$4:$Q$1203,C$38)</f>
        <v/>
      </c>
      <c r="D40" s="18">
        <f>SUMIFS('ORDENES'!$AM$4:$AM$1203,'ORDENES'!$W$4:$W$1203,$A40,'ORDENES'!$P$4:$P$1203,D$37,'ORDENES'!$Q$4:$Q$1203,D$38)</f>
        <v/>
      </c>
      <c r="E40" s="18">
        <f>SUMIFS('ORDENES'!$AM$4:$AM$1203,'ORDENES'!$W$4:$W$1203,$A40,'ORDENES'!$P$4:$P$1203,E$37,'ORDENES'!$Q$4:$Q$1203,E$38)</f>
        <v/>
      </c>
      <c r="F40" s="18">
        <f>SUMIFS('ORDENES'!$AM$4:$AM$1203,'ORDENES'!$W$4:$W$1203,$A40,'ORDENES'!$P$4:$P$1203,F$37,'ORDENES'!$Q$4:$Q$1203,F$38)</f>
        <v/>
      </c>
      <c r="G40" s="18">
        <f>SUMIFS('ORDENES'!$AM$4:$AM$1203,'ORDENES'!$W$4:$W$1203,$A40,'ORDENES'!$P$4:$P$1203,G$37,'ORDENES'!$Q$4:$Q$1203,G$38)</f>
        <v/>
      </c>
      <c r="H40" s="18">
        <f>SUMIFS('ORDENES'!$AM$4:$AM$1203,'ORDENES'!$W$4:$W$1203,$A40,'ORDENES'!$P$4:$P$1203,H$37,'ORDENES'!$Q$4:$Q$1203,H$38)</f>
        <v/>
      </c>
      <c r="I40" s="18">
        <f>SUMIFS('ORDENES'!$AM$4:$AM$1203,'ORDENES'!$W$4:$W$1203,$A40,'ORDENES'!$P$4:$P$1203,I$37,'ORDENES'!$Q$4:$Q$1203,I$38)</f>
        <v/>
      </c>
      <c r="J40" s="18">
        <f>SUMIFS('ORDENES'!$AM$4:$AM$1203,'ORDENES'!$W$4:$W$1203,$A40,'ORDENES'!$P$4:$P$1203,J$37,'ORDENES'!$Q$4:$Q$1203,J$38)</f>
        <v/>
      </c>
      <c r="K40" s="18">
        <f>SUMIFS('ORDENES'!$AM$4:$AM$1203,'ORDENES'!$W$4:$W$1203,$A40,'ORDENES'!$P$4:$P$1203,K$37,'ORDENES'!$Q$4:$Q$1203,K$38)</f>
        <v/>
      </c>
      <c r="L40" s="18">
        <f>SUMIFS('ORDENES'!$AM$4:$AM$1203,'ORDENES'!$W$4:$W$1203,$A40,'ORDENES'!$P$4:$P$1203,L$37,'ORDENES'!$Q$4:$Q$1203,L$38)</f>
        <v/>
      </c>
      <c r="M40" s="18">
        <f>SUM(B40:L40)</f>
        <v/>
      </c>
    </row>
    <row r="41">
      <c r="A41" s="5" t="inlineStr">
        <is>
          <t>L3</t>
        </is>
      </c>
      <c r="B41" s="18">
        <f>SUMIFS('ORDENES'!$AM$4:$AM$1203,'ORDENES'!$W$4:$W$1203,$A41,'ORDENES'!$P$4:$P$1203,B$37,'ORDENES'!$Q$4:$Q$1203,B$38)</f>
        <v/>
      </c>
      <c r="C41" s="18">
        <f>SUMIFS('ORDENES'!$AM$4:$AM$1203,'ORDENES'!$W$4:$W$1203,$A41,'ORDENES'!$P$4:$P$1203,C$37,'ORDENES'!$Q$4:$Q$1203,C$38)</f>
        <v/>
      </c>
      <c r="D41" s="18">
        <f>SUMIFS('ORDENES'!$AM$4:$AM$1203,'ORDENES'!$W$4:$W$1203,$A41,'ORDENES'!$P$4:$P$1203,D$37,'ORDENES'!$Q$4:$Q$1203,D$38)</f>
        <v/>
      </c>
      <c r="E41" s="18">
        <f>SUMIFS('ORDENES'!$AM$4:$AM$1203,'ORDENES'!$W$4:$W$1203,$A41,'ORDENES'!$P$4:$P$1203,E$37,'ORDENES'!$Q$4:$Q$1203,E$38)</f>
        <v/>
      </c>
      <c r="F41" s="18">
        <f>SUMIFS('ORDENES'!$AM$4:$AM$1203,'ORDENES'!$W$4:$W$1203,$A41,'ORDENES'!$P$4:$P$1203,F$37,'ORDENES'!$Q$4:$Q$1203,F$38)</f>
        <v/>
      </c>
      <c r="G41" s="18">
        <f>SUMIFS('ORDENES'!$AM$4:$AM$1203,'ORDENES'!$W$4:$W$1203,$A41,'ORDENES'!$P$4:$P$1203,G$37,'ORDENES'!$Q$4:$Q$1203,G$38)</f>
        <v/>
      </c>
      <c r="H41" s="18">
        <f>SUMIFS('ORDENES'!$AM$4:$AM$1203,'ORDENES'!$W$4:$W$1203,$A41,'ORDENES'!$P$4:$P$1203,H$37,'ORDENES'!$Q$4:$Q$1203,H$38)</f>
        <v/>
      </c>
      <c r="I41" s="18">
        <f>SUMIFS('ORDENES'!$AM$4:$AM$1203,'ORDENES'!$W$4:$W$1203,$A41,'ORDENES'!$P$4:$P$1203,I$37,'ORDENES'!$Q$4:$Q$1203,I$38)</f>
        <v/>
      </c>
      <c r="J41" s="18">
        <f>SUMIFS('ORDENES'!$AM$4:$AM$1203,'ORDENES'!$W$4:$W$1203,$A41,'ORDENES'!$P$4:$P$1203,J$37,'ORDENES'!$Q$4:$Q$1203,J$38)</f>
        <v/>
      </c>
      <c r="K41" s="18">
        <f>SUMIFS('ORDENES'!$AM$4:$AM$1203,'ORDENES'!$W$4:$W$1203,$A41,'ORDENES'!$P$4:$P$1203,K$37,'ORDENES'!$Q$4:$Q$1203,K$38)</f>
        <v/>
      </c>
      <c r="L41" s="18">
        <f>SUMIFS('ORDENES'!$AM$4:$AM$1203,'ORDENES'!$W$4:$W$1203,$A41,'ORDENES'!$P$4:$P$1203,L$37,'ORDENES'!$Q$4:$Q$1203,L$38)</f>
        <v/>
      </c>
      <c r="M41" s="18">
        <f>SUM(B41:L41)</f>
        <v/>
      </c>
    </row>
    <row r="42">
      <c r="A42" s="5" t="inlineStr">
        <is>
          <t>L4</t>
        </is>
      </c>
      <c r="B42" s="18">
        <f>SUMIFS('ORDENES'!$AM$4:$AM$1203,'ORDENES'!$W$4:$W$1203,$A42,'ORDENES'!$P$4:$P$1203,B$37,'ORDENES'!$Q$4:$Q$1203,B$38)</f>
        <v/>
      </c>
      <c r="C42" s="18">
        <f>SUMIFS('ORDENES'!$AM$4:$AM$1203,'ORDENES'!$W$4:$W$1203,$A42,'ORDENES'!$P$4:$P$1203,C$37,'ORDENES'!$Q$4:$Q$1203,C$38)</f>
        <v/>
      </c>
      <c r="D42" s="18">
        <f>SUMIFS('ORDENES'!$AM$4:$AM$1203,'ORDENES'!$W$4:$W$1203,$A42,'ORDENES'!$P$4:$P$1203,D$37,'ORDENES'!$Q$4:$Q$1203,D$38)</f>
        <v/>
      </c>
      <c r="E42" s="18">
        <f>SUMIFS('ORDENES'!$AM$4:$AM$1203,'ORDENES'!$W$4:$W$1203,$A42,'ORDENES'!$P$4:$P$1203,E$37,'ORDENES'!$Q$4:$Q$1203,E$38)</f>
        <v/>
      </c>
      <c r="F42" s="18">
        <f>SUMIFS('ORDENES'!$AM$4:$AM$1203,'ORDENES'!$W$4:$W$1203,$A42,'ORDENES'!$P$4:$P$1203,F$37,'ORDENES'!$Q$4:$Q$1203,F$38)</f>
        <v/>
      </c>
      <c r="G42" s="18">
        <f>SUMIFS('ORDENES'!$AM$4:$AM$1203,'ORDENES'!$W$4:$W$1203,$A42,'ORDENES'!$P$4:$P$1203,G$37,'ORDENES'!$Q$4:$Q$1203,G$38)</f>
        <v/>
      </c>
      <c r="H42" s="18">
        <f>SUMIFS('ORDENES'!$AM$4:$AM$1203,'ORDENES'!$W$4:$W$1203,$A42,'ORDENES'!$P$4:$P$1203,H$37,'ORDENES'!$Q$4:$Q$1203,H$38)</f>
        <v/>
      </c>
      <c r="I42" s="18">
        <f>SUMIFS('ORDENES'!$AM$4:$AM$1203,'ORDENES'!$W$4:$W$1203,$A42,'ORDENES'!$P$4:$P$1203,I$37,'ORDENES'!$Q$4:$Q$1203,I$38)</f>
        <v/>
      </c>
      <c r="J42" s="18">
        <f>SUMIFS('ORDENES'!$AM$4:$AM$1203,'ORDENES'!$W$4:$W$1203,$A42,'ORDENES'!$P$4:$P$1203,J$37,'ORDENES'!$Q$4:$Q$1203,J$38)</f>
        <v/>
      </c>
      <c r="K42" s="18">
        <f>SUMIFS('ORDENES'!$AM$4:$AM$1203,'ORDENES'!$W$4:$W$1203,$A42,'ORDENES'!$P$4:$P$1203,K$37,'ORDENES'!$Q$4:$Q$1203,K$38)</f>
        <v/>
      </c>
      <c r="L42" s="18">
        <f>SUMIFS('ORDENES'!$AM$4:$AM$1203,'ORDENES'!$W$4:$W$1203,$A42,'ORDENES'!$P$4:$P$1203,L$37,'ORDENES'!$Q$4:$Q$1203,L$38)</f>
        <v/>
      </c>
      <c r="M42" s="18">
        <f>SUM(B42:L42)</f>
        <v/>
      </c>
    </row>
    <row r="43">
      <c r="A43" s="5" t="inlineStr">
        <is>
          <t>SG</t>
        </is>
      </c>
      <c r="B43" s="18">
        <f>SUMIFS('ORDENES'!$AM$4:$AM$1203,'ORDENES'!$W$4:$W$1203,$A43,'ORDENES'!$P$4:$P$1203,B$37,'ORDENES'!$Q$4:$Q$1203,B$38)</f>
        <v/>
      </c>
      <c r="C43" s="18">
        <f>SUMIFS('ORDENES'!$AM$4:$AM$1203,'ORDENES'!$W$4:$W$1203,$A43,'ORDENES'!$P$4:$P$1203,C$37,'ORDENES'!$Q$4:$Q$1203,C$38)</f>
        <v/>
      </c>
      <c r="D43" s="18">
        <f>SUMIFS('ORDENES'!$AM$4:$AM$1203,'ORDENES'!$W$4:$W$1203,$A43,'ORDENES'!$P$4:$P$1203,D$37,'ORDENES'!$Q$4:$Q$1203,D$38)</f>
        <v/>
      </c>
      <c r="E43" s="18">
        <f>SUMIFS('ORDENES'!$AM$4:$AM$1203,'ORDENES'!$W$4:$W$1203,$A43,'ORDENES'!$P$4:$P$1203,E$37,'ORDENES'!$Q$4:$Q$1203,E$38)</f>
        <v/>
      </c>
      <c r="F43" s="18">
        <f>SUMIFS('ORDENES'!$AM$4:$AM$1203,'ORDENES'!$W$4:$W$1203,$A43,'ORDENES'!$P$4:$P$1203,F$37,'ORDENES'!$Q$4:$Q$1203,F$38)</f>
        <v/>
      </c>
      <c r="G43" s="18">
        <f>SUMIFS('ORDENES'!$AM$4:$AM$1203,'ORDENES'!$W$4:$W$1203,$A43,'ORDENES'!$P$4:$P$1203,G$37,'ORDENES'!$Q$4:$Q$1203,G$38)</f>
        <v/>
      </c>
      <c r="H43" s="18">
        <f>SUMIFS('ORDENES'!$AM$4:$AM$1203,'ORDENES'!$W$4:$W$1203,$A43,'ORDENES'!$P$4:$P$1203,H$37,'ORDENES'!$Q$4:$Q$1203,H$38)</f>
        <v/>
      </c>
      <c r="I43" s="18">
        <f>SUMIFS('ORDENES'!$AM$4:$AM$1203,'ORDENES'!$W$4:$W$1203,$A43,'ORDENES'!$P$4:$P$1203,I$37,'ORDENES'!$Q$4:$Q$1203,I$38)</f>
        <v/>
      </c>
      <c r="J43" s="18">
        <f>SUMIFS('ORDENES'!$AM$4:$AM$1203,'ORDENES'!$W$4:$W$1203,$A43,'ORDENES'!$P$4:$P$1203,J$37,'ORDENES'!$Q$4:$Q$1203,J$38)</f>
        <v/>
      </c>
      <c r="K43" s="18">
        <f>SUMIFS('ORDENES'!$AM$4:$AM$1203,'ORDENES'!$W$4:$W$1203,$A43,'ORDENES'!$P$4:$P$1203,K$37,'ORDENES'!$Q$4:$Q$1203,K$38)</f>
        <v/>
      </c>
      <c r="L43" s="18">
        <f>SUMIFS('ORDENES'!$AM$4:$AM$1203,'ORDENES'!$W$4:$W$1203,$A43,'ORDENES'!$P$4:$P$1203,L$37,'ORDENES'!$Q$4:$Q$1203,L$38)</f>
        <v/>
      </c>
      <c r="M43" s="18">
        <f>SUM(B43:L43)</f>
        <v/>
      </c>
    </row>
    <row r="44">
      <c r="A44" s="5" t="inlineStr">
        <is>
          <t>SG</t>
        </is>
      </c>
      <c r="B44" s="18">
        <f>SUMIFS('ORDENES'!$AM$4:$AM$1203,'ORDENES'!$W$4:$W$1203,$A44,'ORDENES'!$P$4:$P$1203,B$37,'ORDENES'!$Q$4:$Q$1203,B$38)</f>
        <v/>
      </c>
      <c r="C44" s="18">
        <f>SUMIFS('ORDENES'!$AM$4:$AM$1203,'ORDENES'!$W$4:$W$1203,$A44,'ORDENES'!$P$4:$P$1203,C$37,'ORDENES'!$Q$4:$Q$1203,C$38)</f>
        <v/>
      </c>
      <c r="D44" s="18">
        <f>SUMIFS('ORDENES'!$AM$4:$AM$1203,'ORDENES'!$W$4:$W$1203,$A44,'ORDENES'!$P$4:$P$1203,D$37,'ORDENES'!$Q$4:$Q$1203,D$38)</f>
        <v/>
      </c>
      <c r="E44" s="18">
        <f>SUMIFS('ORDENES'!$AM$4:$AM$1203,'ORDENES'!$W$4:$W$1203,$A44,'ORDENES'!$P$4:$P$1203,E$37,'ORDENES'!$Q$4:$Q$1203,E$38)</f>
        <v/>
      </c>
      <c r="F44" s="18">
        <f>SUMIFS('ORDENES'!$AM$4:$AM$1203,'ORDENES'!$W$4:$W$1203,$A44,'ORDENES'!$P$4:$P$1203,F$37,'ORDENES'!$Q$4:$Q$1203,F$38)</f>
        <v/>
      </c>
      <c r="G44" s="18">
        <f>SUMIFS('ORDENES'!$AM$4:$AM$1203,'ORDENES'!$W$4:$W$1203,$A44,'ORDENES'!$P$4:$P$1203,G$37,'ORDENES'!$Q$4:$Q$1203,G$38)</f>
        <v/>
      </c>
      <c r="H44" s="18">
        <f>SUMIFS('ORDENES'!$AM$4:$AM$1203,'ORDENES'!$W$4:$W$1203,$A44,'ORDENES'!$P$4:$P$1203,H$37,'ORDENES'!$Q$4:$Q$1203,H$38)</f>
        <v/>
      </c>
      <c r="I44" s="18">
        <f>SUMIFS('ORDENES'!$AM$4:$AM$1203,'ORDENES'!$W$4:$W$1203,$A44,'ORDENES'!$P$4:$P$1203,I$37,'ORDENES'!$Q$4:$Q$1203,I$38)</f>
        <v/>
      </c>
      <c r="J44" s="18">
        <f>SUMIFS('ORDENES'!$AM$4:$AM$1203,'ORDENES'!$W$4:$W$1203,$A44,'ORDENES'!$P$4:$P$1203,J$37,'ORDENES'!$Q$4:$Q$1203,J$38)</f>
        <v/>
      </c>
      <c r="K44" s="18">
        <f>SUMIFS('ORDENES'!$AM$4:$AM$1203,'ORDENES'!$W$4:$W$1203,$A44,'ORDENES'!$P$4:$P$1203,K$37,'ORDENES'!$Q$4:$Q$1203,K$38)</f>
        <v/>
      </c>
      <c r="L44" s="18">
        <f>SUMIFS('ORDENES'!$AM$4:$AM$1203,'ORDENES'!$W$4:$W$1203,$A44,'ORDENES'!$P$4:$P$1203,L$37,'ORDENES'!$Q$4:$Q$1203,L$38)</f>
        <v/>
      </c>
      <c r="M44" s="18">
        <f>SUM(B44:L44)</f>
        <v/>
      </c>
    </row>
    <row r="45">
      <c r="A45" s="5" t="inlineStr">
        <is>
          <t>TC</t>
        </is>
      </c>
      <c r="B45" s="18">
        <f>SUMIFS('ORDENES'!$AM$4:$AM$1203,'ORDENES'!$W$4:$W$1203,$A45,'ORDENES'!$P$4:$P$1203,B$37,'ORDENES'!$Q$4:$Q$1203,B$38)</f>
        <v/>
      </c>
      <c r="C45" s="18">
        <f>SUMIFS('ORDENES'!$AM$4:$AM$1203,'ORDENES'!$W$4:$W$1203,$A45,'ORDENES'!$P$4:$P$1203,C$37,'ORDENES'!$Q$4:$Q$1203,C$38)</f>
        <v/>
      </c>
      <c r="D45" s="18">
        <f>SUMIFS('ORDENES'!$AM$4:$AM$1203,'ORDENES'!$W$4:$W$1203,$A45,'ORDENES'!$P$4:$P$1203,D$37,'ORDENES'!$Q$4:$Q$1203,D$38)</f>
        <v/>
      </c>
      <c r="E45" s="18">
        <f>SUMIFS('ORDENES'!$AM$4:$AM$1203,'ORDENES'!$W$4:$W$1203,$A45,'ORDENES'!$P$4:$P$1203,E$37,'ORDENES'!$Q$4:$Q$1203,E$38)</f>
        <v/>
      </c>
      <c r="F45" s="18">
        <f>SUMIFS('ORDENES'!$AM$4:$AM$1203,'ORDENES'!$W$4:$W$1203,$A45,'ORDENES'!$P$4:$P$1203,F$37,'ORDENES'!$Q$4:$Q$1203,F$38)</f>
        <v/>
      </c>
      <c r="G45" s="18">
        <f>SUMIFS('ORDENES'!$AM$4:$AM$1203,'ORDENES'!$W$4:$W$1203,$A45,'ORDENES'!$P$4:$P$1203,G$37,'ORDENES'!$Q$4:$Q$1203,G$38)</f>
        <v/>
      </c>
      <c r="H45" s="18">
        <f>SUMIFS('ORDENES'!$AM$4:$AM$1203,'ORDENES'!$W$4:$W$1203,$A45,'ORDENES'!$P$4:$P$1203,H$37,'ORDENES'!$Q$4:$Q$1203,H$38)</f>
        <v/>
      </c>
      <c r="I45" s="18">
        <f>SUMIFS('ORDENES'!$AM$4:$AM$1203,'ORDENES'!$W$4:$W$1203,$A45,'ORDENES'!$P$4:$P$1203,I$37,'ORDENES'!$Q$4:$Q$1203,I$38)</f>
        <v/>
      </c>
      <c r="J45" s="18">
        <f>SUMIFS('ORDENES'!$AM$4:$AM$1203,'ORDENES'!$W$4:$W$1203,$A45,'ORDENES'!$P$4:$P$1203,J$37,'ORDENES'!$Q$4:$Q$1203,J$38)</f>
        <v/>
      </c>
      <c r="K45" s="18">
        <f>SUMIFS('ORDENES'!$AM$4:$AM$1203,'ORDENES'!$W$4:$W$1203,$A45,'ORDENES'!$P$4:$P$1203,K$37,'ORDENES'!$Q$4:$Q$1203,K$38)</f>
        <v/>
      </c>
      <c r="L45" s="18">
        <f>SUMIFS('ORDENES'!$AM$4:$AM$1203,'ORDENES'!$W$4:$W$1203,$A45,'ORDENES'!$P$4:$P$1203,L$37,'ORDENES'!$Q$4:$Q$1203,L$38)</f>
        <v/>
      </c>
      <c r="M45" s="18">
        <f>SUM(B45:L45)</f>
        <v/>
      </c>
    </row>
    <row r="46">
      <c r="A46" s="5" t="inlineStr">
        <is>
          <t>TC</t>
        </is>
      </c>
      <c r="B46" s="18">
        <f>SUMIFS('ORDENES'!$AM$4:$AM$1203,'ORDENES'!$W$4:$W$1203,$A46,'ORDENES'!$P$4:$P$1203,B$37,'ORDENES'!$Q$4:$Q$1203,B$38)</f>
        <v/>
      </c>
      <c r="C46" s="18">
        <f>SUMIFS('ORDENES'!$AM$4:$AM$1203,'ORDENES'!$W$4:$W$1203,$A46,'ORDENES'!$P$4:$P$1203,C$37,'ORDENES'!$Q$4:$Q$1203,C$38)</f>
        <v/>
      </c>
      <c r="D46" s="18">
        <f>SUMIFS('ORDENES'!$AM$4:$AM$1203,'ORDENES'!$W$4:$W$1203,$A46,'ORDENES'!$P$4:$P$1203,D$37,'ORDENES'!$Q$4:$Q$1203,D$38)</f>
        <v/>
      </c>
      <c r="E46" s="18">
        <f>SUMIFS('ORDENES'!$AM$4:$AM$1203,'ORDENES'!$W$4:$W$1203,$A46,'ORDENES'!$P$4:$P$1203,E$37,'ORDENES'!$Q$4:$Q$1203,E$38)</f>
        <v/>
      </c>
      <c r="F46" s="18">
        <f>SUMIFS('ORDENES'!$AM$4:$AM$1203,'ORDENES'!$W$4:$W$1203,$A46,'ORDENES'!$P$4:$P$1203,F$37,'ORDENES'!$Q$4:$Q$1203,F$38)</f>
        <v/>
      </c>
      <c r="G46" s="18">
        <f>SUMIFS('ORDENES'!$AM$4:$AM$1203,'ORDENES'!$W$4:$W$1203,$A46,'ORDENES'!$P$4:$P$1203,G$37,'ORDENES'!$Q$4:$Q$1203,G$38)</f>
        <v/>
      </c>
      <c r="H46" s="18">
        <f>SUMIFS('ORDENES'!$AM$4:$AM$1203,'ORDENES'!$W$4:$W$1203,$A46,'ORDENES'!$P$4:$P$1203,H$37,'ORDENES'!$Q$4:$Q$1203,H$38)</f>
        <v/>
      </c>
      <c r="I46" s="18">
        <f>SUMIFS('ORDENES'!$AM$4:$AM$1203,'ORDENES'!$W$4:$W$1203,$A46,'ORDENES'!$P$4:$P$1203,I$37,'ORDENES'!$Q$4:$Q$1203,I$38)</f>
        <v/>
      </c>
      <c r="J46" s="18">
        <f>SUMIFS('ORDENES'!$AM$4:$AM$1203,'ORDENES'!$W$4:$W$1203,$A46,'ORDENES'!$P$4:$P$1203,J$37,'ORDENES'!$Q$4:$Q$1203,J$38)</f>
        <v/>
      </c>
      <c r="K46" s="18">
        <f>SUMIFS('ORDENES'!$AM$4:$AM$1203,'ORDENES'!$W$4:$W$1203,$A46,'ORDENES'!$P$4:$P$1203,K$37,'ORDENES'!$Q$4:$Q$1203,K$38)</f>
        <v/>
      </c>
      <c r="L46" s="18">
        <f>SUMIFS('ORDENES'!$AM$4:$AM$1203,'ORDENES'!$W$4:$W$1203,$A46,'ORDENES'!$P$4:$P$1203,L$37,'ORDENES'!$Q$4:$Q$1203,L$38)</f>
        <v/>
      </c>
      <c r="M46" s="18">
        <f>SUM(B46:L46)</f>
        <v/>
      </c>
    </row>
    <row r="47">
      <c r="A47" s="5" t="inlineStr">
        <is>
          <t>CO</t>
        </is>
      </c>
      <c r="B47" s="18">
        <f>SUMIFS('ORDENES'!$AM$4:$AM$1203,'ORDENES'!$W$4:$W$1203,$A47,'ORDENES'!$P$4:$P$1203,B$37,'ORDENES'!$Q$4:$Q$1203,B$38)</f>
        <v/>
      </c>
      <c r="C47" s="18">
        <f>SUMIFS('ORDENES'!$AM$4:$AM$1203,'ORDENES'!$W$4:$W$1203,$A47,'ORDENES'!$P$4:$P$1203,C$37,'ORDENES'!$Q$4:$Q$1203,C$38)</f>
        <v/>
      </c>
      <c r="D47" s="18">
        <f>SUMIFS('ORDENES'!$AM$4:$AM$1203,'ORDENES'!$W$4:$W$1203,$A47,'ORDENES'!$P$4:$P$1203,D$37,'ORDENES'!$Q$4:$Q$1203,D$38)</f>
        <v/>
      </c>
      <c r="E47" s="18">
        <f>SUMIFS('ORDENES'!$AM$4:$AM$1203,'ORDENES'!$W$4:$W$1203,$A47,'ORDENES'!$P$4:$P$1203,E$37,'ORDENES'!$Q$4:$Q$1203,E$38)</f>
        <v/>
      </c>
      <c r="F47" s="18">
        <f>SUMIFS('ORDENES'!$AM$4:$AM$1203,'ORDENES'!$W$4:$W$1203,$A47,'ORDENES'!$P$4:$P$1203,F$37,'ORDENES'!$Q$4:$Q$1203,F$38)</f>
        <v/>
      </c>
      <c r="G47" s="18">
        <f>SUMIFS('ORDENES'!$AM$4:$AM$1203,'ORDENES'!$W$4:$W$1203,$A47,'ORDENES'!$P$4:$P$1203,G$37,'ORDENES'!$Q$4:$Q$1203,G$38)</f>
        <v/>
      </c>
      <c r="H47" s="18">
        <f>SUMIFS('ORDENES'!$AM$4:$AM$1203,'ORDENES'!$W$4:$W$1203,$A47,'ORDENES'!$P$4:$P$1203,H$37,'ORDENES'!$Q$4:$Q$1203,H$38)</f>
        <v/>
      </c>
      <c r="I47" s="18">
        <f>SUMIFS('ORDENES'!$AM$4:$AM$1203,'ORDENES'!$W$4:$W$1203,$A47,'ORDENES'!$P$4:$P$1203,I$37,'ORDENES'!$Q$4:$Q$1203,I$38)</f>
        <v/>
      </c>
      <c r="J47" s="18">
        <f>SUMIFS('ORDENES'!$AM$4:$AM$1203,'ORDENES'!$W$4:$W$1203,$A47,'ORDENES'!$P$4:$P$1203,J$37,'ORDENES'!$Q$4:$Q$1203,J$38)</f>
        <v/>
      </c>
      <c r="K47" s="18">
        <f>SUMIFS('ORDENES'!$AM$4:$AM$1203,'ORDENES'!$W$4:$W$1203,$A47,'ORDENES'!$P$4:$P$1203,K$37,'ORDENES'!$Q$4:$Q$1203,K$38)</f>
        <v/>
      </c>
      <c r="L47" s="18">
        <f>SUMIFS('ORDENES'!$AM$4:$AM$1203,'ORDENES'!$W$4:$W$1203,$A47,'ORDENES'!$P$4:$P$1203,L$37,'ORDENES'!$Q$4:$Q$1203,L$38)</f>
        <v/>
      </c>
      <c r="M47" s="18">
        <f>SUM(B47:L47)</f>
        <v/>
      </c>
    </row>
    <row r="48">
      <c r="A48" s="5" t="inlineStr">
        <is>
          <t>AC</t>
        </is>
      </c>
      <c r="B48" s="18">
        <f>SUMIFS('ORDENES'!$AM$4:$AM$1203,'ORDENES'!$W$4:$W$1203,$A48,'ORDENES'!$P$4:$P$1203,B$37,'ORDENES'!$Q$4:$Q$1203,B$38)</f>
        <v/>
      </c>
      <c r="C48" s="18">
        <f>SUMIFS('ORDENES'!$AM$4:$AM$1203,'ORDENES'!$W$4:$W$1203,$A48,'ORDENES'!$P$4:$P$1203,C$37,'ORDENES'!$Q$4:$Q$1203,C$38)</f>
        <v/>
      </c>
      <c r="D48" s="18">
        <f>SUMIFS('ORDENES'!$AM$4:$AM$1203,'ORDENES'!$W$4:$W$1203,$A48,'ORDENES'!$P$4:$P$1203,D$37,'ORDENES'!$Q$4:$Q$1203,D$38)</f>
        <v/>
      </c>
      <c r="E48" s="18">
        <f>SUMIFS('ORDENES'!$AM$4:$AM$1203,'ORDENES'!$W$4:$W$1203,$A48,'ORDENES'!$P$4:$P$1203,E$37,'ORDENES'!$Q$4:$Q$1203,E$38)</f>
        <v/>
      </c>
      <c r="F48" s="18">
        <f>SUMIFS('ORDENES'!$AM$4:$AM$1203,'ORDENES'!$W$4:$W$1203,$A48,'ORDENES'!$P$4:$P$1203,F$37,'ORDENES'!$Q$4:$Q$1203,F$38)</f>
        <v/>
      </c>
      <c r="G48" s="18">
        <f>SUMIFS('ORDENES'!$AM$4:$AM$1203,'ORDENES'!$W$4:$W$1203,$A48,'ORDENES'!$P$4:$P$1203,G$37,'ORDENES'!$Q$4:$Q$1203,G$38)</f>
        <v/>
      </c>
      <c r="H48" s="18">
        <f>SUMIFS('ORDENES'!$AM$4:$AM$1203,'ORDENES'!$W$4:$W$1203,$A48,'ORDENES'!$P$4:$P$1203,H$37,'ORDENES'!$Q$4:$Q$1203,H$38)</f>
        <v/>
      </c>
      <c r="I48" s="18">
        <f>SUMIFS('ORDENES'!$AM$4:$AM$1203,'ORDENES'!$W$4:$W$1203,$A48,'ORDENES'!$P$4:$P$1203,I$37,'ORDENES'!$Q$4:$Q$1203,I$38)</f>
        <v/>
      </c>
      <c r="J48" s="18">
        <f>SUMIFS('ORDENES'!$AM$4:$AM$1203,'ORDENES'!$W$4:$W$1203,$A48,'ORDENES'!$P$4:$P$1203,J$37,'ORDENES'!$Q$4:$Q$1203,J$38)</f>
        <v/>
      </c>
      <c r="K48" s="18">
        <f>SUMIFS('ORDENES'!$AM$4:$AM$1203,'ORDENES'!$W$4:$W$1203,$A48,'ORDENES'!$P$4:$P$1203,K$37,'ORDENES'!$Q$4:$Q$1203,K$38)</f>
        <v/>
      </c>
      <c r="L48" s="18">
        <f>SUMIFS('ORDENES'!$AM$4:$AM$1203,'ORDENES'!$W$4:$W$1203,$A48,'ORDENES'!$P$4:$P$1203,L$37,'ORDENES'!$Q$4:$Q$1203,L$38)</f>
        <v/>
      </c>
      <c r="M48" s="18">
        <f>SUM(B48:L48)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  <c r="E49" s="18">
        <f>SUM(E39:E48)</f>
        <v/>
      </c>
      <c r="F49" s="18">
        <f>SUM(F39:F48)</f>
        <v/>
      </c>
      <c r="G49" s="18">
        <f>SUM(G39:G48)</f>
        <v/>
      </c>
      <c r="H49" s="18">
        <f>SUM(H39:H48)</f>
        <v/>
      </c>
      <c r="I49" s="18">
        <f>SUM(I39:I48)</f>
        <v/>
      </c>
      <c r="J49" s="18">
        <f>SUM(J39:J48)</f>
        <v/>
      </c>
      <c r="K49" s="18">
        <f>SUM(K39:K48)</f>
        <v/>
      </c>
      <c r="L49" s="18">
        <f>SUM(L39:L48)</f>
        <v/>
      </c>
      <c r="M49" s="18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3" t="inlineStr">
        <is>
          <t>BLOQUE DE ENTRADA — plan manual del año (azul = editable)</t>
        </is>
      </c>
    </row>
    <row r="7">
      <c r="A7" s="15" t="inlineStr">
        <is>
          <t>categoria</t>
        </is>
      </c>
      <c r="B7" s="15" t="inlineStr">
        <is>
          <t>clasificacion</t>
        </is>
      </c>
      <c r="C7" s="15" t="inlineStr">
        <is>
          <t>ene</t>
        </is>
      </c>
      <c r="D7" s="15" t="inlineStr">
        <is>
          <t>feb</t>
        </is>
      </c>
      <c r="E7" s="15" t="inlineStr">
        <is>
          <t>mar</t>
        </is>
      </c>
      <c r="F7" s="15" t="inlineStr">
        <is>
          <t>abr</t>
        </is>
      </c>
      <c r="G7" s="15" t="inlineStr">
        <is>
          <t>may</t>
        </is>
      </c>
      <c r="H7" s="15" t="inlineStr">
        <is>
          <t>jun</t>
        </is>
      </c>
      <c r="I7" s="15" t="inlineStr">
        <is>
          <t>jul</t>
        </is>
      </c>
      <c r="J7" s="15" t="inlineStr">
        <is>
          <t>ago</t>
        </is>
      </c>
      <c r="K7" s="15" t="inlineStr">
        <is>
          <t>sep</t>
        </is>
      </c>
      <c r="L7" s="15" t="inlineStr">
        <is>
          <t>oct</t>
        </is>
      </c>
      <c r="M7" s="15" t="inlineStr">
        <is>
          <t>nov</t>
        </is>
      </c>
      <c r="N7" s="15" t="inlineStr">
        <is>
          <t>dic</t>
        </is>
      </c>
      <c r="O7" s="15" t="inlineStr">
        <is>
          <t>presupuesto_anual</t>
        </is>
      </c>
      <c r="P7" s="15" t="inlineStr">
        <is>
          <t>suma_12_meses</t>
        </is>
      </c>
      <c r="Q7" s="15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3" t="n">
        <v>0</v>
      </c>
      <c r="D8" s="23" t="n">
        <v>100</v>
      </c>
      <c r="E8" s="23" t="n">
        <v>260</v>
      </c>
      <c r="F8" s="23" t="n">
        <v>260</v>
      </c>
      <c r="G8" s="23" t="n">
        <v>100</v>
      </c>
      <c r="H8" s="23" t="n">
        <v>550</v>
      </c>
      <c r="I8" s="23" t="n">
        <v>6930</v>
      </c>
      <c r="J8" s="23" t="n">
        <v>2700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10900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3" t="n">
        <v>0</v>
      </c>
      <c r="D9" s="23" t="n">
        <v>0</v>
      </c>
      <c r="E9" s="23" t="n">
        <v>80</v>
      </c>
      <c r="F9" s="23" t="n">
        <v>460</v>
      </c>
      <c r="G9" s="23" t="n">
        <v>240</v>
      </c>
      <c r="H9" s="23" t="n">
        <v>0</v>
      </c>
      <c r="I9" s="23" t="n">
        <v>4050</v>
      </c>
      <c r="J9" s="23" t="n">
        <v>1220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6050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3" t="n">
        <v>400</v>
      </c>
      <c r="D10" s="23" t="n">
        <v>400</v>
      </c>
      <c r="E10" s="23" t="n">
        <v>400</v>
      </c>
      <c r="F10" s="23" t="n">
        <v>400</v>
      </c>
      <c r="G10" s="23" t="n">
        <v>400</v>
      </c>
      <c r="H10" s="23" t="n">
        <v>400</v>
      </c>
      <c r="I10" s="23" t="n">
        <v>400</v>
      </c>
      <c r="J10" s="23" t="n">
        <v>400</v>
      </c>
      <c r="K10" s="23" t="n">
        <v>400</v>
      </c>
      <c r="L10" s="23" t="n">
        <v>400</v>
      </c>
      <c r="M10" s="23" t="n">
        <v>400</v>
      </c>
      <c r="N10" s="23" t="n">
        <v>400</v>
      </c>
      <c r="O10" s="23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3" t="n">
        <v>0</v>
      </c>
      <c r="D11" s="23" t="n">
        <v>760</v>
      </c>
      <c r="E11" s="23" t="n">
        <v>820</v>
      </c>
      <c r="F11" s="23" t="n">
        <v>2600</v>
      </c>
      <c r="G11" s="23" t="n">
        <v>2380</v>
      </c>
      <c r="H11" s="23" t="n">
        <v>3920</v>
      </c>
      <c r="I11" s="23" t="n">
        <v>4600</v>
      </c>
      <c r="J11" s="23" t="n">
        <v>1330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16410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3" t="n">
        <v>400</v>
      </c>
      <c r="D12" s="23" t="n">
        <v>400</v>
      </c>
      <c r="E12" s="23" t="n">
        <v>400</v>
      </c>
      <c r="F12" s="23" t="n">
        <v>400</v>
      </c>
      <c r="G12" s="23" t="n">
        <v>400</v>
      </c>
      <c r="H12" s="23" t="n">
        <v>400</v>
      </c>
      <c r="I12" s="23" t="n">
        <v>400</v>
      </c>
      <c r="J12" s="23" t="n">
        <v>400</v>
      </c>
      <c r="K12" s="23" t="n">
        <v>400</v>
      </c>
      <c r="L12" s="23" t="n">
        <v>400</v>
      </c>
      <c r="M12" s="23" t="n">
        <v>400</v>
      </c>
      <c r="N12" s="23" t="n">
        <v>400</v>
      </c>
      <c r="O12" s="23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3" t="n">
        <v>400</v>
      </c>
      <c r="D13" s="23" t="n">
        <v>400</v>
      </c>
      <c r="E13" s="23" t="n">
        <v>400</v>
      </c>
      <c r="F13" s="23" t="n">
        <v>400</v>
      </c>
      <c r="G13" s="23" t="n">
        <v>400</v>
      </c>
      <c r="H13" s="23" t="n">
        <v>400</v>
      </c>
      <c r="I13" s="23" t="n">
        <v>400</v>
      </c>
      <c r="J13" s="23" t="n">
        <v>400</v>
      </c>
      <c r="K13" s="23" t="n">
        <v>400</v>
      </c>
      <c r="L13" s="23" t="n">
        <v>400</v>
      </c>
      <c r="M13" s="23" t="n">
        <v>400</v>
      </c>
      <c r="N13" s="23" t="n">
        <v>400</v>
      </c>
      <c r="O13" s="23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5" t="inlineStr">
        <is>
          <t>categoria</t>
        </is>
      </c>
      <c r="B20" s="15" t="inlineStr">
        <is>
          <t>clasificacion</t>
        </is>
      </c>
      <c r="C20" s="15" t="inlineStr">
        <is>
          <t>ene</t>
        </is>
      </c>
      <c r="D20" s="15" t="inlineStr">
        <is>
          <t>feb</t>
        </is>
      </c>
      <c r="E20" s="15" t="inlineStr">
        <is>
          <t>mar</t>
        </is>
      </c>
      <c r="F20" s="15" t="inlineStr">
        <is>
          <t>abr</t>
        </is>
      </c>
      <c r="G20" s="15" t="inlineStr">
        <is>
          <t>may</t>
        </is>
      </c>
      <c r="H20" s="15" t="inlineStr">
        <is>
          <t>jun</t>
        </is>
      </c>
      <c r="I20" s="15" t="inlineStr">
        <is>
          <t>jul</t>
        </is>
      </c>
      <c r="J20" s="15" t="inlineStr">
        <is>
          <t>ago</t>
        </is>
      </c>
      <c r="K20" s="15" t="inlineStr">
        <is>
          <t>sep</t>
        </is>
      </c>
      <c r="L20" s="15" t="inlineStr">
        <is>
          <t>oct</t>
        </is>
      </c>
      <c r="M20" s="15" t="inlineStr">
        <is>
          <t>nov</t>
        </is>
      </c>
      <c r="N20" s="15" t="inlineStr">
        <is>
          <t>dic</t>
        </is>
      </c>
      <c r="O20" s="15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5" t="inlineStr">
        <is>
          <t>categoria</t>
        </is>
      </c>
      <c r="B33" s="15" t="inlineStr">
        <is>
          <t>clasificacion</t>
        </is>
      </c>
      <c r="C33" s="15" t="inlineStr">
        <is>
          <t>ene</t>
        </is>
      </c>
      <c r="D33" s="15" t="inlineStr">
        <is>
          <t>feb</t>
        </is>
      </c>
      <c r="E33" s="15" t="inlineStr">
        <is>
          <t>mar</t>
        </is>
      </c>
      <c r="F33" s="15" t="inlineStr">
        <is>
          <t>abr</t>
        </is>
      </c>
      <c r="G33" s="15" t="inlineStr">
        <is>
          <t>may</t>
        </is>
      </c>
      <c r="H33" s="15" t="inlineStr">
        <is>
          <t>jun</t>
        </is>
      </c>
      <c r="I33" s="15" t="inlineStr">
        <is>
          <t>jul</t>
        </is>
      </c>
      <c r="J33" s="15" t="inlineStr">
        <is>
          <t>ago</t>
        </is>
      </c>
      <c r="K33" s="15" t="inlineStr">
        <is>
          <t>sep</t>
        </is>
      </c>
      <c r="L33" s="15" t="inlineStr">
        <is>
          <t>oct</t>
        </is>
      </c>
      <c r="M33" s="15" t="inlineStr">
        <is>
          <t>nov</t>
        </is>
      </c>
      <c r="N33" s="15" t="inlineStr">
        <is>
          <t>dic</t>
        </is>
      </c>
      <c r="O33" s="15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SUMIFS('ORDENES'!$AM$4:$AM$1203,'ORDENES'!$P$4:$P$1203,p_anio_presupuesto,'ORDENES'!$Q$4:$Q$1203,1,'ORDENES'!$AN$4:$AN$1203,$A34)</f>
        <v/>
      </c>
      <c r="D34" s="18">
        <f>SUMIFS('ORDENES'!$AM$4:$AM$1203,'ORDENES'!$P$4:$P$1203,p_anio_presupuesto,'ORDENES'!$Q$4:$Q$1203,2,'ORDENES'!$AN$4:$AN$1203,$A34)</f>
        <v/>
      </c>
      <c r="E34" s="18">
        <f>SUMIFS('ORDENES'!$AM$4:$AM$1203,'ORDENES'!$P$4:$P$1203,p_anio_presupuesto,'ORDENES'!$Q$4:$Q$1203,3,'ORDENES'!$AN$4:$AN$1203,$A34)</f>
        <v/>
      </c>
      <c r="F34" s="18">
        <f>SUMIFS('ORDENES'!$AM$4:$AM$1203,'ORDENES'!$P$4:$P$1203,p_anio_presupuesto,'ORDENES'!$Q$4:$Q$1203,4,'ORDENES'!$AN$4:$AN$1203,$A34)</f>
        <v/>
      </c>
      <c r="G34" s="18">
        <f>SUMIFS('ORDENES'!$AM$4:$AM$1203,'ORDENES'!$P$4:$P$1203,p_anio_presupuesto,'ORDENES'!$Q$4:$Q$1203,5,'ORDENES'!$AN$4:$AN$1203,$A34)</f>
        <v/>
      </c>
      <c r="H34" s="18">
        <f>SUMIFS('ORDENES'!$AM$4:$AM$1203,'ORDENES'!$P$4:$P$1203,p_anio_presupuesto,'ORDENES'!$Q$4:$Q$1203,6,'ORDENES'!$AN$4:$AN$1203,$A34)</f>
        <v/>
      </c>
      <c r="I34" s="18">
        <f>SUMIFS('ORDENES'!$AM$4:$AM$1203,'ORDENES'!$P$4:$P$1203,p_anio_presupuesto,'ORDENES'!$Q$4:$Q$1203,7,'ORDENES'!$AN$4:$AN$1203,$A34)</f>
        <v/>
      </c>
      <c r="J34" s="18">
        <f>SUMIFS('ORDENES'!$AM$4:$AM$1203,'ORDENES'!$P$4:$P$1203,p_anio_presupuesto,'ORDENES'!$Q$4:$Q$1203,8,'ORDENES'!$AN$4:$AN$1203,$A34)</f>
        <v/>
      </c>
      <c r="K34" s="18">
        <f>SUMIFS('ORDENES'!$AM$4:$AM$1203,'ORDENES'!$P$4:$P$1203,p_anio_presupuesto,'ORDENES'!$Q$4:$Q$1203,9,'ORDENES'!$AN$4:$AN$1203,$A34)</f>
        <v/>
      </c>
      <c r="L34" s="18">
        <f>SUMIFS('ORDENES'!$AM$4:$AM$1203,'ORDENES'!$P$4:$P$1203,p_anio_presupuesto,'ORDENES'!$Q$4:$Q$1203,10,'ORDENES'!$AN$4:$AN$1203,$A34)</f>
        <v/>
      </c>
      <c r="M34" s="18">
        <f>SUMIFS('ORDENES'!$AM$4:$AM$1203,'ORDENES'!$P$4:$P$1203,p_anio_presupuesto,'ORDENES'!$Q$4:$Q$1203,11,'ORDENES'!$AN$4:$AN$1203,$A34)</f>
        <v/>
      </c>
      <c r="N34" s="18">
        <f>SUMIFS('ORDENES'!$AM$4:$AM$1203,'ORDENES'!$P$4:$P$1203,p_anio_presupuesto,'ORDENES'!$Q$4:$Q$1203,12,'ORDENES'!$AN$4:$AN$1203,$A34)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SUMIFS('ORDENES'!$AM$4:$AM$1203,'ORDENES'!$P$4:$P$1203,p_anio_presupuesto,'ORDENES'!$Q$4:$Q$1203,1,'ORDENES'!$AN$4:$AN$1203,$A35)</f>
        <v/>
      </c>
      <c r="D35" s="18">
        <f>SUMIFS('ORDENES'!$AM$4:$AM$1203,'ORDENES'!$P$4:$P$1203,p_anio_presupuesto,'ORDENES'!$Q$4:$Q$1203,2,'ORDENES'!$AN$4:$AN$1203,$A35)</f>
        <v/>
      </c>
      <c r="E35" s="18">
        <f>SUMIFS('ORDENES'!$AM$4:$AM$1203,'ORDENES'!$P$4:$P$1203,p_anio_presupuesto,'ORDENES'!$Q$4:$Q$1203,3,'ORDENES'!$AN$4:$AN$1203,$A35)</f>
        <v/>
      </c>
      <c r="F35" s="18">
        <f>SUMIFS('ORDENES'!$AM$4:$AM$1203,'ORDENES'!$P$4:$P$1203,p_anio_presupuesto,'ORDENES'!$Q$4:$Q$1203,4,'ORDENES'!$AN$4:$AN$1203,$A35)</f>
        <v/>
      </c>
      <c r="G35" s="18">
        <f>SUMIFS('ORDENES'!$AM$4:$AM$1203,'ORDENES'!$P$4:$P$1203,p_anio_presupuesto,'ORDENES'!$Q$4:$Q$1203,5,'ORDENES'!$AN$4:$AN$1203,$A35)</f>
        <v/>
      </c>
      <c r="H35" s="18">
        <f>SUMIFS('ORDENES'!$AM$4:$AM$1203,'ORDENES'!$P$4:$P$1203,p_anio_presupuesto,'ORDENES'!$Q$4:$Q$1203,6,'ORDENES'!$AN$4:$AN$1203,$A35)</f>
        <v/>
      </c>
      <c r="I35" s="18">
        <f>SUMIFS('ORDENES'!$AM$4:$AM$1203,'ORDENES'!$P$4:$P$1203,p_anio_presupuesto,'ORDENES'!$Q$4:$Q$1203,7,'ORDENES'!$AN$4:$AN$1203,$A35)</f>
        <v/>
      </c>
      <c r="J35" s="18">
        <f>SUMIFS('ORDENES'!$AM$4:$AM$1203,'ORDENES'!$P$4:$P$1203,p_anio_presupuesto,'ORDENES'!$Q$4:$Q$1203,8,'ORDENES'!$AN$4:$AN$1203,$A35)</f>
        <v/>
      </c>
      <c r="K35" s="18">
        <f>SUMIFS('ORDENES'!$AM$4:$AM$1203,'ORDENES'!$P$4:$P$1203,p_anio_presupuesto,'ORDENES'!$Q$4:$Q$1203,9,'ORDENES'!$AN$4:$AN$1203,$A35)</f>
        <v/>
      </c>
      <c r="L35" s="18">
        <f>SUMIFS('ORDENES'!$AM$4:$AM$1203,'ORDENES'!$P$4:$P$1203,p_anio_presupuesto,'ORDENES'!$Q$4:$Q$1203,10,'ORDENES'!$AN$4:$AN$1203,$A35)</f>
        <v/>
      </c>
      <c r="M35" s="18">
        <f>SUMIFS('ORDENES'!$AM$4:$AM$1203,'ORDENES'!$P$4:$P$1203,p_anio_presupuesto,'ORDENES'!$Q$4:$Q$1203,11,'ORDENES'!$AN$4:$AN$1203,$A35)</f>
        <v/>
      </c>
      <c r="N35" s="18">
        <f>SUMIFS('ORDENES'!$AM$4:$AM$1203,'ORDENES'!$P$4:$P$1203,p_anio_presupuesto,'ORDENES'!$Q$4:$Q$1203,12,'ORDENES'!$AN$4:$AN$1203,$A35)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SUMIFS('ORDENES'!$AM$4:$AM$1203,'ORDENES'!$P$4:$P$1203,p_anio_presupuesto,'ORDENES'!$Q$4:$Q$1203,1,'ORDENES'!$AN$4:$AN$1203,$A36)</f>
        <v/>
      </c>
      <c r="D36" s="18">
        <f>SUMIFS('ORDENES'!$AM$4:$AM$1203,'ORDENES'!$P$4:$P$1203,p_anio_presupuesto,'ORDENES'!$Q$4:$Q$1203,2,'ORDENES'!$AN$4:$AN$1203,$A36)</f>
        <v/>
      </c>
      <c r="E36" s="18">
        <f>SUMIFS('ORDENES'!$AM$4:$AM$1203,'ORDENES'!$P$4:$P$1203,p_anio_presupuesto,'ORDENES'!$Q$4:$Q$1203,3,'ORDENES'!$AN$4:$AN$1203,$A36)</f>
        <v/>
      </c>
      <c r="F36" s="18">
        <f>SUMIFS('ORDENES'!$AM$4:$AM$1203,'ORDENES'!$P$4:$P$1203,p_anio_presupuesto,'ORDENES'!$Q$4:$Q$1203,4,'ORDENES'!$AN$4:$AN$1203,$A36)</f>
        <v/>
      </c>
      <c r="G36" s="18">
        <f>SUMIFS('ORDENES'!$AM$4:$AM$1203,'ORDENES'!$P$4:$P$1203,p_anio_presupuesto,'ORDENES'!$Q$4:$Q$1203,5,'ORDENES'!$AN$4:$AN$1203,$A36)</f>
        <v/>
      </c>
      <c r="H36" s="18">
        <f>SUMIFS('ORDENES'!$AM$4:$AM$1203,'ORDENES'!$P$4:$P$1203,p_anio_presupuesto,'ORDENES'!$Q$4:$Q$1203,6,'ORDENES'!$AN$4:$AN$1203,$A36)</f>
        <v/>
      </c>
      <c r="I36" s="18">
        <f>SUMIFS('ORDENES'!$AM$4:$AM$1203,'ORDENES'!$P$4:$P$1203,p_anio_presupuesto,'ORDENES'!$Q$4:$Q$1203,7,'ORDENES'!$AN$4:$AN$1203,$A36)</f>
        <v/>
      </c>
      <c r="J36" s="18">
        <f>SUMIFS('ORDENES'!$AM$4:$AM$1203,'ORDENES'!$P$4:$P$1203,p_anio_presupuesto,'ORDENES'!$Q$4:$Q$1203,8,'ORDENES'!$AN$4:$AN$1203,$A36)</f>
        <v/>
      </c>
      <c r="K36" s="18">
        <f>SUMIFS('ORDENES'!$AM$4:$AM$1203,'ORDENES'!$P$4:$P$1203,p_anio_presupuesto,'ORDENES'!$Q$4:$Q$1203,9,'ORDENES'!$AN$4:$AN$1203,$A36)</f>
        <v/>
      </c>
      <c r="L36" s="18">
        <f>SUMIFS('ORDENES'!$AM$4:$AM$1203,'ORDENES'!$P$4:$P$1203,p_anio_presupuesto,'ORDENES'!$Q$4:$Q$1203,10,'ORDENES'!$AN$4:$AN$1203,$A36)</f>
        <v/>
      </c>
      <c r="M36" s="18">
        <f>SUMIFS('ORDENES'!$AM$4:$AM$1203,'ORDENES'!$P$4:$P$1203,p_anio_presupuesto,'ORDENES'!$Q$4:$Q$1203,11,'ORDENES'!$AN$4:$AN$1203,$A36)</f>
        <v/>
      </c>
      <c r="N36" s="18">
        <f>SUMIFS('ORDENES'!$AM$4:$AM$1203,'ORDENES'!$P$4:$P$1203,p_anio_presupuesto,'ORDENES'!$Q$4:$Q$1203,12,'ORDENES'!$AN$4:$AN$1203,$A36)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SUMIFS('ORDENES'!$AM$4:$AM$1203,'ORDENES'!$P$4:$P$1203,p_anio_presupuesto,'ORDENES'!$Q$4:$Q$1203,1,'ORDENES'!$AN$4:$AN$1203,$A37)</f>
        <v/>
      </c>
      <c r="D37" s="18">
        <f>SUMIFS('ORDENES'!$AM$4:$AM$1203,'ORDENES'!$P$4:$P$1203,p_anio_presupuesto,'ORDENES'!$Q$4:$Q$1203,2,'ORDENES'!$AN$4:$AN$1203,$A37)</f>
        <v/>
      </c>
      <c r="E37" s="18">
        <f>SUMIFS('ORDENES'!$AM$4:$AM$1203,'ORDENES'!$P$4:$P$1203,p_anio_presupuesto,'ORDENES'!$Q$4:$Q$1203,3,'ORDENES'!$AN$4:$AN$1203,$A37)</f>
        <v/>
      </c>
      <c r="F37" s="18">
        <f>SUMIFS('ORDENES'!$AM$4:$AM$1203,'ORDENES'!$P$4:$P$1203,p_anio_presupuesto,'ORDENES'!$Q$4:$Q$1203,4,'ORDENES'!$AN$4:$AN$1203,$A37)</f>
        <v/>
      </c>
      <c r="G37" s="18">
        <f>SUMIFS('ORDENES'!$AM$4:$AM$1203,'ORDENES'!$P$4:$P$1203,p_anio_presupuesto,'ORDENES'!$Q$4:$Q$1203,5,'ORDENES'!$AN$4:$AN$1203,$A37)</f>
        <v/>
      </c>
      <c r="H37" s="18">
        <f>SUMIFS('ORDENES'!$AM$4:$AM$1203,'ORDENES'!$P$4:$P$1203,p_anio_presupuesto,'ORDENES'!$Q$4:$Q$1203,6,'ORDENES'!$AN$4:$AN$1203,$A37)</f>
        <v/>
      </c>
      <c r="I37" s="18">
        <f>SUMIFS('ORDENES'!$AM$4:$AM$1203,'ORDENES'!$P$4:$P$1203,p_anio_presupuesto,'ORDENES'!$Q$4:$Q$1203,7,'ORDENES'!$AN$4:$AN$1203,$A37)</f>
        <v/>
      </c>
      <c r="J37" s="18">
        <f>SUMIFS('ORDENES'!$AM$4:$AM$1203,'ORDENES'!$P$4:$P$1203,p_anio_presupuesto,'ORDENES'!$Q$4:$Q$1203,8,'ORDENES'!$AN$4:$AN$1203,$A37)</f>
        <v/>
      </c>
      <c r="K37" s="18">
        <f>SUMIFS('ORDENES'!$AM$4:$AM$1203,'ORDENES'!$P$4:$P$1203,p_anio_presupuesto,'ORDENES'!$Q$4:$Q$1203,9,'ORDENES'!$AN$4:$AN$1203,$A37)</f>
        <v/>
      </c>
      <c r="L37" s="18">
        <f>SUMIFS('ORDENES'!$AM$4:$AM$1203,'ORDENES'!$P$4:$P$1203,p_anio_presupuesto,'ORDENES'!$Q$4:$Q$1203,10,'ORDENES'!$AN$4:$AN$1203,$A37)</f>
        <v/>
      </c>
      <c r="M37" s="18">
        <f>SUMIFS('ORDENES'!$AM$4:$AM$1203,'ORDENES'!$P$4:$P$1203,p_anio_presupuesto,'ORDENES'!$Q$4:$Q$1203,11,'ORDENES'!$AN$4:$AN$1203,$A37)</f>
        <v/>
      </c>
      <c r="N37" s="18">
        <f>SUMIFS('ORDENES'!$AM$4:$AM$1203,'ORDENES'!$P$4:$P$1203,p_anio_presupuesto,'ORDENES'!$Q$4:$Q$1203,12,'ORDENES'!$AN$4:$AN$1203,$A37)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SUMIFS('ORDENES'!$AM$4:$AM$1203,'ORDENES'!$P$4:$P$1203,p_anio_presupuesto,'ORDENES'!$Q$4:$Q$1203,1,'ORDENES'!$AN$4:$AN$1203,$A38)</f>
        <v/>
      </c>
      <c r="D38" s="18">
        <f>SUMIFS('ORDENES'!$AM$4:$AM$1203,'ORDENES'!$P$4:$P$1203,p_anio_presupuesto,'ORDENES'!$Q$4:$Q$1203,2,'ORDENES'!$AN$4:$AN$1203,$A38)</f>
        <v/>
      </c>
      <c r="E38" s="18">
        <f>SUMIFS('ORDENES'!$AM$4:$AM$1203,'ORDENES'!$P$4:$P$1203,p_anio_presupuesto,'ORDENES'!$Q$4:$Q$1203,3,'ORDENES'!$AN$4:$AN$1203,$A38)</f>
        <v/>
      </c>
      <c r="F38" s="18">
        <f>SUMIFS('ORDENES'!$AM$4:$AM$1203,'ORDENES'!$P$4:$P$1203,p_anio_presupuesto,'ORDENES'!$Q$4:$Q$1203,4,'ORDENES'!$AN$4:$AN$1203,$A38)</f>
        <v/>
      </c>
      <c r="G38" s="18">
        <f>SUMIFS('ORDENES'!$AM$4:$AM$1203,'ORDENES'!$P$4:$P$1203,p_anio_presupuesto,'ORDENES'!$Q$4:$Q$1203,5,'ORDENES'!$AN$4:$AN$1203,$A38)</f>
        <v/>
      </c>
      <c r="H38" s="18">
        <f>SUMIFS('ORDENES'!$AM$4:$AM$1203,'ORDENES'!$P$4:$P$1203,p_anio_presupuesto,'ORDENES'!$Q$4:$Q$1203,6,'ORDENES'!$AN$4:$AN$1203,$A38)</f>
        <v/>
      </c>
      <c r="I38" s="18">
        <f>SUMIFS('ORDENES'!$AM$4:$AM$1203,'ORDENES'!$P$4:$P$1203,p_anio_presupuesto,'ORDENES'!$Q$4:$Q$1203,7,'ORDENES'!$AN$4:$AN$1203,$A38)</f>
        <v/>
      </c>
      <c r="J38" s="18">
        <f>SUMIFS('ORDENES'!$AM$4:$AM$1203,'ORDENES'!$P$4:$P$1203,p_anio_presupuesto,'ORDENES'!$Q$4:$Q$1203,8,'ORDENES'!$AN$4:$AN$1203,$A38)</f>
        <v/>
      </c>
      <c r="K38" s="18">
        <f>SUMIFS('ORDENES'!$AM$4:$AM$1203,'ORDENES'!$P$4:$P$1203,p_anio_presupuesto,'ORDENES'!$Q$4:$Q$1203,9,'ORDENES'!$AN$4:$AN$1203,$A38)</f>
        <v/>
      </c>
      <c r="L38" s="18">
        <f>SUMIFS('ORDENES'!$AM$4:$AM$1203,'ORDENES'!$P$4:$P$1203,p_anio_presupuesto,'ORDENES'!$Q$4:$Q$1203,10,'ORDENES'!$AN$4:$AN$1203,$A38)</f>
        <v/>
      </c>
      <c r="M38" s="18">
        <f>SUMIFS('ORDENES'!$AM$4:$AM$1203,'ORDENES'!$P$4:$P$1203,p_anio_presupuesto,'ORDENES'!$Q$4:$Q$1203,11,'ORDENES'!$AN$4:$AN$1203,$A38)</f>
        <v/>
      </c>
      <c r="N38" s="18">
        <f>SUMIFS('ORDENES'!$AM$4:$AM$1203,'ORDENES'!$P$4:$P$1203,p_anio_presupuesto,'ORDENES'!$Q$4:$Q$1203,12,'ORDENES'!$AN$4:$AN$1203,$A38)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SUMIFS('ORDENES'!$AM$4:$AM$1203,'ORDENES'!$P$4:$P$1203,p_anio_presupuesto,'ORDENES'!$Q$4:$Q$1203,1,'ORDENES'!$AN$4:$AN$1203,$A39)</f>
        <v/>
      </c>
      <c r="D39" s="18">
        <f>SUMIFS('ORDENES'!$AM$4:$AM$1203,'ORDENES'!$P$4:$P$1203,p_anio_presupuesto,'ORDENES'!$Q$4:$Q$1203,2,'ORDENES'!$AN$4:$AN$1203,$A39)</f>
        <v/>
      </c>
      <c r="E39" s="18">
        <f>SUMIFS('ORDENES'!$AM$4:$AM$1203,'ORDENES'!$P$4:$P$1203,p_anio_presupuesto,'ORDENES'!$Q$4:$Q$1203,3,'ORDENES'!$AN$4:$AN$1203,$A39)</f>
        <v/>
      </c>
      <c r="F39" s="18">
        <f>SUMIFS('ORDENES'!$AM$4:$AM$1203,'ORDENES'!$P$4:$P$1203,p_anio_presupuesto,'ORDENES'!$Q$4:$Q$1203,4,'ORDENES'!$AN$4:$AN$1203,$A39)</f>
        <v/>
      </c>
      <c r="G39" s="18">
        <f>SUMIFS('ORDENES'!$AM$4:$AM$1203,'ORDENES'!$P$4:$P$1203,p_anio_presupuesto,'ORDENES'!$Q$4:$Q$1203,5,'ORDENES'!$AN$4:$AN$1203,$A39)</f>
        <v/>
      </c>
      <c r="H39" s="18">
        <f>SUMIFS('ORDENES'!$AM$4:$AM$1203,'ORDENES'!$P$4:$P$1203,p_anio_presupuesto,'ORDENES'!$Q$4:$Q$1203,6,'ORDENES'!$AN$4:$AN$1203,$A39)</f>
        <v/>
      </c>
      <c r="I39" s="18">
        <f>SUMIFS('ORDENES'!$AM$4:$AM$1203,'ORDENES'!$P$4:$P$1203,p_anio_presupuesto,'ORDENES'!$Q$4:$Q$1203,7,'ORDENES'!$AN$4:$AN$1203,$A39)</f>
        <v/>
      </c>
      <c r="J39" s="18">
        <f>SUMIFS('ORDENES'!$AM$4:$AM$1203,'ORDENES'!$P$4:$P$1203,p_anio_presupuesto,'ORDENES'!$Q$4:$Q$1203,8,'ORDENES'!$AN$4:$AN$1203,$A39)</f>
        <v/>
      </c>
      <c r="K39" s="18">
        <f>SUMIFS('ORDENES'!$AM$4:$AM$1203,'ORDENES'!$P$4:$P$1203,p_anio_presupuesto,'ORDENES'!$Q$4:$Q$1203,9,'ORDENES'!$AN$4:$AN$1203,$A39)</f>
        <v/>
      </c>
      <c r="L39" s="18">
        <f>SUMIFS('ORDENES'!$AM$4:$AM$1203,'ORDENES'!$P$4:$P$1203,p_anio_presupuesto,'ORDENES'!$Q$4:$Q$1203,10,'ORDENES'!$AN$4:$AN$1203,$A39)</f>
        <v/>
      </c>
      <c r="M39" s="18">
        <f>SUMIFS('ORDENES'!$AM$4:$AM$1203,'ORDENES'!$P$4:$P$1203,p_anio_presupuesto,'ORDENES'!$Q$4:$Q$1203,11,'ORDENES'!$AN$4:$AN$1203,$A39)</f>
        <v/>
      </c>
      <c r="N39" s="18">
        <f>SUMIFS('ORDENES'!$AM$4:$AM$1203,'ORDENES'!$P$4:$P$1203,p_anio_presupuesto,'ORDENES'!$Q$4:$Q$1203,12,'ORDENES'!$AN$4:$AN$1203,$A39)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SUMIFS('ORDENES'!$AM$4:$AM$1203,'ORDENES'!$P$4:$P$1203,p_anio_presupuesto,'ORDENES'!$Q$4:$Q$1203,1,'ORDENES'!$AN$4:$AN$1203,$A40)</f>
        <v/>
      </c>
      <c r="D40" s="18">
        <f>SUMIFS('ORDENES'!$AM$4:$AM$1203,'ORDENES'!$P$4:$P$1203,p_anio_presupuesto,'ORDENES'!$Q$4:$Q$1203,2,'ORDENES'!$AN$4:$AN$1203,$A40)</f>
        <v/>
      </c>
      <c r="E40" s="18">
        <f>SUMIFS('ORDENES'!$AM$4:$AM$1203,'ORDENES'!$P$4:$P$1203,p_anio_presupuesto,'ORDENES'!$Q$4:$Q$1203,3,'ORDENES'!$AN$4:$AN$1203,$A40)</f>
        <v/>
      </c>
      <c r="F40" s="18">
        <f>SUMIFS('ORDENES'!$AM$4:$AM$1203,'ORDENES'!$P$4:$P$1203,p_anio_presupuesto,'ORDENES'!$Q$4:$Q$1203,4,'ORDENES'!$AN$4:$AN$1203,$A40)</f>
        <v/>
      </c>
      <c r="G40" s="18">
        <f>SUMIFS('ORDENES'!$AM$4:$AM$1203,'ORDENES'!$P$4:$P$1203,p_anio_presupuesto,'ORDENES'!$Q$4:$Q$1203,5,'ORDENES'!$AN$4:$AN$1203,$A40)</f>
        <v/>
      </c>
      <c r="H40" s="18">
        <f>SUMIFS('ORDENES'!$AM$4:$AM$1203,'ORDENES'!$P$4:$P$1203,p_anio_presupuesto,'ORDENES'!$Q$4:$Q$1203,6,'ORDENES'!$AN$4:$AN$1203,$A40)</f>
        <v/>
      </c>
      <c r="I40" s="18">
        <f>SUMIFS('ORDENES'!$AM$4:$AM$1203,'ORDENES'!$P$4:$P$1203,p_anio_presupuesto,'ORDENES'!$Q$4:$Q$1203,7,'ORDENES'!$AN$4:$AN$1203,$A40)</f>
        <v/>
      </c>
      <c r="J40" s="18">
        <f>SUMIFS('ORDENES'!$AM$4:$AM$1203,'ORDENES'!$P$4:$P$1203,p_anio_presupuesto,'ORDENES'!$Q$4:$Q$1203,8,'ORDENES'!$AN$4:$AN$1203,$A40)</f>
        <v/>
      </c>
      <c r="K40" s="18">
        <f>SUMIFS('ORDENES'!$AM$4:$AM$1203,'ORDENES'!$P$4:$P$1203,p_anio_presupuesto,'ORDENES'!$Q$4:$Q$1203,9,'ORDENES'!$AN$4:$AN$1203,$A40)</f>
        <v/>
      </c>
      <c r="L40" s="18">
        <f>SUMIFS('ORDENES'!$AM$4:$AM$1203,'ORDENES'!$P$4:$P$1203,p_anio_presupuesto,'ORDENES'!$Q$4:$Q$1203,10,'ORDENES'!$AN$4:$AN$1203,$A40)</f>
        <v/>
      </c>
      <c r="M40" s="18">
        <f>SUMIFS('ORDENES'!$AM$4:$AM$1203,'ORDENES'!$P$4:$P$1203,p_anio_presupuesto,'ORDENES'!$Q$4:$Q$1203,11,'ORDENES'!$AN$4:$AN$1203,$A40)</f>
        <v/>
      </c>
      <c r="N40" s="18">
        <f>SUMIFS('ORDENES'!$AM$4:$AM$1203,'ORDENES'!$P$4:$P$1203,p_anio_presupuesto,'ORDENES'!$Q$4:$Q$1203,12,'ORDENES'!$AN$4:$AN$1203,$A40)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SUMIFS('ORDENES'!$AM$4:$AM$1203,'ORDENES'!$P$4:$P$1203,p_anio_presupuesto,'ORDENES'!$Q$4:$Q$1203,1)</f>
        <v/>
      </c>
      <c r="D44" s="18">
        <f>SUMIFS('ORDENES'!$AM$4:$AM$1203,'ORDENES'!$P$4:$P$1203,p_anio_presupuesto,'ORDENES'!$Q$4:$Q$1203,2)</f>
        <v/>
      </c>
      <c r="E44" s="18">
        <f>SUMIFS('ORDENES'!$AM$4:$AM$1203,'ORDENES'!$P$4:$P$1203,p_anio_presupuesto,'ORDENES'!$Q$4:$Q$1203,3)</f>
        <v/>
      </c>
      <c r="F44" s="18">
        <f>SUMIFS('ORDENES'!$AM$4:$AM$1203,'ORDENES'!$P$4:$P$1203,p_anio_presupuesto,'ORDENES'!$Q$4:$Q$1203,4)</f>
        <v/>
      </c>
      <c r="G44" s="18">
        <f>SUMIFS('ORDENES'!$AM$4:$AM$1203,'ORDENES'!$P$4:$P$1203,p_anio_presupuesto,'ORDENES'!$Q$4:$Q$1203,5)</f>
        <v/>
      </c>
      <c r="H44" s="18">
        <f>SUMIFS('ORDENES'!$AM$4:$AM$1203,'ORDENES'!$P$4:$P$1203,p_anio_presupuesto,'ORDENES'!$Q$4:$Q$1203,6)</f>
        <v/>
      </c>
      <c r="I44" s="18">
        <f>SUMIFS('ORDENES'!$AM$4:$AM$1203,'ORDENES'!$P$4:$P$1203,p_anio_presupuesto,'ORDENES'!$Q$4:$Q$1203,7)</f>
        <v/>
      </c>
      <c r="J44" s="18">
        <f>SUMIFS('ORDENES'!$AM$4:$AM$1203,'ORDENES'!$P$4:$P$1203,p_anio_presupuesto,'ORDENES'!$Q$4:$Q$1203,8)</f>
        <v/>
      </c>
      <c r="K44" s="18">
        <f>SUMIFS('ORDENES'!$AM$4:$AM$1203,'ORDENES'!$P$4:$P$1203,p_anio_presupuesto,'ORDENES'!$Q$4:$Q$1203,9)</f>
        <v/>
      </c>
      <c r="L44" s="18">
        <f>SUMIFS('ORDENES'!$AM$4:$AM$1203,'ORDENES'!$P$4:$P$1203,p_anio_presupuesto,'ORDENES'!$Q$4:$Q$1203,10)</f>
        <v/>
      </c>
      <c r="M44" s="18">
        <f>SUMIFS('ORDENES'!$AM$4:$AM$1203,'ORDENES'!$P$4:$P$1203,p_anio_presupuesto,'ORDENES'!$Q$4:$Q$1203,11)</f>
        <v/>
      </c>
      <c r="N44" s="18">
        <f>SUMIFS('ORDENES'!$AM$4:$AM$1203,'ORDENES'!$P$4:$P$1203,p_anio_presupuesto,'ORDENES'!$Q$4:$Q$1203,12)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5" t="inlineStr">
        <is>
          <t>categoria</t>
        </is>
      </c>
      <c r="B48" s="15" t="inlineStr">
        <is>
          <t>clasificacion</t>
        </is>
      </c>
      <c r="C48" s="15" t="inlineStr">
        <is>
          <t>ene</t>
        </is>
      </c>
      <c r="D48" s="15" t="inlineStr">
        <is>
          <t>feb</t>
        </is>
      </c>
      <c r="E48" s="15" t="inlineStr">
        <is>
          <t>mar</t>
        </is>
      </c>
      <c r="F48" s="15" t="inlineStr">
        <is>
          <t>abr</t>
        </is>
      </c>
      <c r="G48" s="15" t="inlineStr">
        <is>
          <t>may</t>
        </is>
      </c>
      <c r="H48" s="15" t="inlineStr">
        <is>
          <t>jun</t>
        </is>
      </c>
      <c r="I48" s="15" t="inlineStr">
        <is>
          <t>jul</t>
        </is>
      </c>
      <c r="J48" s="15" t="inlineStr">
        <is>
          <t>ago</t>
        </is>
      </c>
      <c r="K48" s="15" t="inlineStr">
        <is>
          <t>sep</t>
        </is>
      </c>
      <c r="L48" s="15" t="inlineStr">
        <is>
          <t>oct</t>
        </is>
      </c>
      <c r="M48" s="15" t="inlineStr">
        <is>
          <t>nov</t>
        </is>
      </c>
      <c r="N48" s="15" t="inlineStr">
        <is>
          <t>dic</t>
        </is>
      </c>
      <c r="O48" s="15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5" t="inlineStr">
        <is>
          <t>categoria</t>
        </is>
      </c>
      <c r="B61" s="15" t="inlineStr">
        <is>
          <t>clasificacion</t>
        </is>
      </c>
      <c r="C61" s="15" t="inlineStr">
        <is>
          <t>ene</t>
        </is>
      </c>
      <c r="D61" s="15" t="inlineStr">
        <is>
          <t>feb</t>
        </is>
      </c>
      <c r="E61" s="15" t="inlineStr">
        <is>
          <t>mar</t>
        </is>
      </c>
      <c r="F61" s="15" t="inlineStr">
        <is>
          <t>abr</t>
        </is>
      </c>
      <c r="G61" s="15" t="inlineStr">
        <is>
          <t>may</t>
        </is>
      </c>
      <c r="H61" s="15" t="inlineStr">
        <is>
          <t>jun</t>
        </is>
      </c>
      <c r="I61" s="15" t="inlineStr">
        <is>
          <t>jul</t>
        </is>
      </c>
      <c r="J61" s="15" t="inlineStr">
        <is>
          <t>ago</t>
        </is>
      </c>
      <c r="K61" s="15" t="inlineStr">
        <is>
          <t>sep</t>
        </is>
      </c>
      <c r="L61" s="15" t="inlineStr">
        <is>
          <t>oct</t>
        </is>
      </c>
      <c r="M61" s="15" t="inlineStr">
        <is>
          <t>nov</t>
        </is>
      </c>
      <c r="N61" s="15" t="inlineStr">
        <is>
          <t>dic</t>
        </is>
      </c>
      <c r="O61" s="15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6">
        <f>IF(C21=0,"",C49/C21)</f>
        <v/>
      </c>
      <c r="D62" s="16">
        <f>IF(D21=0,"",D49/D21)</f>
        <v/>
      </c>
      <c r="E62" s="16">
        <f>IF(E21=0,"",E49/E21)</f>
        <v/>
      </c>
      <c r="F62" s="16">
        <f>IF(F21=0,"",F49/F21)</f>
        <v/>
      </c>
      <c r="G62" s="16">
        <f>IF(G21=0,"",G49/G21)</f>
        <v/>
      </c>
      <c r="H62" s="16">
        <f>IF(H21=0,"",H49/H21)</f>
        <v/>
      </c>
      <c r="I62" s="16">
        <f>IF(I21=0,"",I49/I21)</f>
        <v/>
      </c>
      <c r="J62" s="16">
        <f>IF(J21=0,"",J49/J21)</f>
        <v/>
      </c>
      <c r="K62" s="16">
        <f>IF(K21=0,"",K49/K21)</f>
        <v/>
      </c>
      <c r="L62" s="16">
        <f>IF(L21=0,"",L49/L21)</f>
        <v/>
      </c>
      <c r="M62" s="16">
        <f>IF(M21=0,"",M49/M21)</f>
        <v/>
      </c>
      <c r="N62" s="16">
        <f>IF(N21=0,"",N49/N21)</f>
        <v/>
      </c>
      <c r="O62" s="16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6">
        <f>IF(C22=0,"",C50/C22)</f>
        <v/>
      </c>
      <c r="D63" s="16">
        <f>IF(D22=0,"",D50/D22)</f>
        <v/>
      </c>
      <c r="E63" s="16">
        <f>IF(E22=0,"",E50/E22)</f>
        <v/>
      </c>
      <c r="F63" s="16">
        <f>IF(F22=0,"",F50/F22)</f>
        <v/>
      </c>
      <c r="G63" s="16">
        <f>IF(G22=0,"",G50/G22)</f>
        <v/>
      </c>
      <c r="H63" s="16">
        <f>IF(H22=0,"",H50/H22)</f>
        <v/>
      </c>
      <c r="I63" s="16">
        <f>IF(I22=0,"",I50/I22)</f>
        <v/>
      </c>
      <c r="J63" s="16">
        <f>IF(J22=0,"",J50/J22)</f>
        <v/>
      </c>
      <c r="K63" s="16">
        <f>IF(K22=0,"",K50/K22)</f>
        <v/>
      </c>
      <c r="L63" s="16">
        <f>IF(L22=0,"",L50/L22)</f>
        <v/>
      </c>
      <c r="M63" s="16">
        <f>IF(M22=0,"",M50/M22)</f>
        <v/>
      </c>
      <c r="N63" s="16">
        <f>IF(N22=0,"",N50/N22)</f>
        <v/>
      </c>
      <c r="O63" s="16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6">
        <f>IF(C23=0,"",C51/C23)</f>
        <v/>
      </c>
      <c r="D64" s="16">
        <f>IF(D23=0,"",D51/D23)</f>
        <v/>
      </c>
      <c r="E64" s="16">
        <f>IF(E23=0,"",E51/E23)</f>
        <v/>
      </c>
      <c r="F64" s="16">
        <f>IF(F23=0,"",F51/F23)</f>
        <v/>
      </c>
      <c r="G64" s="16">
        <f>IF(G23=0,"",G51/G23)</f>
        <v/>
      </c>
      <c r="H64" s="16">
        <f>IF(H23=0,"",H51/H23)</f>
        <v/>
      </c>
      <c r="I64" s="16">
        <f>IF(I23=0,"",I51/I23)</f>
        <v/>
      </c>
      <c r="J64" s="16">
        <f>IF(J23=0,"",J51/J23)</f>
        <v/>
      </c>
      <c r="K64" s="16">
        <f>IF(K23=0,"",K51/K23)</f>
        <v/>
      </c>
      <c r="L64" s="16">
        <f>IF(L23=0,"",L51/L23)</f>
        <v/>
      </c>
      <c r="M64" s="16">
        <f>IF(M23=0,"",M51/M23)</f>
        <v/>
      </c>
      <c r="N64" s="16">
        <f>IF(N23=0,"",N51/N23)</f>
        <v/>
      </c>
      <c r="O64" s="16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6">
        <f>IF(C24=0,"",C52/C24)</f>
        <v/>
      </c>
      <c r="D65" s="16">
        <f>IF(D24=0,"",D52/D24)</f>
        <v/>
      </c>
      <c r="E65" s="16">
        <f>IF(E24=0,"",E52/E24)</f>
        <v/>
      </c>
      <c r="F65" s="16">
        <f>IF(F24=0,"",F52/F24)</f>
        <v/>
      </c>
      <c r="G65" s="16">
        <f>IF(G24=0,"",G52/G24)</f>
        <v/>
      </c>
      <c r="H65" s="16">
        <f>IF(H24=0,"",H52/H24)</f>
        <v/>
      </c>
      <c r="I65" s="16">
        <f>IF(I24=0,"",I52/I24)</f>
        <v/>
      </c>
      <c r="J65" s="16">
        <f>IF(J24=0,"",J52/J24)</f>
        <v/>
      </c>
      <c r="K65" s="16">
        <f>IF(K24=0,"",K52/K24)</f>
        <v/>
      </c>
      <c r="L65" s="16">
        <f>IF(L24=0,"",L52/L24)</f>
        <v/>
      </c>
      <c r="M65" s="16">
        <f>IF(M24=0,"",M52/M24)</f>
        <v/>
      </c>
      <c r="N65" s="16">
        <f>IF(N24=0,"",N52/N24)</f>
        <v/>
      </c>
      <c r="O65" s="16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6">
        <f>IF(C25=0,"",C53/C25)</f>
        <v/>
      </c>
      <c r="D66" s="16">
        <f>IF(D25=0,"",D53/D25)</f>
        <v/>
      </c>
      <c r="E66" s="16">
        <f>IF(E25=0,"",E53/E25)</f>
        <v/>
      </c>
      <c r="F66" s="16">
        <f>IF(F25=0,"",F53/F25)</f>
        <v/>
      </c>
      <c r="G66" s="16">
        <f>IF(G25=0,"",G53/G25)</f>
        <v/>
      </c>
      <c r="H66" s="16">
        <f>IF(H25=0,"",H53/H25)</f>
        <v/>
      </c>
      <c r="I66" s="16">
        <f>IF(I25=0,"",I53/I25)</f>
        <v/>
      </c>
      <c r="J66" s="16">
        <f>IF(J25=0,"",J53/J25)</f>
        <v/>
      </c>
      <c r="K66" s="16">
        <f>IF(K25=0,"",K53/K25)</f>
        <v/>
      </c>
      <c r="L66" s="16">
        <f>IF(L25=0,"",L53/L25)</f>
        <v/>
      </c>
      <c r="M66" s="16">
        <f>IF(M25=0,"",M53/M25)</f>
        <v/>
      </c>
      <c r="N66" s="16">
        <f>IF(N25=0,"",N53/N25)</f>
        <v/>
      </c>
      <c r="O66" s="16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6">
        <f>IF(C26=0,"",C54/C26)</f>
        <v/>
      </c>
      <c r="D67" s="16">
        <f>IF(D26=0,"",D54/D26)</f>
        <v/>
      </c>
      <c r="E67" s="16">
        <f>IF(E26=0,"",E54/E26)</f>
        <v/>
      </c>
      <c r="F67" s="16">
        <f>IF(F26=0,"",F54/F26)</f>
        <v/>
      </c>
      <c r="G67" s="16">
        <f>IF(G26=0,"",G54/G26)</f>
        <v/>
      </c>
      <c r="H67" s="16">
        <f>IF(H26=0,"",H54/H26)</f>
        <v/>
      </c>
      <c r="I67" s="16">
        <f>IF(I26=0,"",I54/I26)</f>
        <v/>
      </c>
      <c r="J67" s="16">
        <f>IF(J26=0,"",J54/J26)</f>
        <v/>
      </c>
      <c r="K67" s="16">
        <f>IF(K26=0,"",K54/K26)</f>
        <v/>
      </c>
      <c r="L67" s="16">
        <f>IF(L26=0,"",L54/L26)</f>
        <v/>
      </c>
      <c r="M67" s="16">
        <f>IF(M26=0,"",M54/M26)</f>
        <v/>
      </c>
      <c r="N67" s="16">
        <f>IF(N26=0,"",N54/N26)</f>
        <v/>
      </c>
      <c r="O67" s="16">
        <f>IF($O$26=0,"",$O$54/$O$26)</f>
        <v/>
      </c>
    </row>
    <row r="68">
      <c r="A68" s="5" t="inlineStr">
        <is>
          <t>SIN CLASIFICAR</t>
        </is>
      </c>
      <c r="B68" s="5" t="inlineStr"/>
      <c r="C68" s="16">
        <f>IF(C27=0,"",C55/C27)</f>
        <v/>
      </c>
      <c r="D68" s="16">
        <f>IF(D27=0,"",D55/D27)</f>
        <v/>
      </c>
      <c r="E68" s="16">
        <f>IF(E27=0,"",E55/E27)</f>
        <v/>
      </c>
      <c r="F68" s="16">
        <f>IF(F27=0,"",F55/F27)</f>
        <v/>
      </c>
      <c r="G68" s="16">
        <f>IF(G27=0,"",G55/G27)</f>
        <v/>
      </c>
      <c r="H68" s="16">
        <f>IF(H27=0,"",H55/H27)</f>
        <v/>
      </c>
      <c r="I68" s="16">
        <f>IF(I27=0,"",I55/I27)</f>
        <v/>
      </c>
      <c r="J68" s="16">
        <f>IF(J27=0,"",J55/J27)</f>
        <v/>
      </c>
      <c r="K68" s="16">
        <f>IF(K27=0,"",K55/K27)</f>
        <v/>
      </c>
      <c r="L68" s="16">
        <f>IF(L27=0,"",L55/L27)</f>
        <v/>
      </c>
      <c r="M68" s="16">
        <f>IF(M27=0,"",M55/M27)</f>
        <v/>
      </c>
      <c r="N68" s="16">
        <f>IF(N27=0,"",N55/N27)</f>
        <v/>
      </c>
      <c r="O68" s="16">
        <f>IF($O$27=0,"",$O$55/$O$27)</f>
        <v/>
      </c>
    </row>
    <row r="69">
      <c r="A69" s="3" t="inlineStr">
        <is>
          <t>Subtotal FIJO</t>
        </is>
      </c>
      <c r="B69" s="5" t="inlineStr"/>
      <c r="C69" s="16">
        <f>IF(C28=0,"",C56/C28)</f>
        <v/>
      </c>
      <c r="D69" s="16">
        <f>IF(D28=0,"",D56/D28)</f>
        <v/>
      </c>
      <c r="E69" s="16">
        <f>IF(E28=0,"",E56/E28)</f>
        <v/>
      </c>
      <c r="F69" s="16">
        <f>IF(F28=0,"",F56/F28)</f>
        <v/>
      </c>
      <c r="G69" s="16">
        <f>IF(G28=0,"",G56/G28)</f>
        <v/>
      </c>
      <c r="H69" s="16">
        <f>IF(H28=0,"",H56/H28)</f>
        <v/>
      </c>
      <c r="I69" s="16">
        <f>IF(I28=0,"",I56/I28)</f>
        <v/>
      </c>
      <c r="J69" s="16">
        <f>IF(J28=0,"",J56/J28)</f>
        <v/>
      </c>
      <c r="K69" s="16">
        <f>IF(K28=0,"",K56/K28)</f>
        <v/>
      </c>
      <c r="L69" s="16">
        <f>IF(L28=0,"",L56/L28)</f>
        <v/>
      </c>
      <c r="M69" s="16">
        <f>IF(M28=0,"",M56/M28)</f>
        <v/>
      </c>
      <c r="N69" s="16">
        <f>IF(N28=0,"",N56/N28)</f>
        <v/>
      </c>
      <c r="O69" s="16">
        <f>IF($O$28=0,"",$O$56/$O$28)</f>
        <v/>
      </c>
    </row>
    <row r="70">
      <c r="A70" s="3" t="inlineStr">
        <is>
          <t>Subtotal VARIABLE</t>
        </is>
      </c>
      <c r="B70" s="5" t="inlineStr"/>
      <c r="C70" s="16">
        <f>IF(C29=0,"",C57/C29)</f>
        <v/>
      </c>
      <c r="D70" s="16">
        <f>IF(D29=0,"",D57/D29)</f>
        <v/>
      </c>
      <c r="E70" s="16">
        <f>IF(E29=0,"",E57/E29)</f>
        <v/>
      </c>
      <c r="F70" s="16">
        <f>IF(F29=0,"",F57/F29)</f>
        <v/>
      </c>
      <c r="G70" s="16">
        <f>IF(G29=0,"",G57/G29)</f>
        <v/>
      </c>
      <c r="H70" s="16">
        <f>IF(H29=0,"",H57/H29)</f>
        <v/>
      </c>
      <c r="I70" s="16">
        <f>IF(I29=0,"",I57/I29)</f>
        <v/>
      </c>
      <c r="J70" s="16">
        <f>IF(J29=0,"",J57/J29)</f>
        <v/>
      </c>
      <c r="K70" s="16">
        <f>IF(K29=0,"",K57/K29)</f>
        <v/>
      </c>
      <c r="L70" s="16">
        <f>IF(L29=0,"",L57/L29)</f>
        <v/>
      </c>
      <c r="M70" s="16">
        <f>IF(M29=0,"",M57/M29)</f>
        <v/>
      </c>
      <c r="N70" s="16">
        <f>IF(N29=0,"",N57/N29)</f>
        <v/>
      </c>
      <c r="O70" s="16">
        <f>IF($O$29=0,"",$O$57/$O$29)</f>
        <v/>
      </c>
    </row>
    <row r="71">
      <c r="A71" s="3" t="inlineStr">
        <is>
          <t>TOTAL GENERAL</t>
        </is>
      </c>
      <c r="B71" s="5" t="inlineStr"/>
      <c r="C71" s="16">
        <f>IF(C30=0,"",C58/C30)</f>
        <v/>
      </c>
      <c r="D71" s="16">
        <f>IF(D30=0,"",D58/D30)</f>
        <v/>
      </c>
      <c r="E71" s="16">
        <f>IF(E30=0,"",E58/E30)</f>
        <v/>
      </c>
      <c r="F71" s="16">
        <f>IF(F30=0,"",F58/F30)</f>
        <v/>
      </c>
      <c r="G71" s="16">
        <f>IF(G30=0,"",G58/G30)</f>
        <v/>
      </c>
      <c r="H71" s="16">
        <f>IF(H30=0,"",H58/H30)</f>
        <v/>
      </c>
      <c r="I71" s="16">
        <f>IF(I30=0,"",I58/I30)</f>
        <v/>
      </c>
      <c r="J71" s="16">
        <f>IF(J30=0,"",J58/J30)</f>
        <v/>
      </c>
      <c r="K71" s="16">
        <f>IF(K30=0,"",K58/K30)</f>
        <v/>
      </c>
      <c r="L71" s="16">
        <f>IF(L30=0,"",L58/L30)</f>
        <v/>
      </c>
      <c r="M71" s="16">
        <f>IF(M30=0,"",M58/M30)</f>
        <v/>
      </c>
      <c r="N71" s="16">
        <f>IF(N30=0,"",N58/N30)</f>
        <v/>
      </c>
      <c r="O71" s="16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5" t="inlineStr">
        <is>
          <t>categoria</t>
        </is>
      </c>
      <c r="B74" s="15" t="inlineStr">
        <is>
          <t>clasificacion</t>
        </is>
      </c>
      <c r="C74" s="15" t="inlineStr">
        <is>
          <t>ene</t>
        </is>
      </c>
      <c r="D74" s="15" t="inlineStr">
        <is>
          <t>feb</t>
        </is>
      </c>
      <c r="E74" s="15" t="inlineStr">
        <is>
          <t>mar</t>
        </is>
      </c>
      <c r="F74" s="15" t="inlineStr">
        <is>
          <t>abr</t>
        </is>
      </c>
      <c r="G74" s="15" t="inlineStr">
        <is>
          <t>may</t>
        </is>
      </c>
      <c r="H74" s="15" t="inlineStr">
        <is>
          <t>jun</t>
        </is>
      </c>
      <c r="I74" s="15" t="inlineStr">
        <is>
          <t>jul</t>
        </is>
      </c>
      <c r="J74" s="15" t="inlineStr">
        <is>
          <t>ago</t>
        </is>
      </c>
      <c r="K74" s="15" t="inlineStr">
        <is>
          <t>sep</t>
        </is>
      </c>
      <c r="L74" s="15" t="inlineStr">
        <is>
          <t>oct</t>
        </is>
      </c>
      <c r="M74" s="15" t="inlineStr">
        <is>
          <t>nov</t>
        </is>
      </c>
      <c r="N74" s="15" t="inlineStr">
        <is>
          <t>dic</t>
        </is>
      </c>
      <c r="O74" s="15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15" t="inlineStr">
        <is>
          <t>equipo \ mes</t>
        </is>
      </c>
      <c r="B4" s="15" t="n">
        <v>2</v>
      </c>
      <c r="C4" s="15" t="n">
        <v>3</v>
      </c>
      <c r="D4" s="15" t="n">
        <v>4</v>
      </c>
      <c r="E4" s="15" t="n">
        <v>5</v>
      </c>
      <c r="F4" s="15" t="n">
        <v>6</v>
      </c>
      <c r="G4" s="15" t="n">
        <v>7</v>
      </c>
      <c r="H4" s="15" t="n">
        <v>8</v>
      </c>
      <c r="I4" s="15" t="n">
        <v>9</v>
      </c>
      <c r="J4" s="15" t="n">
        <v>11</v>
      </c>
      <c r="K4" s="15" t="n">
        <v>12</v>
      </c>
      <c r="L4" s="15" t="n">
        <v>1</v>
      </c>
      <c r="M4" s="15" t="inlineStr">
        <is>
          <t>TOTAL</t>
        </is>
      </c>
    </row>
    <row r="5">
      <c r="A5" s="5" t="inlineStr">
        <is>
          <t>EQ-110</t>
        </is>
      </c>
      <c r="B5" s="18">
        <f>SUMIFS('ORDENES'!$AM$4:$AM$1203,'ORDENES'!$E$4:$E$1203,$A5,'ORDENES'!$P$4:$P$1203,B$3,'ORDENES'!$Q$4:$Q$1203,B$4)</f>
        <v/>
      </c>
      <c r="C5" s="18">
        <f>SUMIFS('ORDENES'!$AM$4:$AM$1203,'ORDENES'!$E$4:$E$1203,$A5,'ORDENES'!$P$4:$P$1203,C$3,'ORDENES'!$Q$4:$Q$1203,C$4)</f>
        <v/>
      </c>
      <c r="D5" s="18">
        <f>SUMIFS('ORDENES'!$AM$4:$AM$1203,'ORDENES'!$E$4:$E$1203,$A5,'ORDENES'!$P$4:$P$1203,D$3,'ORDENES'!$Q$4:$Q$1203,D$4)</f>
        <v/>
      </c>
      <c r="E5" s="18">
        <f>SUMIFS('ORDENES'!$AM$4:$AM$1203,'ORDENES'!$E$4:$E$1203,$A5,'ORDENES'!$P$4:$P$1203,E$3,'ORDENES'!$Q$4:$Q$1203,E$4)</f>
        <v/>
      </c>
      <c r="F5" s="18">
        <f>SUMIFS('ORDENES'!$AM$4:$AM$1203,'ORDENES'!$E$4:$E$1203,$A5,'ORDENES'!$P$4:$P$1203,F$3,'ORDENES'!$Q$4:$Q$1203,F$4)</f>
        <v/>
      </c>
      <c r="G5" s="18">
        <f>SUMIFS('ORDENES'!$AM$4:$AM$1203,'ORDENES'!$E$4:$E$1203,$A5,'ORDENES'!$P$4:$P$1203,G$3,'ORDENES'!$Q$4:$Q$1203,G$4)</f>
        <v/>
      </c>
      <c r="H5" s="18">
        <f>SUMIFS('ORDENES'!$AM$4:$AM$1203,'ORDENES'!$E$4:$E$1203,$A5,'ORDENES'!$P$4:$P$1203,H$3,'ORDENES'!$Q$4:$Q$1203,H$4)</f>
        <v/>
      </c>
      <c r="I5" s="18">
        <f>SUMIFS('ORDENES'!$AM$4:$AM$1203,'ORDENES'!$E$4:$E$1203,$A5,'ORDENES'!$P$4:$P$1203,I$3,'ORDENES'!$Q$4:$Q$1203,I$4)</f>
        <v/>
      </c>
      <c r="J5" s="18">
        <f>SUMIFS('ORDENES'!$AM$4:$AM$1203,'ORDENES'!$E$4:$E$1203,$A5,'ORDENES'!$P$4:$P$1203,J$3,'ORDENES'!$Q$4:$Q$1203,J$4)</f>
        <v/>
      </c>
      <c r="K5" s="18">
        <f>SUMIFS('ORDENES'!$AM$4:$AM$1203,'ORDENES'!$E$4:$E$1203,$A5,'ORDENES'!$P$4:$P$1203,K$3,'ORDENES'!$Q$4:$Q$1203,K$4)</f>
        <v/>
      </c>
      <c r="L5" s="18">
        <f>SUMIFS('ORDENES'!$AM$4:$AM$1203,'ORDENES'!$E$4:$E$1203,$A5,'ORDENES'!$P$4:$P$1203,L$3,'ORDENES'!$Q$4:$Q$1203,L$4)</f>
        <v/>
      </c>
      <c r="M5" s="18">
        <f>SUM(B5:L5)</f>
        <v/>
      </c>
    </row>
    <row r="6">
      <c r="A6" s="5" t="inlineStr">
        <is>
          <t>EQ-106</t>
        </is>
      </c>
      <c r="B6" s="18">
        <f>SUMIFS('ORDENES'!$AM$4:$AM$1203,'ORDENES'!$E$4:$E$1203,$A6,'ORDENES'!$P$4:$P$1203,B$3,'ORDENES'!$Q$4:$Q$1203,B$4)</f>
        <v/>
      </c>
      <c r="C6" s="18">
        <f>SUMIFS('ORDENES'!$AM$4:$AM$1203,'ORDENES'!$E$4:$E$1203,$A6,'ORDENES'!$P$4:$P$1203,C$3,'ORDENES'!$Q$4:$Q$1203,C$4)</f>
        <v/>
      </c>
      <c r="D6" s="18">
        <f>SUMIFS('ORDENES'!$AM$4:$AM$1203,'ORDENES'!$E$4:$E$1203,$A6,'ORDENES'!$P$4:$P$1203,D$3,'ORDENES'!$Q$4:$Q$1203,D$4)</f>
        <v/>
      </c>
      <c r="E6" s="18">
        <f>SUMIFS('ORDENES'!$AM$4:$AM$1203,'ORDENES'!$E$4:$E$1203,$A6,'ORDENES'!$P$4:$P$1203,E$3,'ORDENES'!$Q$4:$Q$1203,E$4)</f>
        <v/>
      </c>
      <c r="F6" s="18">
        <f>SUMIFS('ORDENES'!$AM$4:$AM$1203,'ORDENES'!$E$4:$E$1203,$A6,'ORDENES'!$P$4:$P$1203,F$3,'ORDENES'!$Q$4:$Q$1203,F$4)</f>
        <v/>
      </c>
      <c r="G6" s="18">
        <f>SUMIFS('ORDENES'!$AM$4:$AM$1203,'ORDENES'!$E$4:$E$1203,$A6,'ORDENES'!$P$4:$P$1203,G$3,'ORDENES'!$Q$4:$Q$1203,G$4)</f>
        <v/>
      </c>
      <c r="H6" s="18">
        <f>SUMIFS('ORDENES'!$AM$4:$AM$1203,'ORDENES'!$E$4:$E$1203,$A6,'ORDENES'!$P$4:$P$1203,H$3,'ORDENES'!$Q$4:$Q$1203,H$4)</f>
        <v/>
      </c>
      <c r="I6" s="18">
        <f>SUMIFS('ORDENES'!$AM$4:$AM$1203,'ORDENES'!$E$4:$E$1203,$A6,'ORDENES'!$P$4:$P$1203,I$3,'ORDENES'!$Q$4:$Q$1203,I$4)</f>
        <v/>
      </c>
      <c r="J6" s="18">
        <f>SUMIFS('ORDENES'!$AM$4:$AM$1203,'ORDENES'!$E$4:$E$1203,$A6,'ORDENES'!$P$4:$P$1203,J$3,'ORDENES'!$Q$4:$Q$1203,J$4)</f>
        <v/>
      </c>
      <c r="K6" s="18">
        <f>SUMIFS('ORDENES'!$AM$4:$AM$1203,'ORDENES'!$E$4:$E$1203,$A6,'ORDENES'!$P$4:$P$1203,K$3,'ORDENES'!$Q$4:$Q$1203,K$4)</f>
        <v/>
      </c>
      <c r="L6" s="18">
        <f>SUMIFS('ORDENES'!$AM$4:$AM$1203,'ORDENES'!$E$4:$E$1203,$A6,'ORDENES'!$P$4:$P$1203,L$3,'ORDENES'!$Q$4:$Q$1203,L$4)</f>
        <v/>
      </c>
      <c r="M6" s="18">
        <f>SUM(B6:L6)</f>
        <v/>
      </c>
    </row>
    <row r="7">
      <c r="A7" s="5" t="inlineStr">
        <is>
          <t>EQ-108</t>
        </is>
      </c>
      <c r="B7" s="18">
        <f>SUMIFS('ORDENES'!$AM$4:$AM$1203,'ORDENES'!$E$4:$E$1203,$A7,'ORDENES'!$P$4:$P$1203,B$3,'ORDENES'!$Q$4:$Q$1203,B$4)</f>
        <v/>
      </c>
      <c r="C7" s="18">
        <f>SUMIFS('ORDENES'!$AM$4:$AM$1203,'ORDENES'!$E$4:$E$1203,$A7,'ORDENES'!$P$4:$P$1203,C$3,'ORDENES'!$Q$4:$Q$1203,C$4)</f>
        <v/>
      </c>
      <c r="D7" s="18">
        <f>SUMIFS('ORDENES'!$AM$4:$AM$1203,'ORDENES'!$E$4:$E$1203,$A7,'ORDENES'!$P$4:$P$1203,D$3,'ORDENES'!$Q$4:$Q$1203,D$4)</f>
        <v/>
      </c>
      <c r="E7" s="18">
        <f>SUMIFS('ORDENES'!$AM$4:$AM$1203,'ORDENES'!$E$4:$E$1203,$A7,'ORDENES'!$P$4:$P$1203,E$3,'ORDENES'!$Q$4:$Q$1203,E$4)</f>
        <v/>
      </c>
      <c r="F7" s="18">
        <f>SUMIFS('ORDENES'!$AM$4:$AM$1203,'ORDENES'!$E$4:$E$1203,$A7,'ORDENES'!$P$4:$P$1203,F$3,'ORDENES'!$Q$4:$Q$1203,F$4)</f>
        <v/>
      </c>
      <c r="G7" s="18">
        <f>SUMIFS('ORDENES'!$AM$4:$AM$1203,'ORDENES'!$E$4:$E$1203,$A7,'ORDENES'!$P$4:$P$1203,G$3,'ORDENES'!$Q$4:$Q$1203,G$4)</f>
        <v/>
      </c>
      <c r="H7" s="18">
        <f>SUMIFS('ORDENES'!$AM$4:$AM$1203,'ORDENES'!$E$4:$E$1203,$A7,'ORDENES'!$P$4:$P$1203,H$3,'ORDENES'!$Q$4:$Q$1203,H$4)</f>
        <v/>
      </c>
      <c r="I7" s="18">
        <f>SUMIFS('ORDENES'!$AM$4:$AM$1203,'ORDENES'!$E$4:$E$1203,$A7,'ORDENES'!$P$4:$P$1203,I$3,'ORDENES'!$Q$4:$Q$1203,I$4)</f>
        <v/>
      </c>
      <c r="J7" s="18">
        <f>SUMIFS('ORDENES'!$AM$4:$AM$1203,'ORDENES'!$E$4:$E$1203,$A7,'ORDENES'!$P$4:$P$1203,J$3,'ORDENES'!$Q$4:$Q$1203,J$4)</f>
        <v/>
      </c>
      <c r="K7" s="18">
        <f>SUMIFS('ORDENES'!$AM$4:$AM$1203,'ORDENES'!$E$4:$E$1203,$A7,'ORDENES'!$P$4:$P$1203,K$3,'ORDENES'!$Q$4:$Q$1203,K$4)</f>
        <v/>
      </c>
      <c r="L7" s="18">
        <f>SUMIFS('ORDENES'!$AM$4:$AM$1203,'ORDENES'!$E$4:$E$1203,$A7,'ORDENES'!$P$4:$P$1203,L$3,'ORDENES'!$Q$4:$Q$1203,L$4)</f>
        <v/>
      </c>
      <c r="M7" s="18">
        <f>SUM(B7:L7)</f>
        <v/>
      </c>
    </row>
    <row r="8">
      <c r="A8" s="5" t="inlineStr">
        <is>
          <t>EQ-109</t>
        </is>
      </c>
      <c r="B8" s="18">
        <f>SUMIFS('ORDENES'!$AM$4:$AM$1203,'ORDENES'!$E$4:$E$1203,$A8,'ORDENES'!$P$4:$P$1203,B$3,'ORDENES'!$Q$4:$Q$1203,B$4)</f>
        <v/>
      </c>
      <c r="C8" s="18">
        <f>SUMIFS('ORDENES'!$AM$4:$AM$1203,'ORDENES'!$E$4:$E$1203,$A8,'ORDENES'!$P$4:$P$1203,C$3,'ORDENES'!$Q$4:$Q$1203,C$4)</f>
        <v/>
      </c>
      <c r="D8" s="18">
        <f>SUMIFS('ORDENES'!$AM$4:$AM$1203,'ORDENES'!$E$4:$E$1203,$A8,'ORDENES'!$P$4:$P$1203,D$3,'ORDENES'!$Q$4:$Q$1203,D$4)</f>
        <v/>
      </c>
      <c r="E8" s="18">
        <f>SUMIFS('ORDENES'!$AM$4:$AM$1203,'ORDENES'!$E$4:$E$1203,$A8,'ORDENES'!$P$4:$P$1203,E$3,'ORDENES'!$Q$4:$Q$1203,E$4)</f>
        <v/>
      </c>
      <c r="F8" s="18">
        <f>SUMIFS('ORDENES'!$AM$4:$AM$1203,'ORDENES'!$E$4:$E$1203,$A8,'ORDENES'!$P$4:$P$1203,F$3,'ORDENES'!$Q$4:$Q$1203,F$4)</f>
        <v/>
      </c>
      <c r="G8" s="18">
        <f>SUMIFS('ORDENES'!$AM$4:$AM$1203,'ORDENES'!$E$4:$E$1203,$A8,'ORDENES'!$P$4:$P$1203,G$3,'ORDENES'!$Q$4:$Q$1203,G$4)</f>
        <v/>
      </c>
      <c r="H8" s="18">
        <f>SUMIFS('ORDENES'!$AM$4:$AM$1203,'ORDENES'!$E$4:$E$1203,$A8,'ORDENES'!$P$4:$P$1203,H$3,'ORDENES'!$Q$4:$Q$1203,H$4)</f>
        <v/>
      </c>
      <c r="I8" s="18">
        <f>SUMIFS('ORDENES'!$AM$4:$AM$1203,'ORDENES'!$E$4:$E$1203,$A8,'ORDENES'!$P$4:$P$1203,I$3,'ORDENES'!$Q$4:$Q$1203,I$4)</f>
        <v/>
      </c>
      <c r="J8" s="18">
        <f>SUMIFS('ORDENES'!$AM$4:$AM$1203,'ORDENES'!$E$4:$E$1203,$A8,'ORDENES'!$P$4:$P$1203,J$3,'ORDENES'!$Q$4:$Q$1203,J$4)</f>
        <v/>
      </c>
      <c r="K8" s="18">
        <f>SUMIFS('ORDENES'!$AM$4:$AM$1203,'ORDENES'!$E$4:$E$1203,$A8,'ORDENES'!$P$4:$P$1203,K$3,'ORDENES'!$Q$4:$Q$1203,K$4)</f>
        <v/>
      </c>
      <c r="L8" s="18">
        <f>SUMIFS('ORDENES'!$AM$4:$AM$1203,'ORDENES'!$E$4:$E$1203,$A8,'ORDENES'!$P$4:$P$1203,L$3,'ORDENES'!$Q$4:$Q$1203,L$4)</f>
        <v/>
      </c>
      <c r="M8" s="18">
        <f>SUM(B8:L8)</f>
        <v/>
      </c>
    </row>
    <row r="9">
      <c r="A9" s="5" t="inlineStr">
        <is>
          <t>EQ-103</t>
        </is>
      </c>
      <c r="B9" s="18">
        <f>SUMIFS('ORDENES'!$AM$4:$AM$1203,'ORDENES'!$E$4:$E$1203,$A9,'ORDENES'!$P$4:$P$1203,B$3,'ORDENES'!$Q$4:$Q$1203,B$4)</f>
        <v/>
      </c>
      <c r="C9" s="18">
        <f>SUMIFS('ORDENES'!$AM$4:$AM$1203,'ORDENES'!$E$4:$E$1203,$A9,'ORDENES'!$P$4:$P$1203,C$3,'ORDENES'!$Q$4:$Q$1203,C$4)</f>
        <v/>
      </c>
      <c r="D9" s="18">
        <f>SUMIFS('ORDENES'!$AM$4:$AM$1203,'ORDENES'!$E$4:$E$1203,$A9,'ORDENES'!$P$4:$P$1203,D$3,'ORDENES'!$Q$4:$Q$1203,D$4)</f>
        <v/>
      </c>
      <c r="E9" s="18">
        <f>SUMIFS('ORDENES'!$AM$4:$AM$1203,'ORDENES'!$E$4:$E$1203,$A9,'ORDENES'!$P$4:$P$1203,E$3,'ORDENES'!$Q$4:$Q$1203,E$4)</f>
        <v/>
      </c>
      <c r="F9" s="18">
        <f>SUMIFS('ORDENES'!$AM$4:$AM$1203,'ORDENES'!$E$4:$E$1203,$A9,'ORDENES'!$P$4:$P$1203,F$3,'ORDENES'!$Q$4:$Q$1203,F$4)</f>
        <v/>
      </c>
      <c r="G9" s="18">
        <f>SUMIFS('ORDENES'!$AM$4:$AM$1203,'ORDENES'!$E$4:$E$1203,$A9,'ORDENES'!$P$4:$P$1203,G$3,'ORDENES'!$Q$4:$Q$1203,G$4)</f>
        <v/>
      </c>
      <c r="H9" s="18">
        <f>SUMIFS('ORDENES'!$AM$4:$AM$1203,'ORDENES'!$E$4:$E$1203,$A9,'ORDENES'!$P$4:$P$1203,H$3,'ORDENES'!$Q$4:$Q$1203,H$4)</f>
        <v/>
      </c>
      <c r="I9" s="18">
        <f>SUMIFS('ORDENES'!$AM$4:$AM$1203,'ORDENES'!$E$4:$E$1203,$A9,'ORDENES'!$P$4:$P$1203,I$3,'ORDENES'!$Q$4:$Q$1203,I$4)</f>
        <v/>
      </c>
      <c r="J9" s="18">
        <f>SUMIFS('ORDENES'!$AM$4:$AM$1203,'ORDENES'!$E$4:$E$1203,$A9,'ORDENES'!$P$4:$P$1203,J$3,'ORDENES'!$Q$4:$Q$1203,J$4)</f>
        <v/>
      </c>
      <c r="K9" s="18">
        <f>SUMIFS('ORDENES'!$AM$4:$AM$1203,'ORDENES'!$E$4:$E$1203,$A9,'ORDENES'!$P$4:$P$1203,K$3,'ORDENES'!$Q$4:$Q$1203,K$4)</f>
        <v/>
      </c>
      <c r="L9" s="18">
        <f>SUMIFS('ORDENES'!$AM$4:$AM$1203,'ORDENES'!$E$4:$E$1203,$A9,'ORDENES'!$P$4:$P$1203,L$3,'ORDENES'!$Q$4:$Q$1203,L$4)</f>
        <v/>
      </c>
      <c r="M9" s="18">
        <f>SUM(B9:L9)</f>
        <v/>
      </c>
    </row>
    <row r="10">
      <c r="A10" s="5" t="inlineStr">
        <is>
          <t>EQ-102</t>
        </is>
      </c>
      <c r="B10" s="18">
        <f>SUMIFS('ORDENES'!$AM$4:$AM$1203,'ORDENES'!$E$4:$E$1203,$A10,'ORDENES'!$P$4:$P$1203,B$3,'ORDENES'!$Q$4:$Q$1203,B$4)</f>
        <v/>
      </c>
      <c r="C10" s="18">
        <f>SUMIFS('ORDENES'!$AM$4:$AM$1203,'ORDENES'!$E$4:$E$1203,$A10,'ORDENES'!$P$4:$P$1203,C$3,'ORDENES'!$Q$4:$Q$1203,C$4)</f>
        <v/>
      </c>
      <c r="D10" s="18">
        <f>SUMIFS('ORDENES'!$AM$4:$AM$1203,'ORDENES'!$E$4:$E$1203,$A10,'ORDENES'!$P$4:$P$1203,D$3,'ORDENES'!$Q$4:$Q$1203,D$4)</f>
        <v/>
      </c>
      <c r="E10" s="18">
        <f>SUMIFS('ORDENES'!$AM$4:$AM$1203,'ORDENES'!$E$4:$E$1203,$A10,'ORDENES'!$P$4:$P$1203,E$3,'ORDENES'!$Q$4:$Q$1203,E$4)</f>
        <v/>
      </c>
      <c r="F10" s="18">
        <f>SUMIFS('ORDENES'!$AM$4:$AM$1203,'ORDENES'!$E$4:$E$1203,$A10,'ORDENES'!$P$4:$P$1203,F$3,'ORDENES'!$Q$4:$Q$1203,F$4)</f>
        <v/>
      </c>
      <c r="G10" s="18">
        <f>SUMIFS('ORDENES'!$AM$4:$AM$1203,'ORDENES'!$E$4:$E$1203,$A10,'ORDENES'!$P$4:$P$1203,G$3,'ORDENES'!$Q$4:$Q$1203,G$4)</f>
        <v/>
      </c>
      <c r="H10" s="18">
        <f>SUMIFS('ORDENES'!$AM$4:$AM$1203,'ORDENES'!$E$4:$E$1203,$A10,'ORDENES'!$P$4:$P$1203,H$3,'ORDENES'!$Q$4:$Q$1203,H$4)</f>
        <v/>
      </c>
      <c r="I10" s="18">
        <f>SUMIFS('ORDENES'!$AM$4:$AM$1203,'ORDENES'!$E$4:$E$1203,$A10,'ORDENES'!$P$4:$P$1203,I$3,'ORDENES'!$Q$4:$Q$1203,I$4)</f>
        <v/>
      </c>
      <c r="J10" s="18">
        <f>SUMIFS('ORDENES'!$AM$4:$AM$1203,'ORDENES'!$E$4:$E$1203,$A10,'ORDENES'!$P$4:$P$1203,J$3,'ORDENES'!$Q$4:$Q$1203,J$4)</f>
        <v/>
      </c>
      <c r="K10" s="18">
        <f>SUMIFS('ORDENES'!$AM$4:$AM$1203,'ORDENES'!$E$4:$E$1203,$A10,'ORDENES'!$P$4:$P$1203,K$3,'ORDENES'!$Q$4:$Q$1203,K$4)</f>
        <v/>
      </c>
      <c r="L10" s="18">
        <f>SUMIFS('ORDENES'!$AM$4:$AM$1203,'ORDENES'!$E$4:$E$1203,$A10,'ORDENES'!$P$4:$P$1203,L$3,'ORDENES'!$Q$4:$Q$1203,L$4)</f>
        <v/>
      </c>
      <c r="M10" s="18">
        <f>SUM(B10:L10)</f>
        <v/>
      </c>
    </row>
    <row r="11">
      <c r="A11" s="5" t="inlineStr">
        <is>
          <t>EQ-101</t>
        </is>
      </c>
      <c r="B11" s="18">
        <f>SUMIFS('ORDENES'!$AM$4:$AM$1203,'ORDENES'!$E$4:$E$1203,$A11,'ORDENES'!$P$4:$P$1203,B$3,'ORDENES'!$Q$4:$Q$1203,B$4)</f>
        <v/>
      </c>
      <c r="C11" s="18">
        <f>SUMIFS('ORDENES'!$AM$4:$AM$1203,'ORDENES'!$E$4:$E$1203,$A11,'ORDENES'!$P$4:$P$1203,C$3,'ORDENES'!$Q$4:$Q$1203,C$4)</f>
        <v/>
      </c>
      <c r="D11" s="18">
        <f>SUMIFS('ORDENES'!$AM$4:$AM$1203,'ORDENES'!$E$4:$E$1203,$A11,'ORDENES'!$P$4:$P$1203,D$3,'ORDENES'!$Q$4:$Q$1203,D$4)</f>
        <v/>
      </c>
      <c r="E11" s="18">
        <f>SUMIFS('ORDENES'!$AM$4:$AM$1203,'ORDENES'!$E$4:$E$1203,$A11,'ORDENES'!$P$4:$P$1203,E$3,'ORDENES'!$Q$4:$Q$1203,E$4)</f>
        <v/>
      </c>
      <c r="F11" s="18">
        <f>SUMIFS('ORDENES'!$AM$4:$AM$1203,'ORDENES'!$E$4:$E$1203,$A11,'ORDENES'!$P$4:$P$1203,F$3,'ORDENES'!$Q$4:$Q$1203,F$4)</f>
        <v/>
      </c>
      <c r="G11" s="18">
        <f>SUMIFS('ORDENES'!$AM$4:$AM$1203,'ORDENES'!$E$4:$E$1203,$A11,'ORDENES'!$P$4:$P$1203,G$3,'ORDENES'!$Q$4:$Q$1203,G$4)</f>
        <v/>
      </c>
      <c r="H11" s="18">
        <f>SUMIFS('ORDENES'!$AM$4:$AM$1203,'ORDENES'!$E$4:$E$1203,$A11,'ORDENES'!$P$4:$P$1203,H$3,'ORDENES'!$Q$4:$Q$1203,H$4)</f>
        <v/>
      </c>
      <c r="I11" s="18">
        <f>SUMIFS('ORDENES'!$AM$4:$AM$1203,'ORDENES'!$E$4:$E$1203,$A11,'ORDENES'!$P$4:$P$1203,I$3,'ORDENES'!$Q$4:$Q$1203,I$4)</f>
        <v/>
      </c>
      <c r="J11" s="18">
        <f>SUMIFS('ORDENES'!$AM$4:$AM$1203,'ORDENES'!$E$4:$E$1203,$A11,'ORDENES'!$P$4:$P$1203,J$3,'ORDENES'!$Q$4:$Q$1203,J$4)</f>
        <v/>
      </c>
      <c r="K11" s="18">
        <f>SUMIFS('ORDENES'!$AM$4:$AM$1203,'ORDENES'!$E$4:$E$1203,$A11,'ORDENES'!$P$4:$P$1203,K$3,'ORDENES'!$Q$4:$Q$1203,K$4)</f>
        <v/>
      </c>
      <c r="L11" s="18">
        <f>SUMIFS('ORDENES'!$AM$4:$AM$1203,'ORDENES'!$E$4:$E$1203,$A11,'ORDENES'!$P$4:$P$1203,L$3,'ORDENES'!$Q$4:$Q$1203,L$4)</f>
        <v/>
      </c>
      <c r="M11" s="18">
        <f>SUM(B11:L11)</f>
        <v/>
      </c>
    </row>
    <row r="12">
      <c r="A12" s="5" t="inlineStr">
        <is>
          <t>EQ-111</t>
        </is>
      </c>
      <c r="B12" s="18">
        <f>SUMIFS('ORDENES'!$AM$4:$AM$1203,'ORDENES'!$E$4:$E$1203,$A12,'ORDENES'!$P$4:$P$1203,B$3,'ORDENES'!$Q$4:$Q$1203,B$4)</f>
        <v/>
      </c>
      <c r="C12" s="18">
        <f>SUMIFS('ORDENES'!$AM$4:$AM$1203,'ORDENES'!$E$4:$E$1203,$A12,'ORDENES'!$P$4:$P$1203,C$3,'ORDENES'!$Q$4:$Q$1203,C$4)</f>
        <v/>
      </c>
      <c r="D12" s="18">
        <f>SUMIFS('ORDENES'!$AM$4:$AM$1203,'ORDENES'!$E$4:$E$1203,$A12,'ORDENES'!$P$4:$P$1203,D$3,'ORDENES'!$Q$4:$Q$1203,D$4)</f>
        <v/>
      </c>
      <c r="E12" s="18">
        <f>SUMIFS('ORDENES'!$AM$4:$AM$1203,'ORDENES'!$E$4:$E$1203,$A12,'ORDENES'!$P$4:$P$1203,E$3,'ORDENES'!$Q$4:$Q$1203,E$4)</f>
        <v/>
      </c>
      <c r="F12" s="18">
        <f>SUMIFS('ORDENES'!$AM$4:$AM$1203,'ORDENES'!$E$4:$E$1203,$A12,'ORDENES'!$P$4:$P$1203,F$3,'ORDENES'!$Q$4:$Q$1203,F$4)</f>
        <v/>
      </c>
      <c r="G12" s="18">
        <f>SUMIFS('ORDENES'!$AM$4:$AM$1203,'ORDENES'!$E$4:$E$1203,$A12,'ORDENES'!$P$4:$P$1203,G$3,'ORDENES'!$Q$4:$Q$1203,G$4)</f>
        <v/>
      </c>
      <c r="H12" s="18">
        <f>SUMIFS('ORDENES'!$AM$4:$AM$1203,'ORDENES'!$E$4:$E$1203,$A12,'ORDENES'!$P$4:$P$1203,H$3,'ORDENES'!$Q$4:$Q$1203,H$4)</f>
        <v/>
      </c>
      <c r="I12" s="18">
        <f>SUMIFS('ORDENES'!$AM$4:$AM$1203,'ORDENES'!$E$4:$E$1203,$A12,'ORDENES'!$P$4:$P$1203,I$3,'ORDENES'!$Q$4:$Q$1203,I$4)</f>
        <v/>
      </c>
      <c r="J12" s="18">
        <f>SUMIFS('ORDENES'!$AM$4:$AM$1203,'ORDENES'!$E$4:$E$1203,$A12,'ORDENES'!$P$4:$P$1203,J$3,'ORDENES'!$Q$4:$Q$1203,J$4)</f>
        <v/>
      </c>
      <c r="K12" s="18">
        <f>SUMIFS('ORDENES'!$AM$4:$AM$1203,'ORDENES'!$E$4:$E$1203,$A12,'ORDENES'!$P$4:$P$1203,K$3,'ORDENES'!$Q$4:$Q$1203,K$4)</f>
        <v/>
      </c>
      <c r="L12" s="18">
        <f>SUMIFS('ORDENES'!$AM$4:$AM$1203,'ORDENES'!$E$4:$E$1203,$A12,'ORDENES'!$P$4:$P$1203,L$3,'ORDENES'!$Q$4:$Q$1203,L$4)</f>
        <v/>
      </c>
      <c r="M12" s="18">
        <f>SUM(B12:L12)</f>
        <v/>
      </c>
    </row>
    <row r="13">
      <c r="A13" s="5" t="inlineStr">
        <is>
          <t>EQ-104</t>
        </is>
      </c>
      <c r="B13" s="18">
        <f>SUMIFS('ORDENES'!$AM$4:$AM$1203,'ORDENES'!$E$4:$E$1203,$A13,'ORDENES'!$P$4:$P$1203,B$3,'ORDENES'!$Q$4:$Q$1203,B$4)</f>
        <v/>
      </c>
      <c r="C13" s="18">
        <f>SUMIFS('ORDENES'!$AM$4:$AM$1203,'ORDENES'!$E$4:$E$1203,$A13,'ORDENES'!$P$4:$P$1203,C$3,'ORDENES'!$Q$4:$Q$1203,C$4)</f>
        <v/>
      </c>
      <c r="D13" s="18">
        <f>SUMIFS('ORDENES'!$AM$4:$AM$1203,'ORDENES'!$E$4:$E$1203,$A13,'ORDENES'!$P$4:$P$1203,D$3,'ORDENES'!$Q$4:$Q$1203,D$4)</f>
        <v/>
      </c>
      <c r="E13" s="18">
        <f>SUMIFS('ORDENES'!$AM$4:$AM$1203,'ORDENES'!$E$4:$E$1203,$A13,'ORDENES'!$P$4:$P$1203,E$3,'ORDENES'!$Q$4:$Q$1203,E$4)</f>
        <v/>
      </c>
      <c r="F13" s="18">
        <f>SUMIFS('ORDENES'!$AM$4:$AM$1203,'ORDENES'!$E$4:$E$1203,$A13,'ORDENES'!$P$4:$P$1203,F$3,'ORDENES'!$Q$4:$Q$1203,F$4)</f>
        <v/>
      </c>
      <c r="G13" s="18">
        <f>SUMIFS('ORDENES'!$AM$4:$AM$1203,'ORDENES'!$E$4:$E$1203,$A13,'ORDENES'!$P$4:$P$1203,G$3,'ORDENES'!$Q$4:$Q$1203,G$4)</f>
        <v/>
      </c>
      <c r="H13" s="18">
        <f>SUMIFS('ORDENES'!$AM$4:$AM$1203,'ORDENES'!$E$4:$E$1203,$A13,'ORDENES'!$P$4:$P$1203,H$3,'ORDENES'!$Q$4:$Q$1203,H$4)</f>
        <v/>
      </c>
      <c r="I13" s="18">
        <f>SUMIFS('ORDENES'!$AM$4:$AM$1203,'ORDENES'!$E$4:$E$1203,$A13,'ORDENES'!$P$4:$P$1203,I$3,'ORDENES'!$Q$4:$Q$1203,I$4)</f>
        <v/>
      </c>
      <c r="J13" s="18">
        <f>SUMIFS('ORDENES'!$AM$4:$AM$1203,'ORDENES'!$E$4:$E$1203,$A13,'ORDENES'!$P$4:$P$1203,J$3,'ORDENES'!$Q$4:$Q$1203,J$4)</f>
        <v/>
      </c>
      <c r="K13" s="18">
        <f>SUMIFS('ORDENES'!$AM$4:$AM$1203,'ORDENES'!$E$4:$E$1203,$A13,'ORDENES'!$P$4:$P$1203,K$3,'ORDENES'!$Q$4:$Q$1203,K$4)</f>
        <v/>
      </c>
      <c r="L13" s="18">
        <f>SUMIFS('ORDENES'!$AM$4:$AM$1203,'ORDENES'!$E$4:$E$1203,$A13,'ORDENES'!$P$4:$P$1203,L$3,'ORDENES'!$Q$4:$Q$1203,L$4)</f>
        <v/>
      </c>
      <c r="M13" s="18">
        <f>SUM(B13:L13)</f>
        <v/>
      </c>
    </row>
    <row r="14">
      <c r="A14" s="5" t="inlineStr">
        <is>
          <t>EQ-105</t>
        </is>
      </c>
      <c r="B14" s="18">
        <f>SUMIFS('ORDENES'!$AM$4:$AM$1203,'ORDENES'!$E$4:$E$1203,$A14,'ORDENES'!$P$4:$P$1203,B$3,'ORDENES'!$Q$4:$Q$1203,B$4)</f>
        <v/>
      </c>
      <c r="C14" s="18">
        <f>SUMIFS('ORDENES'!$AM$4:$AM$1203,'ORDENES'!$E$4:$E$1203,$A14,'ORDENES'!$P$4:$P$1203,C$3,'ORDENES'!$Q$4:$Q$1203,C$4)</f>
        <v/>
      </c>
      <c r="D14" s="18">
        <f>SUMIFS('ORDENES'!$AM$4:$AM$1203,'ORDENES'!$E$4:$E$1203,$A14,'ORDENES'!$P$4:$P$1203,D$3,'ORDENES'!$Q$4:$Q$1203,D$4)</f>
        <v/>
      </c>
      <c r="E14" s="18">
        <f>SUMIFS('ORDENES'!$AM$4:$AM$1203,'ORDENES'!$E$4:$E$1203,$A14,'ORDENES'!$P$4:$P$1203,E$3,'ORDENES'!$Q$4:$Q$1203,E$4)</f>
        <v/>
      </c>
      <c r="F14" s="18">
        <f>SUMIFS('ORDENES'!$AM$4:$AM$1203,'ORDENES'!$E$4:$E$1203,$A14,'ORDENES'!$P$4:$P$1203,F$3,'ORDENES'!$Q$4:$Q$1203,F$4)</f>
        <v/>
      </c>
      <c r="G14" s="18">
        <f>SUMIFS('ORDENES'!$AM$4:$AM$1203,'ORDENES'!$E$4:$E$1203,$A14,'ORDENES'!$P$4:$P$1203,G$3,'ORDENES'!$Q$4:$Q$1203,G$4)</f>
        <v/>
      </c>
      <c r="H14" s="18">
        <f>SUMIFS('ORDENES'!$AM$4:$AM$1203,'ORDENES'!$E$4:$E$1203,$A14,'ORDENES'!$P$4:$P$1203,H$3,'ORDENES'!$Q$4:$Q$1203,H$4)</f>
        <v/>
      </c>
      <c r="I14" s="18">
        <f>SUMIFS('ORDENES'!$AM$4:$AM$1203,'ORDENES'!$E$4:$E$1203,$A14,'ORDENES'!$P$4:$P$1203,I$3,'ORDENES'!$Q$4:$Q$1203,I$4)</f>
        <v/>
      </c>
      <c r="J14" s="18">
        <f>SUMIFS('ORDENES'!$AM$4:$AM$1203,'ORDENES'!$E$4:$E$1203,$A14,'ORDENES'!$P$4:$P$1203,J$3,'ORDENES'!$Q$4:$Q$1203,J$4)</f>
        <v/>
      </c>
      <c r="K14" s="18">
        <f>SUMIFS('ORDENES'!$AM$4:$AM$1203,'ORDENES'!$E$4:$E$1203,$A14,'ORDENES'!$P$4:$P$1203,K$3,'ORDENES'!$Q$4:$Q$1203,K$4)</f>
        <v/>
      </c>
      <c r="L14" s="18">
        <f>SUMIFS('ORDENES'!$AM$4:$AM$1203,'ORDENES'!$E$4:$E$1203,$A14,'ORDENES'!$P$4:$P$1203,L$3,'ORDENES'!$Q$4:$Q$1203,L$4)</f>
        <v/>
      </c>
      <c r="M14" s="18">
        <f>SUM(B14:L14)</f>
        <v/>
      </c>
    </row>
    <row r="15">
      <c r="A15" s="5" t="inlineStr">
        <is>
          <t>EQ-107</t>
        </is>
      </c>
      <c r="B15" s="18">
        <f>SUMIFS('ORDENES'!$AM$4:$AM$1203,'ORDENES'!$E$4:$E$1203,$A15,'ORDENES'!$P$4:$P$1203,B$3,'ORDENES'!$Q$4:$Q$1203,B$4)</f>
        <v/>
      </c>
      <c r="C15" s="18">
        <f>SUMIFS('ORDENES'!$AM$4:$AM$1203,'ORDENES'!$E$4:$E$1203,$A15,'ORDENES'!$P$4:$P$1203,C$3,'ORDENES'!$Q$4:$Q$1203,C$4)</f>
        <v/>
      </c>
      <c r="D15" s="18">
        <f>SUMIFS('ORDENES'!$AM$4:$AM$1203,'ORDENES'!$E$4:$E$1203,$A15,'ORDENES'!$P$4:$P$1203,D$3,'ORDENES'!$Q$4:$Q$1203,D$4)</f>
        <v/>
      </c>
      <c r="E15" s="18">
        <f>SUMIFS('ORDENES'!$AM$4:$AM$1203,'ORDENES'!$E$4:$E$1203,$A15,'ORDENES'!$P$4:$P$1203,E$3,'ORDENES'!$Q$4:$Q$1203,E$4)</f>
        <v/>
      </c>
      <c r="F15" s="18">
        <f>SUMIFS('ORDENES'!$AM$4:$AM$1203,'ORDENES'!$E$4:$E$1203,$A15,'ORDENES'!$P$4:$P$1203,F$3,'ORDENES'!$Q$4:$Q$1203,F$4)</f>
        <v/>
      </c>
      <c r="G15" s="18">
        <f>SUMIFS('ORDENES'!$AM$4:$AM$1203,'ORDENES'!$E$4:$E$1203,$A15,'ORDENES'!$P$4:$P$1203,G$3,'ORDENES'!$Q$4:$Q$1203,G$4)</f>
        <v/>
      </c>
      <c r="H15" s="18">
        <f>SUMIFS('ORDENES'!$AM$4:$AM$1203,'ORDENES'!$E$4:$E$1203,$A15,'ORDENES'!$P$4:$P$1203,H$3,'ORDENES'!$Q$4:$Q$1203,H$4)</f>
        <v/>
      </c>
      <c r="I15" s="18">
        <f>SUMIFS('ORDENES'!$AM$4:$AM$1203,'ORDENES'!$E$4:$E$1203,$A15,'ORDENES'!$P$4:$P$1203,I$3,'ORDENES'!$Q$4:$Q$1203,I$4)</f>
        <v/>
      </c>
      <c r="J15" s="18">
        <f>SUMIFS('ORDENES'!$AM$4:$AM$1203,'ORDENES'!$E$4:$E$1203,$A15,'ORDENES'!$P$4:$P$1203,J$3,'ORDENES'!$Q$4:$Q$1203,J$4)</f>
        <v/>
      </c>
      <c r="K15" s="18">
        <f>SUMIFS('ORDENES'!$AM$4:$AM$1203,'ORDENES'!$E$4:$E$1203,$A15,'ORDENES'!$P$4:$P$1203,K$3,'ORDENES'!$Q$4:$Q$1203,K$4)</f>
        <v/>
      </c>
      <c r="L15" s="18">
        <f>SUMIFS('ORDENES'!$AM$4:$AM$1203,'ORDENES'!$E$4:$E$1203,$A15,'ORDENES'!$P$4:$P$1203,L$3,'ORDENES'!$Q$4:$Q$1203,L$4)</f>
        <v/>
      </c>
      <c r="M15" s="18">
        <f>SUM(B15:L15)</f>
        <v/>
      </c>
    </row>
    <row r="16">
      <c r="A16" s="5" t="inlineStr">
        <is>
          <t>EQ-112</t>
        </is>
      </c>
      <c r="B16" s="18">
        <f>SUMIFS('ORDENES'!$AM$4:$AM$1203,'ORDENES'!$E$4:$E$1203,$A16,'ORDENES'!$P$4:$P$1203,B$3,'ORDENES'!$Q$4:$Q$1203,B$4)</f>
        <v/>
      </c>
      <c r="C16" s="18">
        <f>SUMIFS('ORDENES'!$AM$4:$AM$1203,'ORDENES'!$E$4:$E$1203,$A16,'ORDENES'!$P$4:$P$1203,C$3,'ORDENES'!$Q$4:$Q$1203,C$4)</f>
        <v/>
      </c>
      <c r="D16" s="18">
        <f>SUMIFS('ORDENES'!$AM$4:$AM$1203,'ORDENES'!$E$4:$E$1203,$A16,'ORDENES'!$P$4:$P$1203,D$3,'ORDENES'!$Q$4:$Q$1203,D$4)</f>
        <v/>
      </c>
      <c r="E16" s="18">
        <f>SUMIFS('ORDENES'!$AM$4:$AM$1203,'ORDENES'!$E$4:$E$1203,$A16,'ORDENES'!$P$4:$P$1203,E$3,'ORDENES'!$Q$4:$Q$1203,E$4)</f>
        <v/>
      </c>
      <c r="F16" s="18">
        <f>SUMIFS('ORDENES'!$AM$4:$AM$1203,'ORDENES'!$E$4:$E$1203,$A16,'ORDENES'!$P$4:$P$1203,F$3,'ORDENES'!$Q$4:$Q$1203,F$4)</f>
        <v/>
      </c>
      <c r="G16" s="18">
        <f>SUMIFS('ORDENES'!$AM$4:$AM$1203,'ORDENES'!$E$4:$E$1203,$A16,'ORDENES'!$P$4:$P$1203,G$3,'ORDENES'!$Q$4:$Q$1203,G$4)</f>
        <v/>
      </c>
      <c r="H16" s="18">
        <f>SUMIFS('ORDENES'!$AM$4:$AM$1203,'ORDENES'!$E$4:$E$1203,$A16,'ORDENES'!$P$4:$P$1203,H$3,'ORDENES'!$Q$4:$Q$1203,H$4)</f>
        <v/>
      </c>
      <c r="I16" s="18">
        <f>SUMIFS('ORDENES'!$AM$4:$AM$1203,'ORDENES'!$E$4:$E$1203,$A16,'ORDENES'!$P$4:$P$1203,I$3,'ORDENES'!$Q$4:$Q$1203,I$4)</f>
        <v/>
      </c>
      <c r="J16" s="18">
        <f>SUMIFS('ORDENES'!$AM$4:$AM$1203,'ORDENES'!$E$4:$E$1203,$A16,'ORDENES'!$P$4:$P$1203,J$3,'ORDENES'!$Q$4:$Q$1203,J$4)</f>
        <v/>
      </c>
      <c r="K16" s="18">
        <f>SUMIFS('ORDENES'!$AM$4:$AM$1203,'ORDENES'!$E$4:$E$1203,$A16,'ORDENES'!$P$4:$P$1203,K$3,'ORDENES'!$Q$4:$Q$1203,K$4)</f>
        <v/>
      </c>
      <c r="L16" s="18">
        <f>SUMIFS('ORDENES'!$AM$4:$AM$1203,'ORDENES'!$E$4:$E$1203,$A16,'ORDENES'!$P$4:$P$1203,L$3,'ORDENES'!$Q$4:$Q$1203,L$4)</f>
        <v/>
      </c>
      <c r="M16" s="18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15" t="inlineStr">
        <is>
          <t>tecnico</t>
        </is>
      </c>
      <c r="B3" s="15" t="inlineStr">
        <is>
          <t>semana</t>
        </is>
      </c>
      <c r="C3" s="15" t="inlineStr">
        <is>
          <t>especialidad</t>
        </is>
      </c>
      <c r="D3" s="15" t="inlineStr">
        <is>
          <t>posicion</t>
        </is>
      </c>
      <c r="E3" s="15" t="inlineStr">
        <is>
          <t>horas_reales</t>
        </is>
      </c>
      <c r="F3" s="15" t="inlineStr">
        <is>
          <t>base_semanal</t>
        </is>
      </c>
      <c r="G3" s="15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5" t="inlineStr">
        <is>
          <t>especialidad</t>
        </is>
      </c>
      <c r="B71" s="15" t="inlineStr">
        <is>
          <t>semana</t>
        </is>
      </c>
      <c r="C71" s="15" t="inlineStr">
        <is>
          <t>tecnicos_vac</t>
        </is>
      </c>
      <c r="D71" s="15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15" t="inlineStr">
        <is>
          <t>tecnico</t>
        </is>
      </c>
      <c r="B3" s="15" t="inlineStr">
        <is>
          <t>mes</t>
        </is>
      </c>
      <c r="C3" s="15" t="inlineStr">
        <is>
          <t>horas_reales_mes</t>
        </is>
      </c>
      <c r="D3" s="15" t="inlineStr">
        <is>
          <t>horas_requeridas_mes</t>
        </is>
      </c>
      <c r="E3" s="15" t="inlineStr">
        <is>
          <t>cumple</t>
        </is>
      </c>
      <c r="F3" s="15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3" t="inlineStr">
        <is>
          <t>semana:</t>
        </is>
      </c>
      <c r="B3" s="19" t="inlineStr">
        <is>
          <t>2026-S31</t>
        </is>
      </c>
      <c r="C3" s="3" t="inlineStr">
        <is>
          <t>turno:</t>
        </is>
      </c>
      <c r="D3" s="19" t="inlineStr">
        <is>
          <t>(todos)</t>
        </is>
      </c>
      <c r="E3" s="3" t="inlineStr">
        <is>
          <t>coordinador:</t>
        </is>
      </c>
      <c r="F3" s="19" t="inlineStr">
        <is>
          <t>(todos)</t>
        </is>
      </c>
      <c r="G3" s="3" t="inlineStr">
        <is>
          <t>sub-área:</t>
        </is>
      </c>
      <c r="H3" s="19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IF(AND(IF($B$3="(todos)",TRUE,'ORDENES'!$O4=$B$3),IF($D$3="(todos)",TRUE,'ORDENES'!$AH4=$D$3),IF($F$3="(todos)",TRUE,'ORDENES'!$Z4=$F$3),IF($H$3="(todos)",TRUE,'ORDENES'!$Y4=$H$3),'ORDENES'!$AF4=TRUE,'ORDENES'!$A4&lt;&gt;""),1,0)</f>
        <v/>
      </c>
      <c r="L8" s="5">
        <f>IF(K8=1,IFERROR(MATCH('ORDENES'!$S4,lista_dias,0),9)*1000000000+IFERROR(MATCH('ORDENES'!$AH4,lista_turnos,0),9)*10000000+IFERROR(MATCH('ORDENES'!$AG4,'TECNICOS'!$B$4:$B$19,0),99)*100000+1,9000000000000+1)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2">
        <f>IF(K8=1,'ORDENES'!$J4,"")</f>
        <v/>
      </c>
      <c r="U8" s="5">
        <f>IFERROR(MATCH(1,$M$8:$M$1207,0),"")</f>
        <v/>
      </c>
      <c r="V8" s="5">
        <f>IF(U8="","",INDEX('ORDENES'!$S$4:$S$1203,U8))</f>
        <v/>
      </c>
      <c r="W8" s="5">
        <f>IF(U8="","",IF(V8&lt;&gt;V7,CHAR(10)&amp;UPPER(LEFT(V8,1))&amp;MID(V8,2,20)&amp;":"&amp;CHAR(10),"")&amp;"   "&amp;IF(INDEX('ORDENES'!$AH$4:$AH$1203,U8)="","(s/t)",INDEX('ORDENES'!$AH$4:$AH$1203,U8))&amp;" · "&amp;IF(INDEX('ORDENES'!$AG$4:$AG$1203,U8)="","(sin técnico)",INDEX('ORDENES'!$AG$4:$AG$1203,U8))&amp;" · "&amp;INDEX('ORDENES'!$AT$4:$AT$1203,U8)&amp;"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"&amp;IF(INDEX('ORDENES'!$AG$4:$AG$1203,Y8)="","(sin técnico)",INDEX('ORDENES'!$AG$4:$AG$1203,Y8))&amp;IF(INDEX('ORDENES'!$AO$4:$AO$1203,Y8)&lt;&gt;""," · permiso de trabajo","")&amp;IF(INDEX('ORDENES'!$AP$4:$AP$1203,Y8)&lt;&gt;""," · bloqueo de energía (LOTO)",""))</f>
        <v/>
      </c>
      <c r="AB8" s="5">
        <f>'TECNICOS'!$B$4</f>
        <v/>
      </c>
      <c r="AC8" s="17">
        <f>SUMPRODUCT($N$8:$N$1207,--('ORDENES'!$AG$4:$AG$1203=AB8))</f>
        <v/>
      </c>
      <c r="AD8" s="17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IF(SUMPRODUCT($K$8:$K$1207,--('ORDENES'!$AG$4:$AG$1203=AB8))&gt;0,1,0)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IF(AND(IF($B$3="(todos)",TRUE,'ORDENES'!$O5=$B$3),IF($D$3="(todos)",TRUE,'ORDENES'!$AH5=$D$3),IF($F$3="(todos)",TRUE,'ORDENES'!$Z5=$F$3),IF($H$3="(todos)",TRUE,'ORDENES'!$Y5=$H$3),'ORDENES'!$AF5=TRUE,'ORDENES'!$A5&lt;&gt;""),1,0)</f>
        <v/>
      </c>
      <c r="L9" s="5">
        <f>IF(K9=1,IFERROR(MATCH('ORDENES'!$S5,lista_dias,0),9)*1000000000+IFERROR(MATCH('ORDENES'!$AH5,lista_turnos,0),9)*10000000+IFERROR(MATCH('ORDENES'!$AG5,'TECNICOS'!$B$4:$B$19,0),99)*100000+2,9000000000000+2)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2">
        <f>IF(K9=1,'ORDENES'!$J5,"")</f>
        <v/>
      </c>
      <c r="U9" s="5">
        <f>IFERROR(MATCH(2,$M$8:$M$1207,0),"")</f>
        <v/>
      </c>
      <c r="V9" s="5">
        <f>IF(U9="","",INDEX('ORDENES'!$S$4:$S$1203,U9))</f>
        <v/>
      </c>
      <c r="W9" s="5">
        <f>IF(U9="","",IF(V9&lt;&gt;V8,CHAR(10)&amp;UPPER(LEFT(V9,1))&amp;MID(V9,2,20)&amp;":"&amp;CHAR(10),"")&amp;"   "&amp;IF(INDEX('ORDENES'!$AH$4:$AH$1203,U9)="","(s/t)",INDEX('ORDENES'!$AH$4:$AH$1203,U9))&amp;" · "&amp;IF(INDEX('ORDENES'!$AG$4:$AG$1203,U9)="","(sin técnico)",INDEX('ORDENES'!$AG$4:$AG$1203,U9))&amp;" · "&amp;INDEX('ORDENES'!$AT$4:$AT$1203,U9)&amp;"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"&amp;IF(INDEX('ORDENES'!$AG$4:$AG$1203,Y9)="","(sin técnico)",INDEX('ORDENES'!$AG$4:$AG$1203,Y9))&amp;IF(INDEX('ORDENES'!$AO$4:$AO$1203,Y9)&lt;&gt;""," · permiso de trabajo","")&amp;IF(INDEX('ORDENES'!$AP$4:$AP$1203,Y9)&lt;&gt;""," · bloqueo de energía (LOTO)",""))</f>
        <v/>
      </c>
      <c r="AB9" s="5">
        <f>'TECNICOS'!$B$5</f>
        <v/>
      </c>
      <c r="AC9" s="17">
        <f>SUMPRODUCT($N$8:$N$1207,--('ORDENES'!$AG$4:$AG$1203=AB9))</f>
        <v/>
      </c>
      <c r="AD9" s="17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IF(SUMPRODUCT($K$8:$K$1207,--('ORDENES'!$AG$4:$AG$1203=AB9))&gt;0,1,0)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IF(AND(IF($B$3="(todos)",TRUE,'ORDENES'!$O6=$B$3),IF($D$3="(todos)",TRUE,'ORDENES'!$AH6=$D$3),IF($F$3="(todos)",TRUE,'ORDENES'!$Z6=$F$3),IF($H$3="(todos)",TRUE,'ORDENES'!$Y6=$H$3),'ORDENES'!$AF6=TRUE,'ORDENES'!$A6&lt;&gt;""),1,0)</f>
        <v/>
      </c>
      <c r="L10" s="5">
        <f>IF(K10=1,IFERROR(MATCH('ORDENES'!$S6,lista_dias,0),9)*1000000000+IFERROR(MATCH('ORDENES'!$AH6,lista_turnos,0),9)*10000000+IFERROR(MATCH('ORDENES'!$AG6,'TECNICOS'!$B$4:$B$19,0),99)*100000+3,9000000000000+3)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2">
        <f>IF(K10=1,'ORDENES'!$J6,"")</f>
        <v/>
      </c>
      <c r="U10" s="5">
        <f>IFERROR(MATCH(3,$M$8:$M$1207,0),"")</f>
        <v/>
      </c>
      <c r="V10" s="5">
        <f>IF(U10="","",INDEX('ORDENES'!$S$4:$S$1203,U10))</f>
        <v/>
      </c>
      <c r="W10" s="5">
        <f>IF(U10="","",IF(V10&lt;&gt;V9,CHAR(10)&amp;UPPER(LEFT(V10,1))&amp;MID(V10,2,20)&amp;":"&amp;CHAR(10),"")&amp;"   "&amp;IF(INDEX('ORDENES'!$AH$4:$AH$1203,U10)="","(s/t)",INDEX('ORDENES'!$AH$4:$AH$1203,U10))&amp;" · "&amp;IF(INDEX('ORDENES'!$AG$4:$AG$1203,U10)="","(sin técnico)",INDEX('ORDENES'!$AG$4:$AG$1203,U10))&amp;" · "&amp;INDEX('ORDENES'!$AT$4:$AT$1203,U10)&amp;"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"&amp;IF(INDEX('ORDENES'!$AG$4:$AG$1203,Y10)="","(sin técnico)",INDEX('ORDENES'!$AG$4:$AG$1203,Y10))&amp;IF(INDEX('ORDENES'!$AO$4:$AO$1203,Y10)&lt;&gt;""," · permiso de trabajo","")&amp;IF(INDEX('ORDENES'!$AP$4:$AP$1203,Y10)&lt;&gt;""," · bloqueo de energía (LOTO)",""))</f>
        <v/>
      </c>
      <c r="AB10" s="5">
        <f>'TECNICOS'!$B$6</f>
        <v/>
      </c>
      <c r="AC10" s="17">
        <f>SUMPRODUCT($N$8:$N$1207,--('ORDENES'!$AG$4:$AG$1203=AB10))</f>
        <v/>
      </c>
      <c r="AD10" s="17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IF(SUMPRODUCT($K$8:$K$1207,--('ORDENES'!$AG$4:$AG$1203=AB10))&gt;0,1,0)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IF(AND(IF($B$3="(todos)",TRUE,'ORDENES'!$O7=$B$3),IF($D$3="(todos)",TRUE,'ORDENES'!$AH7=$D$3),IF($F$3="(todos)",TRUE,'ORDENES'!$Z7=$F$3),IF($H$3="(todos)",TRUE,'ORDENES'!$Y7=$H$3),'ORDENES'!$AF7=TRUE,'ORDENES'!$A7&lt;&gt;""),1,0)</f>
        <v/>
      </c>
      <c r="L11" s="5">
        <f>IF(K11=1,IFERROR(MATCH('ORDENES'!$S7,lista_dias,0),9)*1000000000+IFERROR(MATCH('ORDENES'!$AH7,lista_turnos,0),9)*10000000+IFERROR(MATCH('ORDENES'!$AG7,'TECNICOS'!$B$4:$B$19,0),99)*100000+4,9000000000000+4)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2">
        <f>IF(K11=1,'ORDENES'!$J7,"")</f>
        <v/>
      </c>
      <c r="U11" s="5">
        <f>IFERROR(MATCH(4,$M$8:$M$1207,0),"")</f>
        <v/>
      </c>
      <c r="V11" s="5">
        <f>IF(U11="","",INDEX('ORDENES'!$S$4:$S$1203,U11))</f>
        <v/>
      </c>
      <c r="W11" s="5">
        <f>IF(U11="","",IF(V11&lt;&gt;V10,CHAR(10)&amp;UPPER(LEFT(V11,1))&amp;MID(V11,2,20)&amp;":"&amp;CHAR(10),"")&amp;"   "&amp;IF(INDEX('ORDENES'!$AH$4:$AH$1203,U11)="","(s/t)",INDEX('ORDENES'!$AH$4:$AH$1203,U11))&amp;" · "&amp;IF(INDEX('ORDENES'!$AG$4:$AG$1203,U11)="","(sin técnico)",INDEX('ORDENES'!$AG$4:$AG$1203,U11))&amp;" · "&amp;INDEX('ORDENES'!$AT$4:$AT$1203,U11)&amp;"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"&amp;IF(INDEX('ORDENES'!$AG$4:$AG$1203,Y11)="","(sin técnico)",INDEX('ORDENES'!$AG$4:$AG$1203,Y11))&amp;IF(INDEX('ORDENES'!$AO$4:$AO$1203,Y11)&lt;&gt;""," · permiso de trabajo","")&amp;IF(INDEX('ORDENES'!$AP$4:$AP$1203,Y11)&lt;&gt;""," · bloqueo de energía (LOTO)",""))</f>
        <v/>
      </c>
      <c r="AB11" s="5">
        <f>'TECNICOS'!$B$7</f>
        <v/>
      </c>
      <c r="AC11" s="17">
        <f>SUMPRODUCT($N$8:$N$1207,--('ORDENES'!$AG$4:$AG$1203=AB11))</f>
        <v/>
      </c>
      <c r="AD11" s="17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IF(SUMPRODUCT($K$8:$K$1207,--('ORDENES'!$AG$4:$AG$1203=AB11))&gt;0,1,0)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IF(AND(IF($B$3="(todos)",TRUE,'ORDENES'!$O8=$B$3),IF($D$3="(todos)",TRUE,'ORDENES'!$AH8=$D$3),IF($F$3="(todos)",TRUE,'ORDENES'!$Z8=$F$3),IF($H$3="(todos)",TRUE,'ORDENES'!$Y8=$H$3),'ORDENES'!$AF8=TRUE,'ORDENES'!$A8&lt;&gt;""),1,0)</f>
        <v/>
      </c>
      <c r="L12" s="5">
        <f>IF(K12=1,IFERROR(MATCH('ORDENES'!$S8,lista_dias,0),9)*1000000000+IFERROR(MATCH('ORDENES'!$AH8,lista_turnos,0),9)*10000000+IFERROR(MATCH('ORDENES'!$AG8,'TECNICOS'!$B$4:$B$19,0),99)*100000+5,9000000000000+5)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2">
        <f>IF(K12=1,'ORDENES'!$J8,"")</f>
        <v/>
      </c>
      <c r="U12" s="5">
        <f>IFERROR(MATCH(5,$M$8:$M$1207,0),"")</f>
        <v/>
      </c>
      <c r="V12" s="5">
        <f>IF(U12="","",INDEX('ORDENES'!$S$4:$S$1203,U12))</f>
        <v/>
      </c>
      <c r="W12" s="5">
        <f>IF(U12="","",IF(V12&lt;&gt;V11,CHAR(10)&amp;UPPER(LEFT(V12,1))&amp;MID(V12,2,20)&amp;":"&amp;CHAR(10),"")&amp;"   "&amp;IF(INDEX('ORDENES'!$AH$4:$AH$1203,U12)="","(s/t)",INDEX('ORDENES'!$AH$4:$AH$1203,U12))&amp;" · "&amp;IF(INDEX('ORDENES'!$AG$4:$AG$1203,U12)="","(sin técnico)",INDEX('ORDENES'!$AG$4:$AG$1203,U12))&amp;" · "&amp;INDEX('ORDENES'!$AT$4:$AT$1203,U12)&amp;"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"&amp;IF(INDEX('ORDENES'!$AG$4:$AG$1203,Y12)="","(sin técnico)",INDEX('ORDENES'!$AG$4:$AG$1203,Y12))&amp;IF(INDEX('ORDENES'!$AO$4:$AO$1203,Y12)&lt;&gt;""," · permiso de trabajo","")&amp;IF(INDEX('ORDENES'!$AP$4:$AP$1203,Y12)&lt;&gt;""," · bloqueo de energía (LOTO)",""))</f>
        <v/>
      </c>
      <c r="AB12" s="5">
        <f>'TECNICOS'!$B$8</f>
        <v/>
      </c>
      <c r="AC12" s="17">
        <f>SUMPRODUCT($N$8:$N$1207,--('ORDENES'!$AG$4:$AG$1203=AB12))</f>
        <v/>
      </c>
      <c r="AD12" s="17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IF(SUMPRODUCT($K$8:$K$1207,--('ORDENES'!$AG$4:$AG$1203=AB12))&gt;0,1,0)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IF(AND(IF($B$3="(todos)",TRUE,'ORDENES'!$O9=$B$3),IF($D$3="(todos)",TRUE,'ORDENES'!$AH9=$D$3),IF($F$3="(todos)",TRUE,'ORDENES'!$Z9=$F$3),IF($H$3="(todos)",TRUE,'ORDENES'!$Y9=$H$3),'ORDENES'!$AF9=TRUE,'ORDENES'!$A9&lt;&gt;""),1,0)</f>
        <v/>
      </c>
      <c r="L13" s="5">
        <f>IF(K13=1,IFERROR(MATCH('ORDENES'!$S9,lista_dias,0),9)*1000000000+IFERROR(MATCH('ORDENES'!$AH9,lista_turnos,0),9)*10000000+IFERROR(MATCH('ORDENES'!$AG9,'TECNICOS'!$B$4:$B$19,0),99)*100000+6,9000000000000+6)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2">
        <f>IF(K13=1,'ORDENES'!$J9,"")</f>
        <v/>
      </c>
      <c r="U13" s="5">
        <f>IFERROR(MATCH(6,$M$8:$M$1207,0),"")</f>
        <v/>
      </c>
      <c r="V13" s="5">
        <f>IF(U13="","",INDEX('ORDENES'!$S$4:$S$1203,U13))</f>
        <v/>
      </c>
      <c r="W13" s="5">
        <f>IF(U13="","",IF(V13&lt;&gt;V12,CHAR(10)&amp;UPPER(LEFT(V13,1))&amp;MID(V13,2,20)&amp;":"&amp;CHAR(10),"")&amp;"   "&amp;IF(INDEX('ORDENES'!$AH$4:$AH$1203,U13)="","(s/t)",INDEX('ORDENES'!$AH$4:$AH$1203,U13))&amp;" · "&amp;IF(INDEX('ORDENES'!$AG$4:$AG$1203,U13)="","(sin técnico)",INDEX('ORDENES'!$AG$4:$AG$1203,U13))&amp;" · "&amp;INDEX('ORDENES'!$AT$4:$AT$1203,U13)&amp;"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"&amp;IF(INDEX('ORDENES'!$AG$4:$AG$1203,Y13)="","(sin técnico)",INDEX('ORDENES'!$AG$4:$AG$1203,Y13))&amp;IF(INDEX('ORDENES'!$AO$4:$AO$1203,Y13)&lt;&gt;""," · permiso de trabajo","")&amp;IF(INDEX('ORDENES'!$AP$4:$AP$1203,Y13)&lt;&gt;""," · bloqueo de energía (LOTO)",""))</f>
        <v/>
      </c>
      <c r="AB13" s="5">
        <f>'TECNICOS'!$B$9</f>
        <v/>
      </c>
      <c r="AC13" s="17">
        <f>SUMPRODUCT($N$8:$N$1207,--('ORDENES'!$AG$4:$AG$1203=AB13))</f>
        <v/>
      </c>
      <c r="AD13" s="17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IF(SUMPRODUCT($K$8:$K$1207,--('ORDENES'!$AG$4:$AG$1203=AB13))&gt;0,1,0)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IF(AND(IF($B$3="(todos)",TRUE,'ORDENES'!$O10=$B$3),IF($D$3="(todos)",TRUE,'ORDENES'!$AH10=$D$3),IF($F$3="(todos)",TRUE,'ORDENES'!$Z10=$F$3),IF($H$3="(todos)",TRUE,'ORDENES'!$Y10=$H$3),'ORDENES'!$AF10=TRUE,'ORDENES'!$A10&lt;&gt;""),1,0)</f>
        <v/>
      </c>
      <c r="L14" s="5">
        <f>IF(K14=1,IFERROR(MATCH('ORDENES'!$S10,lista_dias,0),9)*1000000000+IFERROR(MATCH('ORDENES'!$AH10,lista_turnos,0),9)*10000000+IFERROR(MATCH('ORDENES'!$AG10,'TECNICOS'!$B$4:$B$19,0),99)*100000+7,9000000000000+7)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2">
        <f>IF(K14=1,'ORDENES'!$J10,"")</f>
        <v/>
      </c>
      <c r="U14" s="5">
        <f>IFERROR(MATCH(7,$M$8:$M$1207,0),"")</f>
        <v/>
      </c>
      <c r="V14" s="5">
        <f>IF(U14="","",INDEX('ORDENES'!$S$4:$S$1203,U14))</f>
        <v/>
      </c>
      <c r="W14" s="5">
        <f>IF(U14="","",IF(V14&lt;&gt;V13,CHAR(10)&amp;UPPER(LEFT(V14,1))&amp;MID(V14,2,20)&amp;":"&amp;CHAR(10),"")&amp;"   "&amp;IF(INDEX('ORDENES'!$AH$4:$AH$1203,U14)="","(s/t)",INDEX('ORDENES'!$AH$4:$AH$1203,U14))&amp;" · "&amp;IF(INDEX('ORDENES'!$AG$4:$AG$1203,U14)="","(sin técnico)",INDEX('ORDENES'!$AG$4:$AG$1203,U14))&amp;" · "&amp;INDEX('ORDENES'!$AT$4:$AT$1203,U14)&amp;"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"&amp;IF(INDEX('ORDENES'!$AG$4:$AG$1203,Y14)="","(sin técnico)",INDEX('ORDENES'!$AG$4:$AG$1203,Y14))&amp;IF(INDEX('ORDENES'!$AO$4:$AO$1203,Y14)&lt;&gt;""," · permiso de trabajo","")&amp;IF(INDEX('ORDENES'!$AP$4:$AP$1203,Y14)&lt;&gt;""," · bloqueo de energía (LOTO)",""))</f>
        <v/>
      </c>
      <c r="AB14" s="5">
        <f>'TECNICOS'!$B$10</f>
        <v/>
      </c>
      <c r="AC14" s="17">
        <f>SUMPRODUCT($N$8:$N$1207,--('ORDENES'!$AG$4:$AG$1203=AB14))</f>
        <v/>
      </c>
      <c r="AD14" s="17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IF(SUMPRODUCT($K$8:$K$1207,--('ORDENES'!$AG$4:$AG$1203=AB14))&gt;0,1,0)</f>
        <v/>
      </c>
      <c r="AI14" s="2" t="inlineStr">
        <is>
          <t>lunes_sel</t>
        </is>
      </c>
      <c r="AJ14" s="22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IF(AND(IF($B$3="(todos)",TRUE,'ORDENES'!$O11=$B$3),IF($D$3="(todos)",TRUE,'ORDENES'!$AH11=$D$3),IF($F$3="(todos)",TRUE,'ORDENES'!$Z11=$F$3),IF($H$3="(todos)",TRUE,'ORDENES'!$Y11=$H$3),'ORDENES'!$AF11=TRUE,'ORDENES'!$A11&lt;&gt;""),1,0)</f>
        <v/>
      </c>
      <c r="L15" s="5">
        <f>IF(K15=1,IFERROR(MATCH('ORDENES'!$S11,lista_dias,0),9)*1000000000+IFERROR(MATCH('ORDENES'!$AH11,lista_turnos,0),9)*10000000+IFERROR(MATCH('ORDENES'!$AG11,'TECNICOS'!$B$4:$B$19,0),99)*100000+8,9000000000000+8)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2">
        <f>IF(K15=1,'ORDENES'!$J11,"")</f>
        <v/>
      </c>
      <c r="U15" s="5">
        <f>IFERROR(MATCH(8,$M$8:$M$1207,0),"")</f>
        <v/>
      </c>
      <c r="V15" s="5">
        <f>IF(U15="","",INDEX('ORDENES'!$S$4:$S$1203,U15))</f>
        <v/>
      </c>
      <c r="W15" s="5">
        <f>IF(U15="","",IF(V15&lt;&gt;V14,CHAR(10)&amp;UPPER(LEFT(V15,1))&amp;MID(V15,2,20)&amp;":"&amp;CHAR(10),"")&amp;"   "&amp;IF(INDEX('ORDENES'!$AH$4:$AH$1203,U15)="","(s/t)",INDEX('ORDENES'!$AH$4:$AH$1203,U15))&amp;" · "&amp;IF(INDEX('ORDENES'!$AG$4:$AG$1203,U15)="","(sin técnico)",INDEX('ORDENES'!$AG$4:$AG$1203,U15))&amp;" · "&amp;INDEX('ORDENES'!$AT$4:$AT$1203,U15)&amp;"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"&amp;IF(INDEX('ORDENES'!$AG$4:$AG$1203,Y15)="","(sin técnico)",INDEX('ORDENES'!$AG$4:$AG$1203,Y15))&amp;IF(INDEX('ORDENES'!$AO$4:$AO$1203,Y15)&lt;&gt;""," · permiso de trabajo","")&amp;IF(INDEX('ORDENES'!$AP$4:$AP$1203,Y15)&lt;&gt;""," · bloqueo de energía (LOTO)",""))</f>
        <v/>
      </c>
      <c r="AB15" s="5">
        <f>'TECNICOS'!$B$11</f>
        <v/>
      </c>
      <c r="AC15" s="17">
        <f>SUMPRODUCT($N$8:$N$1207,--('ORDENES'!$AG$4:$AG$1203=AB15))</f>
        <v/>
      </c>
      <c r="AD15" s="17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IF(SUMPRODUCT($K$8:$K$1207,--('ORDENES'!$AG$4:$AG$1203=AB15))&gt;0,1,0)</f>
        <v/>
      </c>
      <c r="AI15" s="2" t="inlineStr">
        <is>
          <t>domingo_sel</t>
        </is>
      </c>
      <c r="AJ15" s="22">
        <f>IF($B$3="(todos)",IF(AJ8=0,"",MAX($T$8:$T$1207)),AJ14+6)</f>
        <v/>
      </c>
    </row>
    <row r="16">
      <c r="K16" s="5">
        <f>IF(AND(IF($B$3="(todos)",TRUE,'ORDENES'!$O12=$B$3),IF($D$3="(todos)",TRUE,'ORDENES'!$AH12=$D$3),IF($F$3="(todos)",TRUE,'ORDENES'!$Z12=$F$3),IF($H$3="(todos)",TRUE,'ORDENES'!$Y12=$H$3),'ORDENES'!$AF12=TRUE,'ORDENES'!$A12&lt;&gt;""),1,0)</f>
        <v/>
      </c>
      <c r="L16" s="5">
        <f>IF(K16=1,IFERROR(MATCH('ORDENES'!$S12,lista_dias,0),9)*1000000000+IFERROR(MATCH('ORDENES'!$AH12,lista_turnos,0),9)*10000000+IFERROR(MATCH('ORDENES'!$AG12,'TECNICOS'!$B$4:$B$19,0),99)*100000+9,9000000000000+9)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2">
        <f>IF(K16=1,'ORDENES'!$J12,"")</f>
        <v/>
      </c>
      <c r="U16" s="5">
        <f>IFERROR(MATCH(9,$M$8:$M$1207,0),"")</f>
        <v/>
      </c>
      <c r="V16" s="5">
        <f>IF(U16="","",INDEX('ORDENES'!$S$4:$S$1203,U16))</f>
        <v/>
      </c>
      <c r="W16" s="5">
        <f>IF(U16="","",IF(V16&lt;&gt;V15,CHAR(10)&amp;UPPER(LEFT(V16,1))&amp;MID(V16,2,20)&amp;":"&amp;CHAR(10),"")&amp;"   "&amp;IF(INDEX('ORDENES'!$AH$4:$AH$1203,U16)="","(s/t)",INDEX('ORDENES'!$AH$4:$AH$1203,U16))&amp;" · "&amp;IF(INDEX('ORDENES'!$AG$4:$AG$1203,U16)="","(sin técnico)",INDEX('ORDENES'!$AG$4:$AG$1203,U16))&amp;" · "&amp;INDEX('ORDENES'!$AT$4:$AT$1203,U16)&amp;"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"&amp;IF(INDEX('ORDENES'!$AG$4:$AG$1203,Y16)="","(sin técnico)",INDEX('ORDENES'!$AG$4:$AG$1203,Y16))&amp;IF(INDEX('ORDENES'!$AO$4:$AO$1203,Y16)&lt;&gt;""," · permiso de trabajo","")&amp;IF(INDEX('ORDENES'!$AP$4:$AP$1203,Y16)&lt;&gt;""," · bloqueo de energía (LOTO)",""))</f>
        <v/>
      </c>
      <c r="AB16" s="5">
        <f>'TECNICOS'!$B$12</f>
        <v/>
      </c>
      <c r="AC16" s="17">
        <f>SUMPRODUCT($N$8:$N$1207,--('ORDENES'!$AG$4:$AG$1203=AB16))</f>
        <v/>
      </c>
      <c r="AD16" s="17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IF(SUMPRODUCT($K$8:$K$1207,--('ORDENES'!$AG$4:$AG$1203=AB16))&gt;0,1,0)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IF(AND(IF($B$3="(todos)",TRUE,'ORDENES'!$O13=$B$3),IF($D$3="(todos)",TRUE,'ORDENES'!$AH13=$D$3),IF($F$3="(todos)",TRUE,'ORDENES'!$Z13=$F$3),IF($H$3="(todos)",TRUE,'ORDENES'!$Y13=$H$3),'ORDENES'!$AF13=TRUE,'ORDENES'!$A13&lt;&gt;""),1,0)</f>
        <v/>
      </c>
      <c r="L17" s="5">
        <f>IF(K17=1,IFERROR(MATCH('ORDENES'!$S13,lista_dias,0),9)*1000000000+IFERROR(MATCH('ORDENES'!$AH13,lista_turnos,0),9)*10000000+IFERROR(MATCH('ORDENES'!$AG13,'TECNICOS'!$B$4:$B$19,0),99)*100000+10,9000000000000+10)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2">
        <f>IF(K17=1,'ORDENES'!$J13,"")</f>
        <v/>
      </c>
      <c r="U17" s="5">
        <f>IFERROR(MATCH(10,$M$8:$M$1207,0),"")</f>
        <v/>
      </c>
      <c r="V17" s="5">
        <f>IF(U17="","",INDEX('ORDENES'!$S$4:$S$1203,U17))</f>
        <v/>
      </c>
      <c r="W17" s="5">
        <f>IF(U17="","",IF(V17&lt;&gt;V16,CHAR(10)&amp;UPPER(LEFT(V17,1))&amp;MID(V17,2,20)&amp;":"&amp;CHAR(10),"")&amp;"   "&amp;IF(INDEX('ORDENES'!$AH$4:$AH$1203,U17)="","(s/t)",INDEX('ORDENES'!$AH$4:$AH$1203,U17))&amp;" · "&amp;IF(INDEX('ORDENES'!$AG$4:$AG$1203,U17)="","(sin técnico)",INDEX('ORDENES'!$AG$4:$AG$1203,U17))&amp;" · "&amp;INDEX('ORDENES'!$AT$4:$AT$1203,U17)&amp;"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"&amp;IF(INDEX('ORDENES'!$AG$4:$AG$1203,Y17)="","(sin técnico)",INDEX('ORDENES'!$AG$4:$AG$1203,Y17))&amp;IF(INDEX('ORDENES'!$AO$4:$AO$1203,Y17)&lt;&gt;""," · permiso de trabajo","")&amp;IF(INDEX('ORDENES'!$AP$4:$AP$1203,Y17)&lt;&gt;""," · bloqueo de energía (LOTO)",""))</f>
        <v/>
      </c>
      <c r="AB17" s="5">
        <f>'TECNICOS'!$B$13</f>
        <v/>
      </c>
      <c r="AC17" s="17">
        <f>SUMPRODUCT($N$8:$N$1207,--('ORDENES'!$AG$4:$AG$1203=AB17))</f>
        <v/>
      </c>
      <c r="AD17" s="17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IF(SUMPRODUCT($K$8:$K$1207,--('ORDENES'!$AG$4:$AG$1203=AB17))&gt;0,1,0)</f>
        <v/>
      </c>
    </row>
    <row r="18">
      <c r="K18" s="5">
        <f>IF(AND(IF($B$3="(todos)",TRUE,'ORDENES'!$O14=$B$3),IF($D$3="(todos)",TRUE,'ORDENES'!$AH14=$D$3),IF($F$3="(todos)",TRUE,'ORDENES'!$Z14=$F$3),IF($H$3="(todos)",TRUE,'ORDENES'!$Y14=$H$3),'ORDENES'!$AF14=TRUE,'ORDENES'!$A14&lt;&gt;""),1,0)</f>
        <v/>
      </c>
      <c r="L18" s="5">
        <f>IF(K18=1,IFERROR(MATCH('ORDENES'!$S14,lista_dias,0),9)*1000000000+IFERROR(MATCH('ORDENES'!$AH14,lista_turnos,0),9)*10000000+IFERROR(MATCH('ORDENES'!$AG14,'TECNICOS'!$B$4:$B$19,0),99)*100000+11,9000000000000+11)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2">
        <f>IF(K18=1,'ORDENES'!$J14,"")</f>
        <v/>
      </c>
      <c r="U18" s="5">
        <f>IFERROR(MATCH(11,$M$8:$M$1207,0),"")</f>
        <v/>
      </c>
      <c r="V18" s="5">
        <f>IF(U18="","",INDEX('ORDENES'!$S$4:$S$1203,U18))</f>
        <v/>
      </c>
      <c r="W18" s="5">
        <f>IF(U18="","",IF(V18&lt;&gt;V17,CHAR(10)&amp;UPPER(LEFT(V18,1))&amp;MID(V18,2,20)&amp;":"&amp;CHAR(10),"")&amp;"   "&amp;IF(INDEX('ORDENES'!$AH$4:$AH$1203,U18)="","(s/t)",INDEX('ORDENES'!$AH$4:$AH$1203,U18))&amp;" · "&amp;IF(INDEX('ORDENES'!$AG$4:$AG$1203,U18)="","(sin técnico)",INDEX('ORDENES'!$AG$4:$AG$1203,U18))&amp;" · "&amp;INDEX('ORDENES'!$AT$4:$AT$1203,U18)&amp;"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"&amp;IF(INDEX('ORDENES'!$AG$4:$AG$1203,Y18)="","(sin técnico)",INDEX('ORDENES'!$AG$4:$AG$1203,Y18))&amp;IF(INDEX('ORDENES'!$AO$4:$AO$1203,Y18)&lt;&gt;""," · permiso de trabajo","")&amp;IF(INDEX('ORDENES'!$AP$4:$AP$1203,Y18)&lt;&gt;""," · bloqueo de energía (LOTO)",""))</f>
        <v/>
      </c>
      <c r="AB18" s="5">
        <f>'TECNICOS'!$B$14</f>
        <v/>
      </c>
      <c r="AC18" s="17">
        <f>SUMPRODUCT($N$8:$N$1207,--('ORDENES'!$AG$4:$AG$1203=AB18))</f>
        <v/>
      </c>
      <c r="AD18" s="17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IF(SUMPRODUCT($K$8:$K$1207,--('ORDENES'!$AG$4:$AG$1203=AB18))&gt;0,1,0)</f>
        <v/>
      </c>
    </row>
    <row r="19">
      <c r="K19" s="5">
        <f>IF(AND(IF($B$3="(todos)",TRUE,'ORDENES'!$O15=$B$3),IF($D$3="(todos)",TRUE,'ORDENES'!$AH15=$D$3),IF($F$3="(todos)",TRUE,'ORDENES'!$Z15=$F$3),IF($H$3="(todos)",TRUE,'ORDENES'!$Y15=$H$3),'ORDENES'!$AF15=TRUE,'ORDENES'!$A15&lt;&gt;""),1,0)</f>
        <v/>
      </c>
      <c r="L19" s="5">
        <f>IF(K19=1,IFERROR(MATCH('ORDENES'!$S15,lista_dias,0),9)*1000000000+IFERROR(MATCH('ORDENES'!$AH15,lista_turnos,0),9)*10000000+IFERROR(MATCH('ORDENES'!$AG15,'TECNICOS'!$B$4:$B$19,0),99)*100000+12,9000000000000+12)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2">
        <f>IF(K19=1,'ORDENES'!$J15,"")</f>
        <v/>
      </c>
      <c r="U19" s="5">
        <f>IFERROR(MATCH(12,$M$8:$M$1207,0),"")</f>
        <v/>
      </c>
      <c r="V19" s="5">
        <f>IF(U19="","",INDEX('ORDENES'!$S$4:$S$1203,U19))</f>
        <v/>
      </c>
      <c r="W19" s="5">
        <f>IF(U19="","",IF(V19&lt;&gt;V18,CHAR(10)&amp;UPPER(LEFT(V19,1))&amp;MID(V19,2,20)&amp;":"&amp;CHAR(10),"")&amp;"   "&amp;IF(INDEX('ORDENES'!$AH$4:$AH$1203,U19)="","(s/t)",INDEX('ORDENES'!$AH$4:$AH$1203,U19))&amp;" · "&amp;IF(INDEX('ORDENES'!$AG$4:$AG$1203,U19)="","(sin técnico)",INDEX('ORDENES'!$AG$4:$AG$1203,U19))&amp;" · "&amp;INDEX('ORDENES'!$AT$4:$AT$1203,U19)&amp;"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"&amp;IF(INDEX('ORDENES'!$AG$4:$AG$1203,Y19)="","(sin técnico)",INDEX('ORDENES'!$AG$4:$AG$1203,Y19))&amp;IF(INDEX('ORDENES'!$AO$4:$AO$1203,Y19)&lt;&gt;""," · permiso de trabajo","")&amp;IF(INDEX('ORDENES'!$AP$4:$AP$1203,Y19)&lt;&gt;""," · bloqueo de energía (LOTO)",""))</f>
        <v/>
      </c>
      <c r="AB19" s="5">
        <f>'TECNICOS'!$B$15</f>
        <v/>
      </c>
      <c r="AC19" s="17">
        <f>SUMPRODUCT($N$8:$N$1207,--('ORDENES'!$AG$4:$AG$1203=AB19))</f>
        <v/>
      </c>
      <c r="AD19" s="17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IF(SUMPRODUCT($K$8:$K$1207,--('ORDENES'!$AG$4:$AG$1203=AB19))&gt;0,1,0)</f>
        <v/>
      </c>
    </row>
    <row r="20">
      <c r="K20" s="5">
        <f>IF(AND(IF($B$3="(todos)",TRUE,'ORDENES'!$O16=$B$3),IF($D$3="(todos)",TRUE,'ORDENES'!$AH16=$D$3),IF($F$3="(todos)",TRUE,'ORDENES'!$Z16=$F$3),IF($H$3="(todos)",TRUE,'ORDENES'!$Y16=$H$3),'ORDENES'!$AF16=TRUE,'ORDENES'!$A16&lt;&gt;""),1,0)</f>
        <v/>
      </c>
      <c r="L20" s="5">
        <f>IF(K20=1,IFERROR(MATCH('ORDENES'!$S16,lista_dias,0),9)*1000000000+IFERROR(MATCH('ORDENES'!$AH16,lista_turnos,0),9)*10000000+IFERROR(MATCH('ORDENES'!$AG16,'TECNICOS'!$B$4:$B$19,0),99)*100000+13,9000000000000+13)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2">
        <f>IF(K20=1,'ORDENES'!$J16,"")</f>
        <v/>
      </c>
      <c r="U20" s="5">
        <f>IFERROR(MATCH(13,$M$8:$M$1207,0),"")</f>
        <v/>
      </c>
      <c r="V20" s="5">
        <f>IF(U20="","",INDEX('ORDENES'!$S$4:$S$1203,U20))</f>
        <v/>
      </c>
      <c r="W20" s="5">
        <f>IF(U20="","",IF(V20&lt;&gt;V19,CHAR(10)&amp;UPPER(LEFT(V20,1))&amp;MID(V20,2,20)&amp;":"&amp;CHAR(10),"")&amp;"   "&amp;IF(INDEX('ORDENES'!$AH$4:$AH$1203,U20)="","(s/t)",INDEX('ORDENES'!$AH$4:$AH$1203,U20))&amp;" · "&amp;IF(INDEX('ORDENES'!$AG$4:$AG$1203,U20)="","(sin técnico)",INDEX('ORDENES'!$AG$4:$AG$1203,U20))&amp;" · "&amp;INDEX('ORDENES'!$AT$4:$AT$1203,U20)&amp;"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"&amp;IF(INDEX('ORDENES'!$AG$4:$AG$1203,Y20)="","(sin técnico)",INDEX('ORDENES'!$AG$4:$AG$1203,Y20))&amp;IF(INDEX('ORDENES'!$AO$4:$AO$1203,Y20)&lt;&gt;""," · permiso de trabajo","")&amp;IF(INDEX('ORDENES'!$AP$4:$AP$1203,Y20)&lt;&gt;""," · bloqueo de energía (LOTO)",""))</f>
        <v/>
      </c>
      <c r="AB20" s="5">
        <f>'TECNICOS'!$B$16</f>
        <v/>
      </c>
      <c r="AC20" s="17">
        <f>SUMPRODUCT($N$8:$N$1207,--('ORDENES'!$AG$4:$AG$1203=AB20))</f>
        <v/>
      </c>
      <c r="AD20" s="17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IF(SUMPRODUCT($K$8:$K$1207,--('ORDENES'!$AG$4:$AG$1203=AB20))&gt;0,1,0)</f>
        <v/>
      </c>
    </row>
    <row r="21">
      <c r="K21" s="5">
        <f>IF(AND(IF($B$3="(todos)",TRUE,'ORDENES'!$O17=$B$3),IF($D$3="(todos)",TRUE,'ORDENES'!$AH17=$D$3),IF($F$3="(todos)",TRUE,'ORDENES'!$Z17=$F$3),IF($H$3="(todos)",TRUE,'ORDENES'!$Y17=$H$3),'ORDENES'!$AF17=TRUE,'ORDENES'!$A17&lt;&gt;""),1,0)</f>
        <v/>
      </c>
      <c r="L21" s="5">
        <f>IF(K21=1,IFERROR(MATCH('ORDENES'!$S17,lista_dias,0),9)*1000000000+IFERROR(MATCH('ORDENES'!$AH17,lista_turnos,0),9)*10000000+IFERROR(MATCH('ORDENES'!$AG17,'TECNICOS'!$B$4:$B$19,0),99)*100000+14,9000000000000+14)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2">
        <f>IF(K21=1,'ORDENES'!$J17,"")</f>
        <v/>
      </c>
      <c r="U21" s="5">
        <f>IFERROR(MATCH(14,$M$8:$M$1207,0),"")</f>
        <v/>
      </c>
      <c r="V21" s="5">
        <f>IF(U21="","",INDEX('ORDENES'!$S$4:$S$1203,U21))</f>
        <v/>
      </c>
      <c r="W21" s="5">
        <f>IF(U21="","",IF(V21&lt;&gt;V20,CHAR(10)&amp;UPPER(LEFT(V21,1))&amp;MID(V21,2,20)&amp;":"&amp;CHAR(10),"")&amp;"   "&amp;IF(INDEX('ORDENES'!$AH$4:$AH$1203,U21)="","(s/t)",INDEX('ORDENES'!$AH$4:$AH$1203,U21))&amp;" · "&amp;IF(INDEX('ORDENES'!$AG$4:$AG$1203,U21)="","(sin técnico)",INDEX('ORDENES'!$AG$4:$AG$1203,U21))&amp;" · "&amp;INDEX('ORDENES'!$AT$4:$AT$1203,U21)&amp;"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"&amp;IF(INDEX('ORDENES'!$AG$4:$AG$1203,Y21)="","(sin técnico)",INDEX('ORDENES'!$AG$4:$AG$1203,Y21))&amp;IF(INDEX('ORDENES'!$AO$4:$AO$1203,Y21)&lt;&gt;""," · permiso de trabajo","")&amp;IF(INDEX('ORDENES'!$AP$4:$AP$1203,Y21)&lt;&gt;""," · bloqueo de energía (LOTO)",""))</f>
        <v/>
      </c>
      <c r="AB21" s="5">
        <f>'TECNICOS'!$B$17</f>
        <v/>
      </c>
      <c r="AC21" s="17">
        <f>SUMPRODUCT($N$8:$N$1207,--('ORDENES'!$AG$4:$AG$1203=AB21))</f>
        <v/>
      </c>
      <c r="AD21" s="17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IF(SUMPRODUCT($K$8:$K$1207,--('ORDENES'!$AG$4:$AG$1203=AB21))&gt;0,1,0)</f>
        <v/>
      </c>
    </row>
    <row r="22">
      <c r="K22" s="5">
        <f>IF(AND(IF($B$3="(todos)",TRUE,'ORDENES'!$O18=$B$3),IF($D$3="(todos)",TRUE,'ORDENES'!$AH18=$D$3),IF($F$3="(todos)",TRUE,'ORDENES'!$Z18=$F$3),IF($H$3="(todos)",TRUE,'ORDENES'!$Y18=$H$3),'ORDENES'!$AF18=TRUE,'ORDENES'!$A18&lt;&gt;""),1,0)</f>
        <v/>
      </c>
      <c r="L22" s="5">
        <f>IF(K22=1,IFERROR(MATCH('ORDENES'!$S18,lista_dias,0),9)*1000000000+IFERROR(MATCH('ORDENES'!$AH18,lista_turnos,0),9)*10000000+IFERROR(MATCH('ORDENES'!$AG18,'TECNICOS'!$B$4:$B$19,0),99)*100000+15,9000000000000+15)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2">
        <f>IF(K22=1,'ORDENES'!$J18,"")</f>
        <v/>
      </c>
      <c r="U22" s="5">
        <f>IFERROR(MATCH(15,$M$8:$M$1207,0),"")</f>
        <v/>
      </c>
      <c r="V22" s="5">
        <f>IF(U22="","",INDEX('ORDENES'!$S$4:$S$1203,U22))</f>
        <v/>
      </c>
      <c r="W22" s="5">
        <f>IF(U22="","",IF(V22&lt;&gt;V21,CHAR(10)&amp;UPPER(LEFT(V22,1))&amp;MID(V22,2,20)&amp;":"&amp;CHAR(10),"")&amp;"   "&amp;IF(INDEX('ORDENES'!$AH$4:$AH$1203,U22)="","(s/t)",INDEX('ORDENES'!$AH$4:$AH$1203,U22))&amp;" · "&amp;IF(INDEX('ORDENES'!$AG$4:$AG$1203,U22)="","(sin técnico)",INDEX('ORDENES'!$AG$4:$AG$1203,U22))&amp;" · "&amp;INDEX('ORDENES'!$AT$4:$AT$1203,U22)&amp;"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"&amp;IF(INDEX('ORDENES'!$AG$4:$AG$1203,Y22)="","(sin técnico)",INDEX('ORDENES'!$AG$4:$AG$1203,Y22))&amp;IF(INDEX('ORDENES'!$AO$4:$AO$1203,Y22)&lt;&gt;""," · permiso de trabajo","")&amp;IF(INDEX('ORDENES'!$AP$4:$AP$1203,Y22)&lt;&gt;""," · bloqueo de energía (LOTO)",""))</f>
        <v/>
      </c>
      <c r="AB22" s="5">
        <f>'TECNICOS'!$B$18</f>
        <v/>
      </c>
      <c r="AC22" s="17">
        <f>SUMPRODUCT($N$8:$N$1207,--('ORDENES'!$AG$4:$AG$1203=AB22))</f>
        <v/>
      </c>
      <c r="AD22" s="17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IF(SUMPRODUCT($K$8:$K$1207,--('ORDENES'!$AG$4:$AG$1203=AB22))&gt;0,1,0)</f>
        <v/>
      </c>
    </row>
    <row r="23">
      <c r="K23" s="5">
        <f>IF(AND(IF($B$3="(todos)",TRUE,'ORDENES'!$O19=$B$3),IF($D$3="(todos)",TRUE,'ORDENES'!$AH19=$D$3),IF($F$3="(todos)",TRUE,'ORDENES'!$Z19=$F$3),IF($H$3="(todos)",TRUE,'ORDENES'!$Y19=$H$3),'ORDENES'!$AF19=TRUE,'ORDENES'!$A19&lt;&gt;""),1,0)</f>
        <v/>
      </c>
      <c r="L23" s="5">
        <f>IF(K23=1,IFERROR(MATCH('ORDENES'!$S19,lista_dias,0),9)*1000000000+IFERROR(MATCH('ORDENES'!$AH19,lista_turnos,0),9)*10000000+IFERROR(MATCH('ORDENES'!$AG19,'TECNICOS'!$B$4:$B$19,0),99)*100000+16,9000000000000+16)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2">
        <f>IF(K23=1,'ORDENES'!$J19,"")</f>
        <v/>
      </c>
      <c r="U23" s="5">
        <f>IFERROR(MATCH(16,$M$8:$M$1207,0),"")</f>
        <v/>
      </c>
      <c r="V23" s="5">
        <f>IF(U23="","",INDEX('ORDENES'!$S$4:$S$1203,U23))</f>
        <v/>
      </c>
      <c r="W23" s="5">
        <f>IF(U23="","",IF(V23&lt;&gt;V22,CHAR(10)&amp;UPPER(LEFT(V23,1))&amp;MID(V23,2,20)&amp;":"&amp;CHAR(10),"")&amp;"   "&amp;IF(INDEX('ORDENES'!$AH$4:$AH$1203,U23)="","(s/t)",INDEX('ORDENES'!$AH$4:$AH$1203,U23))&amp;" · "&amp;IF(INDEX('ORDENES'!$AG$4:$AG$1203,U23)="","(sin técnico)",INDEX('ORDENES'!$AG$4:$AG$1203,U23))&amp;" · "&amp;INDEX('ORDENES'!$AT$4:$AT$1203,U23)&amp;"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"&amp;IF(INDEX('ORDENES'!$AG$4:$AG$1203,Y23)="","(sin técnico)",INDEX('ORDENES'!$AG$4:$AG$1203,Y23))&amp;IF(INDEX('ORDENES'!$AO$4:$AO$1203,Y23)&lt;&gt;""," · permiso de trabajo","")&amp;IF(INDEX('ORDENES'!$AP$4:$AP$1203,Y23)&lt;&gt;""," · bloqueo de energía (LOTO)",""))</f>
        <v/>
      </c>
      <c r="AB23" s="5">
        <f>'TECNICOS'!$B$19</f>
        <v/>
      </c>
      <c r="AC23" s="17">
        <f>SUMPRODUCT($N$8:$N$1207,--('ORDENES'!$AG$4:$AG$1203=AB23))</f>
        <v/>
      </c>
      <c r="AD23" s="17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IF(SUMPRODUCT($K$8:$K$1207,--('ORDENES'!$AG$4:$AG$1203=AB23))&gt;0,1,0)</f>
        <v/>
      </c>
    </row>
    <row r="24">
      <c r="K24" s="5">
        <f>IF(AND(IF($B$3="(todos)",TRUE,'ORDENES'!$O20=$B$3),IF($D$3="(todos)",TRUE,'ORDENES'!$AH20=$D$3),IF($F$3="(todos)",TRUE,'ORDENES'!$Z20=$F$3),IF($H$3="(todos)",TRUE,'ORDENES'!$Y20=$H$3),'ORDENES'!$AF20=TRUE,'ORDENES'!$A20&lt;&gt;""),1,0)</f>
        <v/>
      </c>
      <c r="L24" s="5">
        <f>IF(K24=1,IFERROR(MATCH('ORDENES'!$S20,lista_dias,0),9)*1000000000+IFERROR(MATCH('ORDENES'!$AH20,lista_turnos,0),9)*10000000+IFERROR(MATCH('ORDENES'!$AG20,'TECNICOS'!$B$4:$B$19,0),99)*100000+17,9000000000000+17)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2">
        <f>IF(K24=1,'ORDENES'!$J20,"")</f>
        <v/>
      </c>
      <c r="U24" s="5">
        <f>IFERROR(MATCH(17,$M$8:$M$1207,0),"")</f>
        <v/>
      </c>
      <c r="V24" s="5">
        <f>IF(U24="","",INDEX('ORDENES'!$S$4:$S$1203,U24))</f>
        <v/>
      </c>
      <c r="W24" s="5">
        <f>IF(U24="","",IF(V24&lt;&gt;V23,CHAR(10)&amp;UPPER(LEFT(V24,1))&amp;MID(V24,2,20)&amp;":"&amp;CHAR(10),"")&amp;"   "&amp;IF(INDEX('ORDENES'!$AH$4:$AH$1203,U24)="","(s/t)",INDEX('ORDENES'!$AH$4:$AH$1203,U24))&amp;" · "&amp;IF(INDEX('ORDENES'!$AG$4:$AG$1203,U24)="","(sin técnico)",INDEX('ORDENES'!$AG$4:$AG$1203,U24))&amp;" · "&amp;INDEX('ORDENES'!$AT$4:$AT$1203,U24)&amp;"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"&amp;IF(INDEX('ORDENES'!$AG$4:$AG$1203,Y24)="","(sin técnico)",INDEX('ORDENES'!$AG$4:$AG$1203,Y24))&amp;IF(INDEX('ORDENES'!$AO$4:$AO$1203,Y24)&lt;&gt;""," · permiso de trabajo","")&amp;IF(INDEX('ORDENES'!$AP$4:$AP$1203,Y24)&lt;&gt;""," · bloqueo de energía (LOTO)",""))</f>
        <v/>
      </c>
    </row>
    <row r="25">
      <c r="K25" s="5">
        <f>IF(AND(IF($B$3="(todos)",TRUE,'ORDENES'!$O21=$B$3),IF($D$3="(todos)",TRUE,'ORDENES'!$AH21=$D$3),IF($F$3="(todos)",TRUE,'ORDENES'!$Z21=$F$3),IF($H$3="(todos)",TRUE,'ORDENES'!$Y21=$H$3),'ORDENES'!$AF21=TRUE,'ORDENES'!$A21&lt;&gt;""),1,0)</f>
        <v/>
      </c>
      <c r="L25" s="5">
        <f>IF(K25=1,IFERROR(MATCH('ORDENES'!$S21,lista_dias,0),9)*1000000000+IFERROR(MATCH('ORDENES'!$AH21,lista_turnos,0),9)*10000000+IFERROR(MATCH('ORDENES'!$AG21,'TECNICOS'!$B$4:$B$19,0),99)*100000+18,9000000000000+18)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2">
        <f>IF(K25=1,'ORDENES'!$J21,"")</f>
        <v/>
      </c>
      <c r="U25" s="5">
        <f>IFERROR(MATCH(18,$M$8:$M$1207,0),"")</f>
        <v/>
      </c>
      <c r="V25" s="5">
        <f>IF(U25="","",INDEX('ORDENES'!$S$4:$S$1203,U25))</f>
        <v/>
      </c>
      <c r="W25" s="5">
        <f>IF(U25="","",IF(V25&lt;&gt;V24,CHAR(10)&amp;UPPER(LEFT(V25,1))&amp;MID(V25,2,20)&amp;":"&amp;CHAR(10),"")&amp;"   "&amp;IF(INDEX('ORDENES'!$AH$4:$AH$1203,U25)="","(s/t)",INDEX('ORDENES'!$AH$4:$AH$1203,U25))&amp;" · "&amp;IF(INDEX('ORDENES'!$AG$4:$AG$1203,U25)="","(sin técnico)",INDEX('ORDENES'!$AG$4:$AG$1203,U25))&amp;" · "&amp;INDEX('ORDENES'!$AT$4:$AT$1203,U25)&amp;"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"&amp;IF(INDEX('ORDENES'!$AG$4:$AG$1203,Y25)="","(sin técnico)",INDEX('ORDENES'!$AG$4:$AG$1203,Y25))&amp;IF(INDEX('ORDENES'!$AO$4:$AO$1203,Y25)&lt;&gt;""," · permiso de trabajo","")&amp;IF(INDEX('ORDENES'!$AP$4:$AP$1203,Y25)&lt;&gt;""," · bloqueo de energía (LOTO)",""))</f>
        <v/>
      </c>
    </row>
    <row r="26">
      <c r="K26" s="5">
        <f>IF(AND(IF($B$3="(todos)",TRUE,'ORDENES'!$O22=$B$3),IF($D$3="(todos)",TRUE,'ORDENES'!$AH22=$D$3),IF($F$3="(todos)",TRUE,'ORDENES'!$Z22=$F$3),IF($H$3="(todos)",TRUE,'ORDENES'!$Y22=$H$3),'ORDENES'!$AF22=TRUE,'ORDENES'!$A22&lt;&gt;""),1,0)</f>
        <v/>
      </c>
      <c r="L26" s="5">
        <f>IF(K26=1,IFERROR(MATCH('ORDENES'!$S22,lista_dias,0),9)*1000000000+IFERROR(MATCH('ORDENES'!$AH22,lista_turnos,0),9)*10000000+IFERROR(MATCH('ORDENES'!$AG22,'TECNICOS'!$B$4:$B$19,0),99)*100000+19,9000000000000+19)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2">
        <f>IF(K26=1,'ORDENES'!$J22,"")</f>
        <v/>
      </c>
      <c r="U26" s="5">
        <f>IFERROR(MATCH(19,$M$8:$M$1207,0),"")</f>
        <v/>
      </c>
      <c r="V26" s="5">
        <f>IF(U26="","",INDEX('ORDENES'!$S$4:$S$1203,U26))</f>
        <v/>
      </c>
      <c r="W26" s="5">
        <f>IF(U26="","",IF(V26&lt;&gt;V25,CHAR(10)&amp;UPPER(LEFT(V26,1))&amp;MID(V26,2,20)&amp;":"&amp;CHAR(10),"")&amp;"   "&amp;IF(INDEX('ORDENES'!$AH$4:$AH$1203,U26)="","(s/t)",INDEX('ORDENES'!$AH$4:$AH$1203,U26))&amp;" · "&amp;IF(INDEX('ORDENES'!$AG$4:$AG$1203,U26)="","(sin técnico)",INDEX('ORDENES'!$AG$4:$AG$1203,U26))&amp;" · "&amp;INDEX('ORDENES'!$AT$4:$AT$1203,U26)&amp;"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"&amp;IF(INDEX('ORDENES'!$AG$4:$AG$1203,Y26)="","(sin técnico)",INDEX('ORDENES'!$AG$4:$AG$1203,Y26))&amp;IF(INDEX('ORDENES'!$AO$4:$AO$1203,Y26)&lt;&gt;""," · permiso de trabajo","")&amp;IF(INDEX('ORDENES'!$AP$4:$AP$1203,Y26)&lt;&gt;""," · bloqueo de energía (LOTO)",""))</f>
        <v/>
      </c>
    </row>
    <row r="27">
      <c r="K27" s="5">
        <f>IF(AND(IF($B$3="(todos)",TRUE,'ORDENES'!$O23=$B$3),IF($D$3="(todos)",TRUE,'ORDENES'!$AH23=$D$3),IF($F$3="(todos)",TRUE,'ORDENES'!$Z23=$F$3),IF($H$3="(todos)",TRUE,'ORDENES'!$Y23=$H$3),'ORDENES'!$AF23=TRUE,'ORDENES'!$A23&lt;&gt;""),1,0)</f>
        <v/>
      </c>
      <c r="L27" s="5">
        <f>IF(K27=1,IFERROR(MATCH('ORDENES'!$S23,lista_dias,0),9)*1000000000+IFERROR(MATCH('ORDENES'!$AH23,lista_turnos,0),9)*10000000+IFERROR(MATCH('ORDENES'!$AG23,'TECNICOS'!$B$4:$B$19,0),99)*100000+20,9000000000000+20)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2">
        <f>IF(K27=1,'ORDENES'!$J23,"")</f>
        <v/>
      </c>
      <c r="U27" s="5">
        <f>IFERROR(MATCH(20,$M$8:$M$1207,0),"")</f>
        <v/>
      </c>
      <c r="V27" s="5">
        <f>IF(U27="","",INDEX('ORDENES'!$S$4:$S$1203,U27))</f>
        <v/>
      </c>
      <c r="W27" s="5">
        <f>IF(U27="","",IF(V27&lt;&gt;V26,CHAR(10)&amp;UPPER(LEFT(V27,1))&amp;MID(V27,2,20)&amp;":"&amp;CHAR(10),"")&amp;"   "&amp;IF(INDEX('ORDENES'!$AH$4:$AH$1203,U27)="","(s/t)",INDEX('ORDENES'!$AH$4:$AH$1203,U27))&amp;" · "&amp;IF(INDEX('ORDENES'!$AG$4:$AG$1203,U27)="","(sin técnico)",INDEX('ORDENES'!$AG$4:$AG$1203,U27))&amp;" · "&amp;INDEX('ORDENES'!$AT$4:$AT$1203,U27)&amp;"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"&amp;IF(INDEX('ORDENES'!$AG$4:$AG$1203,Y27)="","(sin técnico)",INDEX('ORDENES'!$AG$4:$AG$1203,Y27))&amp;IF(INDEX('ORDENES'!$AO$4:$AO$1203,Y27)&lt;&gt;""," · permiso de trabajo","")&amp;IF(INDEX('ORDENES'!$AP$4:$AP$1203,Y27)&lt;&gt;""," · bloqueo de energía (LOTO)",""))</f>
        <v/>
      </c>
    </row>
    <row r="28">
      <c r="K28" s="5">
        <f>IF(AND(IF($B$3="(todos)",TRUE,'ORDENES'!$O24=$B$3),IF($D$3="(todos)",TRUE,'ORDENES'!$AH24=$D$3),IF($F$3="(todos)",TRUE,'ORDENES'!$Z24=$F$3),IF($H$3="(todos)",TRUE,'ORDENES'!$Y24=$H$3),'ORDENES'!$AF24=TRUE,'ORDENES'!$A24&lt;&gt;""),1,0)</f>
        <v/>
      </c>
      <c r="L28" s="5">
        <f>IF(K28=1,IFERROR(MATCH('ORDENES'!$S24,lista_dias,0),9)*1000000000+IFERROR(MATCH('ORDENES'!$AH24,lista_turnos,0),9)*10000000+IFERROR(MATCH('ORDENES'!$AG24,'TECNICOS'!$B$4:$B$19,0),99)*100000+21,9000000000000+21)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2">
        <f>IF(K28=1,'ORDENES'!$J24,"")</f>
        <v/>
      </c>
      <c r="U28" s="5">
        <f>IFERROR(MATCH(21,$M$8:$M$1207,0),"")</f>
        <v/>
      </c>
      <c r="V28" s="5">
        <f>IF(U28="","",INDEX('ORDENES'!$S$4:$S$1203,U28))</f>
        <v/>
      </c>
      <c r="W28" s="5">
        <f>IF(U28="","",IF(V28&lt;&gt;V27,CHAR(10)&amp;UPPER(LEFT(V28,1))&amp;MID(V28,2,20)&amp;":"&amp;CHAR(10),"")&amp;"   "&amp;IF(INDEX('ORDENES'!$AH$4:$AH$1203,U28)="","(s/t)",INDEX('ORDENES'!$AH$4:$AH$1203,U28))&amp;" · "&amp;IF(INDEX('ORDENES'!$AG$4:$AG$1203,U28)="","(sin técnico)",INDEX('ORDENES'!$AG$4:$AG$1203,U28))&amp;" · "&amp;INDEX('ORDENES'!$AT$4:$AT$1203,U28)&amp;"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IF(AND(IF($B$3="(todos)",TRUE,'ORDENES'!$O25=$B$3),IF($D$3="(todos)",TRUE,'ORDENES'!$AH25=$D$3),IF($F$3="(todos)",TRUE,'ORDENES'!$Z25=$F$3),IF($H$3="(todos)",TRUE,'ORDENES'!$Y25=$H$3),'ORDENES'!$AF25=TRUE,'ORDENES'!$A25&lt;&gt;""),1,0)</f>
        <v/>
      </c>
      <c r="L29" s="5">
        <f>IF(K29=1,IFERROR(MATCH('ORDENES'!$S25,lista_dias,0),9)*1000000000+IFERROR(MATCH('ORDENES'!$AH25,lista_turnos,0),9)*10000000+IFERROR(MATCH('ORDENES'!$AG25,'TECNICOS'!$B$4:$B$19,0),99)*100000+22,9000000000000+22)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2">
        <f>IF(K29=1,'ORDENES'!$J25,"")</f>
        <v/>
      </c>
      <c r="U29" s="5">
        <f>IFERROR(MATCH(22,$M$8:$M$1207,0),"")</f>
        <v/>
      </c>
      <c r="V29" s="5">
        <f>IF(U29="","",INDEX('ORDENES'!$S$4:$S$1203,U29))</f>
        <v/>
      </c>
      <c r="W29" s="5">
        <f>IF(U29="","",IF(V29&lt;&gt;V28,CHAR(10)&amp;UPPER(LEFT(V29,1))&amp;MID(V29,2,20)&amp;":"&amp;CHAR(10),"")&amp;"   "&amp;IF(INDEX('ORDENES'!$AH$4:$AH$1203,U29)="","(s/t)",INDEX('ORDENES'!$AH$4:$AH$1203,U29))&amp;" · "&amp;IF(INDEX('ORDENES'!$AG$4:$AG$1203,U29)="","(sin técnico)",INDEX('ORDENES'!$AG$4:$AG$1203,U29))&amp;" · "&amp;INDEX('ORDENES'!$AT$4:$AT$1203,U29)&amp;"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IF(AND(IF($B$3="(todos)",TRUE,'ORDENES'!$O26=$B$3),IF($D$3="(todos)",TRUE,'ORDENES'!$AH26=$D$3),IF($F$3="(todos)",TRUE,'ORDENES'!$Z26=$F$3),IF($H$3="(todos)",TRUE,'ORDENES'!$Y26=$H$3),'ORDENES'!$AF26=TRUE,'ORDENES'!$A26&lt;&gt;""),1,0)</f>
        <v/>
      </c>
      <c r="L30" s="5">
        <f>IF(K30=1,IFERROR(MATCH('ORDENES'!$S26,lista_dias,0),9)*1000000000+IFERROR(MATCH('ORDENES'!$AH26,lista_turnos,0),9)*10000000+IFERROR(MATCH('ORDENES'!$AG26,'TECNICOS'!$B$4:$B$19,0),99)*100000+23,9000000000000+23)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2">
        <f>IF(K30=1,'ORDENES'!$J26,"")</f>
        <v/>
      </c>
      <c r="U30" s="5">
        <f>IFERROR(MATCH(23,$M$8:$M$1207,0),"")</f>
        <v/>
      </c>
      <c r="V30" s="5">
        <f>IF(U30="","",INDEX('ORDENES'!$S$4:$S$1203,U30))</f>
        <v/>
      </c>
      <c r="W30" s="5">
        <f>IF(U30="","",IF(V30&lt;&gt;V29,CHAR(10)&amp;UPPER(LEFT(V30,1))&amp;MID(V30,2,20)&amp;":"&amp;CHAR(10),"")&amp;"   "&amp;IF(INDEX('ORDENES'!$AH$4:$AH$1203,U30)="","(s/t)",INDEX('ORDENES'!$AH$4:$AH$1203,U30))&amp;" · "&amp;IF(INDEX('ORDENES'!$AG$4:$AG$1203,U30)="","(sin técnico)",INDEX('ORDENES'!$AG$4:$AG$1203,U30))&amp;" · "&amp;INDEX('ORDENES'!$AT$4:$AT$1203,U30)&amp;"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IF(AND(IF($B$3="(todos)",TRUE,'ORDENES'!$O27=$B$3),IF($D$3="(todos)",TRUE,'ORDENES'!$AH27=$D$3),IF($F$3="(todos)",TRUE,'ORDENES'!$Z27=$F$3),IF($H$3="(todos)",TRUE,'ORDENES'!$Y27=$H$3),'ORDENES'!$AF27=TRUE,'ORDENES'!$A27&lt;&gt;""),1,0)</f>
        <v/>
      </c>
      <c r="L31" s="5">
        <f>IF(K31=1,IFERROR(MATCH('ORDENES'!$S27,lista_dias,0),9)*1000000000+IFERROR(MATCH('ORDENES'!$AH27,lista_turnos,0),9)*10000000+IFERROR(MATCH('ORDENES'!$AG27,'TECNICOS'!$B$4:$B$19,0),99)*100000+24,9000000000000+24)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2">
        <f>IF(K31=1,'ORDENES'!$J27,"")</f>
        <v/>
      </c>
      <c r="U31" s="5">
        <f>IFERROR(MATCH(24,$M$8:$M$1207,0),"")</f>
        <v/>
      </c>
      <c r="V31" s="5">
        <f>IF(U31="","",INDEX('ORDENES'!$S$4:$S$1203,U31))</f>
        <v/>
      </c>
      <c r="W31" s="5">
        <f>IF(U31="","",IF(V31&lt;&gt;V30,CHAR(10)&amp;UPPER(LEFT(V31,1))&amp;MID(V31,2,20)&amp;":"&amp;CHAR(10),"")&amp;"   "&amp;IF(INDEX('ORDENES'!$AH$4:$AH$1203,U31)="","(s/t)",INDEX('ORDENES'!$AH$4:$AH$1203,U31))&amp;" · "&amp;IF(INDEX('ORDENES'!$AG$4:$AG$1203,U31)="","(sin técnico)",INDEX('ORDENES'!$AG$4:$AG$1203,U31))&amp;" · "&amp;INDEX('ORDENES'!$AT$4:$AT$1203,U31)&amp;"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IF(AND(IF($B$3="(todos)",TRUE,'ORDENES'!$O28=$B$3),IF($D$3="(todos)",TRUE,'ORDENES'!$AH28=$D$3),IF($F$3="(todos)",TRUE,'ORDENES'!$Z28=$F$3),IF($H$3="(todos)",TRUE,'ORDENES'!$Y28=$H$3),'ORDENES'!$AF28=TRUE,'ORDENES'!$A28&lt;&gt;""),1,0)</f>
        <v/>
      </c>
      <c r="L32" s="5">
        <f>IF(K32=1,IFERROR(MATCH('ORDENES'!$S28,lista_dias,0),9)*1000000000+IFERROR(MATCH('ORDENES'!$AH28,lista_turnos,0),9)*10000000+IFERROR(MATCH('ORDENES'!$AG28,'TECNICOS'!$B$4:$B$19,0),99)*100000+25,9000000000000+25)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2">
        <f>IF(K32=1,'ORDENES'!$J28,"")</f>
        <v/>
      </c>
      <c r="U32" s="5">
        <f>IFERROR(MATCH(25,$M$8:$M$1207,0),"")</f>
        <v/>
      </c>
      <c r="V32" s="5">
        <f>IF(U32="","",INDEX('ORDENES'!$S$4:$S$1203,U32))</f>
        <v/>
      </c>
      <c r="W32" s="5">
        <f>IF(U32="","",IF(V32&lt;&gt;V31,CHAR(10)&amp;UPPER(LEFT(V32,1))&amp;MID(V32,2,20)&amp;":"&amp;CHAR(10),"")&amp;"   "&amp;IF(INDEX('ORDENES'!$AH$4:$AH$1203,U32)="","(s/t)",INDEX('ORDENES'!$AH$4:$AH$1203,U32))&amp;" · "&amp;IF(INDEX('ORDENES'!$AG$4:$AG$1203,U32)="","(sin técnico)",INDEX('ORDENES'!$AG$4:$AG$1203,U32))&amp;" · "&amp;INDEX('ORDENES'!$AT$4:$AT$1203,U32)&amp;"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IF(AND(IF($B$3="(todos)",TRUE,'ORDENES'!$O29=$B$3),IF($D$3="(todos)",TRUE,'ORDENES'!$AH29=$D$3),IF($F$3="(todos)",TRUE,'ORDENES'!$Z29=$F$3),IF($H$3="(todos)",TRUE,'ORDENES'!$Y29=$H$3),'ORDENES'!$AF29=TRUE,'ORDENES'!$A29&lt;&gt;""),1,0)</f>
        <v/>
      </c>
      <c r="L33" s="5">
        <f>IF(K33=1,IFERROR(MATCH('ORDENES'!$S29,lista_dias,0),9)*1000000000+IFERROR(MATCH('ORDENES'!$AH29,lista_turnos,0),9)*10000000+IFERROR(MATCH('ORDENES'!$AG29,'TECNICOS'!$B$4:$B$19,0),99)*100000+26,9000000000000+26)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2">
        <f>IF(K33=1,'ORDENES'!$J29,"")</f>
        <v/>
      </c>
      <c r="U33" s="5">
        <f>IFERROR(MATCH(26,$M$8:$M$1207,0),"")</f>
        <v/>
      </c>
      <c r="V33" s="5">
        <f>IF(U33="","",INDEX('ORDENES'!$S$4:$S$1203,U33))</f>
        <v/>
      </c>
      <c r="W33" s="5">
        <f>IF(U33="","",IF(V33&lt;&gt;V32,CHAR(10)&amp;UPPER(LEFT(V33,1))&amp;MID(V33,2,20)&amp;":"&amp;CHAR(10),"")&amp;"   "&amp;IF(INDEX('ORDENES'!$AH$4:$AH$1203,U33)="","(s/t)",INDEX('ORDENES'!$AH$4:$AH$1203,U33))&amp;" · "&amp;IF(INDEX('ORDENES'!$AG$4:$AG$1203,U33)="","(sin técnico)",INDEX('ORDENES'!$AG$4:$AG$1203,U33))&amp;" · "&amp;INDEX('ORDENES'!$AT$4:$AT$1203,U33)&amp;"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IF(AND(IF($B$3="(todos)",TRUE,'ORDENES'!$O30=$B$3),IF($D$3="(todos)",TRUE,'ORDENES'!$AH30=$D$3),IF($F$3="(todos)",TRUE,'ORDENES'!$Z30=$F$3),IF($H$3="(todos)",TRUE,'ORDENES'!$Y30=$H$3),'ORDENES'!$AF30=TRUE,'ORDENES'!$A30&lt;&gt;""),1,0)</f>
        <v/>
      </c>
      <c r="L34" s="5">
        <f>IF(K34=1,IFERROR(MATCH('ORDENES'!$S30,lista_dias,0),9)*1000000000+IFERROR(MATCH('ORDENES'!$AH30,lista_turnos,0),9)*10000000+IFERROR(MATCH('ORDENES'!$AG30,'TECNICOS'!$B$4:$B$19,0),99)*100000+27,9000000000000+27)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2">
        <f>IF(K34=1,'ORDENES'!$J30,"")</f>
        <v/>
      </c>
      <c r="U34" s="5">
        <f>IFERROR(MATCH(27,$M$8:$M$1207,0),"")</f>
        <v/>
      </c>
      <c r="V34" s="5">
        <f>IF(U34="","",INDEX('ORDENES'!$S$4:$S$1203,U34))</f>
        <v/>
      </c>
      <c r="W34" s="5">
        <f>IF(U34="","",IF(V34&lt;&gt;V33,CHAR(10)&amp;UPPER(LEFT(V34,1))&amp;MID(V34,2,20)&amp;":"&amp;CHAR(10),"")&amp;"   "&amp;IF(INDEX('ORDENES'!$AH$4:$AH$1203,U34)="","(s/t)",INDEX('ORDENES'!$AH$4:$AH$1203,U34))&amp;" · "&amp;IF(INDEX('ORDENES'!$AG$4:$AG$1203,U34)="","(sin técnico)",INDEX('ORDENES'!$AG$4:$AG$1203,U34))&amp;" · "&amp;INDEX('ORDENES'!$AT$4:$AT$1203,U34)&amp;"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IF(AND(IF($B$3="(todos)",TRUE,'ORDENES'!$O31=$B$3),IF($D$3="(todos)",TRUE,'ORDENES'!$AH31=$D$3),IF($F$3="(todos)",TRUE,'ORDENES'!$Z31=$F$3),IF($H$3="(todos)",TRUE,'ORDENES'!$Y31=$H$3),'ORDENES'!$AF31=TRUE,'ORDENES'!$A31&lt;&gt;""),1,0)</f>
        <v/>
      </c>
      <c r="L35" s="5">
        <f>IF(K35=1,IFERROR(MATCH('ORDENES'!$S31,lista_dias,0),9)*1000000000+IFERROR(MATCH('ORDENES'!$AH31,lista_turnos,0),9)*10000000+IFERROR(MATCH('ORDENES'!$AG31,'TECNICOS'!$B$4:$B$19,0),99)*100000+28,9000000000000+28)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2">
        <f>IF(K35=1,'ORDENES'!$J31,"")</f>
        <v/>
      </c>
      <c r="U35" s="5">
        <f>IFERROR(MATCH(28,$M$8:$M$1207,0),"")</f>
        <v/>
      </c>
      <c r="V35" s="5">
        <f>IF(U35="","",INDEX('ORDENES'!$S$4:$S$1203,U35))</f>
        <v/>
      </c>
      <c r="W35" s="5">
        <f>IF(U35="","",IF(V35&lt;&gt;V34,CHAR(10)&amp;UPPER(LEFT(V35,1))&amp;MID(V35,2,20)&amp;":"&amp;CHAR(10),"")&amp;"   "&amp;IF(INDEX('ORDENES'!$AH$4:$AH$1203,U35)="","(s/t)",INDEX('ORDENES'!$AH$4:$AH$1203,U35))&amp;" · "&amp;IF(INDEX('ORDENES'!$AG$4:$AG$1203,U35)="","(sin técnico)",INDEX('ORDENES'!$AG$4:$AG$1203,U35))&amp;" · "&amp;INDEX('ORDENES'!$AT$4:$AT$1203,U35)&amp;"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IF(AND(IF($B$3="(todos)",TRUE,'ORDENES'!$O32=$B$3),IF($D$3="(todos)",TRUE,'ORDENES'!$AH32=$D$3),IF($F$3="(todos)",TRUE,'ORDENES'!$Z32=$F$3),IF($H$3="(todos)",TRUE,'ORDENES'!$Y32=$H$3),'ORDENES'!$AF32=TRUE,'ORDENES'!$A32&lt;&gt;""),1,0)</f>
        <v/>
      </c>
      <c r="L36" s="5">
        <f>IF(K36=1,IFERROR(MATCH('ORDENES'!$S32,lista_dias,0),9)*1000000000+IFERROR(MATCH('ORDENES'!$AH32,lista_turnos,0),9)*10000000+IFERROR(MATCH('ORDENES'!$AG32,'TECNICOS'!$B$4:$B$19,0),99)*100000+29,9000000000000+29)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2">
        <f>IF(K36=1,'ORDENES'!$J32,"")</f>
        <v/>
      </c>
      <c r="U36" s="5">
        <f>IFERROR(MATCH(29,$M$8:$M$1207,0),"")</f>
        <v/>
      </c>
      <c r="V36" s="5">
        <f>IF(U36="","",INDEX('ORDENES'!$S$4:$S$1203,U36))</f>
        <v/>
      </c>
      <c r="W36" s="5">
        <f>IF(U36="","",IF(V36&lt;&gt;V35,CHAR(10)&amp;UPPER(LEFT(V36,1))&amp;MID(V36,2,20)&amp;":"&amp;CHAR(10),"")&amp;"   "&amp;IF(INDEX('ORDENES'!$AH$4:$AH$1203,U36)="","(s/t)",INDEX('ORDENES'!$AH$4:$AH$1203,U36))&amp;" · "&amp;IF(INDEX('ORDENES'!$AG$4:$AG$1203,U36)="","(sin técnico)",INDEX('ORDENES'!$AG$4:$AG$1203,U36))&amp;" · "&amp;INDEX('ORDENES'!$AT$4:$AT$1203,U36)&amp;"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IF(AND(IF($B$3="(todos)",TRUE,'ORDENES'!$O33=$B$3),IF($D$3="(todos)",TRUE,'ORDENES'!$AH33=$D$3),IF($F$3="(todos)",TRUE,'ORDENES'!$Z33=$F$3),IF($H$3="(todos)",TRUE,'ORDENES'!$Y33=$H$3),'ORDENES'!$AF33=TRUE,'ORDENES'!$A33&lt;&gt;""),1,0)</f>
        <v/>
      </c>
      <c r="L37" s="5">
        <f>IF(K37=1,IFERROR(MATCH('ORDENES'!$S33,lista_dias,0),9)*1000000000+IFERROR(MATCH('ORDENES'!$AH33,lista_turnos,0),9)*10000000+IFERROR(MATCH('ORDENES'!$AG33,'TECNICOS'!$B$4:$B$19,0),99)*100000+30,9000000000000+30)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2">
        <f>IF(K37=1,'ORDENES'!$J33,"")</f>
        <v/>
      </c>
      <c r="U37" s="5">
        <f>IFERROR(MATCH(30,$M$8:$M$1207,0),"")</f>
        <v/>
      </c>
      <c r="V37" s="5">
        <f>IF(U37="","",INDEX('ORDENES'!$S$4:$S$1203,U37))</f>
        <v/>
      </c>
      <c r="W37" s="5">
        <f>IF(U37="","",IF(V37&lt;&gt;V36,CHAR(10)&amp;UPPER(LEFT(V37,1))&amp;MID(V37,2,20)&amp;":"&amp;CHAR(10),"")&amp;"   "&amp;IF(INDEX('ORDENES'!$AH$4:$AH$1203,U37)="","(s/t)",INDEX('ORDENES'!$AH$4:$AH$1203,U37))&amp;" · "&amp;IF(INDEX('ORDENES'!$AG$4:$AG$1203,U37)="","(sin técnico)",INDEX('ORDENES'!$AG$4:$AG$1203,U37))&amp;" · "&amp;INDEX('ORDENES'!$AT$4:$AT$1203,U37)&amp;"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IF(AND(IF($B$3="(todos)",TRUE,'ORDENES'!$O34=$B$3),IF($D$3="(todos)",TRUE,'ORDENES'!$AH34=$D$3),IF($F$3="(todos)",TRUE,'ORDENES'!$Z34=$F$3),IF($H$3="(todos)",TRUE,'ORDENES'!$Y34=$H$3),'ORDENES'!$AF34=TRUE,'ORDENES'!$A34&lt;&gt;""),1,0)</f>
        <v/>
      </c>
      <c r="L38" s="5">
        <f>IF(K38=1,IFERROR(MATCH('ORDENES'!$S34,lista_dias,0),9)*1000000000+IFERROR(MATCH('ORDENES'!$AH34,lista_turnos,0),9)*10000000+IFERROR(MATCH('ORDENES'!$AG34,'TECNICOS'!$B$4:$B$19,0),99)*100000+31,9000000000000+31)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2">
        <f>IF(K38=1,'ORDENES'!$J34,"")</f>
        <v/>
      </c>
      <c r="U38" s="5">
        <f>IFERROR(MATCH(31,$M$8:$M$1207,0),"")</f>
        <v/>
      </c>
      <c r="V38" s="5">
        <f>IF(U38="","",INDEX('ORDENES'!$S$4:$S$1203,U38))</f>
        <v/>
      </c>
      <c r="W38" s="5">
        <f>IF(U38="","",IF(V38&lt;&gt;V37,CHAR(10)&amp;UPPER(LEFT(V38,1))&amp;MID(V38,2,20)&amp;":"&amp;CHAR(10),"")&amp;"   "&amp;IF(INDEX('ORDENES'!$AH$4:$AH$1203,U38)="","(s/t)",INDEX('ORDENES'!$AH$4:$AH$1203,U38))&amp;" · "&amp;IF(INDEX('ORDENES'!$AG$4:$AG$1203,U38)="","(sin técnico)",INDEX('ORDENES'!$AG$4:$AG$1203,U38))&amp;" · "&amp;INDEX('ORDENES'!$AT$4:$AT$1203,U38)&amp;"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IF(AND(IF($B$3="(todos)",TRUE,'ORDENES'!$O35=$B$3),IF($D$3="(todos)",TRUE,'ORDENES'!$AH35=$D$3),IF($F$3="(todos)",TRUE,'ORDENES'!$Z35=$F$3),IF($H$3="(todos)",TRUE,'ORDENES'!$Y35=$H$3),'ORDENES'!$AF35=TRUE,'ORDENES'!$A35&lt;&gt;""),1,0)</f>
        <v/>
      </c>
      <c r="L39" s="5">
        <f>IF(K39=1,IFERROR(MATCH('ORDENES'!$S35,lista_dias,0),9)*1000000000+IFERROR(MATCH('ORDENES'!$AH35,lista_turnos,0),9)*10000000+IFERROR(MATCH('ORDENES'!$AG35,'TECNICOS'!$B$4:$B$19,0),99)*100000+32,9000000000000+32)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2">
        <f>IF(K39=1,'ORDENES'!$J35,"")</f>
        <v/>
      </c>
      <c r="U39" s="5">
        <f>IFERROR(MATCH(32,$M$8:$M$1207,0),"")</f>
        <v/>
      </c>
      <c r="V39" s="5">
        <f>IF(U39="","",INDEX('ORDENES'!$S$4:$S$1203,U39))</f>
        <v/>
      </c>
      <c r="W39" s="5">
        <f>IF(U39="","",IF(V39&lt;&gt;V38,CHAR(10)&amp;UPPER(LEFT(V39,1))&amp;MID(V39,2,20)&amp;":"&amp;CHAR(10),"")&amp;"   "&amp;IF(INDEX('ORDENES'!$AH$4:$AH$1203,U39)="","(s/t)",INDEX('ORDENES'!$AH$4:$AH$1203,U39))&amp;" · "&amp;IF(INDEX('ORDENES'!$AG$4:$AG$1203,U39)="","(sin técnico)",INDEX('ORDENES'!$AG$4:$AG$1203,U39))&amp;" · "&amp;INDEX('ORDENES'!$AT$4:$AT$1203,U39)&amp;"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IF(AND(IF($B$3="(todos)",TRUE,'ORDENES'!$O36=$B$3),IF($D$3="(todos)",TRUE,'ORDENES'!$AH36=$D$3),IF($F$3="(todos)",TRUE,'ORDENES'!$Z36=$F$3),IF($H$3="(todos)",TRUE,'ORDENES'!$Y36=$H$3),'ORDENES'!$AF36=TRUE,'ORDENES'!$A36&lt;&gt;""),1,0)</f>
        <v/>
      </c>
      <c r="L40" s="5">
        <f>IF(K40=1,IFERROR(MATCH('ORDENES'!$S36,lista_dias,0),9)*1000000000+IFERROR(MATCH('ORDENES'!$AH36,lista_turnos,0),9)*10000000+IFERROR(MATCH('ORDENES'!$AG36,'TECNICOS'!$B$4:$B$19,0),99)*100000+33,9000000000000+33)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2">
        <f>IF(K40=1,'ORDENES'!$J36,"")</f>
        <v/>
      </c>
      <c r="U40" s="5">
        <f>IFERROR(MATCH(33,$M$8:$M$1207,0),"")</f>
        <v/>
      </c>
      <c r="V40" s="5">
        <f>IF(U40="","",INDEX('ORDENES'!$S$4:$S$1203,U40))</f>
        <v/>
      </c>
      <c r="W40" s="5">
        <f>IF(U40="","",IF(V40&lt;&gt;V39,CHAR(10)&amp;UPPER(LEFT(V40,1))&amp;MID(V40,2,20)&amp;":"&amp;CHAR(10),"")&amp;"   "&amp;IF(INDEX('ORDENES'!$AH$4:$AH$1203,U40)="","(s/t)",INDEX('ORDENES'!$AH$4:$AH$1203,U40))&amp;" · "&amp;IF(INDEX('ORDENES'!$AG$4:$AG$1203,U40)="","(sin técnico)",INDEX('ORDENES'!$AG$4:$AG$1203,U40))&amp;" · "&amp;INDEX('ORDENES'!$AT$4:$AT$1203,U40)&amp;"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IF(AND(IF($B$3="(todos)",TRUE,'ORDENES'!$O37=$B$3),IF($D$3="(todos)",TRUE,'ORDENES'!$AH37=$D$3),IF($F$3="(todos)",TRUE,'ORDENES'!$Z37=$F$3),IF($H$3="(todos)",TRUE,'ORDENES'!$Y37=$H$3),'ORDENES'!$AF37=TRUE,'ORDENES'!$A37&lt;&gt;""),1,0)</f>
        <v/>
      </c>
      <c r="L41" s="5">
        <f>IF(K41=1,IFERROR(MATCH('ORDENES'!$S37,lista_dias,0),9)*1000000000+IFERROR(MATCH('ORDENES'!$AH37,lista_turnos,0),9)*10000000+IFERROR(MATCH('ORDENES'!$AG37,'TECNICOS'!$B$4:$B$19,0),99)*100000+34,9000000000000+34)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2">
        <f>IF(K41=1,'ORDENES'!$J37,"")</f>
        <v/>
      </c>
      <c r="U41" s="5">
        <f>IFERROR(MATCH(34,$M$8:$M$1207,0),"")</f>
        <v/>
      </c>
      <c r="V41" s="5">
        <f>IF(U41="","",INDEX('ORDENES'!$S$4:$S$1203,U41))</f>
        <v/>
      </c>
      <c r="W41" s="5">
        <f>IF(U41="","",IF(V41&lt;&gt;V40,CHAR(10)&amp;UPPER(LEFT(V41,1))&amp;MID(V41,2,20)&amp;":"&amp;CHAR(10),"")&amp;"   "&amp;IF(INDEX('ORDENES'!$AH$4:$AH$1203,U41)="","(s/t)",INDEX('ORDENES'!$AH$4:$AH$1203,U41))&amp;" · "&amp;IF(INDEX('ORDENES'!$AG$4:$AG$1203,U41)="","(sin técnico)",INDEX('ORDENES'!$AG$4:$AG$1203,U41))&amp;" · "&amp;INDEX('ORDENES'!$AT$4:$AT$1203,U41)&amp;"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IF(AND(IF($B$3="(todos)",TRUE,'ORDENES'!$O38=$B$3),IF($D$3="(todos)",TRUE,'ORDENES'!$AH38=$D$3),IF($F$3="(todos)",TRUE,'ORDENES'!$Z38=$F$3),IF($H$3="(todos)",TRUE,'ORDENES'!$Y38=$H$3),'ORDENES'!$AF38=TRUE,'ORDENES'!$A38&lt;&gt;""),1,0)</f>
        <v/>
      </c>
      <c r="L42" s="5">
        <f>IF(K42=1,IFERROR(MATCH('ORDENES'!$S38,lista_dias,0),9)*1000000000+IFERROR(MATCH('ORDENES'!$AH38,lista_turnos,0),9)*10000000+IFERROR(MATCH('ORDENES'!$AG38,'TECNICOS'!$B$4:$B$19,0),99)*100000+35,9000000000000+35)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2">
        <f>IF(K42=1,'ORDENES'!$J38,"")</f>
        <v/>
      </c>
      <c r="U42" s="5">
        <f>IFERROR(MATCH(35,$M$8:$M$1207,0),"")</f>
        <v/>
      </c>
      <c r="V42" s="5">
        <f>IF(U42="","",INDEX('ORDENES'!$S$4:$S$1203,U42))</f>
        <v/>
      </c>
      <c r="W42" s="5">
        <f>IF(U42="","",IF(V42&lt;&gt;V41,CHAR(10)&amp;UPPER(LEFT(V42,1))&amp;MID(V42,2,20)&amp;":"&amp;CHAR(10),"")&amp;"   "&amp;IF(INDEX('ORDENES'!$AH$4:$AH$1203,U42)="","(s/t)",INDEX('ORDENES'!$AH$4:$AH$1203,U42))&amp;" · "&amp;IF(INDEX('ORDENES'!$AG$4:$AG$1203,U42)="","(sin técnico)",INDEX('ORDENES'!$AG$4:$AG$1203,U42))&amp;" · "&amp;INDEX('ORDENES'!$AT$4:$AT$1203,U42)&amp;"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IF(AND(IF($B$3="(todos)",TRUE,'ORDENES'!$O39=$B$3),IF($D$3="(todos)",TRUE,'ORDENES'!$AH39=$D$3),IF($F$3="(todos)",TRUE,'ORDENES'!$Z39=$F$3),IF($H$3="(todos)",TRUE,'ORDENES'!$Y39=$H$3),'ORDENES'!$AF39=TRUE,'ORDENES'!$A39&lt;&gt;""),1,0)</f>
        <v/>
      </c>
      <c r="L43" s="5">
        <f>IF(K43=1,IFERROR(MATCH('ORDENES'!$S39,lista_dias,0),9)*1000000000+IFERROR(MATCH('ORDENES'!$AH39,lista_turnos,0),9)*10000000+IFERROR(MATCH('ORDENES'!$AG39,'TECNICOS'!$B$4:$B$19,0),99)*100000+36,9000000000000+36)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2">
        <f>IF(K43=1,'ORDENES'!$J39,"")</f>
        <v/>
      </c>
      <c r="U43" s="5">
        <f>IFERROR(MATCH(36,$M$8:$M$1207,0),"")</f>
        <v/>
      </c>
      <c r="V43" s="5">
        <f>IF(U43="","",INDEX('ORDENES'!$S$4:$S$1203,U43))</f>
        <v/>
      </c>
      <c r="W43" s="5">
        <f>IF(U43="","",IF(V43&lt;&gt;V42,CHAR(10)&amp;UPPER(LEFT(V43,1))&amp;MID(V43,2,20)&amp;":"&amp;CHAR(10),"")&amp;"   "&amp;IF(INDEX('ORDENES'!$AH$4:$AH$1203,U43)="","(s/t)",INDEX('ORDENES'!$AH$4:$AH$1203,U43))&amp;" · "&amp;IF(INDEX('ORDENES'!$AG$4:$AG$1203,U43)="","(sin técnico)",INDEX('ORDENES'!$AG$4:$AG$1203,U43))&amp;" · "&amp;INDEX('ORDENES'!$AT$4:$AT$1203,U43)&amp;"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IF(AND(IF($B$3="(todos)",TRUE,'ORDENES'!$O40=$B$3),IF($D$3="(todos)",TRUE,'ORDENES'!$AH40=$D$3),IF($F$3="(todos)",TRUE,'ORDENES'!$Z40=$F$3),IF($H$3="(todos)",TRUE,'ORDENES'!$Y40=$H$3),'ORDENES'!$AF40=TRUE,'ORDENES'!$A40&lt;&gt;""),1,0)</f>
        <v/>
      </c>
      <c r="L44" s="5">
        <f>IF(K44=1,IFERROR(MATCH('ORDENES'!$S40,lista_dias,0),9)*1000000000+IFERROR(MATCH('ORDENES'!$AH40,lista_turnos,0),9)*10000000+IFERROR(MATCH('ORDENES'!$AG40,'TECNICOS'!$B$4:$B$19,0),99)*100000+37,9000000000000+37)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2">
        <f>IF(K44=1,'ORDENES'!$J40,"")</f>
        <v/>
      </c>
      <c r="U44" s="5">
        <f>IFERROR(MATCH(37,$M$8:$M$1207,0),"")</f>
        <v/>
      </c>
      <c r="V44" s="5">
        <f>IF(U44="","",INDEX('ORDENES'!$S$4:$S$1203,U44))</f>
        <v/>
      </c>
      <c r="W44" s="5">
        <f>IF(U44="","",IF(V44&lt;&gt;V43,CHAR(10)&amp;UPPER(LEFT(V44,1))&amp;MID(V44,2,20)&amp;":"&amp;CHAR(10),"")&amp;"   "&amp;IF(INDEX('ORDENES'!$AH$4:$AH$1203,U44)="","(s/t)",INDEX('ORDENES'!$AH$4:$AH$1203,U44))&amp;" · "&amp;IF(INDEX('ORDENES'!$AG$4:$AG$1203,U44)="","(sin técnico)",INDEX('ORDENES'!$AG$4:$AG$1203,U44))&amp;" · "&amp;INDEX('ORDENES'!$AT$4:$AT$1203,U44)&amp;"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IF(AND(IF($B$3="(todos)",TRUE,'ORDENES'!$O41=$B$3),IF($D$3="(todos)",TRUE,'ORDENES'!$AH41=$D$3),IF($F$3="(todos)",TRUE,'ORDENES'!$Z41=$F$3),IF($H$3="(todos)",TRUE,'ORDENES'!$Y41=$H$3),'ORDENES'!$AF41=TRUE,'ORDENES'!$A41&lt;&gt;""),1,0)</f>
        <v/>
      </c>
      <c r="L45" s="5">
        <f>IF(K45=1,IFERROR(MATCH('ORDENES'!$S41,lista_dias,0),9)*1000000000+IFERROR(MATCH('ORDENES'!$AH41,lista_turnos,0),9)*10000000+IFERROR(MATCH('ORDENES'!$AG41,'TECNICOS'!$B$4:$B$19,0),99)*100000+38,9000000000000+38)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2">
        <f>IF(K45=1,'ORDENES'!$J41,"")</f>
        <v/>
      </c>
      <c r="U45" s="5">
        <f>IFERROR(MATCH(38,$M$8:$M$1207,0),"")</f>
        <v/>
      </c>
      <c r="V45" s="5">
        <f>IF(U45="","",INDEX('ORDENES'!$S$4:$S$1203,U45))</f>
        <v/>
      </c>
      <c r="W45" s="5">
        <f>IF(U45="","",IF(V45&lt;&gt;V44,CHAR(10)&amp;UPPER(LEFT(V45,1))&amp;MID(V45,2,20)&amp;":"&amp;CHAR(10),"")&amp;"   "&amp;IF(INDEX('ORDENES'!$AH$4:$AH$1203,U45)="","(s/t)",INDEX('ORDENES'!$AH$4:$AH$1203,U45))&amp;" · "&amp;IF(INDEX('ORDENES'!$AG$4:$AG$1203,U45)="","(sin técnico)",INDEX('ORDENES'!$AG$4:$AG$1203,U45))&amp;" · "&amp;INDEX('ORDENES'!$AT$4:$AT$1203,U45)&amp;"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IF(AND(IF($B$3="(todos)",TRUE,'ORDENES'!$O42=$B$3),IF($D$3="(todos)",TRUE,'ORDENES'!$AH42=$D$3),IF($F$3="(todos)",TRUE,'ORDENES'!$Z42=$F$3),IF($H$3="(todos)",TRUE,'ORDENES'!$Y42=$H$3),'ORDENES'!$AF42=TRUE,'ORDENES'!$A42&lt;&gt;""),1,0)</f>
        <v/>
      </c>
      <c r="L46" s="5">
        <f>IF(K46=1,IFERROR(MATCH('ORDENES'!$S42,lista_dias,0),9)*1000000000+IFERROR(MATCH('ORDENES'!$AH42,lista_turnos,0),9)*10000000+IFERROR(MATCH('ORDENES'!$AG42,'TECNICOS'!$B$4:$B$19,0),99)*100000+39,9000000000000+39)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2">
        <f>IF(K46=1,'ORDENES'!$J42,"")</f>
        <v/>
      </c>
      <c r="U46" s="5">
        <f>IFERROR(MATCH(39,$M$8:$M$1207,0),"")</f>
        <v/>
      </c>
      <c r="V46" s="5">
        <f>IF(U46="","",INDEX('ORDENES'!$S$4:$S$1203,U46))</f>
        <v/>
      </c>
      <c r="W46" s="5">
        <f>IF(U46="","",IF(V46&lt;&gt;V45,CHAR(10)&amp;UPPER(LEFT(V46,1))&amp;MID(V46,2,20)&amp;":"&amp;CHAR(10),"")&amp;"   "&amp;IF(INDEX('ORDENES'!$AH$4:$AH$1203,U46)="","(s/t)",INDEX('ORDENES'!$AH$4:$AH$1203,U46))&amp;" · "&amp;IF(INDEX('ORDENES'!$AG$4:$AG$1203,U46)="","(sin técnico)",INDEX('ORDENES'!$AG$4:$AG$1203,U46))&amp;" · "&amp;INDEX('ORDENES'!$AT$4:$AT$1203,U46)&amp;"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IF(AND(IF($B$3="(todos)",TRUE,'ORDENES'!$O43=$B$3),IF($D$3="(todos)",TRUE,'ORDENES'!$AH43=$D$3),IF($F$3="(todos)",TRUE,'ORDENES'!$Z43=$F$3),IF($H$3="(todos)",TRUE,'ORDENES'!$Y43=$H$3),'ORDENES'!$AF43=TRUE,'ORDENES'!$A43&lt;&gt;""),1,0)</f>
        <v/>
      </c>
      <c r="L47" s="5">
        <f>IF(K47=1,IFERROR(MATCH('ORDENES'!$S43,lista_dias,0),9)*1000000000+IFERROR(MATCH('ORDENES'!$AH43,lista_turnos,0),9)*10000000+IFERROR(MATCH('ORDENES'!$AG43,'TECNICOS'!$B$4:$B$19,0),99)*100000+40,9000000000000+40)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2">
        <f>IF(K47=1,'ORDENES'!$J43,"")</f>
        <v/>
      </c>
      <c r="U47" s="5">
        <f>IFERROR(MATCH(40,$M$8:$M$1207,0),"")</f>
        <v/>
      </c>
      <c r="V47" s="5">
        <f>IF(U47="","",INDEX('ORDENES'!$S$4:$S$1203,U47))</f>
        <v/>
      </c>
      <c r="W47" s="5">
        <f>IF(U47="","",IF(V47&lt;&gt;V46,CHAR(10)&amp;UPPER(LEFT(V47,1))&amp;MID(V47,2,20)&amp;":"&amp;CHAR(10),"")&amp;"   "&amp;IF(INDEX('ORDENES'!$AH$4:$AH$1203,U47)="","(s/t)",INDEX('ORDENES'!$AH$4:$AH$1203,U47))&amp;" · "&amp;IF(INDEX('ORDENES'!$AG$4:$AG$1203,U47)="","(sin técnico)",INDEX('ORDENES'!$AG$4:$AG$1203,U47))&amp;" · "&amp;INDEX('ORDENES'!$AT$4:$AT$1203,U47)&amp;"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IF(AND(IF($B$3="(todos)",TRUE,'ORDENES'!$O44=$B$3),IF($D$3="(todos)",TRUE,'ORDENES'!$AH44=$D$3),IF($F$3="(todos)",TRUE,'ORDENES'!$Z44=$F$3),IF($H$3="(todos)",TRUE,'ORDENES'!$Y44=$H$3),'ORDENES'!$AF44=TRUE,'ORDENES'!$A44&lt;&gt;""),1,0)</f>
        <v/>
      </c>
      <c r="L48" s="5">
        <f>IF(K48=1,IFERROR(MATCH('ORDENES'!$S44,lista_dias,0),9)*1000000000+IFERROR(MATCH('ORDENES'!$AH44,lista_turnos,0),9)*10000000+IFERROR(MATCH('ORDENES'!$AG44,'TECNICOS'!$B$4:$B$19,0),99)*100000+41,9000000000000+41)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2">
        <f>IF(K48=1,'ORDENES'!$J44,"")</f>
        <v/>
      </c>
      <c r="U48" s="5">
        <f>IFERROR(MATCH(41,$M$8:$M$1207,0),"")</f>
        <v/>
      </c>
      <c r="V48" s="5">
        <f>IF(U48="","",INDEX('ORDENES'!$S$4:$S$1203,U48))</f>
        <v/>
      </c>
      <c r="W48" s="5">
        <f>IF(U48="","",IF(V48&lt;&gt;V47,CHAR(10)&amp;UPPER(LEFT(V48,1))&amp;MID(V48,2,20)&amp;":"&amp;CHAR(10),"")&amp;"   "&amp;IF(INDEX('ORDENES'!$AH$4:$AH$1203,U48)="","(s/t)",INDEX('ORDENES'!$AH$4:$AH$1203,U48))&amp;" · "&amp;IF(INDEX('ORDENES'!$AG$4:$AG$1203,U48)="","(sin técnico)",INDEX('ORDENES'!$AG$4:$AG$1203,U48))&amp;" · "&amp;INDEX('ORDENES'!$AT$4:$AT$1203,U48)&amp;"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IF(AND(IF($B$3="(todos)",TRUE,'ORDENES'!$O45=$B$3),IF($D$3="(todos)",TRUE,'ORDENES'!$AH45=$D$3),IF($F$3="(todos)",TRUE,'ORDENES'!$Z45=$F$3),IF($H$3="(todos)",TRUE,'ORDENES'!$Y45=$H$3),'ORDENES'!$AF45=TRUE,'ORDENES'!$A45&lt;&gt;""),1,0)</f>
        <v/>
      </c>
      <c r="L49" s="5">
        <f>IF(K49=1,IFERROR(MATCH('ORDENES'!$S45,lista_dias,0),9)*1000000000+IFERROR(MATCH('ORDENES'!$AH45,lista_turnos,0),9)*10000000+IFERROR(MATCH('ORDENES'!$AG45,'TECNICOS'!$B$4:$B$19,0),99)*100000+42,9000000000000+42)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2">
        <f>IF(K49=1,'ORDENES'!$J45,"")</f>
        <v/>
      </c>
      <c r="U49" s="5">
        <f>IFERROR(MATCH(42,$M$8:$M$1207,0),"")</f>
        <v/>
      </c>
      <c r="V49" s="5">
        <f>IF(U49="","",INDEX('ORDENES'!$S$4:$S$1203,U49))</f>
        <v/>
      </c>
      <c r="W49" s="5">
        <f>IF(U49="","",IF(V49&lt;&gt;V48,CHAR(10)&amp;UPPER(LEFT(V49,1))&amp;MID(V49,2,20)&amp;":"&amp;CHAR(10),"")&amp;"   "&amp;IF(INDEX('ORDENES'!$AH$4:$AH$1203,U49)="","(s/t)",INDEX('ORDENES'!$AH$4:$AH$1203,U49))&amp;" · "&amp;IF(INDEX('ORDENES'!$AG$4:$AG$1203,U49)="","(sin técnico)",INDEX('ORDENES'!$AG$4:$AG$1203,U49))&amp;" · "&amp;INDEX('ORDENES'!$AT$4:$AT$1203,U49)&amp;"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IF(AND(IF($B$3="(todos)",TRUE,'ORDENES'!$O46=$B$3),IF($D$3="(todos)",TRUE,'ORDENES'!$AH46=$D$3),IF($F$3="(todos)",TRUE,'ORDENES'!$Z46=$F$3),IF($H$3="(todos)",TRUE,'ORDENES'!$Y46=$H$3),'ORDENES'!$AF46=TRUE,'ORDENES'!$A46&lt;&gt;""),1,0)</f>
        <v/>
      </c>
      <c r="L50" s="5">
        <f>IF(K50=1,IFERROR(MATCH('ORDENES'!$S46,lista_dias,0),9)*1000000000+IFERROR(MATCH('ORDENES'!$AH46,lista_turnos,0),9)*10000000+IFERROR(MATCH('ORDENES'!$AG46,'TECNICOS'!$B$4:$B$19,0),99)*100000+43,9000000000000+43)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2">
        <f>IF(K50=1,'ORDENES'!$J46,"")</f>
        <v/>
      </c>
      <c r="U50" s="5">
        <f>IFERROR(MATCH(43,$M$8:$M$1207,0),"")</f>
        <v/>
      </c>
      <c r="V50" s="5">
        <f>IF(U50="","",INDEX('ORDENES'!$S$4:$S$1203,U50))</f>
        <v/>
      </c>
      <c r="W50" s="5">
        <f>IF(U50="","",IF(V50&lt;&gt;V49,CHAR(10)&amp;UPPER(LEFT(V50,1))&amp;MID(V50,2,20)&amp;":"&amp;CHAR(10),"")&amp;"   "&amp;IF(INDEX('ORDENES'!$AH$4:$AH$1203,U50)="","(s/t)",INDEX('ORDENES'!$AH$4:$AH$1203,U50))&amp;" · "&amp;IF(INDEX('ORDENES'!$AG$4:$AG$1203,U50)="","(sin técnico)",INDEX('ORDENES'!$AG$4:$AG$1203,U50))&amp;" · "&amp;INDEX('ORDENES'!$AT$4:$AT$1203,U50)&amp;"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IF(AND(IF($B$3="(todos)",TRUE,'ORDENES'!$O47=$B$3),IF($D$3="(todos)",TRUE,'ORDENES'!$AH47=$D$3),IF($F$3="(todos)",TRUE,'ORDENES'!$Z47=$F$3),IF($H$3="(todos)",TRUE,'ORDENES'!$Y47=$H$3),'ORDENES'!$AF47=TRUE,'ORDENES'!$A47&lt;&gt;""),1,0)</f>
        <v/>
      </c>
      <c r="L51" s="5">
        <f>IF(K51=1,IFERROR(MATCH('ORDENES'!$S47,lista_dias,0),9)*1000000000+IFERROR(MATCH('ORDENES'!$AH47,lista_turnos,0),9)*10000000+IFERROR(MATCH('ORDENES'!$AG47,'TECNICOS'!$B$4:$B$19,0),99)*100000+44,9000000000000+44)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2">
        <f>IF(K51=1,'ORDENES'!$J47,"")</f>
        <v/>
      </c>
      <c r="U51" s="5">
        <f>IFERROR(MATCH(44,$M$8:$M$1207,0),"")</f>
        <v/>
      </c>
      <c r="V51" s="5">
        <f>IF(U51="","",INDEX('ORDENES'!$S$4:$S$1203,U51))</f>
        <v/>
      </c>
      <c r="W51" s="5">
        <f>IF(U51="","",IF(V51&lt;&gt;V50,CHAR(10)&amp;UPPER(LEFT(V51,1))&amp;MID(V51,2,20)&amp;":"&amp;CHAR(10),"")&amp;"   "&amp;IF(INDEX('ORDENES'!$AH$4:$AH$1203,U51)="","(s/t)",INDEX('ORDENES'!$AH$4:$AH$1203,U51))&amp;" · "&amp;IF(INDEX('ORDENES'!$AG$4:$AG$1203,U51)="","(sin técnico)",INDEX('ORDENES'!$AG$4:$AG$1203,U51))&amp;" · "&amp;INDEX('ORDENES'!$AT$4:$AT$1203,U51)&amp;"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IF(AND(IF($B$3="(todos)",TRUE,'ORDENES'!$O48=$B$3),IF($D$3="(todos)",TRUE,'ORDENES'!$AH48=$D$3),IF($F$3="(todos)",TRUE,'ORDENES'!$Z48=$F$3),IF($H$3="(todos)",TRUE,'ORDENES'!$Y48=$H$3),'ORDENES'!$AF48=TRUE,'ORDENES'!$A48&lt;&gt;""),1,0)</f>
        <v/>
      </c>
      <c r="L52" s="5">
        <f>IF(K52=1,IFERROR(MATCH('ORDENES'!$S48,lista_dias,0),9)*1000000000+IFERROR(MATCH('ORDENES'!$AH48,lista_turnos,0),9)*10000000+IFERROR(MATCH('ORDENES'!$AG48,'TECNICOS'!$B$4:$B$19,0),99)*100000+45,9000000000000+45)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2">
        <f>IF(K52=1,'ORDENES'!$J48,"")</f>
        <v/>
      </c>
      <c r="U52" s="5">
        <f>IFERROR(MATCH(45,$M$8:$M$1207,0),"")</f>
        <v/>
      </c>
      <c r="V52" s="5">
        <f>IF(U52="","",INDEX('ORDENES'!$S$4:$S$1203,U52))</f>
        <v/>
      </c>
      <c r="W52" s="5">
        <f>IF(U52="","",IF(V52&lt;&gt;V51,CHAR(10)&amp;UPPER(LEFT(V52,1))&amp;MID(V52,2,20)&amp;":"&amp;CHAR(10),"")&amp;"   "&amp;IF(INDEX('ORDENES'!$AH$4:$AH$1203,U52)="","(s/t)",INDEX('ORDENES'!$AH$4:$AH$1203,U52))&amp;" · "&amp;IF(INDEX('ORDENES'!$AG$4:$AG$1203,U52)="","(sin técnico)",INDEX('ORDENES'!$AG$4:$AG$1203,U52))&amp;" · "&amp;INDEX('ORDENES'!$AT$4:$AT$1203,U52)&amp;"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IF(AND(IF($B$3="(todos)",TRUE,'ORDENES'!$O49=$B$3),IF($D$3="(todos)",TRUE,'ORDENES'!$AH49=$D$3),IF($F$3="(todos)",TRUE,'ORDENES'!$Z49=$F$3),IF($H$3="(todos)",TRUE,'ORDENES'!$Y49=$H$3),'ORDENES'!$AF49=TRUE,'ORDENES'!$A49&lt;&gt;""),1,0)</f>
        <v/>
      </c>
      <c r="L53" s="5">
        <f>IF(K53=1,IFERROR(MATCH('ORDENES'!$S49,lista_dias,0),9)*1000000000+IFERROR(MATCH('ORDENES'!$AH49,lista_turnos,0),9)*10000000+IFERROR(MATCH('ORDENES'!$AG49,'TECNICOS'!$B$4:$B$19,0),99)*100000+46,9000000000000+46)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2">
        <f>IF(K53=1,'ORDENES'!$J49,"")</f>
        <v/>
      </c>
      <c r="U53" s="5">
        <f>IFERROR(MATCH(46,$M$8:$M$1207,0),"")</f>
        <v/>
      </c>
      <c r="V53" s="5">
        <f>IF(U53="","",INDEX('ORDENES'!$S$4:$S$1203,U53))</f>
        <v/>
      </c>
      <c r="W53" s="5">
        <f>IF(U53="","",IF(V53&lt;&gt;V52,CHAR(10)&amp;UPPER(LEFT(V53,1))&amp;MID(V53,2,20)&amp;":"&amp;CHAR(10),"")&amp;"   "&amp;IF(INDEX('ORDENES'!$AH$4:$AH$1203,U53)="","(s/t)",INDEX('ORDENES'!$AH$4:$AH$1203,U53))&amp;" · "&amp;IF(INDEX('ORDENES'!$AG$4:$AG$1203,U53)="","(sin técnico)",INDEX('ORDENES'!$AG$4:$AG$1203,U53))&amp;" · "&amp;INDEX('ORDENES'!$AT$4:$AT$1203,U53)&amp;"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IF(AND(IF($B$3="(todos)",TRUE,'ORDENES'!$O50=$B$3),IF($D$3="(todos)",TRUE,'ORDENES'!$AH50=$D$3),IF($F$3="(todos)",TRUE,'ORDENES'!$Z50=$F$3),IF($H$3="(todos)",TRUE,'ORDENES'!$Y50=$H$3),'ORDENES'!$AF50=TRUE,'ORDENES'!$A50&lt;&gt;""),1,0)</f>
        <v/>
      </c>
      <c r="L54" s="5">
        <f>IF(K54=1,IFERROR(MATCH('ORDENES'!$S50,lista_dias,0),9)*1000000000+IFERROR(MATCH('ORDENES'!$AH50,lista_turnos,0),9)*10000000+IFERROR(MATCH('ORDENES'!$AG50,'TECNICOS'!$B$4:$B$19,0),99)*100000+47,9000000000000+47)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2">
        <f>IF(K54=1,'ORDENES'!$J50,"")</f>
        <v/>
      </c>
      <c r="U54" s="5">
        <f>IFERROR(MATCH(47,$M$8:$M$1207,0),"")</f>
        <v/>
      </c>
      <c r="V54" s="5">
        <f>IF(U54="","",INDEX('ORDENES'!$S$4:$S$1203,U54))</f>
        <v/>
      </c>
      <c r="W54" s="5">
        <f>IF(U54="","",IF(V54&lt;&gt;V53,CHAR(10)&amp;UPPER(LEFT(V54,1))&amp;MID(V54,2,20)&amp;":"&amp;CHAR(10),"")&amp;"   "&amp;IF(INDEX('ORDENES'!$AH$4:$AH$1203,U54)="","(s/t)",INDEX('ORDENES'!$AH$4:$AH$1203,U54))&amp;" · "&amp;IF(INDEX('ORDENES'!$AG$4:$AG$1203,U54)="","(sin técnico)",INDEX('ORDENES'!$AG$4:$AG$1203,U54))&amp;" · "&amp;INDEX('ORDENES'!$AT$4:$AT$1203,U54)&amp;"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IF(AND(IF($B$3="(todos)",TRUE,'ORDENES'!$O51=$B$3),IF($D$3="(todos)",TRUE,'ORDENES'!$AH51=$D$3),IF($F$3="(todos)",TRUE,'ORDENES'!$Z51=$F$3),IF($H$3="(todos)",TRUE,'ORDENES'!$Y51=$H$3),'ORDENES'!$AF51=TRUE,'ORDENES'!$A51&lt;&gt;""),1,0)</f>
        <v/>
      </c>
      <c r="L55" s="5">
        <f>IF(K55=1,IFERROR(MATCH('ORDENES'!$S51,lista_dias,0),9)*1000000000+IFERROR(MATCH('ORDENES'!$AH51,lista_turnos,0),9)*10000000+IFERROR(MATCH('ORDENES'!$AG51,'TECNICOS'!$B$4:$B$19,0),99)*100000+48,9000000000000+48)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2">
        <f>IF(K55=1,'ORDENES'!$J51,"")</f>
        <v/>
      </c>
      <c r="U55" s="5">
        <f>IFERROR(MATCH(48,$M$8:$M$1207,0),"")</f>
        <v/>
      </c>
      <c r="V55" s="5">
        <f>IF(U55="","",INDEX('ORDENES'!$S$4:$S$1203,U55))</f>
        <v/>
      </c>
      <c r="W55" s="5">
        <f>IF(U55="","",IF(V55&lt;&gt;V54,CHAR(10)&amp;UPPER(LEFT(V55,1))&amp;MID(V55,2,20)&amp;":"&amp;CHAR(10),"")&amp;"   "&amp;IF(INDEX('ORDENES'!$AH$4:$AH$1203,U55)="","(s/t)",INDEX('ORDENES'!$AH$4:$AH$1203,U55))&amp;" · "&amp;IF(INDEX('ORDENES'!$AG$4:$AG$1203,U55)="","(sin técnico)",INDEX('ORDENES'!$AG$4:$AG$1203,U55))&amp;" · "&amp;INDEX('ORDENES'!$AT$4:$AT$1203,U55)&amp;"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IF(AND(IF($B$3="(todos)",TRUE,'ORDENES'!$O52=$B$3),IF($D$3="(todos)",TRUE,'ORDENES'!$AH52=$D$3),IF($F$3="(todos)",TRUE,'ORDENES'!$Z52=$F$3),IF($H$3="(todos)",TRUE,'ORDENES'!$Y52=$H$3),'ORDENES'!$AF52=TRUE,'ORDENES'!$A52&lt;&gt;""),1,0)</f>
        <v/>
      </c>
      <c r="L56" s="5">
        <f>IF(K56=1,IFERROR(MATCH('ORDENES'!$S52,lista_dias,0),9)*1000000000+IFERROR(MATCH('ORDENES'!$AH52,lista_turnos,0),9)*10000000+IFERROR(MATCH('ORDENES'!$AG52,'TECNICOS'!$B$4:$B$19,0),99)*100000+49,9000000000000+49)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2">
        <f>IF(K56=1,'ORDENES'!$J52,"")</f>
        <v/>
      </c>
      <c r="U56" s="5">
        <f>IFERROR(MATCH(49,$M$8:$M$1207,0),"")</f>
        <v/>
      </c>
      <c r="V56" s="5">
        <f>IF(U56="","",INDEX('ORDENES'!$S$4:$S$1203,U56))</f>
        <v/>
      </c>
      <c r="W56" s="5">
        <f>IF(U56="","",IF(V56&lt;&gt;V55,CHAR(10)&amp;UPPER(LEFT(V56,1))&amp;MID(V56,2,20)&amp;":"&amp;CHAR(10),"")&amp;"   "&amp;IF(INDEX('ORDENES'!$AH$4:$AH$1203,U56)="","(s/t)",INDEX('ORDENES'!$AH$4:$AH$1203,U56))&amp;" · "&amp;IF(INDEX('ORDENES'!$AG$4:$AG$1203,U56)="","(sin técnico)",INDEX('ORDENES'!$AG$4:$AG$1203,U56))&amp;" · "&amp;INDEX('ORDENES'!$AT$4:$AT$1203,U56)&amp;"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IF(AND(IF($B$3="(todos)",TRUE,'ORDENES'!$O53=$B$3),IF($D$3="(todos)",TRUE,'ORDENES'!$AH53=$D$3),IF($F$3="(todos)",TRUE,'ORDENES'!$Z53=$F$3),IF($H$3="(todos)",TRUE,'ORDENES'!$Y53=$H$3),'ORDENES'!$AF53=TRUE,'ORDENES'!$A53&lt;&gt;""),1,0)</f>
        <v/>
      </c>
      <c r="L57" s="5">
        <f>IF(K57=1,IFERROR(MATCH('ORDENES'!$S53,lista_dias,0),9)*1000000000+IFERROR(MATCH('ORDENES'!$AH53,lista_turnos,0),9)*10000000+IFERROR(MATCH('ORDENES'!$AG53,'TECNICOS'!$B$4:$B$19,0),99)*100000+50,9000000000000+50)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2">
        <f>IF(K57=1,'ORDENES'!$J53,"")</f>
        <v/>
      </c>
      <c r="U57" s="5">
        <f>IFERROR(MATCH(50,$M$8:$M$1207,0),"")</f>
        <v/>
      </c>
      <c r="V57" s="5">
        <f>IF(U57="","",INDEX('ORDENES'!$S$4:$S$1203,U57))</f>
        <v/>
      </c>
      <c r="W57" s="5">
        <f>IF(U57="","",IF(V57&lt;&gt;V56,CHAR(10)&amp;UPPER(LEFT(V57,1))&amp;MID(V57,2,20)&amp;":"&amp;CHAR(10),"")&amp;"   "&amp;IF(INDEX('ORDENES'!$AH$4:$AH$1203,U57)="","(s/t)",INDEX('ORDENES'!$AH$4:$AH$1203,U57))&amp;" · "&amp;IF(INDEX('ORDENES'!$AG$4:$AG$1203,U57)="","(sin técnico)",INDEX('ORDENES'!$AG$4:$AG$1203,U57))&amp;" · "&amp;INDEX('ORDENES'!$AT$4:$AT$1203,U57)&amp;"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IF(AND(IF($B$3="(todos)",TRUE,'ORDENES'!$O54=$B$3),IF($D$3="(todos)",TRUE,'ORDENES'!$AH54=$D$3),IF($F$3="(todos)",TRUE,'ORDENES'!$Z54=$F$3),IF($H$3="(todos)",TRUE,'ORDENES'!$Y54=$H$3),'ORDENES'!$AF54=TRUE,'ORDENES'!$A54&lt;&gt;""),1,0)</f>
        <v/>
      </c>
      <c r="L58" s="5">
        <f>IF(K58=1,IFERROR(MATCH('ORDENES'!$S54,lista_dias,0),9)*1000000000+IFERROR(MATCH('ORDENES'!$AH54,lista_turnos,0),9)*10000000+IFERROR(MATCH('ORDENES'!$AG54,'TECNICOS'!$B$4:$B$19,0),99)*100000+51,9000000000000+51)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2">
        <f>IF(K58=1,'ORDENES'!$J54,"")</f>
        <v/>
      </c>
      <c r="U58" s="5">
        <f>IFERROR(MATCH(51,$M$8:$M$1207,0),"")</f>
        <v/>
      </c>
      <c r="V58" s="5">
        <f>IF(U58="","",INDEX('ORDENES'!$S$4:$S$1203,U58))</f>
        <v/>
      </c>
      <c r="W58" s="5">
        <f>IF(U58="","",IF(V58&lt;&gt;V57,CHAR(10)&amp;UPPER(LEFT(V58,1))&amp;MID(V58,2,20)&amp;":"&amp;CHAR(10),"")&amp;"   "&amp;IF(INDEX('ORDENES'!$AH$4:$AH$1203,U58)="","(s/t)",INDEX('ORDENES'!$AH$4:$AH$1203,U58))&amp;" · "&amp;IF(INDEX('ORDENES'!$AG$4:$AG$1203,U58)="","(sin técnico)",INDEX('ORDENES'!$AG$4:$AG$1203,U58))&amp;" · "&amp;INDEX('ORDENES'!$AT$4:$AT$1203,U58)&amp;"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IF(AND(IF($B$3="(todos)",TRUE,'ORDENES'!$O55=$B$3),IF($D$3="(todos)",TRUE,'ORDENES'!$AH55=$D$3),IF($F$3="(todos)",TRUE,'ORDENES'!$Z55=$F$3),IF($H$3="(todos)",TRUE,'ORDENES'!$Y55=$H$3),'ORDENES'!$AF55=TRUE,'ORDENES'!$A55&lt;&gt;""),1,0)</f>
        <v/>
      </c>
      <c r="L59" s="5">
        <f>IF(K59=1,IFERROR(MATCH('ORDENES'!$S55,lista_dias,0),9)*1000000000+IFERROR(MATCH('ORDENES'!$AH55,lista_turnos,0),9)*10000000+IFERROR(MATCH('ORDENES'!$AG55,'TECNICOS'!$B$4:$B$19,0),99)*100000+52,9000000000000+52)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2">
        <f>IF(K59=1,'ORDENES'!$J55,"")</f>
        <v/>
      </c>
      <c r="U59" s="5">
        <f>IFERROR(MATCH(52,$M$8:$M$1207,0),"")</f>
        <v/>
      </c>
      <c r="V59" s="5">
        <f>IF(U59="","",INDEX('ORDENES'!$S$4:$S$1203,U59))</f>
        <v/>
      </c>
      <c r="W59" s="5">
        <f>IF(U59="","",IF(V59&lt;&gt;V58,CHAR(10)&amp;UPPER(LEFT(V59,1))&amp;MID(V59,2,20)&amp;":"&amp;CHAR(10),"")&amp;"   "&amp;IF(INDEX('ORDENES'!$AH$4:$AH$1203,U59)="","(s/t)",INDEX('ORDENES'!$AH$4:$AH$1203,U59))&amp;" · "&amp;IF(INDEX('ORDENES'!$AG$4:$AG$1203,U59)="","(sin técnico)",INDEX('ORDENES'!$AG$4:$AG$1203,U59))&amp;" · "&amp;INDEX('ORDENES'!$AT$4:$AT$1203,U59)&amp;"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IF(AND(IF($B$3="(todos)",TRUE,'ORDENES'!$O56=$B$3),IF($D$3="(todos)",TRUE,'ORDENES'!$AH56=$D$3),IF($F$3="(todos)",TRUE,'ORDENES'!$Z56=$F$3),IF($H$3="(todos)",TRUE,'ORDENES'!$Y56=$H$3),'ORDENES'!$AF56=TRUE,'ORDENES'!$A56&lt;&gt;""),1,0)</f>
        <v/>
      </c>
      <c r="L60" s="5">
        <f>IF(K60=1,IFERROR(MATCH('ORDENES'!$S56,lista_dias,0),9)*1000000000+IFERROR(MATCH('ORDENES'!$AH56,lista_turnos,0),9)*10000000+IFERROR(MATCH('ORDENES'!$AG56,'TECNICOS'!$B$4:$B$19,0),99)*100000+53,9000000000000+53)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2">
        <f>IF(K60=1,'ORDENES'!$J56,"")</f>
        <v/>
      </c>
      <c r="U60" s="5">
        <f>IFERROR(MATCH(53,$M$8:$M$1207,0),"")</f>
        <v/>
      </c>
      <c r="V60" s="5">
        <f>IF(U60="","",INDEX('ORDENES'!$S$4:$S$1203,U60))</f>
        <v/>
      </c>
      <c r="W60" s="5">
        <f>IF(U60="","",IF(V60&lt;&gt;V59,CHAR(10)&amp;UPPER(LEFT(V60,1))&amp;MID(V60,2,20)&amp;":"&amp;CHAR(10),"")&amp;"   "&amp;IF(INDEX('ORDENES'!$AH$4:$AH$1203,U60)="","(s/t)",INDEX('ORDENES'!$AH$4:$AH$1203,U60))&amp;" · "&amp;IF(INDEX('ORDENES'!$AG$4:$AG$1203,U60)="","(sin técnico)",INDEX('ORDENES'!$AG$4:$AG$1203,U60))&amp;" · "&amp;INDEX('ORDENES'!$AT$4:$AT$1203,U60)&amp;"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IF(AND(IF($B$3="(todos)",TRUE,'ORDENES'!$O57=$B$3),IF($D$3="(todos)",TRUE,'ORDENES'!$AH57=$D$3),IF($F$3="(todos)",TRUE,'ORDENES'!$Z57=$F$3),IF($H$3="(todos)",TRUE,'ORDENES'!$Y57=$H$3),'ORDENES'!$AF57=TRUE,'ORDENES'!$A57&lt;&gt;""),1,0)</f>
        <v/>
      </c>
      <c r="L61" s="5">
        <f>IF(K61=1,IFERROR(MATCH('ORDENES'!$S57,lista_dias,0),9)*1000000000+IFERROR(MATCH('ORDENES'!$AH57,lista_turnos,0),9)*10000000+IFERROR(MATCH('ORDENES'!$AG57,'TECNICOS'!$B$4:$B$19,0),99)*100000+54,9000000000000+54)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2">
        <f>IF(K61=1,'ORDENES'!$J57,"")</f>
        <v/>
      </c>
      <c r="U61" s="5">
        <f>IFERROR(MATCH(54,$M$8:$M$1207,0),"")</f>
        <v/>
      </c>
      <c r="V61" s="5">
        <f>IF(U61="","",INDEX('ORDENES'!$S$4:$S$1203,U61))</f>
        <v/>
      </c>
      <c r="W61" s="5">
        <f>IF(U61="","",IF(V61&lt;&gt;V60,CHAR(10)&amp;UPPER(LEFT(V61,1))&amp;MID(V61,2,20)&amp;":"&amp;CHAR(10),"")&amp;"   "&amp;IF(INDEX('ORDENES'!$AH$4:$AH$1203,U61)="","(s/t)",INDEX('ORDENES'!$AH$4:$AH$1203,U61))&amp;" · "&amp;IF(INDEX('ORDENES'!$AG$4:$AG$1203,U61)="","(sin técnico)",INDEX('ORDENES'!$AG$4:$AG$1203,U61))&amp;" · "&amp;INDEX('ORDENES'!$AT$4:$AT$1203,U61)&amp;"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IF(AND(IF($B$3="(todos)",TRUE,'ORDENES'!$O58=$B$3),IF($D$3="(todos)",TRUE,'ORDENES'!$AH58=$D$3),IF($F$3="(todos)",TRUE,'ORDENES'!$Z58=$F$3),IF($H$3="(todos)",TRUE,'ORDENES'!$Y58=$H$3),'ORDENES'!$AF58=TRUE,'ORDENES'!$A58&lt;&gt;""),1,0)</f>
        <v/>
      </c>
      <c r="L62" s="5">
        <f>IF(K62=1,IFERROR(MATCH('ORDENES'!$S58,lista_dias,0),9)*1000000000+IFERROR(MATCH('ORDENES'!$AH58,lista_turnos,0),9)*10000000+IFERROR(MATCH('ORDENES'!$AG58,'TECNICOS'!$B$4:$B$19,0),99)*100000+55,9000000000000+55)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2">
        <f>IF(K62=1,'ORDENES'!$J58,"")</f>
        <v/>
      </c>
      <c r="U62" s="5">
        <f>IFERROR(MATCH(55,$M$8:$M$1207,0),"")</f>
        <v/>
      </c>
      <c r="V62" s="5">
        <f>IF(U62="","",INDEX('ORDENES'!$S$4:$S$1203,U62))</f>
        <v/>
      </c>
      <c r="W62" s="5">
        <f>IF(U62="","",IF(V62&lt;&gt;V61,CHAR(10)&amp;UPPER(LEFT(V62,1))&amp;MID(V62,2,20)&amp;":"&amp;CHAR(10),"")&amp;"   "&amp;IF(INDEX('ORDENES'!$AH$4:$AH$1203,U62)="","(s/t)",INDEX('ORDENES'!$AH$4:$AH$1203,U62))&amp;" · "&amp;IF(INDEX('ORDENES'!$AG$4:$AG$1203,U62)="","(sin técnico)",INDEX('ORDENES'!$AG$4:$AG$1203,U62))&amp;" · "&amp;INDEX('ORDENES'!$AT$4:$AT$1203,U62)&amp;"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IF(AND(IF($B$3="(todos)",TRUE,'ORDENES'!$O59=$B$3),IF($D$3="(todos)",TRUE,'ORDENES'!$AH59=$D$3),IF($F$3="(todos)",TRUE,'ORDENES'!$Z59=$F$3),IF($H$3="(todos)",TRUE,'ORDENES'!$Y59=$H$3),'ORDENES'!$AF59=TRUE,'ORDENES'!$A59&lt;&gt;""),1,0)</f>
        <v/>
      </c>
      <c r="L63" s="5">
        <f>IF(K63=1,IFERROR(MATCH('ORDENES'!$S59,lista_dias,0),9)*1000000000+IFERROR(MATCH('ORDENES'!$AH59,lista_turnos,0),9)*10000000+IFERROR(MATCH('ORDENES'!$AG59,'TECNICOS'!$B$4:$B$19,0),99)*100000+56,9000000000000+56)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2">
        <f>IF(K63=1,'ORDENES'!$J59,"")</f>
        <v/>
      </c>
      <c r="U63" s="5">
        <f>IFERROR(MATCH(56,$M$8:$M$1207,0),"")</f>
        <v/>
      </c>
      <c r="V63" s="5">
        <f>IF(U63="","",INDEX('ORDENES'!$S$4:$S$1203,U63))</f>
        <v/>
      </c>
      <c r="W63" s="5">
        <f>IF(U63="","",IF(V63&lt;&gt;V62,CHAR(10)&amp;UPPER(LEFT(V63,1))&amp;MID(V63,2,20)&amp;":"&amp;CHAR(10),"")&amp;"   "&amp;IF(INDEX('ORDENES'!$AH$4:$AH$1203,U63)="","(s/t)",INDEX('ORDENES'!$AH$4:$AH$1203,U63))&amp;" · "&amp;IF(INDEX('ORDENES'!$AG$4:$AG$1203,U63)="","(sin técnico)",INDEX('ORDENES'!$AG$4:$AG$1203,U63))&amp;" · "&amp;INDEX('ORDENES'!$AT$4:$AT$1203,U63)&amp;"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IF(AND(IF($B$3="(todos)",TRUE,'ORDENES'!$O60=$B$3),IF($D$3="(todos)",TRUE,'ORDENES'!$AH60=$D$3),IF($F$3="(todos)",TRUE,'ORDENES'!$Z60=$F$3),IF($H$3="(todos)",TRUE,'ORDENES'!$Y60=$H$3),'ORDENES'!$AF60=TRUE,'ORDENES'!$A60&lt;&gt;""),1,0)</f>
        <v/>
      </c>
      <c r="L64" s="5">
        <f>IF(K64=1,IFERROR(MATCH('ORDENES'!$S60,lista_dias,0),9)*1000000000+IFERROR(MATCH('ORDENES'!$AH60,lista_turnos,0),9)*10000000+IFERROR(MATCH('ORDENES'!$AG60,'TECNICOS'!$B$4:$B$19,0),99)*100000+57,9000000000000+57)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2">
        <f>IF(K64=1,'ORDENES'!$J60,"")</f>
        <v/>
      </c>
      <c r="U64" s="5">
        <f>IFERROR(MATCH(57,$M$8:$M$1207,0),"")</f>
        <v/>
      </c>
      <c r="V64" s="5">
        <f>IF(U64="","",INDEX('ORDENES'!$S$4:$S$1203,U64))</f>
        <v/>
      </c>
      <c r="W64" s="5">
        <f>IF(U64="","",IF(V64&lt;&gt;V63,CHAR(10)&amp;UPPER(LEFT(V64,1))&amp;MID(V64,2,20)&amp;":"&amp;CHAR(10),"")&amp;"   "&amp;IF(INDEX('ORDENES'!$AH$4:$AH$1203,U64)="","(s/t)",INDEX('ORDENES'!$AH$4:$AH$1203,U64))&amp;" · "&amp;IF(INDEX('ORDENES'!$AG$4:$AG$1203,U64)="","(sin técnico)",INDEX('ORDENES'!$AG$4:$AG$1203,U64))&amp;" · "&amp;INDEX('ORDENES'!$AT$4:$AT$1203,U64)&amp;"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IF(AND(IF($B$3="(todos)",TRUE,'ORDENES'!$O61=$B$3),IF($D$3="(todos)",TRUE,'ORDENES'!$AH61=$D$3),IF($F$3="(todos)",TRUE,'ORDENES'!$Z61=$F$3),IF($H$3="(todos)",TRUE,'ORDENES'!$Y61=$H$3),'ORDENES'!$AF61=TRUE,'ORDENES'!$A61&lt;&gt;""),1,0)</f>
        <v/>
      </c>
      <c r="L65" s="5">
        <f>IF(K65=1,IFERROR(MATCH('ORDENES'!$S61,lista_dias,0),9)*1000000000+IFERROR(MATCH('ORDENES'!$AH61,lista_turnos,0),9)*10000000+IFERROR(MATCH('ORDENES'!$AG61,'TECNICOS'!$B$4:$B$19,0),99)*100000+58,9000000000000+58)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2">
        <f>IF(K65=1,'ORDENES'!$J61,"")</f>
        <v/>
      </c>
      <c r="U65" s="5">
        <f>IFERROR(MATCH(58,$M$8:$M$1207,0),"")</f>
        <v/>
      </c>
      <c r="V65" s="5">
        <f>IF(U65="","",INDEX('ORDENES'!$S$4:$S$1203,U65))</f>
        <v/>
      </c>
      <c r="W65" s="5">
        <f>IF(U65="","",IF(V65&lt;&gt;V64,CHAR(10)&amp;UPPER(LEFT(V65,1))&amp;MID(V65,2,20)&amp;":"&amp;CHAR(10),"")&amp;"   "&amp;IF(INDEX('ORDENES'!$AH$4:$AH$1203,U65)="","(s/t)",INDEX('ORDENES'!$AH$4:$AH$1203,U65))&amp;" · "&amp;IF(INDEX('ORDENES'!$AG$4:$AG$1203,U65)="","(sin técnico)",INDEX('ORDENES'!$AG$4:$AG$1203,U65))&amp;" · "&amp;INDEX('ORDENES'!$AT$4:$AT$1203,U65)&amp;"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IF(AND(IF($B$3="(todos)",TRUE,'ORDENES'!$O62=$B$3),IF($D$3="(todos)",TRUE,'ORDENES'!$AH62=$D$3),IF($F$3="(todos)",TRUE,'ORDENES'!$Z62=$F$3),IF($H$3="(todos)",TRUE,'ORDENES'!$Y62=$H$3),'ORDENES'!$AF62=TRUE,'ORDENES'!$A62&lt;&gt;""),1,0)</f>
        <v/>
      </c>
      <c r="L66" s="5">
        <f>IF(K66=1,IFERROR(MATCH('ORDENES'!$S62,lista_dias,0),9)*1000000000+IFERROR(MATCH('ORDENES'!$AH62,lista_turnos,0),9)*10000000+IFERROR(MATCH('ORDENES'!$AG62,'TECNICOS'!$B$4:$B$19,0),99)*100000+59,9000000000000+59)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2">
        <f>IF(K66=1,'ORDENES'!$J62,"")</f>
        <v/>
      </c>
      <c r="U66" s="5">
        <f>IFERROR(MATCH(59,$M$8:$M$1207,0),"")</f>
        <v/>
      </c>
      <c r="V66" s="5">
        <f>IF(U66="","",INDEX('ORDENES'!$S$4:$S$1203,U66))</f>
        <v/>
      </c>
      <c r="W66" s="5">
        <f>IF(U66="","",IF(V66&lt;&gt;V65,CHAR(10)&amp;UPPER(LEFT(V66,1))&amp;MID(V66,2,20)&amp;":"&amp;CHAR(10),"")&amp;"   "&amp;IF(INDEX('ORDENES'!$AH$4:$AH$1203,U66)="","(s/t)",INDEX('ORDENES'!$AH$4:$AH$1203,U66))&amp;" · "&amp;IF(INDEX('ORDENES'!$AG$4:$AG$1203,U66)="","(sin técnico)",INDEX('ORDENES'!$AG$4:$AG$1203,U66))&amp;" · "&amp;INDEX('ORDENES'!$AT$4:$AT$1203,U66)&amp;"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IF(AND(IF($B$3="(todos)",TRUE,'ORDENES'!$O63=$B$3),IF($D$3="(todos)",TRUE,'ORDENES'!$AH63=$D$3),IF($F$3="(todos)",TRUE,'ORDENES'!$Z63=$F$3),IF($H$3="(todos)",TRUE,'ORDENES'!$Y63=$H$3),'ORDENES'!$AF63=TRUE,'ORDENES'!$A63&lt;&gt;""),1,0)</f>
        <v/>
      </c>
      <c r="L67" s="5">
        <f>IF(K67=1,IFERROR(MATCH('ORDENES'!$S63,lista_dias,0),9)*1000000000+IFERROR(MATCH('ORDENES'!$AH63,lista_turnos,0),9)*10000000+IFERROR(MATCH('ORDENES'!$AG63,'TECNICOS'!$B$4:$B$19,0),99)*100000+60,9000000000000+60)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2">
        <f>IF(K67=1,'ORDENES'!$J63,"")</f>
        <v/>
      </c>
      <c r="U67" s="5">
        <f>IFERROR(MATCH(60,$M$8:$M$1207,0),"")</f>
        <v/>
      </c>
      <c r="V67" s="5">
        <f>IF(U67="","",INDEX('ORDENES'!$S$4:$S$1203,U67))</f>
        <v/>
      </c>
      <c r="W67" s="5">
        <f>IF(U67="","",IF(V67&lt;&gt;V66,CHAR(10)&amp;UPPER(LEFT(V67,1))&amp;MID(V67,2,20)&amp;":"&amp;CHAR(10),"")&amp;"   "&amp;IF(INDEX('ORDENES'!$AH$4:$AH$1203,U67)="","(s/t)",INDEX('ORDENES'!$AH$4:$AH$1203,U67))&amp;" · "&amp;IF(INDEX('ORDENES'!$AG$4:$AG$1203,U67)="","(sin técnico)",INDEX('ORDENES'!$AG$4:$AG$1203,U67))&amp;" · "&amp;INDEX('ORDENES'!$AT$4:$AT$1203,U67)&amp;"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IF(AND(IF($B$3="(todos)",TRUE,'ORDENES'!$O64=$B$3),IF($D$3="(todos)",TRUE,'ORDENES'!$AH64=$D$3),IF($F$3="(todos)",TRUE,'ORDENES'!$Z64=$F$3),IF($H$3="(todos)",TRUE,'ORDENES'!$Y64=$H$3),'ORDENES'!$AF64=TRUE,'ORDENES'!$A64&lt;&gt;""),1,0)</f>
        <v/>
      </c>
      <c r="L68" s="5">
        <f>IF(K68=1,IFERROR(MATCH('ORDENES'!$S64,lista_dias,0),9)*1000000000+IFERROR(MATCH('ORDENES'!$AH64,lista_turnos,0),9)*10000000+IFERROR(MATCH('ORDENES'!$AG64,'TECNICOS'!$B$4:$B$19,0),99)*100000+61,9000000000000+61)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2">
        <f>IF(K68=1,'ORDENES'!$J64,"")</f>
        <v/>
      </c>
      <c r="U68" s="5">
        <f>IFERROR(MATCH(61,$M$8:$M$1207,0),"")</f>
        <v/>
      </c>
      <c r="V68" s="5">
        <f>IF(U68="","",INDEX('ORDENES'!$S$4:$S$1203,U68))</f>
        <v/>
      </c>
      <c r="W68" s="5">
        <f>IF(U68="","",IF(V68&lt;&gt;V67,CHAR(10)&amp;UPPER(LEFT(V68,1))&amp;MID(V68,2,20)&amp;":"&amp;CHAR(10),"")&amp;"   "&amp;IF(INDEX('ORDENES'!$AH$4:$AH$1203,U68)="","(s/t)",INDEX('ORDENES'!$AH$4:$AH$1203,U68))&amp;" · "&amp;IF(INDEX('ORDENES'!$AG$4:$AG$1203,U68)="","(sin técnico)",INDEX('ORDENES'!$AG$4:$AG$1203,U68))&amp;" · "&amp;INDEX('ORDENES'!$AT$4:$AT$1203,U68)&amp;"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IF(AND(IF($B$3="(todos)",TRUE,'ORDENES'!$O65=$B$3),IF($D$3="(todos)",TRUE,'ORDENES'!$AH65=$D$3),IF($F$3="(todos)",TRUE,'ORDENES'!$Z65=$F$3),IF($H$3="(todos)",TRUE,'ORDENES'!$Y65=$H$3),'ORDENES'!$AF65=TRUE,'ORDENES'!$A65&lt;&gt;""),1,0)</f>
        <v/>
      </c>
      <c r="L69" s="5">
        <f>IF(K69=1,IFERROR(MATCH('ORDENES'!$S65,lista_dias,0),9)*1000000000+IFERROR(MATCH('ORDENES'!$AH65,lista_turnos,0),9)*10000000+IFERROR(MATCH('ORDENES'!$AG65,'TECNICOS'!$B$4:$B$19,0),99)*100000+62,9000000000000+62)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2">
        <f>IF(K69=1,'ORDENES'!$J65,"")</f>
        <v/>
      </c>
      <c r="U69" s="5">
        <f>IFERROR(MATCH(62,$M$8:$M$1207,0),"")</f>
        <v/>
      </c>
      <c r="V69" s="5">
        <f>IF(U69="","",INDEX('ORDENES'!$S$4:$S$1203,U69))</f>
        <v/>
      </c>
      <c r="W69" s="5">
        <f>IF(U69="","",IF(V69&lt;&gt;V68,CHAR(10)&amp;UPPER(LEFT(V69,1))&amp;MID(V69,2,20)&amp;":"&amp;CHAR(10),"")&amp;"   "&amp;IF(INDEX('ORDENES'!$AH$4:$AH$1203,U69)="","(s/t)",INDEX('ORDENES'!$AH$4:$AH$1203,U69))&amp;" · "&amp;IF(INDEX('ORDENES'!$AG$4:$AG$1203,U69)="","(sin técnico)",INDEX('ORDENES'!$AG$4:$AG$1203,U69))&amp;" · "&amp;INDEX('ORDENES'!$AT$4:$AT$1203,U69)&amp;"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IF(AND(IF($B$3="(todos)",TRUE,'ORDENES'!$O66=$B$3),IF($D$3="(todos)",TRUE,'ORDENES'!$AH66=$D$3),IF($F$3="(todos)",TRUE,'ORDENES'!$Z66=$F$3),IF($H$3="(todos)",TRUE,'ORDENES'!$Y66=$H$3),'ORDENES'!$AF66=TRUE,'ORDENES'!$A66&lt;&gt;""),1,0)</f>
        <v/>
      </c>
      <c r="L70" s="5">
        <f>IF(K70=1,IFERROR(MATCH('ORDENES'!$S66,lista_dias,0),9)*1000000000+IFERROR(MATCH('ORDENES'!$AH66,lista_turnos,0),9)*10000000+IFERROR(MATCH('ORDENES'!$AG66,'TECNICOS'!$B$4:$B$19,0),99)*100000+63,9000000000000+63)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2">
        <f>IF(K70=1,'ORDENES'!$J66,"")</f>
        <v/>
      </c>
      <c r="U70" s="5">
        <f>IFERROR(MATCH(63,$M$8:$M$1207,0),"")</f>
        <v/>
      </c>
      <c r="V70" s="5">
        <f>IF(U70="","",INDEX('ORDENES'!$S$4:$S$1203,U70))</f>
        <v/>
      </c>
      <c r="W70" s="5">
        <f>IF(U70="","",IF(V70&lt;&gt;V69,CHAR(10)&amp;UPPER(LEFT(V70,1))&amp;MID(V70,2,20)&amp;":"&amp;CHAR(10),"")&amp;"   "&amp;IF(INDEX('ORDENES'!$AH$4:$AH$1203,U70)="","(s/t)",INDEX('ORDENES'!$AH$4:$AH$1203,U70))&amp;" · "&amp;IF(INDEX('ORDENES'!$AG$4:$AG$1203,U70)="","(sin técnico)",INDEX('ORDENES'!$AG$4:$AG$1203,U70))&amp;" · "&amp;INDEX('ORDENES'!$AT$4:$AT$1203,U70)&amp;"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IF(AND(IF($B$3="(todos)",TRUE,'ORDENES'!$O67=$B$3),IF($D$3="(todos)",TRUE,'ORDENES'!$AH67=$D$3),IF($F$3="(todos)",TRUE,'ORDENES'!$Z67=$F$3),IF($H$3="(todos)",TRUE,'ORDENES'!$Y67=$H$3),'ORDENES'!$AF67=TRUE,'ORDENES'!$A67&lt;&gt;""),1,0)</f>
        <v/>
      </c>
      <c r="L71" s="5">
        <f>IF(K71=1,IFERROR(MATCH('ORDENES'!$S67,lista_dias,0),9)*1000000000+IFERROR(MATCH('ORDENES'!$AH67,lista_turnos,0),9)*10000000+IFERROR(MATCH('ORDENES'!$AG67,'TECNICOS'!$B$4:$B$19,0),99)*100000+64,9000000000000+64)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2">
        <f>IF(K71=1,'ORDENES'!$J67,"")</f>
        <v/>
      </c>
      <c r="U71" s="5">
        <f>IFERROR(MATCH(64,$M$8:$M$1207,0),"")</f>
        <v/>
      </c>
      <c r="V71" s="5">
        <f>IF(U71="","",INDEX('ORDENES'!$S$4:$S$1203,U71))</f>
        <v/>
      </c>
      <c r="W71" s="5">
        <f>IF(U71="","",IF(V71&lt;&gt;V70,CHAR(10)&amp;UPPER(LEFT(V71,1))&amp;MID(V71,2,20)&amp;":"&amp;CHAR(10),"")&amp;"   "&amp;IF(INDEX('ORDENES'!$AH$4:$AH$1203,U71)="","(s/t)",INDEX('ORDENES'!$AH$4:$AH$1203,U71))&amp;" · "&amp;IF(INDEX('ORDENES'!$AG$4:$AG$1203,U71)="","(sin técnico)",INDEX('ORDENES'!$AG$4:$AG$1203,U71))&amp;" · "&amp;INDEX('ORDENES'!$AT$4:$AT$1203,U71)&amp;"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IF(AND(IF($B$3="(todos)",TRUE,'ORDENES'!$O68=$B$3),IF($D$3="(todos)",TRUE,'ORDENES'!$AH68=$D$3),IF($F$3="(todos)",TRUE,'ORDENES'!$Z68=$F$3),IF($H$3="(todos)",TRUE,'ORDENES'!$Y68=$H$3),'ORDENES'!$AF68=TRUE,'ORDENES'!$A68&lt;&gt;""),1,0)</f>
        <v/>
      </c>
      <c r="L72" s="5">
        <f>IF(K72=1,IFERROR(MATCH('ORDENES'!$S68,lista_dias,0),9)*1000000000+IFERROR(MATCH('ORDENES'!$AH68,lista_turnos,0),9)*10000000+IFERROR(MATCH('ORDENES'!$AG68,'TECNICOS'!$B$4:$B$19,0),99)*100000+65,9000000000000+65)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2">
        <f>IF(K72=1,'ORDENES'!$J68,"")</f>
        <v/>
      </c>
      <c r="U72" s="5">
        <f>IFERROR(MATCH(65,$M$8:$M$1207,0),"")</f>
        <v/>
      </c>
      <c r="V72" s="5">
        <f>IF(U72="","",INDEX('ORDENES'!$S$4:$S$1203,U72))</f>
        <v/>
      </c>
      <c r="W72" s="5">
        <f>IF(U72="","",IF(V72&lt;&gt;V71,CHAR(10)&amp;UPPER(LEFT(V72,1))&amp;MID(V72,2,20)&amp;":"&amp;CHAR(10),"")&amp;"   "&amp;IF(INDEX('ORDENES'!$AH$4:$AH$1203,U72)="","(s/t)",INDEX('ORDENES'!$AH$4:$AH$1203,U72))&amp;" · "&amp;IF(INDEX('ORDENES'!$AG$4:$AG$1203,U72)="","(sin técnico)",INDEX('ORDENES'!$AG$4:$AG$1203,U72))&amp;" · "&amp;INDEX('ORDENES'!$AT$4:$AT$1203,U72)&amp;"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IF(AND(IF($B$3="(todos)",TRUE,'ORDENES'!$O69=$B$3),IF($D$3="(todos)",TRUE,'ORDENES'!$AH69=$D$3),IF($F$3="(todos)",TRUE,'ORDENES'!$Z69=$F$3),IF($H$3="(todos)",TRUE,'ORDENES'!$Y69=$H$3),'ORDENES'!$AF69=TRUE,'ORDENES'!$A69&lt;&gt;""),1,0)</f>
        <v/>
      </c>
      <c r="L73" s="5">
        <f>IF(K73=1,IFERROR(MATCH('ORDENES'!$S69,lista_dias,0),9)*1000000000+IFERROR(MATCH('ORDENES'!$AH69,lista_turnos,0),9)*10000000+IFERROR(MATCH('ORDENES'!$AG69,'TECNICOS'!$B$4:$B$19,0),99)*100000+66,9000000000000+66)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2">
        <f>IF(K73=1,'ORDENES'!$J69,"")</f>
        <v/>
      </c>
      <c r="U73" s="5">
        <f>IFERROR(MATCH(66,$M$8:$M$1207,0),"")</f>
        <v/>
      </c>
      <c r="V73" s="5">
        <f>IF(U73="","",INDEX('ORDENES'!$S$4:$S$1203,U73))</f>
        <v/>
      </c>
      <c r="W73" s="5">
        <f>IF(U73="","",IF(V73&lt;&gt;V72,CHAR(10)&amp;UPPER(LEFT(V73,1))&amp;MID(V73,2,20)&amp;":"&amp;CHAR(10),"")&amp;"   "&amp;IF(INDEX('ORDENES'!$AH$4:$AH$1203,U73)="","(s/t)",INDEX('ORDENES'!$AH$4:$AH$1203,U73))&amp;" · "&amp;IF(INDEX('ORDENES'!$AG$4:$AG$1203,U73)="","(sin técnico)",INDEX('ORDENES'!$AG$4:$AG$1203,U73))&amp;" · "&amp;INDEX('ORDENES'!$AT$4:$AT$1203,U73)&amp;"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IF(AND(IF($B$3="(todos)",TRUE,'ORDENES'!$O70=$B$3),IF($D$3="(todos)",TRUE,'ORDENES'!$AH70=$D$3),IF($F$3="(todos)",TRUE,'ORDENES'!$Z70=$F$3),IF($H$3="(todos)",TRUE,'ORDENES'!$Y70=$H$3),'ORDENES'!$AF70=TRUE,'ORDENES'!$A70&lt;&gt;""),1,0)</f>
        <v/>
      </c>
      <c r="L74" s="5">
        <f>IF(K74=1,IFERROR(MATCH('ORDENES'!$S70,lista_dias,0),9)*1000000000+IFERROR(MATCH('ORDENES'!$AH70,lista_turnos,0),9)*10000000+IFERROR(MATCH('ORDENES'!$AG70,'TECNICOS'!$B$4:$B$19,0),99)*100000+67,9000000000000+67)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2">
        <f>IF(K74=1,'ORDENES'!$J70,"")</f>
        <v/>
      </c>
      <c r="U74" s="5">
        <f>IFERROR(MATCH(67,$M$8:$M$1207,0),"")</f>
        <v/>
      </c>
      <c r="V74" s="5">
        <f>IF(U74="","",INDEX('ORDENES'!$S$4:$S$1203,U74))</f>
        <v/>
      </c>
      <c r="W74" s="5">
        <f>IF(U74="","",IF(V74&lt;&gt;V73,CHAR(10)&amp;UPPER(LEFT(V74,1))&amp;MID(V74,2,20)&amp;":"&amp;CHAR(10),"")&amp;"   "&amp;IF(INDEX('ORDENES'!$AH$4:$AH$1203,U74)="","(s/t)",INDEX('ORDENES'!$AH$4:$AH$1203,U74))&amp;" · "&amp;IF(INDEX('ORDENES'!$AG$4:$AG$1203,U74)="","(sin técnico)",INDEX('ORDENES'!$AG$4:$AG$1203,U74))&amp;" · "&amp;INDEX('ORDENES'!$AT$4:$AT$1203,U74)&amp;"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IF(AND(IF($B$3="(todos)",TRUE,'ORDENES'!$O71=$B$3),IF($D$3="(todos)",TRUE,'ORDENES'!$AH71=$D$3),IF($F$3="(todos)",TRUE,'ORDENES'!$Z71=$F$3),IF($H$3="(todos)",TRUE,'ORDENES'!$Y71=$H$3),'ORDENES'!$AF71=TRUE,'ORDENES'!$A71&lt;&gt;""),1,0)</f>
        <v/>
      </c>
      <c r="L75" s="5">
        <f>IF(K75=1,IFERROR(MATCH('ORDENES'!$S71,lista_dias,0),9)*1000000000+IFERROR(MATCH('ORDENES'!$AH71,lista_turnos,0),9)*10000000+IFERROR(MATCH('ORDENES'!$AG71,'TECNICOS'!$B$4:$B$19,0),99)*100000+68,9000000000000+68)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2">
        <f>IF(K75=1,'ORDENES'!$J71,"")</f>
        <v/>
      </c>
      <c r="U75" s="5">
        <f>IFERROR(MATCH(68,$M$8:$M$1207,0),"")</f>
        <v/>
      </c>
      <c r="V75" s="5">
        <f>IF(U75="","",INDEX('ORDENES'!$S$4:$S$1203,U75))</f>
        <v/>
      </c>
      <c r="W75" s="5">
        <f>IF(U75="","",IF(V75&lt;&gt;V74,CHAR(10)&amp;UPPER(LEFT(V75,1))&amp;MID(V75,2,20)&amp;":"&amp;CHAR(10),"")&amp;"   "&amp;IF(INDEX('ORDENES'!$AH$4:$AH$1203,U75)="","(s/t)",INDEX('ORDENES'!$AH$4:$AH$1203,U75))&amp;" · "&amp;IF(INDEX('ORDENES'!$AG$4:$AG$1203,U75)="","(sin técnico)",INDEX('ORDENES'!$AG$4:$AG$1203,U75))&amp;" · "&amp;INDEX('ORDENES'!$AT$4:$AT$1203,U75)&amp;"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IF(AND(IF($B$3="(todos)",TRUE,'ORDENES'!$O72=$B$3),IF($D$3="(todos)",TRUE,'ORDENES'!$AH72=$D$3),IF($F$3="(todos)",TRUE,'ORDENES'!$Z72=$F$3),IF($H$3="(todos)",TRUE,'ORDENES'!$Y72=$H$3),'ORDENES'!$AF72=TRUE,'ORDENES'!$A72&lt;&gt;""),1,0)</f>
        <v/>
      </c>
      <c r="L76" s="5">
        <f>IF(K76=1,IFERROR(MATCH('ORDENES'!$S72,lista_dias,0),9)*1000000000+IFERROR(MATCH('ORDENES'!$AH72,lista_turnos,0),9)*10000000+IFERROR(MATCH('ORDENES'!$AG72,'TECNICOS'!$B$4:$B$19,0),99)*100000+69,9000000000000+69)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2">
        <f>IF(K76=1,'ORDENES'!$J72,"")</f>
        <v/>
      </c>
      <c r="U76" s="5">
        <f>IFERROR(MATCH(69,$M$8:$M$1207,0),"")</f>
        <v/>
      </c>
      <c r="V76" s="5">
        <f>IF(U76="","",INDEX('ORDENES'!$S$4:$S$1203,U76))</f>
        <v/>
      </c>
      <c r="W76" s="5">
        <f>IF(U76="","",IF(V76&lt;&gt;V75,CHAR(10)&amp;UPPER(LEFT(V76,1))&amp;MID(V76,2,20)&amp;":"&amp;CHAR(10),"")&amp;"   "&amp;IF(INDEX('ORDENES'!$AH$4:$AH$1203,U76)="","(s/t)",INDEX('ORDENES'!$AH$4:$AH$1203,U76))&amp;" · "&amp;IF(INDEX('ORDENES'!$AG$4:$AG$1203,U76)="","(sin técnico)",INDEX('ORDENES'!$AG$4:$AG$1203,U76))&amp;" · "&amp;INDEX('ORDENES'!$AT$4:$AT$1203,U76)&amp;"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IF(AND(IF($B$3="(todos)",TRUE,'ORDENES'!$O73=$B$3),IF($D$3="(todos)",TRUE,'ORDENES'!$AH73=$D$3),IF($F$3="(todos)",TRUE,'ORDENES'!$Z73=$F$3),IF($H$3="(todos)",TRUE,'ORDENES'!$Y73=$H$3),'ORDENES'!$AF73=TRUE,'ORDENES'!$A73&lt;&gt;""),1,0)</f>
        <v/>
      </c>
      <c r="L77" s="5">
        <f>IF(K77=1,IFERROR(MATCH('ORDENES'!$S73,lista_dias,0),9)*1000000000+IFERROR(MATCH('ORDENES'!$AH73,lista_turnos,0),9)*10000000+IFERROR(MATCH('ORDENES'!$AG73,'TECNICOS'!$B$4:$B$19,0),99)*100000+70,9000000000000+70)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2">
        <f>IF(K77=1,'ORDENES'!$J73,"")</f>
        <v/>
      </c>
      <c r="U77" s="5">
        <f>IFERROR(MATCH(70,$M$8:$M$1207,0),"")</f>
        <v/>
      </c>
      <c r="V77" s="5">
        <f>IF(U77="","",INDEX('ORDENES'!$S$4:$S$1203,U77))</f>
        <v/>
      </c>
      <c r="W77" s="5">
        <f>IF(U77="","",IF(V77&lt;&gt;V76,CHAR(10)&amp;UPPER(LEFT(V77,1))&amp;MID(V77,2,20)&amp;":"&amp;CHAR(10),"")&amp;"   "&amp;IF(INDEX('ORDENES'!$AH$4:$AH$1203,U77)="","(s/t)",INDEX('ORDENES'!$AH$4:$AH$1203,U77))&amp;" · "&amp;IF(INDEX('ORDENES'!$AG$4:$AG$1203,U77)="","(sin técnico)",INDEX('ORDENES'!$AG$4:$AG$1203,U77))&amp;" · "&amp;INDEX('ORDENES'!$AT$4:$AT$1203,U77)&amp;"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IF(AND(IF($B$3="(todos)",TRUE,'ORDENES'!$O74=$B$3),IF($D$3="(todos)",TRUE,'ORDENES'!$AH74=$D$3),IF($F$3="(todos)",TRUE,'ORDENES'!$Z74=$F$3),IF($H$3="(todos)",TRUE,'ORDENES'!$Y74=$H$3),'ORDENES'!$AF74=TRUE,'ORDENES'!$A74&lt;&gt;""),1,0)</f>
        <v/>
      </c>
      <c r="L78" s="5">
        <f>IF(K78=1,IFERROR(MATCH('ORDENES'!$S74,lista_dias,0),9)*1000000000+IFERROR(MATCH('ORDENES'!$AH74,lista_turnos,0),9)*10000000+IFERROR(MATCH('ORDENES'!$AG74,'TECNICOS'!$B$4:$B$19,0),99)*100000+71,9000000000000+71)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2">
        <f>IF(K78=1,'ORDENES'!$J74,"")</f>
        <v/>
      </c>
      <c r="U78" s="5">
        <f>IFERROR(MATCH(71,$M$8:$M$1207,0),"")</f>
        <v/>
      </c>
      <c r="V78" s="5">
        <f>IF(U78="","",INDEX('ORDENES'!$S$4:$S$1203,U78))</f>
        <v/>
      </c>
      <c r="W78" s="5">
        <f>IF(U78="","",IF(V78&lt;&gt;V77,CHAR(10)&amp;UPPER(LEFT(V78,1))&amp;MID(V78,2,20)&amp;":"&amp;CHAR(10),"")&amp;"   "&amp;IF(INDEX('ORDENES'!$AH$4:$AH$1203,U78)="","(s/t)",INDEX('ORDENES'!$AH$4:$AH$1203,U78))&amp;" · "&amp;IF(INDEX('ORDENES'!$AG$4:$AG$1203,U78)="","(sin técnico)",INDEX('ORDENES'!$AG$4:$AG$1203,U78))&amp;" · "&amp;INDEX('ORDENES'!$AT$4:$AT$1203,U78)&amp;"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IF(AND(IF($B$3="(todos)",TRUE,'ORDENES'!$O75=$B$3),IF($D$3="(todos)",TRUE,'ORDENES'!$AH75=$D$3),IF($F$3="(todos)",TRUE,'ORDENES'!$Z75=$F$3),IF($H$3="(todos)",TRUE,'ORDENES'!$Y75=$H$3),'ORDENES'!$AF75=TRUE,'ORDENES'!$A75&lt;&gt;""),1,0)</f>
        <v/>
      </c>
      <c r="L79" s="5">
        <f>IF(K79=1,IFERROR(MATCH('ORDENES'!$S75,lista_dias,0),9)*1000000000+IFERROR(MATCH('ORDENES'!$AH75,lista_turnos,0),9)*10000000+IFERROR(MATCH('ORDENES'!$AG75,'TECNICOS'!$B$4:$B$19,0),99)*100000+72,9000000000000+72)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2">
        <f>IF(K79=1,'ORDENES'!$J75,"")</f>
        <v/>
      </c>
      <c r="U79" s="5">
        <f>IFERROR(MATCH(72,$M$8:$M$1207,0),"")</f>
        <v/>
      </c>
      <c r="V79" s="5">
        <f>IF(U79="","",INDEX('ORDENES'!$S$4:$S$1203,U79))</f>
        <v/>
      </c>
      <c r="W79" s="5">
        <f>IF(U79="","",IF(V79&lt;&gt;V78,CHAR(10)&amp;UPPER(LEFT(V79,1))&amp;MID(V79,2,20)&amp;":"&amp;CHAR(10),"")&amp;"   "&amp;IF(INDEX('ORDENES'!$AH$4:$AH$1203,U79)="","(s/t)",INDEX('ORDENES'!$AH$4:$AH$1203,U79))&amp;" · "&amp;IF(INDEX('ORDENES'!$AG$4:$AG$1203,U79)="","(sin técnico)",INDEX('ORDENES'!$AG$4:$AG$1203,U79))&amp;" · "&amp;INDEX('ORDENES'!$AT$4:$AT$1203,U79)&amp;"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IF(AND(IF($B$3="(todos)",TRUE,'ORDENES'!$O76=$B$3),IF($D$3="(todos)",TRUE,'ORDENES'!$AH76=$D$3),IF($F$3="(todos)",TRUE,'ORDENES'!$Z76=$F$3),IF($H$3="(todos)",TRUE,'ORDENES'!$Y76=$H$3),'ORDENES'!$AF76=TRUE,'ORDENES'!$A76&lt;&gt;""),1,0)</f>
        <v/>
      </c>
      <c r="L80" s="5">
        <f>IF(K80=1,IFERROR(MATCH('ORDENES'!$S76,lista_dias,0),9)*1000000000+IFERROR(MATCH('ORDENES'!$AH76,lista_turnos,0),9)*10000000+IFERROR(MATCH('ORDENES'!$AG76,'TECNICOS'!$B$4:$B$19,0),99)*100000+73,9000000000000+73)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2">
        <f>IF(K80=1,'ORDENES'!$J76,"")</f>
        <v/>
      </c>
      <c r="U80" s="5">
        <f>IFERROR(MATCH(73,$M$8:$M$1207,0),"")</f>
        <v/>
      </c>
      <c r="V80" s="5">
        <f>IF(U80="","",INDEX('ORDENES'!$S$4:$S$1203,U80))</f>
        <v/>
      </c>
      <c r="W80" s="5">
        <f>IF(U80="","",IF(V80&lt;&gt;V79,CHAR(10)&amp;UPPER(LEFT(V80,1))&amp;MID(V80,2,20)&amp;":"&amp;CHAR(10),"")&amp;"   "&amp;IF(INDEX('ORDENES'!$AH$4:$AH$1203,U80)="","(s/t)",INDEX('ORDENES'!$AH$4:$AH$1203,U80))&amp;" · "&amp;IF(INDEX('ORDENES'!$AG$4:$AG$1203,U80)="","(sin técnico)",INDEX('ORDENES'!$AG$4:$AG$1203,U80))&amp;" · "&amp;INDEX('ORDENES'!$AT$4:$AT$1203,U80)&amp;"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IF(AND(IF($B$3="(todos)",TRUE,'ORDENES'!$O77=$B$3),IF($D$3="(todos)",TRUE,'ORDENES'!$AH77=$D$3),IF($F$3="(todos)",TRUE,'ORDENES'!$Z77=$F$3),IF($H$3="(todos)",TRUE,'ORDENES'!$Y77=$H$3),'ORDENES'!$AF77=TRUE,'ORDENES'!$A77&lt;&gt;""),1,0)</f>
        <v/>
      </c>
      <c r="L81" s="5">
        <f>IF(K81=1,IFERROR(MATCH('ORDENES'!$S77,lista_dias,0),9)*1000000000+IFERROR(MATCH('ORDENES'!$AH77,lista_turnos,0),9)*10000000+IFERROR(MATCH('ORDENES'!$AG77,'TECNICOS'!$B$4:$B$19,0),99)*100000+74,9000000000000+74)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2">
        <f>IF(K81=1,'ORDENES'!$J77,"")</f>
        <v/>
      </c>
      <c r="U81" s="5">
        <f>IFERROR(MATCH(74,$M$8:$M$1207,0),"")</f>
        <v/>
      </c>
      <c r="V81" s="5">
        <f>IF(U81="","",INDEX('ORDENES'!$S$4:$S$1203,U81))</f>
        <v/>
      </c>
      <c r="W81" s="5">
        <f>IF(U81="","",IF(V81&lt;&gt;V80,CHAR(10)&amp;UPPER(LEFT(V81,1))&amp;MID(V81,2,20)&amp;":"&amp;CHAR(10),"")&amp;"   "&amp;IF(INDEX('ORDENES'!$AH$4:$AH$1203,U81)="","(s/t)",INDEX('ORDENES'!$AH$4:$AH$1203,U81))&amp;" · "&amp;IF(INDEX('ORDENES'!$AG$4:$AG$1203,U81)="","(sin técnico)",INDEX('ORDENES'!$AG$4:$AG$1203,U81))&amp;" · "&amp;INDEX('ORDENES'!$AT$4:$AT$1203,U81)&amp;"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IF(AND(IF($B$3="(todos)",TRUE,'ORDENES'!$O78=$B$3),IF($D$3="(todos)",TRUE,'ORDENES'!$AH78=$D$3),IF($F$3="(todos)",TRUE,'ORDENES'!$Z78=$F$3),IF($H$3="(todos)",TRUE,'ORDENES'!$Y78=$H$3),'ORDENES'!$AF78=TRUE,'ORDENES'!$A78&lt;&gt;""),1,0)</f>
        <v/>
      </c>
      <c r="L82" s="5">
        <f>IF(K82=1,IFERROR(MATCH('ORDENES'!$S78,lista_dias,0),9)*1000000000+IFERROR(MATCH('ORDENES'!$AH78,lista_turnos,0),9)*10000000+IFERROR(MATCH('ORDENES'!$AG78,'TECNICOS'!$B$4:$B$19,0),99)*100000+75,9000000000000+75)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2">
        <f>IF(K82=1,'ORDENES'!$J78,"")</f>
        <v/>
      </c>
      <c r="U82" s="5">
        <f>IFERROR(MATCH(75,$M$8:$M$1207,0),"")</f>
        <v/>
      </c>
      <c r="V82" s="5">
        <f>IF(U82="","",INDEX('ORDENES'!$S$4:$S$1203,U82))</f>
        <v/>
      </c>
      <c r="W82" s="5">
        <f>IF(U82="","",IF(V82&lt;&gt;V81,CHAR(10)&amp;UPPER(LEFT(V82,1))&amp;MID(V82,2,20)&amp;":"&amp;CHAR(10),"")&amp;"   "&amp;IF(INDEX('ORDENES'!$AH$4:$AH$1203,U82)="","(s/t)",INDEX('ORDENES'!$AH$4:$AH$1203,U82))&amp;" · "&amp;IF(INDEX('ORDENES'!$AG$4:$AG$1203,U82)="","(sin técnico)",INDEX('ORDENES'!$AG$4:$AG$1203,U82))&amp;" · "&amp;INDEX('ORDENES'!$AT$4:$AT$1203,U82)&amp;"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IF(AND(IF($B$3="(todos)",TRUE,'ORDENES'!$O79=$B$3),IF($D$3="(todos)",TRUE,'ORDENES'!$AH79=$D$3),IF($F$3="(todos)",TRUE,'ORDENES'!$Z79=$F$3),IF($H$3="(todos)",TRUE,'ORDENES'!$Y79=$H$3),'ORDENES'!$AF79=TRUE,'ORDENES'!$A79&lt;&gt;""),1,0)</f>
        <v/>
      </c>
      <c r="L83" s="5">
        <f>IF(K83=1,IFERROR(MATCH('ORDENES'!$S79,lista_dias,0),9)*1000000000+IFERROR(MATCH('ORDENES'!$AH79,lista_turnos,0),9)*10000000+IFERROR(MATCH('ORDENES'!$AG79,'TECNICOS'!$B$4:$B$19,0),99)*100000+76,9000000000000+76)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2">
        <f>IF(K83=1,'ORDENES'!$J79,"")</f>
        <v/>
      </c>
      <c r="U83" s="5">
        <f>IFERROR(MATCH(76,$M$8:$M$1207,0),"")</f>
        <v/>
      </c>
      <c r="V83" s="5">
        <f>IF(U83="","",INDEX('ORDENES'!$S$4:$S$1203,U83))</f>
        <v/>
      </c>
      <c r="W83" s="5">
        <f>IF(U83="","",IF(V83&lt;&gt;V82,CHAR(10)&amp;UPPER(LEFT(V83,1))&amp;MID(V83,2,20)&amp;":"&amp;CHAR(10),"")&amp;"   "&amp;IF(INDEX('ORDENES'!$AH$4:$AH$1203,U83)="","(s/t)",INDEX('ORDENES'!$AH$4:$AH$1203,U83))&amp;" · "&amp;IF(INDEX('ORDENES'!$AG$4:$AG$1203,U83)="","(sin técnico)",INDEX('ORDENES'!$AG$4:$AG$1203,U83))&amp;" · "&amp;INDEX('ORDENES'!$AT$4:$AT$1203,U83)&amp;"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IF(AND(IF($B$3="(todos)",TRUE,'ORDENES'!$O80=$B$3),IF($D$3="(todos)",TRUE,'ORDENES'!$AH80=$D$3),IF($F$3="(todos)",TRUE,'ORDENES'!$Z80=$F$3),IF($H$3="(todos)",TRUE,'ORDENES'!$Y80=$H$3),'ORDENES'!$AF80=TRUE,'ORDENES'!$A80&lt;&gt;""),1,0)</f>
        <v/>
      </c>
      <c r="L84" s="5">
        <f>IF(K84=1,IFERROR(MATCH('ORDENES'!$S80,lista_dias,0),9)*1000000000+IFERROR(MATCH('ORDENES'!$AH80,lista_turnos,0),9)*10000000+IFERROR(MATCH('ORDENES'!$AG80,'TECNICOS'!$B$4:$B$19,0),99)*100000+77,9000000000000+77)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2">
        <f>IF(K84=1,'ORDENES'!$J80,"")</f>
        <v/>
      </c>
      <c r="U84" s="5">
        <f>IFERROR(MATCH(77,$M$8:$M$1207,0),"")</f>
        <v/>
      </c>
      <c r="V84" s="5">
        <f>IF(U84="","",INDEX('ORDENES'!$S$4:$S$1203,U84))</f>
        <v/>
      </c>
      <c r="W84" s="5">
        <f>IF(U84="","",IF(V84&lt;&gt;V83,CHAR(10)&amp;UPPER(LEFT(V84,1))&amp;MID(V84,2,20)&amp;":"&amp;CHAR(10),"")&amp;"   "&amp;IF(INDEX('ORDENES'!$AH$4:$AH$1203,U84)="","(s/t)",INDEX('ORDENES'!$AH$4:$AH$1203,U84))&amp;" · "&amp;IF(INDEX('ORDENES'!$AG$4:$AG$1203,U84)="","(sin técnico)",INDEX('ORDENES'!$AG$4:$AG$1203,U84))&amp;" · "&amp;INDEX('ORDENES'!$AT$4:$AT$1203,U84)&amp;"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IF(AND(IF($B$3="(todos)",TRUE,'ORDENES'!$O81=$B$3),IF($D$3="(todos)",TRUE,'ORDENES'!$AH81=$D$3),IF($F$3="(todos)",TRUE,'ORDENES'!$Z81=$F$3),IF($H$3="(todos)",TRUE,'ORDENES'!$Y81=$H$3),'ORDENES'!$AF81=TRUE,'ORDENES'!$A81&lt;&gt;""),1,0)</f>
        <v/>
      </c>
      <c r="L85" s="5">
        <f>IF(K85=1,IFERROR(MATCH('ORDENES'!$S81,lista_dias,0),9)*1000000000+IFERROR(MATCH('ORDENES'!$AH81,lista_turnos,0),9)*10000000+IFERROR(MATCH('ORDENES'!$AG81,'TECNICOS'!$B$4:$B$19,0),99)*100000+78,9000000000000+78)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2">
        <f>IF(K85=1,'ORDENES'!$J81,"")</f>
        <v/>
      </c>
      <c r="U85" s="5">
        <f>IFERROR(MATCH(78,$M$8:$M$1207,0),"")</f>
        <v/>
      </c>
      <c r="V85" s="5">
        <f>IF(U85="","",INDEX('ORDENES'!$S$4:$S$1203,U85))</f>
        <v/>
      </c>
      <c r="W85" s="5">
        <f>IF(U85="","",IF(V85&lt;&gt;V84,CHAR(10)&amp;UPPER(LEFT(V85,1))&amp;MID(V85,2,20)&amp;":"&amp;CHAR(10),"")&amp;"   "&amp;IF(INDEX('ORDENES'!$AH$4:$AH$1203,U85)="","(s/t)",INDEX('ORDENES'!$AH$4:$AH$1203,U85))&amp;" · "&amp;IF(INDEX('ORDENES'!$AG$4:$AG$1203,U85)="","(sin técnico)",INDEX('ORDENES'!$AG$4:$AG$1203,U85))&amp;" · "&amp;INDEX('ORDENES'!$AT$4:$AT$1203,U85)&amp;"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IF(AND(IF($B$3="(todos)",TRUE,'ORDENES'!$O82=$B$3),IF($D$3="(todos)",TRUE,'ORDENES'!$AH82=$D$3),IF($F$3="(todos)",TRUE,'ORDENES'!$Z82=$F$3),IF($H$3="(todos)",TRUE,'ORDENES'!$Y82=$H$3),'ORDENES'!$AF82=TRUE,'ORDENES'!$A82&lt;&gt;""),1,0)</f>
        <v/>
      </c>
      <c r="L86" s="5">
        <f>IF(K86=1,IFERROR(MATCH('ORDENES'!$S82,lista_dias,0),9)*1000000000+IFERROR(MATCH('ORDENES'!$AH82,lista_turnos,0),9)*10000000+IFERROR(MATCH('ORDENES'!$AG82,'TECNICOS'!$B$4:$B$19,0),99)*100000+79,9000000000000+79)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2">
        <f>IF(K86=1,'ORDENES'!$J82,"")</f>
        <v/>
      </c>
      <c r="U86" s="5">
        <f>IFERROR(MATCH(79,$M$8:$M$1207,0),"")</f>
        <v/>
      </c>
      <c r="V86" s="5">
        <f>IF(U86="","",INDEX('ORDENES'!$S$4:$S$1203,U86))</f>
        <v/>
      </c>
      <c r="W86" s="5">
        <f>IF(U86="","",IF(V86&lt;&gt;V85,CHAR(10)&amp;UPPER(LEFT(V86,1))&amp;MID(V86,2,20)&amp;":"&amp;CHAR(10),"")&amp;"   "&amp;IF(INDEX('ORDENES'!$AH$4:$AH$1203,U86)="","(s/t)",INDEX('ORDENES'!$AH$4:$AH$1203,U86))&amp;" · "&amp;IF(INDEX('ORDENES'!$AG$4:$AG$1203,U86)="","(sin técnico)",INDEX('ORDENES'!$AG$4:$AG$1203,U86))&amp;" · "&amp;INDEX('ORDENES'!$AT$4:$AT$1203,U86)&amp;"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IF(AND(IF($B$3="(todos)",TRUE,'ORDENES'!$O83=$B$3),IF($D$3="(todos)",TRUE,'ORDENES'!$AH83=$D$3),IF($F$3="(todos)",TRUE,'ORDENES'!$Z83=$F$3),IF($H$3="(todos)",TRUE,'ORDENES'!$Y83=$H$3),'ORDENES'!$AF83=TRUE,'ORDENES'!$A83&lt;&gt;""),1,0)</f>
        <v/>
      </c>
      <c r="L87" s="5">
        <f>IF(K87=1,IFERROR(MATCH('ORDENES'!$S83,lista_dias,0),9)*1000000000+IFERROR(MATCH('ORDENES'!$AH83,lista_turnos,0),9)*10000000+IFERROR(MATCH('ORDENES'!$AG83,'TECNICOS'!$B$4:$B$19,0),99)*100000+80,9000000000000+80)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2">
        <f>IF(K87=1,'ORDENES'!$J83,"")</f>
        <v/>
      </c>
      <c r="U87" s="5">
        <f>IFERROR(MATCH(80,$M$8:$M$1207,0),"")</f>
        <v/>
      </c>
      <c r="V87" s="5">
        <f>IF(U87="","",INDEX('ORDENES'!$S$4:$S$1203,U87))</f>
        <v/>
      </c>
      <c r="W87" s="5">
        <f>IF(U87="","",IF(V87&lt;&gt;V86,CHAR(10)&amp;UPPER(LEFT(V87,1))&amp;MID(V87,2,20)&amp;":"&amp;CHAR(10),"")&amp;"   "&amp;IF(INDEX('ORDENES'!$AH$4:$AH$1203,U87)="","(s/t)",INDEX('ORDENES'!$AH$4:$AH$1203,U87))&amp;" · "&amp;IF(INDEX('ORDENES'!$AG$4:$AG$1203,U87)="","(sin técnico)",INDEX('ORDENES'!$AG$4:$AG$1203,U87))&amp;" · "&amp;INDEX('ORDENES'!$AT$4:$AT$1203,U87)&amp;"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IF(AND(IF($B$3="(todos)",TRUE,'ORDENES'!$O84=$B$3),IF($D$3="(todos)",TRUE,'ORDENES'!$AH84=$D$3),IF($F$3="(todos)",TRUE,'ORDENES'!$Z84=$F$3),IF($H$3="(todos)",TRUE,'ORDENES'!$Y84=$H$3),'ORDENES'!$AF84=TRUE,'ORDENES'!$A84&lt;&gt;""),1,0)</f>
        <v/>
      </c>
      <c r="L88" s="5">
        <f>IF(K88=1,IFERROR(MATCH('ORDENES'!$S84,lista_dias,0),9)*1000000000+IFERROR(MATCH('ORDENES'!$AH84,lista_turnos,0),9)*10000000+IFERROR(MATCH('ORDENES'!$AG84,'TECNICOS'!$B$4:$B$19,0),99)*100000+81,9000000000000+81)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2">
        <f>IF(K88=1,'ORDENES'!$J84,"")</f>
        <v/>
      </c>
      <c r="U88" s="5">
        <f>IFERROR(MATCH(81,$M$8:$M$1207,0),"")</f>
        <v/>
      </c>
      <c r="V88" s="5">
        <f>IF(U88="","",INDEX('ORDENES'!$S$4:$S$1203,U88))</f>
        <v/>
      </c>
      <c r="W88" s="5">
        <f>IF(U88="","",IF(V88&lt;&gt;V87,CHAR(10)&amp;UPPER(LEFT(V88,1))&amp;MID(V88,2,20)&amp;":"&amp;CHAR(10),"")&amp;"   "&amp;IF(INDEX('ORDENES'!$AH$4:$AH$1203,U88)="","(s/t)",INDEX('ORDENES'!$AH$4:$AH$1203,U88))&amp;" · "&amp;IF(INDEX('ORDENES'!$AG$4:$AG$1203,U88)="","(sin técnico)",INDEX('ORDENES'!$AG$4:$AG$1203,U88))&amp;" · "&amp;INDEX('ORDENES'!$AT$4:$AT$1203,U88)&amp;"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IF(AND(IF($B$3="(todos)",TRUE,'ORDENES'!$O85=$B$3),IF($D$3="(todos)",TRUE,'ORDENES'!$AH85=$D$3),IF($F$3="(todos)",TRUE,'ORDENES'!$Z85=$F$3),IF($H$3="(todos)",TRUE,'ORDENES'!$Y85=$H$3),'ORDENES'!$AF85=TRUE,'ORDENES'!$A85&lt;&gt;""),1,0)</f>
        <v/>
      </c>
      <c r="L89" s="5">
        <f>IF(K89=1,IFERROR(MATCH('ORDENES'!$S85,lista_dias,0),9)*1000000000+IFERROR(MATCH('ORDENES'!$AH85,lista_turnos,0),9)*10000000+IFERROR(MATCH('ORDENES'!$AG85,'TECNICOS'!$B$4:$B$19,0),99)*100000+82,9000000000000+82)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2">
        <f>IF(K89=1,'ORDENES'!$J85,"")</f>
        <v/>
      </c>
      <c r="U89" s="5">
        <f>IFERROR(MATCH(82,$M$8:$M$1207,0),"")</f>
        <v/>
      </c>
      <c r="V89" s="5">
        <f>IF(U89="","",INDEX('ORDENES'!$S$4:$S$1203,U89))</f>
        <v/>
      </c>
      <c r="W89" s="5">
        <f>IF(U89="","",IF(V89&lt;&gt;V88,CHAR(10)&amp;UPPER(LEFT(V89,1))&amp;MID(V89,2,20)&amp;":"&amp;CHAR(10),"")&amp;"   "&amp;IF(INDEX('ORDENES'!$AH$4:$AH$1203,U89)="","(s/t)",INDEX('ORDENES'!$AH$4:$AH$1203,U89))&amp;" · "&amp;IF(INDEX('ORDENES'!$AG$4:$AG$1203,U89)="","(sin técnico)",INDEX('ORDENES'!$AG$4:$AG$1203,U89))&amp;" · "&amp;INDEX('ORDENES'!$AT$4:$AT$1203,U89)&amp;"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IF(AND(IF($B$3="(todos)",TRUE,'ORDENES'!$O86=$B$3),IF($D$3="(todos)",TRUE,'ORDENES'!$AH86=$D$3),IF($F$3="(todos)",TRUE,'ORDENES'!$Z86=$F$3),IF($H$3="(todos)",TRUE,'ORDENES'!$Y86=$H$3),'ORDENES'!$AF86=TRUE,'ORDENES'!$A86&lt;&gt;""),1,0)</f>
        <v/>
      </c>
      <c r="L90" s="5">
        <f>IF(K90=1,IFERROR(MATCH('ORDENES'!$S86,lista_dias,0),9)*1000000000+IFERROR(MATCH('ORDENES'!$AH86,lista_turnos,0),9)*10000000+IFERROR(MATCH('ORDENES'!$AG86,'TECNICOS'!$B$4:$B$19,0),99)*100000+83,9000000000000+83)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2">
        <f>IF(K90=1,'ORDENES'!$J86,"")</f>
        <v/>
      </c>
      <c r="U90" s="5">
        <f>IFERROR(MATCH(83,$M$8:$M$1207,0),"")</f>
        <v/>
      </c>
      <c r="V90" s="5">
        <f>IF(U90="","",INDEX('ORDENES'!$S$4:$S$1203,U90))</f>
        <v/>
      </c>
      <c r="W90" s="5">
        <f>IF(U90="","",IF(V90&lt;&gt;V89,CHAR(10)&amp;UPPER(LEFT(V90,1))&amp;MID(V90,2,20)&amp;":"&amp;CHAR(10),"")&amp;"   "&amp;IF(INDEX('ORDENES'!$AH$4:$AH$1203,U90)="","(s/t)",INDEX('ORDENES'!$AH$4:$AH$1203,U90))&amp;" · "&amp;IF(INDEX('ORDENES'!$AG$4:$AG$1203,U90)="","(sin técnico)",INDEX('ORDENES'!$AG$4:$AG$1203,U90))&amp;" · "&amp;INDEX('ORDENES'!$AT$4:$AT$1203,U90)&amp;"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IF(AND(IF($B$3="(todos)",TRUE,'ORDENES'!$O87=$B$3),IF($D$3="(todos)",TRUE,'ORDENES'!$AH87=$D$3),IF($F$3="(todos)",TRUE,'ORDENES'!$Z87=$F$3),IF($H$3="(todos)",TRUE,'ORDENES'!$Y87=$H$3),'ORDENES'!$AF87=TRUE,'ORDENES'!$A87&lt;&gt;""),1,0)</f>
        <v/>
      </c>
      <c r="L91" s="5">
        <f>IF(K91=1,IFERROR(MATCH('ORDENES'!$S87,lista_dias,0),9)*1000000000+IFERROR(MATCH('ORDENES'!$AH87,lista_turnos,0),9)*10000000+IFERROR(MATCH('ORDENES'!$AG87,'TECNICOS'!$B$4:$B$19,0),99)*100000+84,9000000000000+84)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2">
        <f>IF(K91=1,'ORDENES'!$J87,"")</f>
        <v/>
      </c>
      <c r="U91" s="5">
        <f>IFERROR(MATCH(84,$M$8:$M$1207,0),"")</f>
        <v/>
      </c>
      <c r="V91" s="5">
        <f>IF(U91="","",INDEX('ORDENES'!$S$4:$S$1203,U91))</f>
        <v/>
      </c>
      <c r="W91" s="5">
        <f>IF(U91="","",IF(V91&lt;&gt;V90,CHAR(10)&amp;UPPER(LEFT(V91,1))&amp;MID(V91,2,20)&amp;":"&amp;CHAR(10),"")&amp;"   "&amp;IF(INDEX('ORDENES'!$AH$4:$AH$1203,U91)="","(s/t)",INDEX('ORDENES'!$AH$4:$AH$1203,U91))&amp;" · "&amp;IF(INDEX('ORDENES'!$AG$4:$AG$1203,U91)="","(sin técnico)",INDEX('ORDENES'!$AG$4:$AG$1203,U91))&amp;" · "&amp;INDEX('ORDENES'!$AT$4:$AT$1203,U91)&amp;"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IF(AND(IF($B$3="(todos)",TRUE,'ORDENES'!$O88=$B$3),IF($D$3="(todos)",TRUE,'ORDENES'!$AH88=$D$3),IF($F$3="(todos)",TRUE,'ORDENES'!$Z88=$F$3),IF($H$3="(todos)",TRUE,'ORDENES'!$Y88=$H$3),'ORDENES'!$AF88=TRUE,'ORDENES'!$A88&lt;&gt;""),1,0)</f>
        <v/>
      </c>
      <c r="L92" s="5">
        <f>IF(K92=1,IFERROR(MATCH('ORDENES'!$S88,lista_dias,0),9)*1000000000+IFERROR(MATCH('ORDENES'!$AH88,lista_turnos,0),9)*10000000+IFERROR(MATCH('ORDENES'!$AG88,'TECNICOS'!$B$4:$B$19,0),99)*100000+85,9000000000000+85)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2">
        <f>IF(K92=1,'ORDENES'!$J88,"")</f>
        <v/>
      </c>
      <c r="U92" s="5">
        <f>IFERROR(MATCH(85,$M$8:$M$1207,0),"")</f>
        <v/>
      </c>
      <c r="V92" s="5">
        <f>IF(U92="","",INDEX('ORDENES'!$S$4:$S$1203,U92))</f>
        <v/>
      </c>
      <c r="W92" s="5">
        <f>IF(U92="","",IF(V92&lt;&gt;V91,CHAR(10)&amp;UPPER(LEFT(V92,1))&amp;MID(V92,2,20)&amp;":"&amp;CHAR(10),"")&amp;"   "&amp;IF(INDEX('ORDENES'!$AH$4:$AH$1203,U92)="","(s/t)",INDEX('ORDENES'!$AH$4:$AH$1203,U92))&amp;" · "&amp;IF(INDEX('ORDENES'!$AG$4:$AG$1203,U92)="","(sin técnico)",INDEX('ORDENES'!$AG$4:$AG$1203,U92))&amp;" · "&amp;INDEX('ORDENES'!$AT$4:$AT$1203,U92)&amp;"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IF(AND(IF($B$3="(todos)",TRUE,'ORDENES'!$O89=$B$3),IF($D$3="(todos)",TRUE,'ORDENES'!$AH89=$D$3),IF($F$3="(todos)",TRUE,'ORDENES'!$Z89=$F$3),IF($H$3="(todos)",TRUE,'ORDENES'!$Y89=$H$3),'ORDENES'!$AF89=TRUE,'ORDENES'!$A89&lt;&gt;""),1,0)</f>
        <v/>
      </c>
      <c r="L93" s="5">
        <f>IF(K93=1,IFERROR(MATCH('ORDENES'!$S89,lista_dias,0),9)*1000000000+IFERROR(MATCH('ORDENES'!$AH89,lista_turnos,0),9)*10000000+IFERROR(MATCH('ORDENES'!$AG89,'TECNICOS'!$B$4:$B$19,0),99)*100000+86,9000000000000+86)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2">
        <f>IF(K93=1,'ORDENES'!$J89,"")</f>
        <v/>
      </c>
      <c r="U93" s="5">
        <f>IFERROR(MATCH(86,$M$8:$M$1207,0),"")</f>
        <v/>
      </c>
      <c r="V93" s="5">
        <f>IF(U93="","",INDEX('ORDENES'!$S$4:$S$1203,U93))</f>
        <v/>
      </c>
      <c r="W93" s="5">
        <f>IF(U93="","",IF(V93&lt;&gt;V92,CHAR(10)&amp;UPPER(LEFT(V93,1))&amp;MID(V93,2,20)&amp;":"&amp;CHAR(10),"")&amp;"   "&amp;IF(INDEX('ORDENES'!$AH$4:$AH$1203,U93)="","(s/t)",INDEX('ORDENES'!$AH$4:$AH$1203,U93))&amp;" · "&amp;IF(INDEX('ORDENES'!$AG$4:$AG$1203,U93)="","(sin técnico)",INDEX('ORDENES'!$AG$4:$AG$1203,U93))&amp;" · "&amp;INDEX('ORDENES'!$AT$4:$AT$1203,U93)&amp;"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IF(AND(IF($B$3="(todos)",TRUE,'ORDENES'!$O90=$B$3),IF($D$3="(todos)",TRUE,'ORDENES'!$AH90=$D$3),IF($F$3="(todos)",TRUE,'ORDENES'!$Z90=$F$3),IF($H$3="(todos)",TRUE,'ORDENES'!$Y90=$H$3),'ORDENES'!$AF90=TRUE,'ORDENES'!$A90&lt;&gt;""),1,0)</f>
        <v/>
      </c>
      <c r="L94" s="5">
        <f>IF(K94=1,IFERROR(MATCH('ORDENES'!$S90,lista_dias,0),9)*1000000000+IFERROR(MATCH('ORDENES'!$AH90,lista_turnos,0),9)*10000000+IFERROR(MATCH('ORDENES'!$AG90,'TECNICOS'!$B$4:$B$19,0),99)*100000+87,9000000000000+87)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2">
        <f>IF(K94=1,'ORDENES'!$J90,"")</f>
        <v/>
      </c>
      <c r="U94" s="5">
        <f>IFERROR(MATCH(87,$M$8:$M$1207,0),"")</f>
        <v/>
      </c>
      <c r="V94" s="5">
        <f>IF(U94="","",INDEX('ORDENES'!$S$4:$S$1203,U94))</f>
        <v/>
      </c>
      <c r="W94" s="5">
        <f>IF(U94="","",IF(V94&lt;&gt;V93,CHAR(10)&amp;UPPER(LEFT(V94,1))&amp;MID(V94,2,20)&amp;":"&amp;CHAR(10),"")&amp;"   "&amp;IF(INDEX('ORDENES'!$AH$4:$AH$1203,U94)="","(s/t)",INDEX('ORDENES'!$AH$4:$AH$1203,U94))&amp;" · "&amp;IF(INDEX('ORDENES'!$AG$4:$AG$1203,U94)="","(sin técnico)",INDEX('ORDENES'!$AG$4:$AG$1203,U94))&amp;" · "&amp;INDEX('ORDENES'!$AT$4:$AT$1203,U94)&amp;"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IF(AND(IF($B$3="(todos)",TRUE,'ORDENES'!$O91=$B$3),IF($D$3="(todos)",TRUE,'ORDENES'!$AH91=$D$3),IF($F$3="(todos)",TRUE,'ORDENES'!$Z91=$F$3),IF($H$3="(todos)",TRUE,'ORDENES'!$Y91=$H$3),'ORDENES'!$AF91=TRUE,'ORDENES'!$A91&lt;&gt;""),1,0)</f>
        <v/>
      </c>
      <c r="L95" s="5">
        <f>IF(K95=1,IFERROR(MATCH('ORDENES'!$S91,lista_dias,0),9)*1000000000+IFERROR(MATCH('ORDENES'!$AH91,lista_turnos,0),9)*10000000+IFERROR(MATCH('ORDENES'!$AG91,'TECNICOS'!$B$4:$B$19,0),99)*100000+88,9000000000000+88)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2">
        <f>IF(K95=1,'ORDENES'!$J91,"")</f>
        <v/>
      </c>
      <c r="U95" s="5">
        <f>IFERROR(MATCH(88,$M$8:$M$1207,0),"")</f>
        <v/>
      </c>
      <c r="V95" s="5">
        <f>IF(U95="","",INDEX('ORDENES'!$S$4:$S$1203,U95))</f>
        <v/>
      </c>
      <c r="W95" s="5">
        <f>IF(U95="","",IF(V95&lt;&gt;V94,CHAR(10)&amp;UPPER(LEFT(V95,1))&amp;MID(V95,2,20)&amp;":"&amp;CHAR(10),"")&amp;"   "&amp;IF(INDEX('ORDENES'!$AH$4:$AH$1203,U95)="","(s/t)",INDEX('ORDENES'!$AH$4:$AH$1203,U95))&amp;" · "&amp;IF(INDEX('ORDENES'!$AG$4:$AG$1203,U95)="","(sin técnico)",INDEX('ORDENES'!$AG$4:$AG$1203,U95))&amp;" · "&amp;INDEX('ORDENES'!$AT$4:$AT$1203,U95)&amp;"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IF(AND(IF($B$3="(todos)",TRUE,'ORDENES'!$O92=$B$3),IF($D$3="(todos)",TRUE,'ORDENES'!$AH92=$D$3),IF($F$3="(todos)",TRUE,'ORDENES'!$Z92=$F$3),IF($H$3="(todos)",TRUE,'ORDENES'!$Y92=$H$3),'ORDENES'!$AF92=TRUE,'ORDENES'!$A92&lt;&gt;""),1,0)</f>
        <v/>
      </c>
      <c r="L96" s="5">
        <f>IF(K96=1,IFERROR(MATCH('ORDENES'!$S92,lista_dias,0),9)*1000000000+IFERROR(MATCH('ORDENES'!$AH92,lista_turnos,0),9)*10000000+IFERROR(MATCH('ORDENES'!$AG92,'TECNICOS'!$B$4:$B$19,0),99)*100000+89,9000000000000+89)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2">
        <f>IF(K96=1,'ORDENES'!$J92,"")</f>
        <v/>
      </c>
      <c r="U96" s="5">
        <f>IFERROR(MATCH(89,$M$8:$M$1207,0),"")</f>
        <v/>
      </c>
      <c r="V96" s="5">
        <f>IF(U96="","",INDEX('ORDENES'!$S$4:$S$1203,U96))</f>
        <v/>
      </c>
      <c r="W96" s="5">
        <f>IF(U96="","",IF(V96&lt;&gt;V95,CHAR(10)&amp;UPPER(LEFT(V96,1))&amp;MID(V96,2,20)&amp;":"&amp;CHAR(10),"")&amp;"   "&amp;IF(INDEX('ORDENES'!$AH$4:$AH$1203,U96)="","(s/t)",INDEX('ORDENES'!$AH$4:$AH$1203,U96))&amp;" · "&amp;IF(INDEX('ORDENES'!$AG$4:$AG$1203,U96)="","(sin técnico)",INDEX('ORDENES'!$AG$4:$AG$1203,U96))&amp;" · "&amp;INDEX('ORDENES'!$AT$4:$AT$1203,U96)&amp;"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IF(AND(IF($B$3="(todos)",TRUE,'ORDENES'!$O93=$B$3),IF($D$3="(todos)",TRUE,'ORDENES'!$AH93=$D$3),IF($F$3="(todos)",TRUE,'ORDENES'!$Z93=$F$3),IF($H$3="(todos)",TRUE,'ORDENES'!$Y93=$H$3),'ORDENES'!$AF93=TRUE,'ORDENES'!$A93&lt;&gt;""),1,0)</f>
        <v/>
      </c>
      <c r="L97" s="5">
        <f>IF(K97=1,IFERROR(MATCH('ORDENES'!$S93,lista_dias,0),9)*1000000000+IFERROR(MATCH('ORDENES'!$AH93,lista_turnos,0),9)*10000000+IFERROR(MATCH('ORDENES'!$AG93,'TECNICOS'!$B$4:$B$19,0),99)*100000+90,9000000000000+90)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2">
        <f>IF(K97=1,'ORDENES'!$J93,"")</f>
        <v/>
      </c>
      <c r="U97" s="5">
        <f>IFERROR(MATCH(90,$M$8:$M$1207,0),"")</f>
        <v/>
      </c>
      <c r="V97" s="5">
        <f>IF(U97="","",INDEX('ORDENES'!$S$4:$S$1203,U97))</f>
        <v/>
      </c>
      <c r="W97" s="5">
        <f>IF(U97="","",IF(V97&lt;&gt;V96,CHAR(10)&amp;UPPER(LEFT(V97,1))&amp;MID(V97,2,20)&amp;":"&amp;CHAR(10),"")&amp;"   "&amp;IF(INDEX('ORDENES'!$AH$4:$AH$1203,U97)="","(s/t)",INDEX('ORDENES'!$AH$4:$AH$1203,U97))&amp;" · "&amp;IF(INDEX('ORDENES'!$AG$4:$AG$1203,U97)="","(sin técnico)",INDEX('ORDENES'!$AG$4:$AG$1203,U97))&amp;" · "&amp;INDEX('ORDENES'!$AT$4:$AT$1203,U97)&amp;"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IF(AND(IF($B$3="(todos)",TRUE,'ORDENES'!$O94=$B$3),IF($D$3="(todos)",TRUE,'ORDENES'!$AH94=$D$3),IF($F$3="(todos)",TRUE,'ORDENES'!$Z94=$F$3),IF($H$3="(todos)",TRUE,'ORDENES'!$Y94=$H$3),'ORDENES'!$AF94=TRUE,'ORDENES'!$A94&lt;&gt;""),1,0)</f>
        <v/>
      </c>
      <c r="L98" s="5">
        <f>IF(K98=1,IFERROR(MATCH('ORDENES'!$S94,lista_dias,0),9)*1000000000+IFERROR(MATCH('ORDENES'!$AH94,lista_turnos,0),9)*10000000+IFERROR(MATCH('ORDENES'!$AG94,'TECNICOS'!$B$4:$B$19,0),99)*100000+91,9000000000000+91)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2">
        <f>IF(K98=1,'ORDENES'!$J94,"")</f>
        <v/>
      </c>
      <c r="U98" s="5">
        <f>IFERROR(MATCH(91,$M$8:$M$1207,0),"")</f>
        <v/>
      </c>
      <c r="V98" s="5">
        <f>IF(U98="","",INDEX('ORDENES'!$S$4:$S$1203,U98))</f>
        <v/>
      </c>
      <c r="W98" s="5">
        <f>IF(U98="","",IF(V98&lt;&gt;V97,CHAR(10)&amp;UPPER(LEFT(V98,1))&amp;MID(V98,2,20)&amp;":"&amp;CHAR(10),"")&amp;"   "&amp;IF(INDEX('ORDENES'!$AH$4:$AH$1203,U98)="","(s/t)",INDEX('ORDENES'!$AH$4:$AH$1203,U98))&amp;" · "&amp;IF(INDEX('ORDENES'!$AG$4:$AG$1203,U98)="","(sin técnico)",INDEX('ORDENES'!$AG$4:$AG$1203,U98))&amp;" · "&amp;INDEX('ORDENES'!$AT$4:$AT$1203,U98)&amp;"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IF(AND(IF($B$3="(todos)",TRUE,'ORDENES'!$O95=$B$3),IF($D$3="(todos)",TRUE,'ORDENES'!$AH95=$D$3),IF($F$3="(todos)",TRUE,'ORDENES'!$Z95=$F$3),IF($H$3="(todos)",TRUE,'ORDENES'!$Y95=$H$3),'ORDENES'!$AF95=TRUE,'ORDENES'!$A95&lt;&gt;""),1,0)</f>
        <v/>
      </c>
      <c r="L99" s="5">
        <f>IF(K99=1,IFERROR(MATCH('ORDENES'!$S95,lista_dias,0),9)*1000000000+IFERROR(MATCH('ORDENES'!$AH95,lista_turnos,0),9)*10000000+IFERROR(MATCH('ORDENES'!$AG95,'TECNICOS'!$B$4:$B$19,0),99)*100000+92,9000000000000+92)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2">
        <f>IF(K99=1,'ORDENES'!$J95,"")</f>
        <v/>
      </c>
      <c r="U99" s="5">
        <f>IFERROR(MATCH(92,$M$8:$M$1207,0),"")</f>
        <v/>
      </c>
      <c r="V99" s="5">
        <f>IF(U99="","",INDEX('ORDENES'!$S$4:$S$1203,U99))</f>
        <v/>
      </c>
      <c r="W99" s="5">
        <f>IF(U99="","",IF(V99&lt;&gt;V98,CHAR(10)&amp;UPPER(LEFT(V99,1))&amp;MID(V99,2,20)&amp;":"&amp;CHAR(10),"")&amp;"   "&amp;IF(INDEX('ORDENES'!$AH$4:$AH$1203,U99)="","(s/t)",INDEX('ORDENES'!$AH$4:$AH$1203,U99))&amp;" · "&amp;IF(INDEX('ORDENES'!$AG$4:$AG$1203,U99)="","(sin técnico)",INDEX('ORDENES'!$AG$4:$AG$1203,U99))&amp;" · "&amp;INDEX('ORDENES'!$AT$4:$AT$1203,U99)&amp;"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IF(AND(IF($B$3="(todos)",TRUE,'ORDENES'!$O96=$B$3),IF($D$3="(todos)",TRUE,'ORDENES'!$AH96=$D$3),IF($F$3="(todos)",TRUE,'ORDENES'!$Z96=$F$3),IF($H$3="(todos)",TRUE,'ORDENES'!$Y96=$H$3),'ORDENES'!$AF96=TRUE,'ORDENES'!$A96&lt;&gt;""),1,0)</f>
        <v/>
      </c>
      <c r="L100" s="5">
        <f>IF(K100=1,IFERROR(MATCH('ORDENES'!$S96,lista_dias,0),9)*1000000000+IFERROR(MATCH('ORDENES'!$AH96,lista_turnos,0),9)*10000000+IFERROR(MATCH('ORDENES'!$AG96,'TECNICOS'!$B$4:$B$19,0),99)*100000+93,9000000000000+93)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2">
        <f>IF(K100=1,'ORDENES'!$J96,"")</f>
        <v/>
      </c>
      <c r="U100" s="5">
        <f>IFERROR(MATCH(93,$M$8:$M$1207,0),"")</f>
        <v/>
      </c>
      <c r="V100" s="5">
        <f>IF(U100="","",INDEX('ORDENES'!$S$4:$S$1203,U100))</f>
        <v/>
      </c>
      <c r="W100" s="5">
        <f>IF(U100="","",IF(V100&lt;&gt;V99,CHAR(10)&amp;UPPER(LEFT(V100,1))&amp;MID(V100,2,20)&amp;":"&amp;CHAR(10),"")&amp;"   "&amp;IF(INDEX('ORDENES'!$AH$4:$AH$1203,U100)="","(s/t)",INDEX('ORDENES'!$AH$4:$AH$1203,U100))&amp;" · "&amp;IF(INDEX('ORDENES'!$AG$4:$AG$1203,U100)="","(sin técnico)",INDEX('ORDENES'!$AG$4:$AG$1203,U100))&amp;" · "&amp;INDEX('ORDENES'!$AT$4:$AT$1203,U100)&amp;"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IF(AND(IF($B$3="(todos)",TRUE,'ORDENES'!$O97=$B$3),IF($D$3="(todos)",TRUE,'ORDENES'!$AH97=$D$3),IF($F$3="(todos)",TRUE,'ORDENES'!$Z97=$F$3),IF($H$3="(todos)",TRUE,'ORDENES'!$Y97=$H$3),'ORDENES'!$AF97=TRUE,'ORDENES'!$A97&lt;&gt;""),1,0)</f>
        <v/>
      </c>
      <c r="L101" s="5">
        <f>IF(K101=1,IFERROR(MATCH('ORDENES'!$S97,lista_dias,0),9)*1000000000+IFERROR(MATCH('ORDENES'!$AH97,lista_turnos,0),9)*10000000+IFERROR(MATCH('ORDENES'!$AG97,'TECNICOS'!$B$4:$B$19,0),99)*100000+94,9000000000000+94)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2">
        <f>IF(K101=1,'ORDENES'!$J97,"")</f>
        <v/>
      </c>
      <c r="U101" s="5">
        <f>IFERROR(MATCH(94,$M$8:$M$1207,0),"")</f>
        <v/>
      </c>
      <c r="V101" s="5">
        <f>IF(U101="","",INDEX('ORDENES'!$S$4:$S$1203,U101))</f>
        <v/>
      </c>
      <c r="W101" s="5">
        <f>IF(U101="","",IF(V101&lt;&gt;V100,CHAR(10)&amp;UPPER(LEFT(V101,1))&amp;MID(V101,2,20)&amp;":"&amp;CHAR(10),"")&amp;"   "&amp;IF(INDEX('ORDENES'!$AH$4:$AH$1203,U101)="","(s/t)",INDEX('ORDENES'!$AH$4:$AH$1203,U101))&amp;" · "&amp;IF(INDEX('ORDENES'!$AG$4:$AG$1203,U101)="","(sin técnico)",INDEX('ORDENES'!$AG$4:$AG$1203,U101))&amp;" · "&amp;INDEX('ORDENES'!$AT$4:$AT$1203,U101)&amp;"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IF(AND(IF($B$3="(todos)",TRUE,'ORDENES'!$O98=$B$3),IF($D$3="(todos)",TRUE,'ORDENES'!$AH98=$D$3),IF($F$3="(todos)",TRUE,'ORDENES'!$Z98=$F$3),IF($H$3="(todos)",TRUE,'ORDENES'!$Y98=$H$3),'ORDENES'!$AF98=TRUE,'ORDENES'!$A98&lt;&gt;""),1,0)</f>
        <v/>
      </c>
      <c r="L102" s="5">
        <f>IF(K102=1,IFERROR(MATCH('ORDENES'!$S98,lista_dias,0),9)*1000000000+IFERROR(MATCH('ORDENES'!$AH98,lista_turnos,0),9)*10000000+IFERROR(MATCH('ORDENES'!$AG98,'TECNICOS'!$B$4:$B$19,0),99)*100000+95,9000000000000+95)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2">
        <f>IF(K102=1,'ORDENES'!$J98,"")</f>
        <v/>
      </c>
      <c r="U102" s="5">
        <f>IFERROR(MATCH(95,$M$8:$M$1207,0),"")</f>
        <v/>
      </c>
      <c r="V102" s="5">
        <f>IF(U102="","",INDEX('ORDENES'!$S$4:$S$1203,U102))</f>
        <v/>
      </c>
      <c r="W102" s="5">
        <f>IF(U102="","",IF(V102&lt;&gt;V101,CHAR(10)&amp;UPPER(LEFT(V102,1))&amp;MID(V102,2,20)&amp;":"&amp;CHAR(10),"")&amp;"   "&amp;IF(INDEX('ORDENES'!$AH$4:$AH$1203,U102)="","(s/t)",INDEX('ORDENES'!$AH$4:$AH$1203,U102))&amp;" · "&amp;IF(INDEX('ORDENES'!$AG$4:$AG$1203,U102)="","(sin técnico)",INDEX('ORDENES'!$AG$4:$AG$1203,U102))&amp;" · "&amp;INDEX('ORDENES'!$AT$4:$AT$1203,U102)&amp;"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IF(AND(IF($B$3="(todos)",TRUE,'ORDENES'!$O99=$B$3),IF($D$3="(todos)",TRUE,'ORDENES'!$AH99=$D$3),IF($F$3="(todos)",TRUE,'ORDENES'!$Z99=$F$3),IF($H$3="(todos)",TRUE,'ORDENES'!$Y99=$H$3),'ORDENES'!$AF99=TRUE,'ORDENES'!$A99&lt;&gt;""),1,0)</f>
        <v/>
      </c>
      <c r="L103" s="5">
        <f>IF(K103=1,IFERROR(MATCH('ORDENES'!$S99,lista_dias,0),9)*1000000000+IFERROR(MATCH('ORDENES'!$AH99,lista_turnos,0),9)*10000000+IFERROR(MATCH('ORDENES'!$AG99,'TECNICOS'!$B$4:$B$19,0),99)*100000+96,9000000000000+96)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2">
        <f>IF(K103=1,'ORDENES'!$J99,"")</f>
        <v/>
      </c>
      <c r="U103" s="5">
        <f>IFERROR(MATCH(96,$M$8:$M$1207,0),"")</f>
        <v/>
      </c>
      <c r="V103" s="5">
        <f>IF(U103="","",INDEX('ORDENES'!$S$4:$S$1203,U103))</f>
        <v/>
      </c>
      <c r="W103" s="5">
        <f>IF(U103="","",IF(V103&lt;&gt;V102,CHAR(10)&amp;UPPER(LEFT(V103,1))&amp;MID(V103,2,20)&amp;":"&amp;CHAR(10),"")&amp;"   "&amp;IF(INDEX('ORDENES'!$AH$4:$AH$1203,U103)="","(s/t)",INDEX('ORDENES'!$AH$4:$AH$1203,U103))&amp;" · "&amp;IF(INDEX('ORDENES'!$AG$4:$AG$1203,U103)="","(sin técnico)",INDEX('ORDENES'!$AG$4:$AG$1203,U103))&amp;" · "&amp;INDEX('ORDENES'!$AT$4:$AT$1203,U103)&amp;"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IF(AND(IF($B$3="(todos)",TRUE,'ORDENES'!$O100=$B$3),IF($D$3="(todos)",TRUE,'ORDENES'!$AH100=$D$3),IF($F$3="(todos)",TRUE,'ORDENES'!$Z100=$F$3),IF($H$3="(todos)",TRUE,'ORDENES'!$Y100=$H$3),'ORDENES'!$AF100=TRUE,'ORDENES'!$A100&lt;&gt;""),1,0)</f>
        <v/>
      </c>
      <c r="L104" s="5">
        <f>IF(K104=1,IFERROR(MATCH('ORDENES'!$S100,lista_dias,0),9)*1000000000+IFERROR(MATCH('ORDENES'!$AH100,lista_turnos,0),9)*10000000+IFERROR(MATCH('ORDENES'!$AG100,'TECNICOS'!$B$4:$B$19,0),99)*100000+97,9000000000000+97)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2">
        <f>IF(K104=1,'ORDENES'!$J100,"")</f>
        <v/>
      </c>
      <c r="U104" s="5">
        <f>IFERROR(MATCH(97,$M$8:$M$1207,0),"")</f>
        <v/>
      </c>
      <c r="V104" s="5">
        <f>IF(U104="","",INDEX('ORDENES'!$S$4:$S$1203,U104))</f>
        <v/>
      </c>
      <c r="W104" s="5">
        <f>IF(U104="","",IF(V104&lt;&gt;V103,CHAR(10)&amp;UPPER(LEFT(V104,1))&amp;MID(V104,2,20)&amp;":"&amp;CHAR(10),"")&amp;"   "&amp;IF(INDEX('ORDENES'!$AH$4:$AH$1203,U104)="","(s/t)",INDEX('ORDENES'!$AH$4:$AH$1203,U104))&amp;" · "&amp;IF(INDEX('ORDENES'!$AG$4:$AG$1203,U104)="","(sin técnico)",INDEX('ORDENES'!$AG$4:$AG$1203,U104))&amp;" · "&amp;INDEX('ORDENES'!$AT$4:$AT$1203,U104)&amp;"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IF(AND(IF($B$3="(todos)",TRUE,'ORDENES'!$O101=$B$3),IF($D$3="(todos)",TRUE,'ORDENES'!$AH101=$D$3),IF($F$3="(todos)",TRUE,'ORDENES'!$Z101=$F$3),IF($H$3="(todos)",TRUE,'ORDENES'!$Y101=$H$3),'ORDENES'!$AF101=TRUE,'ORDENES'!$A101&lt;&gt;""),1,0)</f>
        <v/>
      </c>
      <c r="L105" s="5">
        <f>IF(K105=1,IFERROR(MATCH('ORDENES'!$S101,lista_dias,0),9)*1000000000+IFERROR(MATCH('ORDENES'!$AH101,lista_turnos,0),9)*10000000+IFERROR(MATCH('ORDENES'!$AG101,'TECNICOS'!$B$4:$B$19,0),99)*100000+98,9000000000000+98)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2">
        <f>IF(K105=1,'ORDENES'!$J101,"")</f>
        <v/>
      </c>
      <c r="U105" s="5">
        <f>IFERROR(MATCH(98,$M$8:$M$1207,0),"")</f>
        <v/>
      </c>
      <c r="V105" s="5">
        <f>IF(U105="","",INDEX('ORDENES'!$S$4:$S$1203,U105))</f>
        <v/>
      </c>
      <c r="W105" s="5">
        <f>IF(U105="","",IF(V105&lt;&gt;V104,CHAR(10)&amp;UPPER(LEFT(V105,1))&amp;MID(V105,2,20)&amp;":"&amp;CHAR(10),"")&amp;"   "&amp;IF(INDEX('ORDENES'!$AH$4:$AH$1203,U105)="","(s/t)",INDEX('ORDENES'!$AH$4:$AH$1203,U105))&amp;" · "&amp;IF(INDEX('ORDENES'!$AG$4:$AG$1203,U105)="","(sin técnico)",INDEX('ORDENES'!$AG$4:$AG$1203,U105))&amp;" · "&amp;INDEX('ORDENES'!$AT$4:$AT$1203,U105)&amp;"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IF(AND(IF($B$3="(todos)",TRUE,'ORDENES'!$O102=$B$3),IF($D$3="(todos)",TRUE,'ORDENES'!$AH102=$D$3),IF($F$3="(todos)",TRUE,'ORDENES'!$Z102=$F$3),IF($H$3="(todos)",TRUE,'ORDENES'!$Y102=$H$3),'ORDENES'!$AF102=TRUE,'ORDENES'!$A102&lt;&gt;""),1,0)</f>
        <v/>
      </c>
      <c r="L106" s="5">
        <f>IF(K106=1,IFERROR(MATCH('ORDENES'!$S102,lista_dias,0),9)*1000000000+IFERROR(MATCH('ORDENES'!$AH102,lista_turnos,0),9)*10000000+IFERROR(MATCH('ORDENES'!$AG102,'TECNICOS'!$B$4:$B$19,0),99)*100000+99,9000000000000+99)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2">
        <f>IF(K106=1,'ORDENES'!$J102,"")</f>
        <v/>
      </c>
      <c r="U106" s="5">
        <f>IFERROR(MATCH(99,$M$8:$M$1207,0),"")</f>
        <v/>
      </c>
      <c r="V106" s="5">
        <f>IF(U106="","",INDEX('ORDENES'!$S$4:$S$1203,U106))</f>
        <v/>
      </c>
      <c r="W106" s="5">
        <f>IF(U106="","",IF(V106&lt;&gt;V105,CHAR(10)&amp;UPPER(LEFT(V106,1))&amp;MID(V106,2,20)&amp;":"&amp;CHAR(10),"")&amp;"   "&amp;IF(INDEX('ORDENES'!$AH$4:$AH$1203,U106)="","(s/t)",INDEX('ORDENES'!$AH$4:$AH$1203,U106))&amp;" · "&amp;IF(INDEX('ORDENES'!$AG$4:$AG$1203,U106)="","(sin técnico)",INDEX('ORDENES'!$AG$4:$AG$1203,U106))&amp;" · "&amp;INDEX('ORDENES'!$AT$4:$AT$1203,U106)&amp;"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IF(AND(IF($B$3="(todos)",TRUE,'ORDENES'!$O103=$B$3),IF($D$3="(todos)",TRUE,'ORDENES'!$AH103=$D$3),IF($F$3="(todos)",TRUE,'ORDENES'!$Z103=$F$3),IF($H$3="(todos)",TRUE,'ORDENES'!$Y103=$H$3),'ORDENES'!$AF103=TRUE,'ORDENES'!$A103&lt;&gt;""),1,0)</f>
        <v/>
      </c>
      <c r="L107" s="5">
        <f>IF(K107=1,IFERROR(MATCH('ORDENES'!$S103,lista_dias,0),9)*1000000000+IFERROR(MATCH('ORDENES'!$AH103,lista_turnos,0),9)*10000000+IFERROR(MATCH('ORDENES'!$AG103,'TECNICOS'!$B$4:$B$19,0),99)*100000+100,9000000000000+100)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2">
        <f>IF(K107=1,'ORDENES'!$J103,"")</f>
        <v/>
      </c>
      <c r="U107" s="5">
        <f>IFERROR(MATCH(100,$M$8:$M$1207,0),"")</f>
        <v/>
      </c>
      <c r="V107" s="5">
        <f>IF(U107="","",INDEX('ORDENES'!$S$4:$S$1203,U107))</f>
        <v/>
      </c>
      <c r="W107" s="5">
        <f>IF(U107="","",IF(V107&lt;&gt;V106,CHAR(10)&amp;UPPER(LEFT(V107,1))&amp;MID(V107,2,20)&amp;":"&amp;CHAR(10),"")&amp;"   "&amp;IF(INDEX('ORDENES'!$AH$4:$AH$1203,U107)="","(s/t)",INDEX('ORDENES'!$AH$4:$AH$1203,U107))&amp;" · "&amp;IF(INDEX('ORDENES'!$AG$4:$AG$1203,U107)="","(sin técnico)",INDEX('ORDENES'!$AG$4:$AG$1203,U107))&amp;" · "&amp;INDEX('ORDENES'!$AT$4:$AT$1203,U107)&amp;"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IF(AND(IF($B$3="(todos)",TRUE,'ORDENES'!$O104=$B$3),IF($D$3="(todos)",TRUE,'ORDENES'!$AH104=$D$3),IF($F$3="(todos)",TRUE,'ORDENES'!$Z104=$F$3),IF($H$3="(todos)",TRUE,'ORDENES'!$Y104=$H$3),'ORDENES'!$AF104=TRUE,'ORDENES'!$A104&lt;&gt;""),1,0)</f>
        <v/>
      </c>
      <c r="L108" s="5">
        <f>IF(K108=1,IFERROR(MATCH('ORDENES'!$S104,lista_dias,0),9)*1000000000+IFERROR(MATCH('ORDENES'!$AH104,lista_turnos,0),9)*10000000+IFERROR(MATCH('ORDENES'!$AG104,'TECNICOS'!$B$4:$B$19,0),99)*100000+101,9000000000000+101)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2">
        <f>IF(K108=1,'ORDENES'!$J104,"")</f>
        <v/>
      </c>
      <c r="U108" s="5">
        <f>IFERROR(MATCH(101,$M$8:$M$1207,0),"")</f>
        <v/>
      </c>
      <c r="V108" s="5">
        <f>IF(U108="","",INDEX('ORDENES'!$S$4:$S$1203,U108))</f>
        <v/>
      </c>
      <c r="W108" s="5">
        <f>IF(U108="","",IF(V108&lt;&gt;V107,CHAR(10)&amp;UPPER(LEFT(V108,1))&amp;MID(V108,2,20)&amp;":"&amp;CHAR(10),"")&amp;"   "&amp;IF(INDEX('ORDENES'!$AH$4:$AH$1203,U108)="","(s/t)",INDEX('ORDENES'!$AH$4:$AH$1203,U108))&amp;" · "&amp;IF(INDEX('ORDENES'!$AG$4:$AG$1203,U108)="","(sin técnico)",INDEX('ORDENES'!$AG$4:$AG$1203,U108))&amp;" · "&amp;INDEX('ORDENES'!$AT$4:$AT$1203,U108)&amp;"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IF(AND(IF($B$3="(todos)",TRUE,'ORDENES'!$O105=$B$3),IF($D$3="(todos)",TRUE,'ORDENES'!$AH105=$D$3),IF($F$3="(todos)",TRUE,'ORDENES'!$Z105=$F$3),IF($H$3="(todos)",TRUE,'ORDENES'!$Y105=$H$3),'ORDENES'!$AF105=TRUE,'ORDENES'!$A105&lt;&gt;""),1,0)</f>
        <v/>
      </c>
      <c r="L109" s="5">
        <f>IF(K109=1,IFERROR(MATCH('ORDENES'!$S105,lista_dias,0),9)*1000000000+IFERROR(MATCH('ORDENES'!$AH105,lista_turnos,0),9)*10000000+IFERROR(MATCH('ORDENES'!$AG105,'TECNICOS'!$B$4:$B$19,0),99)*100000+102,9000000000000+102)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2">
        <f>IF(K109=1,'ORDENES'!$J105,"")</f>
        <v/>
      </c>
      <c r="U109" s="5">
        <f>IFERROR(MATCH(102,$M$8:$M$1207,0),"")</f>
        <v/>
      </c>
      <c r="V109" s="5">
        <f>IF(U109="","",INDEX('ORDENES'!$S$4:$S$1203,U109))</f>
        <v/>
      </c>
      <c r="W109" s="5">
        <f>IF(U109="","",IF(V109&lt;&gt;V108,CHAR(10)&amp;UPPER(LEFT(V109,1))&amp;MID(V109,2,20)&amp;":"&amp;CHAR(10),"")&amp;"   "&amp;IF(INDEX('ORDENES'!$AH$4:$AH$1203,U109)="","(s/t)",INDEX('ORDENES'!$AH$4:$AH$1203,U109))&amp;" · "&amp;IF(INDEX('ORDENES'!$AG$4:$AG$1203,U109)="","(sin técnico)",INDEX('ORDENES'!$AG$4:$AG$1203,U109))&amp;" · "&amp;INDEX('ORDENES'!$AT$4:$AT$1203,U109)&amp;"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IF(AND(IF($B$3="(todos)",TRUE,'ORDENES'!$O106=$B$3),IF($D$3="(todos)",TRUE,'ORDENES'!$AH106=$D$3),IF($F$3="(todos)",TRUE,'ORDENES'!$Z106=$F$3),IF($H$3="(todos)",TRUE,'ORDENES'!$Y106=$H$3),'ORDENES'!$AF106=TRUE,'ORDENES'!$A106&lt;&gt;""),1,0)</f>
        <v/>
      </c>
      <c r="L110" s="5">
        <f>IF(K110=1,IFERROR(MATCH('ORDENES'!$S106,lista_dias,0),9)*1000000000+IFERROR(MATCH('ORDENES'!$AH106,lista_turnos,0),9)*10000000+IFERROR(MATCH('ORDENES'!$AG106,'TECNICOS'!$B$4:$B$19,0),99)*100000+103,9000000000000+103)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2">
        <f>IF(K110=1,'ORDENES'!$J106,"")</f>
        <v/>
      </c>
      <c r="U110" s="5">
        <f>IFERROR(MATCH(103,$M$8:$M$1207,0),"")</f>
        <v/>
      </c>
      <c r="V110" s="5">
        <f>IF(U110="","",INDEX('ORDENES'!$S$4:$S$1203,U110))</f>
        <v/>
      </c>
      <c r="W110" s="5">
        <f>IF(U110="","",IF(V110&lt;&gt;V109,CHAR(10)&amp;UPPER(LEFT(V110,1))&amp;MID(V110,2,20)&amp;":"&amp;CHAR(10),"")&amp;"   "&amp;IF(INDEX('ORDENES'!$AH$4:$AH$1203,U110)="","(s/t)",INDEX('ORDENES'!$AH$4:$AH$1203,U110))&amp;" · "&amp;IF(INDEX('ORDENES'!$AG$4:$AG$1203,U110)="","(sin técnico)",INDEX('ORDENES'!$AG$4:$AG$1203,U110))&amp;" · "&amp;INDEX('ORDENES'!$AT$4:$AT$1203,U110)&amp;"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IF(AND(IF($B$3="(todos)",TRUE,'ORDENES'!$O107=$B$3),IF($D$3="(todos)",TRUE,'ORDENES'!$AH107=$D$3),IF($F$3="(todos)",TRUE,'ORDENES'!$Z107=$F$3),IF($H$3="(todos)",TRUE,'ORDENES'!$Y107=$H$3),'ORDENES'!$AF107=TRUE,'ORDENES'!$A107&lt;&gt;""),1,0)</f>
        <v/>
      </c>
      <c r="L111" s="5">
        <f>IF(K111=1,IFERROR(MATCH('ORDENES'!$S107,lista_dias,0),9)*1000000000+IFERROR(MATCH('ORDENES'!$AH107,lista_turnos,0),9)*10000000+IFERROR(MATCH('ORDENES'!$AG107,'TECNICOS'!$B$4:$B$19,0),99)*100000+104,9000000000000+104)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2">
        <f>IF(K111=1,'ORDENES'!$J107,"")</f>
        <v/>
      </c>
      <c r="U111" s="5">
        <f>IFERROR(MATCH(104,$M$8:$M$1207,0),"")</f>
        <v/>
      </c>
      <c r="V111" s="5">
        <f>IF(U111="","",INDEX('ORDENES'!$S$4:$S$1203,U111))</f>
        <v/>
      </c>
      <c r="W111" s="5">
        <f>IF(U111="","",IF(V111&lt;&gt;V110,CHAR(10)&amp;UPPER(LEFT(V111,1))&amp;MID(V111,2,20)&amp;":"&amp;CHAR(10),"")&amp;"   "&amp;IF(INDEX('ORDENES'!$AH$4:$AH$1203,U111)="","(s/t)",INDEX('ORDENES'!$AH$4:$AH$1203,U111))&amp;" · "&amp;IF(INDEX('ORDENES'!$AG$4:$AG$1203,U111)="","(sin técnico)",INDEX('ORDENES'!$AG$4:$AG$1203,U111))&amp;" · "&amp;INDEX('ORDENES'!$AT$4:$AT$1203,U111)&amp;"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IF(AND(IF($B$3="(todos)",TRUE,'ORDENES'!$O108=$B$3),IF($D$3="(todos)",TRUE,'ORDENES'!$AH108=$D$3),IF($F$3="(todos)",TRUE,'ORDENES'!$Z108=$F$3),IF($H$3="(todos)",TRUE,'ORDENES'!$Y108=$H$3),'ORDENES'!$AF108=TRUE,'ORDENES'!$A108&lt;&gt;""),1,0)</f>
        <v/>
      </c>
      <c r="L112" s="5">
        <f>IF(K112=1,IFERROR(MATCH('ORDENES'!$S108,lista_dias,0),9)*1000000000+IFERROR(MATCH('ORDENES'!$AH108,lista_turnos,0),9)*10000000+IFERROR(MATCH('ORDENES'!$AG108,'TECNICOS'!$B$4:$B$19,0),99)*100000+105,9000000000000+105)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2">
        <f>IF(K112=1,'ORDENES'!$J108,"")</f>
        <v/>
      </c>
      <c r="U112" s="5">
        <f>IFERROR(MATCH(105,$M$8:$M$1207,0),"")</f>
        <v/>
      </c>
      <c r="V112" s="5">
        <f>IF(U112="","",INDEX('ORDENES'!$S$4:$S$1203,U112))</f>
        <v/>
      </c>
      <c r="W112" s="5">
        <f>IF(U112="","",IF(V112&lt;&gt;V111,CHAR(10)&amp;UPPER(LEFT(V112,1))&amp;MID(V112,2,20)&amp;":"&amp;CHAR(10),"")&amp;"   "&amp;IF(INDEX('ORDENES'!$AH$4:$AH$1203,U112)="","(s/t)",INDEX('ORDENES'!$AH$4:$AH$1203,U112))&amp;" · "&amp;IF(INDEX('ORDENES'!$AG$4:$AG$1203,U112)="","(sin técnico)",INDEX('ORDENES'!$AG$4:$AG$1203,U112))&amp;" · "&amp;INDEX('ORDENES'!$AT$4:$AT$1203,U112)&amp;"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IF(AND(IF($B$3="(todos)",TRUE,'ORDENES'!$O109=$B$3),IF($D$3="(todos)",TRUE,'ORDENES'!$AH109=$D$3),IF($F$3="(todos)",TRUE,'ORDENES'!$Z109=$F$3),IF($H$3="(todos)",TRUE,'ORDENES'!$Y109=$H$3),'ORDENES'!$AF109=TRUE,'ORDENES'!$A109&lt;&gt;""),1,0)</f>
        <v/>
      </c>
      <c r="L113" s="5">
        <f>IF(K113=1,IFERROR(MATCH('ORDENES'!$S109,lista_dias,0),9)*1000000000+IFERROR(MATCH('ORDENES'!$AH109,lista_turnos,0),9)*10000000+IFERROR(MATCH('ORDENES'!$AG109,'TECNICOS'!$B$4:$B$19,0),99)*100000+106,9000000000000+106)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2">
        <f>IF(K113=1,'ORDENES'!$J109,"")</f>
        <v/>
      </c>
      <c r="U113" s="5">
        <f>IFERROR(MATCH(106,$M$8:$M$1207,0),"")</f>
        <v/>
      </c>
      <c r="V113" s="5">
        <f>IF(U113="","",INDEX('ORDENES'!$S$4:$S$1203,U113))</f>
        <v/>
      </c>
      <c r="W113" s="5">
        <f>IF(U113="","",IF(V113&lt;&gt;V112,CHAR(10)&amp;UPPER(LEFT(V113,1))&amp;MID(V113,2,20)&amp;":"&amp;CHAR(10),"")&amp;"   "&amp;IF(INDEX('ORDENES'!$AH$4:$AH$1203,U113)="","(s/t)",INDEX('ORDENES'!$AH$4:$AH$1203,U113))&amp;" · "&amp;IF(INDEX('ORDENES'!$AG$4:$AG$1203,U113)="","(sin técnico)",INDEX('ORDENES'!$AG$4:$AG$1203,U113))&amp;" · "&amp;INDEX('ORDENES'!$AT$4:$AT$1203,U113)&amp;"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IF(AND(IF($B$3="(todos)",TRUE,'ORDENES'!$O110=$B$3),IF($D$3="(todos)",TRUE,'ORDENES'!$AH110=$D$3),IF($F$3="(todos)",TRUE,'ORDENES'!$Z110=$F$3),IF($H$3="(todos)",TRUE,'ORDENES'!$Y110=$H$3),'ORDENES'!$AF110=TRUE,'ORDENES'!$A110&lt;&gt;""),1,0)</f>
        <v/>
      </c>
      <c r="L114" s="5">
        <f>IF(K114=1,IFERROR(MATCH('ORDENES'!$S110,lista_dias,0),9)*1000000000+IFERROR(MATCH('ORDENES'!$AH110,lista_turnos,0),9)*10000000+IFERROR(MATCH('ORDENES'!$AG110,'TECNICOS'!$B$4:$B$19,0),99)*100000+107,9000000000000+107)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2">
        <f>IF(K114=1,'ORDENES'!$J110,"")</f>
        <v/>
      </c>
      <c r="U114" s="5">
        <f>IFERROR(MATCH(107,$M$8:$M$1207,0),"")</f>
        <v/>
      </c>
      <c r="V114" s="5">
        <f>IF(U114="","",INDEX('ORDENES'!$S$4:$S$1203,U114))</f>
        <v/>
      </c>
      <c r="W114" s="5">
        <f>IF(U114="","",IF(V114&lt;&gt;V113,CHAR(10)&amp;UPPER(LEFT(V114,1))&amp;MID(V114,2,20)&amp;":"&amp;CHAR(10),"")&amp;"   "&amp;IF(INDEX('ORDENES'!$AH$4:$AH$1203,U114)="","(s/t)",INDEX('ORDENES'!$AH$4:$AH$1203,U114))&amp;" · "&amp;IF(INDEX('ORDENES'!$AG$4:$AG$1203,U114)="","(sin técnico)",INDEX('ORDENES'!$AG$4:$AG$1203,U114))&amp;" · "&amp;INDEX('ORDENES'!$AT$4:$AT$1203,U114)&amp;"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IF(AND(IF($B$3="(todos)",TRUE,'ORDENES'!$O111=$B$3),IF($D$3="(todos)",TRUE,'ORDENES'!$AH111=$D$3),IF($F$3="(todos)",TRUE,'ORDENES'!$Z111=$F$3),IF($H$3="(todos)",TRUE,'ORDENES'!$Y111=$H$3),'ORDENES'!$AF111=TRUE,'ORDENES'!$A111&lt;&gt;""),1,0)</f>
        <v/>
      </c>
      <c r="L115" s="5">
        <f>IF(K115=1,IFERROR(MATCH('ORDENES'!$S111,lista_dias,0),9)*1000000000+IFERROR(MATCH('ORDENES'!$AH111,lista_turnos,0),9)*10000000+IFERROR(MATCH('ORDENES'!$AG111,'TECNICOS'!$B$4:$B$19,0),99)*100000+108,9000000000000+108)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2">
        <f>IF(K115=1,'ORDENES'!$J111,"")</f>
        <v/>
      </c>
      <c r="U115" s="5">
        <f>IFERROR(MATCH(108,$M$8:$M$1207,0),"")</f>
        <v/>
      </c>
      <c r="V115" s="5">
        <f>IF(U115="","",INDEX('ORDENES'!$S$4:$S$1203,U115))</f>
        <v/>
      </c>
      <c r="W115" s="5">
        <f>IF(U115="","",IF(V115&lt;&gt;V114,CHAR(10)&amp;UPPER(LEFT(V115,1))&amp;MID(V115,2,20)&amp;":"&amp;CHAR(10),"")&amp;"   "&amp;IF(INDEX('ORDENES'!$AH$4:$AH$1203,U115)="","(s/t)",INDEX('ORDENES'!$AH$4:$AH$1203,U115))&amp;" · "&amp;IF(INDEX('ORDENES'!$AG$4:$AG$1203,U115)="","(sin técnico)",INDEX('ORDENES'!$AG$4:$AG$1203,U115))&amp;" · "&amp;INDEX('ORDENES'!$AT$4:$AT$1203,U115)&amp;"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IF(AND(IF($B$3="(todos)",TRUE,'ORDENES'!$O112=$B$3),IF($D$3="(todos)",TRUE,'ORDENES'!$AH112=$D$3),IF($F$3="(todos)",TRUE,'ORDENES'!$Z112=$F$3),IF($H$3="(todos)",TRUE,'ORDENES'!$Y112=$H$3),'ORDENES'!$AF112=TRUE,'ORDENES'!$A112&lt;&gt;""),1,0)</f>
        <v/>
      </c>
      <c r="L116" s="5">
        <f>IF(K116=1,IFERROR(MATCH('ORDENES'!$S112,lista_dias,0),9)*1000000000+IFERROR(MATCH('ORDENES'!$AH112,lista_turnos,0),9)*10000000+IFERROR(MATCH('ORDENES'!$AG112,'TECNICOS'!$B$4:$B$19,0),99)*100000+109,9000000000000+109)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2">
        <f>IF(K116=1,'ORDENES'!$J112,"")</f>
        <v/>
      </c>
      <c r="U116" s="5">
        <f>IFERROR(MATCH(109,$M$8:$M$1207,0),"")</f>
        <v/>
      </c>
      <c r="V116" s="5">
        <f>IF(U116="","",INDEX('ORDENES'!$S$4:$S$1203,U116))</f>
        <v/>
      </c>
      <c r="W116" s="5">
        <f>IF(U116="","",IF(V116&lt;&gt;V115,CHAR(10)&amp;UPPER(LEFT(V116,1))&amp;MID(V116,2,20)&amp;":"&amp;CHAR(10),"")&amp;"   "&amp;IF(INDEX('ORDENES'!$AH$4:$AH$1203,U116)="","(s/t)",INDEX('ORDENES'!$AH$4:$AH$1203,U116))&amp;" · "&amp;IF(INDEX('ORDENES'!$AG$4:$AG$1203,U116)="","(sin técnico)",INDEX('ORDENES'!$AG$4:$AG$1203,U116))&amp;" · "&amp;INDEX('ORDENES'!$AT$4:$AT$1203,U116)&amp;"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IF(AND(IF($B$3="(todos)",TRUE,'ORDENES'!$O113=$B$3),IF($D$3="(todos)",TRUE,'ORDENES'!$AH113=$D$3),IF($F$3="(todos)",TRUE,'ORDENES'!$Z113=$F$3),IF($H$3="(todos)",TRUE,'ORDENES'!$Y113=$H$3),'ORDENES'!$AF113=TRUE,'ORDENES'!$A113&lt;&gt;""),1,0)</f>
        <v/>
      </c>
      <c r="L117" s="5">
        <f>IF(K117=1,IFERROR(MATCH('ORDENES'!$S113,lista_dias,0),9)*1000000000+IFERROR(MATCH('ORDENES'!$AH113,lista_turnos,0),9)*10000000+IFERROR(MATCH('ORDENES'!$AG113,'TECNICOS'!$B$4:$B$19,0),99)*100000+110,9000000000000+110)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2">
        <f>IF(K117=1,'ORDENES'!$J113,"")</f>
        <v/>
      </c>
      <c r="U117" s="5">
        <f>IFERROR(MATCH(110,$M$8:$M$1207,0),"")</f>
        <v/>
      </c>
      <c r="V117" s="5">
        <f>IF(U117="","",INDEX('ORDENES'!$S$4:$S$1203,U117))</f>
        <v/>
      </c>
      <c r="W117" s="5">
        <f>IF(U117="","",IF(V117&lt;&gt;V116,CHAR(10)&amp;UPPER(LEFT(V117,1))&amp;MID(V117,2,20)&amp;":"&amp;CHAR(10),"")&amp;"   "&amp;IF(INDEX('ORDENES'!$AH$4:$AH$1203,U117)="","(s/t)",INDEX('ORDENES'!$AH$4:$AH$1203,U117))&amp;" · "&amp;IF(INDEX('ORDENES'!$AG$4:$AG$1203,U117)="","(sin técnico)",INDEX('ORDENES'!$AG$4:$AG$1203,U117))&amp;" · "&amp;INDEX('ORDENES'!$AT$4:$AT$1203,U117)&amp;"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IF(AND(IF($B$3="(todos)",TRUE,'ORDENES'!$O114=$B$3),IF($D$3="(todos)",TRUE,'ORDENES'!$AH114=$D$3),IF($F$3="(todos)",TRUE,'ORDENES'!$Z114=$F$3),IF($H$3="(todos)",TRUE,'ORDENES'!$Y114=$H$3),'ORDENES'!$AF114=TRUE,'ORDENES'!$A114&lt;&gt;""),1,0)</f>
        <v/>
      </c>
      <c r="L118" s="5">
        <f>IF(K118=1,IFERROR(MATCH('ORDENES'!$S114,lista_dias,0),9)*1000000000+IFERROR(MATCH('ORDENES'!$AH114,lista_turnos,0),9)*10000000+IFERROR(MATCH('ORDENES'!$AG114,'TECNICOS'!$B$4:$B$19,0),99)*100000+111,9000000000000+111)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2">
        <f>IF(K118=1,'ORDENES'!$J114,"")</f>
        <v/>
      </c>
      <c r="U118" s="5">
        <f>IFERROR(MATCH(111,$M$8:$M$1207,0),"")</f>
        <v/>
      </c>
      <c r="V118" s="5">
        <f>IF(U118="","",INDEX('ORDENES'!$S$4:$S$1203,U118))</f>
        <v/>
      </c>
      <c r="W118" s="5">
        <f>IF(U118="","",IF(V118&lt;&gt;V117,CHAR(10)&amp;UPPER(LEFT(V118,1))&amp;MID(V118,2,20)&amp;":"&amp;CHAR(10),"")&amp;"   "&amp;IF(INDEX('ORDENES'!$AH$4:$AH$1203,U118)="","(s/t)",INDEX('ORDENES'!$AH$4:$AH$1203,U118))&amp;" · "&amp;IF(INDEX('ORDENES'!$AG$4:$AG$1203,U118)="","(sin técnico)",INDEX('ORDENES'!$AG$4:$AG$1203,U118))&amp;" · "&amp;INDEX('ORDENES'!$AT$4:$AT$1203,U118)&amp;"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IF(AND(IF($B$3="(todos)",TRUE,'ORDENES'!$O115=$B$3),IF($D$3="(todos)",TRUE,'ORDENES'!$AH115=$D$3),IF($F$3="(todos)",TRUE,'ORDENES'!$Z115=$F$3),IF($H$3="(todos)",TRUE,'ORDENES'!$Y115=$H$3),'ORDENES'!$AF115=TRUE,'ORDENES'!$A115&lt;&gt;""),1,0)</f>
        <v/>
      </c>
      <c r="L119" s="5">
        <f>IF(K119=1,IFERROR(MATCH('ORDENES'!$S115,lista_dias,0),9)*1000000000+IFERROR(MATCH('ORDENES'!$AH115,lista_turnos,0),9)*10000000+IFERROR(MATCH('ORDENES'!$AG115,'TECNICOS'!$B$4:$B$19,0),99)*100000+112,9000000000000+112)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2">
        <f>IF(K119=1,'ORDENES'!$J115,"")</f>
        <v/>
      </c>
      <c r="U119" s="5">
        <f>IFERROR(MATCH(112,$M$8:$M$1207,0),"")</f>
        <v/>
      </c>
      <c r="V119" s="5">
        <f>IF(U119="","",INDEX('ORDENES'!$S$4:$S$1203,U119))</f>
        <v/>
      </c>
      <c r="W119" s="5">
        <f>IF(U119="","",IF(V119&lt;&gt;V118,CHAR(10)&amp;UPPER(LEFT(V119,1))&amp;MID(V119,2,20)&amp;":"&amp;CHAR(10),"")&amp;"   "&amp;IF(INDEX('ORDENES'!$AH$4:$AH$1203,U119)="","(s/t)",INDEX('ORDENES'!$AH$4:$AH$1203,U119))&amp;" · "&amp;IF(INDEX('ORDENES'!$AG$4:$AG$1203,U119)="","(sin técnico)",INDEX('ORDENES'!$AG$4:$AG$1203,U119))&amp;" · "&amp;INDEX('ORDENES'!$AT$4:$AT$1203,U119)&amp;"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IF(AND(IF($B$3="(todos)",TRUE,'ORDENES'!$O116=$B$3),IF($D$3="(todos)",TRUE,'ORDENES'!$AH116=$D$3),IF($F$3="(todos)",TRUE,'ORDENES'!$Z116=$F$3),IF($H$3="(todos)",TRUE,'ORDENES'!$Y116=$H$3),'ORDENES'!$AF116=TRUE,'ORDENES'!$A116&lt;&gt;""),1,0)</f>
        <v/>
      </c>
      <c r="L120" s="5">
        <f>IF(K120=1,IFERROR(MATCH('ORDENES'!$S116,lista_dias,0),9)*1000000000+IFERROR(MATCH('ORDENES'!$AH116,lista_turnos,0),9)*10000000+IFERROR(MATCH('ORDENES'!$AG116,'TECNICOS'!$B$4:$B$19,0),99)*100000+113,9000000000000+113)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2">
        <f>IF(K120=1,'ORDENES'!$J116,"")</f>
        <v/>
      </c>
      <c r="U120" s="5">
        <f>IFERROR(MATCH(113,$M$8:$M$1207,0),"")</f>
        <v/>
      </c>
      <c r="V120" s="5">
        <f>IF(U120="","",INDEX('ORDENES'!$S$4:$S$1203,U120))</f>
        <v/>
      </c>
      <c r="W120" s="5">
        <f>IF(U120="","",IF(V120&lt;&gt;V119,CHAR(10)&amp;UPPER(LEFT(V120,1))&amp;MID(V120,2,20)&amp;":"&amp;CHAR(10),"")&amp;"   "&amp;IF(INDEX('ORDENES'!$AH$4:$AH$1203,U120)="","(s/t)",INDEX('ORDENES'!$AH$4:$AH$1203,U120))&amp;" · "&amp;IF(INDEX('ORDENES'!$AG$4:$AG$1203,U120)="","(sin técnico)",INDEX('ORDENES'!$AG$4:$AG$1203,U120))&amp;" · "&amp;INDEX('ORDENES'!$AT$4:$AT$1203,U120)&amp;"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IF(AND(IF($B$3="(todos)",TRUE,'ORDENES'!$O117=$B$3),IF($D$3="(todos)",TRUE,'ORDENES'!$AH117=$D$3),IF($F$3="(todos)",TRUE,'ORDENES'!$Z117=$F$3),IF($H$3="(todos)",TRUE,'ORDENES'!$Y117=$H$3),'ORDENES'!$AF117=TRUE,'ORDENES'!$A117&lt;&gt;""),1,0)</f>
        <v/>
      </c>
      <c r="L121" s="5">
        <f>IF(K121=1,IFERROR(MATCH('ORDENES'!$S117,lista_dias,0),9)*1000000000+IFERROR(MATCH('ORDENES'!$AH117,lista_turnos,0),9)*10000000+IFERROR(MATCH('ORDENES'!$AG117,'TECNICOS'!$B$4:$B$19,0),99)*100000+114,9000000000000+114)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2">
        <f>IF(K121=1,'ORDENES'!$J117,"")</f>
        <v/>
      </c>
      <c r="U121" s="5">
        <f>IFERROR(MATCH(114,$M$8:$M$1207,0),"")</f>
        <v/>
      </c>
      <c r="V121" s="5">
        <f>IF(U121="","",INDEX('ORDENES'!$S$4:$S$1203,U121))</f>
        <v/>
      </c>
      <c r="W121" s="5">
        <f>IF(U121="","",IF(V121&lt;&gt;V120,CHAR(10)&amp;UPPER(LEFT(V121,1))&amp;MID(V121,2,20)&amp;":"&amp;CHAR(10),"")&amp;"   "&amp;IF(INDEX('ORDENES'!$AH$4:$AH$1203,U121)="","(s/t)",INDEX('ORDENES'!$AH$4:$AH$1203,U121))&amp;" · "&amp;IF(INDEX('ORDENES'!$AG$4:$AG$1203,U121)="","(sin técnico)",INDEX('ORDENES'!$AG$4:$AG$1203,U121))&amp;" · "&amp;INDEX('ORDENES'!$AT$4:$AT$1203,U121)&amp;"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IF(AND(IF($B$3="(todos)",TRUE,'ORDENES'!$O118=$B$3),IF($D$3="(todos)",TRUE,'ORDENES'!$AH118=$D$3),IF($F$3="(todos)",TRUE,'ORDENES'!$Z118=$F$3),IF($H$3="(todos)",TRUE,'ORDENES'!$Y118=$H$3),'ORDENES'!$AF118=TRUE,'ORDENES'!$A118&lt;&gt;""),1,0)</f>
        <v/>
      </c>
      <c r="L122" s="5">
        <f>IF(K122=1,IFERROR(MATCH('ORDENES'!$S118,lista_dias,0),9)*1000000000+IFERROR(MATCH('ORDENES'!$AH118,lista_turnos,0),9)*10000000+IFERROR(MATCH('ORDENES'!$AG118,'TECNICOS'!$B$4:$B$19,0),99)*100000+115,9000000000000+115)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2">
        <f>IF(K122=1,'ORDENES'!$J118,"")</f>
        <v/>
      </c>
      <c r="U122" s="5">
        <f>IFERROR(MATCH(115,$M$8:$M$1207,0),"")</f>
        <v/>
      </c>
      <c r="V122" s="5">
        <f>IF(U122="","",INDEX('ORDENES'!$S$4:$S$1203,U122))</f>
        <v/>
      </c>
      <c r="W122" s="5">
        <f>IF(U122="","",IF(V122&lt;&gt;V121,CHAR(10)&amp;UPPER(LEFT(V122,1))&amp;MID(V122,2,20)&amp;":"&amp;CHAR(10),"")&amp;"   "&amp;IF(INDEX('ORDENES'!$AH$4:$AH$1203,U122)="","(s/t)",INDEX('ORDENES'!$AH$4:$AH$1203,U122))&amp;" · "&amp;IF(INDEX('ORDENES'!$AG$4:$AG$1203,U122)="","(sin técnico)",INDEX('ORDENES'!$AG$4:$AG$1203,U122))&amp;" · "&amp;INDEX('ORDENES'!$AT$4:$AT$1203,U122)&amp;"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IF(AND(IF($B$3="(todos)",TRUE,'ORDENES'!$O119=$B$3),IF($D$3="(todos)",TRUE,'ORDENES'!$AH119=$D$3),IF($F$3="(todos)",TRUE,'ORDENES'!$Z119=$F$3),IF($H$3="(todos)",TRUE,'ORDENES'!$Y119=$H$3),'ORDENES'!$AF119=TRUE,'ORDENES'!$A119&lt;&gt;""),1,0)</f>
        <v/>
      </c>
      <c r="L123" s="5">
        <f>IF(K123=1,IFERROR(MATCH('ORDENES'!$S119,lista_dias,0),9)*1000000000+IFERROR(MATCH('ORDENES'!$AH119,lista_turnos,0),9)*10000000+IFERROR(MATCH('ORDENES'!$AG119,'TECNICOS'!$B$4:$B$19,0),99)*100000+116,9000000000000+116)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2">
        <f>IF(K123=1,'ORDENES'!$J119,"")</f>
        <v/>
      </c>
      <c r="U123" s="5">
        <f>IFERROR(MATCH(116,$M$8:$M$1207,0),"")</f>
        <v/>
      </c>
      <c r="V123" s="5">
        <f>IF(U123="","",INDEX('ORDENES'!$S$4:$S$1203,U123))</f>
        <v/>
      </c>
      <c r="W123" s="5">
        <f>IF(U123="","",IF(V123&lt;&gt;V122,CHAR(10)&amp;UPPER(LEFT(V123,1))&amp;MID(V123,2,20)&amp;":"&amp;CHAR(10),"")&amp;"   "&amp;IF(INDEX('ORDENES'!$AH$4:$AH$1203,U123)="","(s/t)",INDEX('ORDENES'!$AH$4:$AH$1203,U123))&amp;" · "&amp;IF(INDEX('ORDENES'!$AG$4:$AG$1203,U123)="","(sin técnico)",INDEX('ORDENES'!$AG$4:$AG$1203,U123))&amp;" · "&amp;INDEX('ORDENES'!$AT$4:$AT$1203,U123)&amp;"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IF(AND(IF($B$3="(todos)",TRUE,'ORDENES'!$O120=$B$3),IF($D$3="(todos)",TRUE,'ORDENES'!$AH120=$D$3),IF($F$3="(todos)",TRUE,'ORDENES'!$Z120=$F$3),IF($H$3="(todos)",TRUE,'ORDENES'!$Y120=$H$3),'ORDENES'!$AF120=TRUE,'ORDENES'!$A120&lt;&gt;""),1,0)</f>
        <v/>
      </c>
      <c r="L124" s="5">
        <f>IF(K124=1,IFERROR(MATCH('ORDENES'!$S120,lista_dias,0),9)*1000000000+IFERROR(MATCH('ORDENES'!$AH120,lista_turnos,0),9)*10000000+IFERROR(MATCH('ORDENES'!$AG120,'TECNICOS'!$B$4:$B$19,0),99)*100000+117,9000000000000+117)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2">
        <f>IF(K124=1,'ORDENES'!$J120,"")</f>
        <v/>
      </c>
      <c r="U124" s="5">
        <f>IFERROR(MATCH(117,$M$8:$M$1207,0),"")</f>
        <v/>
      </c>
      <c r="V124" s="5">
        <f>IF(U124="","",INDEX('ORDENES'!$S$4:$S$1203,U124))</f>
        <v/>
      </c>
      <c r="W124" s="5">
        <f>IF(U124="","",IF(V124&lt;&gt;V123,CHAR(10)&amp;UPPER(LEFT(V124,1))&amp;MID(V124,2,20)&amp;":"&amp;CHAR(10),"")&amp;"   "&amp;IF(INDEX('ORDENES'!$AH$4:$AH$1203,U124)="","(s/t)",INDEX('ORDENES'!$AH$4:$AH$1203,U124))&amp;" · "&amp;IF(INDEX('ORDENES'!$AG$4:$AG$1203,U124)="","(sin técnico)",INDEX('ORDENES'!$AG$4:$AG$1203,U124))&amp;" · "&amp;INDEX('ORDENES'!$AT$4:$AT$1203,U124)&amp;"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IF(AND(IF($B$3="(todos)",TRUE,'ORDENES'!$O121=$B$3),IF($D$3="(todos)",TRUE,'ORDENES'!$AH121=$D$3),IF($F$3="(todos)",TRUE,'ORDENES'!$Z121=$F$3),IF($H$3="(todos)",TRUE,'ORDENES'!$Y121=$H$3),'ORDENES'!$AF121=TRUE,'ORDENES'!$A121&lt;&gt;""),1,0)</f>
        <v/>
      </c>
      <c r="L125" s="5">
        <f>IF(K125=1,IFERROR(MATCH('ORDENES'!$S121,lista_dias,0),9)*1000000000+IFERROR(MATCH('ORDENES'!$AH121,lista_turnos,0),9)*10000000+IFERROR(MATCH('ORDENES'!$AG121,'TECNICOS'!$B$4:$B$19,0),99)*100000+118,9000000000000+118)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2">
        <f>IF(K125=1,'ORDENES'!$J121,"")</f>
        <v/>
      </c>
      <c r="U125" s="5">
        <f>IFERROR(MATCH(118,$M$8:$M$1207,0),"")</f>
        <v/>
      </c>
      <c r="V125" s="5">
        <f>IF(U125="","",INDEX('ORDENES'!$S$4:$S$1203,U125))</f>
        <v/>
      </c>
      <c r="W125" s="5">
        <f>IF(U125="","",IF(V125&lt;&gt;V124,CHAR(10)&amp;UPPER(LEFT(V125,1))&amp;MID(V125,2,20)&amp;":"&amp;CHAR(10),"")&amp;"   "&amp;IF(INDEX('ORDENES'!$AH$4:$AH$1203,U125)="","(s/t)",INDEX('ORDENES'!$AH$4:$AH$1203,U125))&amp;" · "&amp;IF(INDEX('ORDENES'!$AG$4:$AG$1203,U125)="","(sin técnico)",INDEX('ORDENES'!$AG$4:$AG$1203,U125))&amp;" · "&amp;INDEX('ORDENES'!$AT$4:$AT$1203,U125)&amp;"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IF(AND(IF($B$3="(todos)",TRUE,'ORDENES'!$O122=$B$3),IF($D$3="(todos)",TRUE,'ORDENES'!$AH122=$D$3),IF($F$3="(todos)",TRUE,'ORDENES'!$Z122=$F$3),IF($H$3="(todos)",TRUE,'ORDENES'!$Y122=$H$3),'ORDENES'!$AF122=TRUE,'ORDENES'!$A122&lt;&gt;""),1,0)</f>
        <v/>
      </c>
      <c r="L126" s="5">
        <f>IF(K126=1,IFERROR(MATCH('ORDENES'!$S122,lista_dias,0),9)*1000000000+IFERROR(MATCH('ORDENES'!$AH122,lista_turnos,0),9)*10000000+IFERROR(MATCH('ORDENES'!$AG122,'TECNICOS'!$B$4:$B$19,0),99)*100000+119,9000000000000+119)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2">
        <f>IF(K126=1,'ORDENES'!$J122,"")</f>
        <v/>
      </c>
      <c r="U126" s="5">
        <f>IFERROR(MATCH(119,$M$8:$M$1207,0),"")</f>
        <v/>
      </c>
      <c r="V126" s="5">
        <f>IF(U126="","",INDEX('ORDENES'!$S$4:$S$1203,U126))</f>
        <v/>
      </c>
      <c r="W126" s="5">
        <f>IF(U126="","",IF(V126&lt;&gt;V125,CHAR(10)&amp;UPPER(LEFT(V126,1))&amp;MID(V126,2,20)&amp;":"&amp;CHAR(10),"")&amp;"   "&amp;IF(INDEX('ORDENES'!$AH$4:$AH$1203,U126)="","(s/t)",INDEX('ORDENES'!$AH$4:$AH$1203,U126))&amp;" · "&amp;IF(INDEX('ORDENES'!$AG$4:$AG$1203,U126)="","(sin técnico)",INDEX('ORDENES'!$AG$4:$AG$1203,U126))&amp;" · "&amp;INDEX('ORDENES'!$AT$4:$AT$1203,U126)&amp;"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IF(AND(IF($B$3="(todos)",TRUE,'ORDENES'!$O123=$B$3),IF($D$3="(todos)",TRUE,'ORDENES'!$AH123=$D$3),IF($F$3="(todos)",TRUE,'ORDENES'!$Z123=$F$3),IF($H$3="(todos)",TRUE,'ORDENES'!$Y123=$H$3),'ORDENES'!$AF123=TRUE,'ORDENES'!$A123&lt;&gt;""),1,0)</f>
        <v/>
      </c>
      <c r="L127" s="5">
        <f>IF(K127=1,IFERROR(MATCH('ORDENES'!$S123,lista_dias,0),9)*1000000000+IFERROR(MATCH('ORDENES'!$AH123,lista_turnos,0),9)*10000000+IFERROR(MATCH('ORDENES'!$AG123,'TECNICOS'!$B$4:$B$19,0),99)*100000+120,9000000000000+120)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2">
        <f>IF(K127=1,'ORDENES'!$J123,"")</f>
        <v/>
      </c>
      <c r="U127" s="5">
        <f>IFERROR(MATCH(120,$M$8:$M$1207,0),"")</f>
        <v/>
      </c>
      <c r="V127" s="5">
        <f>IF(U127="","",INDEX('ORDENES'!$S$4:$S$1203,U127))</f>
        <v/>
      </c>
      <c r="W127" s="5">
        <f>IF(U127="","",IF(V127&lt;&gt;V126,CHAR(10)&amp;UPPER(LEFT(V127,1))&amp;MID(V127,2,20)&amp;":"&amp;CHAR(10),"")&amp;"   "&amp;IF(INDEX('ORDENES'!$AH$4:$AH$1203,U127)="","(s/t)",INDEX('ORDENES'!$AH$4:$AH$1203,U127))&amp;" · "&amp;IF(INDEX('ORDENES'!$AG$4:$AG$1203,U127)="","(sin técnico)",INDEX('ORDENES'!$AG$4:$AG$1203,U127))&amp;" · "&amp;INDEX('ORDENES'!$AT$4:$AT$1203,U127)&amp;"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IF(AND(IF($B$3="(todos)",TRUE,'ORDENES'!$O124=$B$3),IF($D$3="(todos)",TRUE,'ORDENES'!$AH124=$D$3),IF($F$3="(todos)",TRUE,'ORDENES'!$Z124=$F$3),IF($H$3="(todos)",TRUE,'ORDENES'!$Y124=$H$3),'ORDENES'!$AF124=TRUE,'ORDENES'!$A124&lt;&gt;""),1,0)</f>
        <v/>
      </c>
      <c r="L128" s="5">
        <f>IF(K128=1,IFERROR(MATCH('ORDENES'!$S124,lista_dias,0),9)*1000000000+IFERROR(MATCH('ORDENES'!$AH124,lista_turnos,0),9)*10000000+IFERROR(MATCH('ORDENES'!$AG124,'TECNICOS'!$B$4:$B$19,0),99)*100000+121,9000000000000+121)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2">
        <f>IF(K128=1,'ORDENES'!$J124,"")</f>
        <v/>
      </c>
      <c r="U128" s="5">
        <f>IFERROR(MATCH(121,$M$8:$M$1207,0),"")</f>
        <v/>
      </c>
      <c r="V128" s="5">
        <f>IF(U128="","",INDEX('ORDENES'!$S$4:$S$1203,U128))</f>
        <v/>
      </c>
      <c r="W128" s="5">
        <f>IF(U128="","",IF(V128&lt;&gt;V127,CHAR(10)&amp;UPPER(LEFT(V128,1))&amp;MID(V128,2,20)&amp;":"&amp;CHAR(10),"")&amp;"   "&amp;IF(INDEX('ORDENES'!$AH$4:$AH$1203,U128)="","(s/t)",INDEX('ORDENES'!$AH$4:$AH$1203,U128))&amp;" · "&amp;IF(INDEX('ORDENES'!$AG$4:$AG$1203,U128)="","(sin técnico)",INDEX('ORDENES'!$AG$4:$AG$1203,U128))&amp;" · "&amp;INDEX('ORDENES'!$AT$4:$AT$1203,U128)&amp;"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IF(AND(IF($B$3="(todos)",TRUE,'ORDENES'!$O125=$B$3),IF($D$3="(todos)",TRUE,'ORDENES'!$AH125=$D$3),IF($F$3="(todos)",TRUE,'ORDENES'!$Z125=$F$3),IF($H$3="(todos)",TRUE,'ORDENES'!$Y125=$H$3),'ORDENES'!$AF125=TRUE,'ORDENES'!$A125&lt;&gt;""),1,0)</f>
        <v/>
      </c>
      <c r="L129" s="5">
        <f>IF(K129=1,IFERROR(MATCH('ORDENES'!$S125,lista_dias,0),9)*1000000000+IFERROR(MATCH('ORDENES'!$AH125,lista_turnos,0),9)*10000000+IFERROR(MATCH('ORDENES'!$AG125,'TECNICOS'!$B$4:$B$19,0),99)*100000+122,9000000000000+122)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2">
        <f>IF(K129=1,'ORDENES'!$J125,"")</f>
        <v/>
      </c>
      <c r="U129" s="5">
        <f>IFERROR(MATCH(122,$M$8:$M$1207,0),"")</f>
        <v/>
      </c>
      <c r="V129" s="5">
        <f>IF(U129="","",INDEX('ORDENES'!$S$4:$S$1203,U129))</f>
        <v/>
      </c>
      <c r="W129" s="5">
        <f>IF(U129="","",IF(V129&lt;&gt;V128,CHAR(10)&amp;UPPER(LEFT(V129,1))&amp;MID(V129,2,20)&amp;":"&amp;CHAR(10),"")&amp;"   "&amp;IF(INDEX('ORDENES'!$AH$4:$AH$1203,U129)="","(s/t)",INDEX('ORDENES'!$AH$4:$AH$1203,U129))&amp;" · "&amp;IF(INDEX('ORDENES'!$AG$4:$AG$1203,U129)="","(sin técnico)",INDEX('ORDENES'!$AG$4:$AG$1203,U129))&amp;" · "&amp;INDEX('ORDENES'!$AT$4:$AT$1203,U129)&amp;"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IF(AND(IF($B$3="(todos)",TRUE,'ORDENES'!$O126=$B$3),IF($D$3="(todos)",TRUE,'ORDENES'!$AH126=$D$3),IF($F$3="(todos)",TRUE,'ORDENES'!$Z126=$F$3),IF($H$3="(todos)",TRUE,'ORDENES'!$Y126=$H$3),'ORDENES'!$AF126=TRUE,'ORDENES'!$A126&lt;&gt;""),1,0)</f>
        <v/>
      </c>
      <c r="L130" s="5">
        <f>IF(K130=1,IFERROR(MATCH('ORDENES'!$S126,lista_dias,0),9)*1000000000+IFERROR(MATCH('ORDENES'!$AH126,lista_turnos,0),9)*10000000+IFERROR(MATCH('ORDENES'!$AG126,'TECNICOS'!$B$4:$B$19,0),99)*100000+123,9000000000000+123)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2">
        <f>IF(K130=1,'ORDENES'!$J126,"")</f>
        <v/>
      </c>
      <c r="U130" s="5">
        <f>IFERROR(MATCH(123,$M$8:$M$1207,0),"")</f>
        <v/>
      </c>
      <c r="V130" s="5">
        <f>IF(U130="","",INDEX('ORDENES'!$S$4:$S$1203,U130))</f>
        <v/>
      </c>
      <c r="W130" s="5">
        <f>IF(U130="","",IF(V130&lt;&gt;V129,CHAR(10)&amp;UPPER(LEFT(V130,1))&amp;MID(V130,2,20)&amp;":"&amp;CHAR(10),"")&amp;"   "&amp;IF(INDEX('ORDENES'!$AH$4:$AH$1203,U130)="","(s/t)",INDEX('ORDENES'!$AH$4:$AH$1203,U130))&amp;" · "&amp;IF(INDEX('ORDENES'!$AG$4:$AG$1203,U130)="","(sin técnico)",INDEX('ORDENES'!$AG$4:$AG$1203,U130))&amp;" · "&amp;INDEX('ORDENES'!$AT$4:$AT$1203,U130)&amp;"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IF(AND(IF($B$3="(todos)",TRUE,'ORDENES'!$O127=$B$3),IF($D$3="(todos)",TRUE,'ORDENES'!$AH127=$D$3),IF($F$3="(todos)",TRUE,'ORDENES'!$Z127=$F$3),IF($H$3="(todos)",TRUE,'ORDENES'!$Y127=$H$3),'ORDENES'!$AF127=TRUE,'ORDENES'!$A127&lt;&gt;""),1,0)</f>
        <v/>
      </c>
      <c r="L131" s="5">
        <f>IF(K131=1,IFERROR(MATCH('ORDENES'!$S127,lista_dias,0),9)*1000000000+IFERROR(MATCH('ORDENES'!$AH127,lista_turnos,0),9)*10000000+IFERROR(MATCH('ORDENES'!$AG127,'TECNICOS'!$B$4:$B$19,0),99)*100000+124,9000000000000+124)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2">
        <f>IF(K131=1,'ORDENES'!$J127,"")</f>
        <v/>
      </c>
      <c r="U131" s="5">
        <f>IFERROR(MATCH(124,$M$8:$M$1207,0),"")</f>
        <v/>
      </c>
      <c r="V131" s="5">
        <f>IF(U131="","",INDEX('ORDENES'!$S$4:$S$1203,U131))</f>
        <v/>
      </c>
      <c r="W131" s="5">
        <f>IF(U131="","",IF(V131&lt;&gt;V130,CHAR(10)&amp;UPPER(LEFT(V131,1))&amp;MID(V131,2,20)&amp;":"&amp;CHAR(10),"")&amp;"   "&amp;IF(INDEX('ORDENES'!$AH$4:$AH$1203,U131)="","(s/t)",INDEX('ORDENES'!$AH$4:$AH$1203,U131))&amp;" · "&amp;IF(INDEX('ORDENES'!$AG$4:$AG$1203,U131)="","(sin técnico)",INDEX('ORDENES'!$AG$4:$AG$1203,U131))&amp;" · "&amp;INDEX('ORDENES'!$AT$4:$AT$1203,U131)&amp;"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IF(AND(IF($B$3="(todos)",TRUE,'ORDENES'!$O128=$B$3),IF($D$3="(todos)",TRUE,'ORDENES'!$AH128=$D$3),IF($F$3="(todos)",TRUE,'ORDENES'!$Z128=$F$3),IF($H$3="(todos)",TRUE,'ORDENES'!$Y128=$H$3),'ORDENES'!$AF128=TRUE,'ORDENES'!$A128&lt;&gt;""),1,0)</f>
        <v/>
      </c>
      <c r="L132" s="5">
        <f>IF(K132=1,IFERROR(MATCH('ORDENES'!$S128,lista_dias,0),9)*1000000000+IFERROR(MATCH('ORDENES'!$AH128,lista_turnos,0),9)*10000000+IFERROR(MATCH('ORDENES'!$AG128,'TECNICOS'!$B$4:$B$19,0),99)*100000+125,9000000000000+125)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2">
        <f>IF(K132=1,'ORDENES'!$J128,"")</f>
        <v/>
      </c>
      <c r="U132" s="5">
        <f>IFERROR(MATCH(125,$M$8:$M$1207,0),"")</f>
        <v/>
      </c>
      <c r="V132" s="5">
        <f>IF(U132="","",INDEX('ORDENES'!$S$4:$S$1203,U132))</f>
        <v/>
      </c>
      <c r="W132" s="5">
        <f>IF(U132="","",IF(V132&lt;&gt;V131,CHAR(10)&amp;UPPER(LEFT(V132,1))&amp;MID(V132,2,20)&amp;":"&amp;CHAR(10),"")&amp;"   "&amp;IF(INDEX('ORDENES'!$AH$4:$AH$1203,U132)="","(s/t)",INDEX('ORDENES'!$AH$4:$AH$1203,U132))&amp;" · "&amp;IF(INDEX('ORDENES'!$AG$4:$AG$1203,U132)="","(sin técnico)",INDEX('ORDENES'!$AG$4:$AG$1203,U132))&amp;" · "&amp;INDEX('ORDENES'!$AT$4:$AT$1203,U132)&amp;"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IF(AND(IF($B$3="(todos)",TRUE,'ORDENES'!$O129=$B$3),IF($D$3="(todos)",TRUE,'ORDENES'!$AH129=$D$3),IF($F$3="(todos)",TRUE,'ORDENES'!$Z129=$F$3),IF($H$3="(todos)",TRUE,'ORDENES'!$Y129=$H$3),'ORDENES'!$AF129=TRUE,'ORDENES'!$A129&lt;&gt;""),1,0)</f>
        <v/>
      </c>
      <c r="L133" s="5">
        <f>IF(K133=1,IFERROR(MATCH('ORDENES'!$S129,lista_dias,0),9)*1000000000+IFERROR(MATCH('ORDENES'!$AH129,lista_turnos,0),9)*10000000+IFERROR(MATCH('ORDENES'!$AG129,'TECNICOS'!$B$4:$B$19,0),99)*100000+126,9000000000000+126)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2">
        <f>IF(K133=1,'ORDENES'!$J129,"")</f>
        <v/>
      </c>
      <c r="U133" s="5">
        <f>IFERROR(MATCH(126,$M$8:$M$1207,0),"")</f>
        <v/>
      </c>
      <c r="V133" s="5">
        <f>IF(U133="","",INDEX('ORDENES'!$S$4:$S$1203,U133))</f>
        <v/>
      </c>
      <c r="W133" s="5">
        <f>IF(U133="","",IF(V133&lt;&gt;V132,CHAR(10)&amp;UPPER(LEFT(V133,1))&amp;MID(V133,2,20)&amp;":"&amp;CHAR(10),"")&amp;"   "&amp;IF(INDEX('ORDENES'!$AH$4:$AH$1203,U133)="","(s/t)",INDEX('ORDENES'!$AH$4:$AH$1203,U133))&amp;" · "&amp;IF(INDEX('ORDENES'!$AG$4:$AG$1203,U133)="","(sin técnico)",INDEX('ORDENES'!$AG$4:$AG$1203,U133))&amp;" · "&amp;INDEX('ORDENES'!$AT$4:$AT$1203,U133)&amp;"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IF(AND(IF($B$3="(todos)",TRUE,'ORDENES'!$O130=$B$3),IF($D$3="(todos)",TRUE,'ORDENES'!$AH130=$D$3),IF($F$3="(todos)",TRUE,'ORDENES'!$Z130=$F$3),IF($H$3="(todos)",TRUE,'ORDENES'!$Y130=$H$3),'ORDENES'!$AF130=TRUE,'ORDENES'!$A130&lt;&gt;""),1,0)</f>
        <v/>
      </c>
      <c r="L134" s="5">
        <f>IF(K134=1,IFERROR(MATCH('ORDENES'!$S130,lista_dias,0),9)*1000000000+IFERROR(MATCH('ORDENES'!$AH130,lista_turnos,0),9)*10000000+IFERROR(MATCH('ORDENES'!$AG130,'TECNICOS'!$B$4:$B$19,0),99)*100000+127,9000000000000+127)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2">
        <f>IF(K134=1,'ORDENES'!$J130,"")</f>
        <v/>
      </c>
      <c r="U134" s="5">
        <f>IFERROR(MATCH(127,$M$8:$M$1207,0),"")</f>
        <v/>
      </c>
      <c r="V134" s="5">
        <f>IF(U134="","",INDEX('ORDENES'!$S$4:$S$1203,U134))</f>
        <v/>
      </c>
      <c r="W134" s="5">
        <f>IF(U134="","",IF(V134&lt;&gt;V133,CHAR(10)&amp;UPPER(LEFT(V134,1))&amp;MID(V134,2,20)&amp;":"&amp;CHAR(10),"")&amp;"   "&amp;IF(INDEX('ORDENES'!$AH$4:$AH$1203,U134)="","(s/t)",INDEX('ORDENES'!$AH$4:$AH$1203,U134))&amp;" · "&amp;IF(INDEX('ORDENES'!$AG$4:$AG$1203,U134)="","(sin técnico)",INDEX('ORDENES'!$AG$4:$AG$1203,U134))&amp;" · "&amp;INDEX('ORDENES'!$AT$4:$AT$1203,U134)&amp;"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IF(AND(IF($B$3="(todos)",TRUE,'ORDENES'!$O131=$B$3),IF($D$3="(todos)",TRUE,'ORDENES'!$AH131=$D$3),IF($F$3="(todos)",TRUE,'ORDENES'!$Z131=$F$3),IF($H$3="(todos)",TRUE,'ORDENES'!$Y131=$H$3),'ORDENES'!$AF131=TRUE,'ORDENES'!$A131&lt;&gt;""),1,0)</f>
        <v/>
      </c>
      <c r="L135" s="5">
        <f>IF(K135=1,IFERROR(MATCH('ORDENES'!$S131,lista_dias,0),9)*1000000000+IFERROR(MATCH('ORDENES'!$AH131,lista_turnos,0),9)*10000000+IFERROR(MATCH('ORDENES'!$AG131,'TECNICOS'!$B$4:$B$19,0),99)*100000+128,9000000000000+128)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2">
        <f>IF(K135=1,'ORDENES'!$J131,"")</f>
        <v/>
      </c>
      <c r="U135" s="5">
        <f>IFERROR(MATCH(128,$M$8:$M$1207,0),"")</f>
        <v/>
      </c>
      <c r="V135" s="5">
        <f>IF(U135="","",INDEX('ORDENES'!$S$4:$S$1203,U135))</f>
        <v/>
      </c>
      <c r="W135" s="5">
        <f>IF(U135="","",IF(V135&lt;&gt;V134,CHAR(10)&amp;UPPER(LEFT(V135,1))&amp;MID(V135,2,20)&amp;":"&amp;CHAR(10),"")&amp;"   "&amp;IF(INDEX('ORDENES'!$AH$4:$AH$1203,U135)="","(s/t)",INDEX('ORDENES'!$AH$4:$AH$1203,U135))&amp;" · "&amp;IF(INDEX('ORDENES'!$AG$4:$AG$1203,U135)="","(sin técnico)",INDEX('ORDENES'!$AG$4:$AG$1203,U135))&amp;" · "&amp;INDEX('ORDENES'!$AT$4:$AT$1203,U135)&amp;"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IF(AND(IF($B$3="(todos)",TRUE,'ORDENES'!$O132=$B$3),IF($D$3="(todos)",TRUE,'ORDENES'!$AH132=$D$3),IF($F$3="(todos)",TRUE,'ORDENES'!$Z132=$F$3),IF($H$3="(todos)",TRUE,'ORDENES'!$Y132=$H$3),'ORDENES'!$AF132=TRUE,'ORDENES'!$A132&lt;&gt;""),1,0)</f>
        <v/>
      </c>
      <c r="L136" s="5">
        <f>IF(K136=1,IFERROR(MATCH('ORDENES'!$S132,lista_dias,0),9)*1000000000+IFERROR(MATCH('ORDENES'!$AH132,lista_turnos,0),9)*10000000+IFERROR(MATCH('ORDENES'!$AG132,'TECNICOS'!$B$4:$B$19,0),99)*100000+129,9000000000000+129)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2">
        <f>IF(K136=1,'ORDENES'!$J132,"")</f>
        <v/>
      </c>
      <c r="U136" s="5">
        <f>IFERROR(MATCH(129,$M$8:$M$1207,0),"")</f>
        <v/>
      </c>
      <c r="V136" s="5">
        <f>IF(U136="","",INDEX('ORDENES'!$S$4:$S$1203,U136))</f>
        <v/>
      </c>
      <c r="W136" s="5">
        <f>IF(U136="","",IF(V136&lt;&gt;V135,CHAR(10)&amp;UPPER(LEFT(V136,1))&amp;MID(V136,2,20)&amp;":"&amp;CHAR(10),"")&amp;"   "&amp;IF(INDEX('ORDENES'!$AH$4:$AH$1203,U136)="","(s/t)",INDEX('ORDENES'!$AH$4:$AH$1203,U136))&amp;" · "&amp;IF(INDEX('ORDENES'!$AG$4:$AG$1203,U136)="","(sin técnico)",INDEX('ORDENES'!$AG$4:$AG$1203,U136))&amp;" · "&amp;INDEX('ORDENES'!$AT$4:$AT$1203,U136)&amp;"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IF(AND(IF($B$3="(todos)",TRUE,'ORDENES'!$O133=$B$3),IF($D$3="(todos)",TRUE,'ORDENES'!$AH133=$D$3),IF($F$3="(todos)",TRUE,'ORDENES'!$Z133=$F$3),IF($H$3="(todos)",TRUE,'ORDENES'!$Y133=$H$3),'ORDENES'!$AF133=TRUE,'ORDENES'!$A133&lt;&gt;""),1,0)</f>
        <v/>
      </c>
      <c r="L137" s="5">
        <f>IF(K137=1,IFERROR(MATCH('ORDENES'!$S133,lista_dias,0),9)*1000000000+IFERROR(MATCH('ORDENES'!$AH133,lista_turnos,0),9)*10000000+IFERROR(MATCH('ORDENES'!$AG133,'TECNICOS'!$B$4:$B$19,0),99)*100000+130,9000000000000+130)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2">
        <f>IF(K137=1,'ORDENES'!$J133,"")</f>
        <v/>
      </c>
      <c r="U137" s="5">
        <f>IFERROR(MATCH(130,$M$8:$M$1207,0),"")</f>
        <v/>
      </c>
      <c r="V137" s="5">
        <f>IF(U137="","",INDEX('ORDENES'!$S$4:$S$1203,U137))</f>
        <v/>
      </c>
      <c r="W137" s="5">
        <f>IF(U137="","",IF(V137&lt;&gt;V136,CHAR(10)&amp;UPPER(LEFT(V137,1))&amp;MID(V137,2,20)&amp;":"&amp;CHAR(10),"")&amp;"   "&amp;IF(INDEX('ORDENES'!$AH$4:$AH$1203,U137)="","(s/t)",INDEX('ORDENES'!$AH$4:$AH$1203,U137))&amp;" · "&amp;IF(INDEX('ORDENES'!$AG$4:$AG$1203,U137)="","(sin técnico)",INDEX('ORDENES'!$AG$4:$AG$1203,U137))&amp;" · "&amp;INDEX('ORDENES'!$AT$4:$AT$1203,U137)&amp;"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IF(AND(IF($B$3="(todos)",TRUE,'ORDENES'!$O134=$B$3),IF($D$3="(todos)",TRUE,'ORDENES'!$AH134=$D$3),IF($F$3="(todos)",TRUE,'ORDENES'!$Z134=$F$3),IF($H$3="(todos)",TRUE,'ORDENES'!$Y134=$H$3),'ORDENES'!$AF134=TRUE,'ORDENES'!$A134&lt;&gt;""),1,0)</f>
        <v/>
      </c>
      <c r="L138" s="5">
        <f>IF(K138=1,IFERROR(MATCH('ORDENES'!$S134,lista_dias,0),9)*1000000000+IFERROR(MATCH('ORDENES'!$AH134,lista_turnos,0),9)*10000000+IFERROR(MATCH('ORDENES'!$AG134,'TECNICOS'!$B$4:$B$19,0),99)*100000+131,9000000000000+131)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2">
        <f>IF(K138=1,'ORDENES'!$J134,"")</f>
        <v/>
      </c>
      <c r="U138" s="5">
        <f>IFERROR(MATCH(131,$M$8:$M$1207,0),"")</f>
        <v/>
      </c>
      <c r="V138" s="5">
        <f>IF(U138="","",INDEX('ORDENES'!$S$4:$S$1203,U138))</f>
        <v/>
      </c>
      <c r="W138" s="5">
        <f>IF(U138="","",IF(V138&lt;&gt;V137,CHAR(10)&amp;UPPER(LEFT(V138,1))&amp;MID(V138,2,20)&amp;":"&amp;CHAR(10),"")&amp;"   "&amp;IF(INDEX('ORDENES'!$AH$4:$AH$1203,U138)="","(s/t)",INDEX('ORDENES'!$AH$4:$AH$1203,U138))&amp;" · "&amp;IF(INDEX('ORDENES'!$AG$4:$AG$1203,U138)="","(sin técnico)",INDEX('ORDENES'!$AG$4:$AG$1203,U138))&amp;" · "&amp;INDEX('ORDENES'!$AT$4:$AT$1203,U138)&amp;"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IF(AND(IF($B$3="(todos)",TRUE,'ORDENES'!$O135=$B$3),IF($D$3="(todos)",TRUE,'ORDENES'!$AH135=$D$3),IF($F$3="(todos)",TRUE,'ORDENES'!$Z135=$F$3),IF($H$3="(todos)",TRUE,'ORDENES'!$Y135=$H$3),'ORDENES'!$AF135=TRUE,'ORDENES'!$A135&lt;&gt;""),1,0)</f>
        <v/>
      </c>
      <c r="L139" s="5">
        <f>IF(K139=1,IFERROR(MATCH('ORDENES'!$S135,lista_dias,0),9)*1000000000+IFERROR(MATCH('ORDENES'!$AH135,lista_turnos,0),9)*10000000+IFERROR(MATCH('ORDENES'!$AG135,'TECNICOS'!$B$4:$B$19,0),99)*100000+132,9000000000000+132)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2">
        <f>IF(K139=1,'ORDENES'!$J135,"")</f>
        <v/>
      </c>
      <c r="U139" s="5">
        <f>IFERROR(MATCH(132,$M$8:$M$1207,0),"")</f>
        <v/>
      </c>
      <c r="V139" s="5">
        <f>IF(U139="","",INDEX('ORDENES'!$S$4:$S$1203,U139))</f>
        <v/>
      </c>
      <c r="W139" s="5">
        <f>IF(U139="","",IF(V139&lt;&gt;V138,CHAR(10)&amp;UPPER(LEFT(V139,1))&amp;MID(V139,2,20)&amp;":"&amp;CHAR(10),"")&amp;"   "&amp;IF(INDEX('ORDENES'!$AH$4:$AH$1203,U139)="","(s/t)",INDEX('ORDENES'!$AH$4:$AH$1203,U139))&amp;" · "&amp;IF(INDEX('ORDENES'!$AG$4:$AG$1203,U139)="","(sin técnico)",INDEX('ORDENES'!$AG$4:$AG$1203,U139))&amp;" · "&amp;INDEX('ORDENES'!$AT$4:$AT$1203,U139)&amp;"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IF(AND(IF($B$3="(todos)",TRUE,'ORDENES'!$O136=$B$3),IF($D$3="(todos)",TRUE,'ORDENES'!$AH136=$D$3),IF($F$3="(todos)",TRUE,'ORDENES'!$Z136=$F$3),IF($H$3="(todos)",TRUE,'ORDENES'!$Y136=$H$3),'ORDENES'!$AF136=TRUE,'ORDENES'!$A136&lt;&gt;""),1,0)</f>
        <v/>
      </c>
      <c r="L140" s="5">
        <f>IF(K140=1,IFERROR(MATCH('ORDENES'!$S136,lista_dias,0),9)*1000000000+IFERROR(MATCH('ORDENES'!$AH136,lista_turnos,0),9)*10000000+IFERROR(MATCH('ORDENES'!$AG136,'TECNICOS'!$B$4:$B$19,0),99)*100000+133,9000000000000+133)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2">
        <f>IF(K140=1,'ORDENES'!$J136,"")</f>
        <v/>
      </c>
      <c r="U140" s="5">
        <f>IFERROR(MATCH(133,$M$8:$M$1207,0),"")</f>
        <v/>
      </c>
      <c r="V140" s="5">
        <f>IF(U140="","",INDEX('ORDENES'!$S$4:$S$1203,U140))</f>
        <v/>
      </c>
      <c r="W140" s="5">
        <f>IF(U140="","",IF(V140&lt;&gt;V139,CHAR(10)&amp;UPPER(LEFT(V140,1))&amp;MID(V140,2,20)&amp;":"&amp;CHAR(10),"")&amp;"   "&amp;IF(INDEX('ORDENES'!$AH$4:$AH$1203,U140)="","(s/t)",INDEX('ORDENES'!$AH$4:$AH$1203,U140))&amp;" · "&amp;IF(INDEX('ORDENES'!$AG$4:$AG$1203,U140)="","(sin técnico)",INDEX('ORDENES'!$AG$4:$AG$1203,U140))&amp;" · "&amp;INDEX('ORDENES'!$AT$4:$AT$1203,U140)&amp;"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IF(AND(IF($B$3="(todos)",TRUE,'ORDENES'!$O137=$B$3),IF($D$3="(todos)",TRUE,'ORDENES'!$AH137=$D$3),IF($F$3="(todos)",TRUE,'ORDENES'!$Z137=$F$3),IF($H$3="(todos)",TRUE,'ORDENES'!$Y137=$H$3),'ORDENES'!$AF137=TRUE,'ORDENES'!$A137&lt;&gt;""),1,0)</f>
        <v/>
      </c>
      <c r="L141" s="5">
        <f>IF(K141=1,IFERROR(MATCH('ORDENES'!$S137,lista_dias,0),9)*1000000000+IFERROR(MATCH('ORDENES'!$AH137,lista_turnos,0),9)*10000000+IFERROR(MATCH('ORDENES'!$AG137,'TECNICOS'!$B$4:$B$19,0),99)*100000+134,9000000000000+134)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2">
        <f>IF(K141=1,'ORDENES'!$J137,"")</f>
        <v/>
      </c>
      <c r="U141" s="5">
        <f>IFERROR(MATCH(134,$M$8:$M$1207,0),"")</f>
        <v/>
      </c>
      <c r="V141" s="5">
        <f>IF(U141="","",INDEX('ORDENES'!$S$4:$S$1203,U141))</f>
        <v/>
      </c>
      <c r="W141" s="5">
        <f>IF(U141="","",IF(V141&lt;&gt;V140,CHAR(10)&amp;UPPER(LEFT(V141,1))&amp;MID(V141,2,20)&amp;":"&amp;CHAR(10),"")&amp;"   "&amp;IF(INDEX('ORDENES'!$AH$4:$AH$1203,U141)="","(s/t)",INDEX('ORDENES'!$AH$4:$AH$1203,U141))&amp;" · "&amp;IF(INDEX('ORDENES'!$AG$4:$AG$1203,U141)="","(sin técnico)",INDEX('ORDENES'!$AG$4:$AG$1203,U141))&amp;" · "&amp;INDEX('ORDENES'!$AT$4:$AT$1203,U141)&amp;"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IF(AND(IF($B$3="(todos)",TRUE,'ORDENES'!$O138=$B$3),IF($D$3="(todos)",TRUE,'ORDENES'!$AH138=$D$3),IF($F$3="(todos)",TRUE,'ORDENES'!$Z138=$F$3),IF($H$3="(todos)",TRUE,'ORDENES'!$Y138=$H$3),'ORDENES'!$AF138=TRUE,'ORDENES'!$A138&lt;&gt;""),1,0)</f>
        <v/>
      </c>
      <c r="L142" s="5">
        <f>IF(K142=1,IFERROR(MATCH('ORDENES'!$S138,lista_dias,0),9)*1000000000+IFERROR(MATCH('ORDENES'!$AH138,lista_turnos,0),9)*10000000+IFERROR(MATCH('ORDENES'!$AG138,'TECNICOS'!$B$4:$B$19,0),99)*100000+135,9000000000000+135)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2">
        <f>IF(K142=1,'ORDENES'!$J138,"")</f>
        <v/>
      </c>
      <c r="U142" s="5">
        <f>IFERROR(MATCH(135,$M$8:$M$1207,0),"")</f>
        <v/>
      </c>
      <c r="V142" s="5">
        <f>IF(U142="","",INDEX('ORDENES'!$S$4:$S$1203,U142))</f>
        <v/>
      </c>
      <c r="W142" s="5">
        <f>IF(U142="","",IF(V142&lt;&gt;V141,CHAR(10)&amp;UPPER(LEFT(V142,1))&amp;MID(V142,2,20)&amp;":"&amp;CHAR(10),"")&amp;"   "&amp;IF(INDEX('ORDENES'!$AH$4:$AH$1203,U142)="","(s/t)",INDEX('ORDENES'!$AH$4:$AH$1203,U142))&amp;" · "&amp;IF(INDEX('ORDENES'!$AG$4:$AG$1203,U142)="","(sin técnico)",INDEX('ORDENES'!$AG$4:$AG$1203,U142))&amp;" · "&amp;INDEX('ORDENES'!$AT$4:$AT$1203,U142)&amp;"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IF(AND(IF($B$3="(todos)",TRUE,'ORDENES'!$O139=$B$3),IF($D$3="(todos)",TRUE,'ORDENES'!$AH139=$D$3),IF($F$3="(todos)",TRUE,'ORDENES'!$Z139=$F$3),IF($H$3="(todos)",TRUE,'ORDENES'!$Y139=$H$3),'ORDENES'!$AF139=TRUE,'ORDENES'!$A139&lt;&gt;""),1,0)</f>
        <v/>
      </c>
      <c r="L143" s="5">
        <f>IF(K143=1,IFERROR(MATCH('ORDENES'!$S139,lista_dias,0),9)*1000000000+IFERROR(MATCH('ORDENES'!$AH139,lista_turnos,0),9)*10000000+IFERROR(MATCH('ORDENES'!$AG139,'TECNICOS'!$B$4:$B$19,0),99)*100000+136,9000000000000+136)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2">
        <f>IF(K143=1,'ORDENES'!$J139,"")</f>
        <v/>
      </c>
      <c r="U143" s="5">
        <f>IFERROR(MATCH(136,$M$8:$M$1207,0),"")</f>
        <v/>
      </c>
      <c r="V143" s="5">
        <f>IF(U143="","",INDEX('ORDENES'!$S$4:$S$1203,U143))</f>
        <v/>
      </c>
      <c r="W143" s="5">
        <f>IF(U143="","",IF(V143&lt;&gt;V142,CHAR(10)&amp;UPPER(LEFT(V143,1))&amp;MID(V143,2,20)&amp;":"&amp;CHAR(10),"")&amp;"   "&amp;IF(INDEX('ORDENES'!$AH$4:$AH$1203,U143)="","(s/t)",INDEX('ORDENES'!$AH$4:$AH$1203,U143))&amp;" · "&amp;IF(INDEX('ORDENES'!$AG$4:$AG$1203,U143)="","(sin técnico)",INDEX('ORDENES'!$AG$4:$AG$1203,U143))&amp;" · "&amp;INDEX('ORDENES'!$AT$4:$AT$1203,U143)&amp;"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IF(AND(IF($B$3="(todos)",TRUE,'ORDENES'!$O140=$B$3),IF($D$3="(todos)",TRUE,'ORDENES'!$AH140=$D$3),IF($F$3="(todos)",TRUE,'ORDENES'!$Z140=$F$3),IF($H$3="(todos)",TRUE,'ORDENES'!$Y140=$H$3),'ORDENES'!$AF140=TRUE,'ORDENES'!$A140&lt;&gt;""),1,0)</f>
        <v/>
      </c>
      <c r="L144" s="5">
        <f>IF(K144=1,IFERROR(MATCH('ORDENES'!$S140,lista_dias,0),9)*1000000000+IFERROR(MATCH('ORDENES'!$AH140,lista_turnos,0),9)*10000000+IFERROR(MATCH('ORDENES'!$AG140,'TECNICOS'!$B$4:$B$19,0),99)*100000+137,9000000000000+137)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2">
        <f>IF(K144=1,'ORDENES'!$J140,"")</f>
        <v/>
      </c>
      <c r="U144" s="5">
        <f>IFERROR(MATCH(137,$M$8:$M$1207,0),"")</f>
        <v/>
      </c>
      <c r="V144" s="5">
        <f>IF(U144="","",INDEX('ORDENES'!$S$4:$S$1203,U144))</f>
        <v/>
      </c>
      <c r="W144" s="5">
        <f>IF(U144="","",IF(V144&lt;&gt;V143,CHAR(10)&amp;UPPER(LEFT(V144,1))&amp;MID(V144,2,20)&amp;":"&amp;CHAR(10),"")&amp;"   "&amp;IF(INDEX('ORDENES'!$AH$4:$AH$1203,U144)="","(s/t)",INDEX('ORDENES'!$AH$4:$AH$1203,U144))&amp;" · "&amp;IF(INDEX('ORDENES'!$AG$4:$AG$1203,U144)="","(sin técnico)",INDEX('ORDENES'!$AG$4:$AG$1203,U144))&amp;" · "&amp;INDEX('ORDENES'!$AT$4:$AT$1203,U144)&amp;"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IF(AND(IF($B$3="(todos)",TRUE,'ORDENES'!$O141=$B$3),IF($D$3="(todos)",TRUE,'ORDENES'!$AH141=$D$3),IF($F$3="(todos)",TRUE,'ORDENES'!$Z141=$F$3),IF($H$3="(todos)",TRUE,'ORDENES'!$Y141=$H$3),'ORDENES'!$AF141=TRUE,'ORDENES'!$A141&lt;&gt;""),1,0)</f>
        <v/>
      </c>
      <c r="L145" s="5">
        <f>IF(K145=1,IFERROR(MATCH('ORDENES'!$S141,lista_dias,0),9)*1000000000+IFERROR(MATCH('ORDENES'!$AH141,lista_turnos,0),9)*10000000+IFERROR(MATCH('ORDENES'!$AG141,'TECNICOS'!$B$4:$B$19,0),99)*100000+138,9000000000000+138)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2">
        <f>IF(K145=1,'ORDENES'!$J141,"")</f>
        <v/>
      </c>
      <c r="U145" s="5">
        <f>IFERROR(MATCH(138,$M$8:$M$1207,0),"")</f>
        <v/>
      </c>
      <c r="V145" s="5">
        <f>IF(U145="","",INDEX('ORDENES'!$S$4:$S$1203,U145))</f>
        <v/>
      </c>
      <c r="W145" s="5">
        <f>IF(U145="","",IF(V145&lt;&gt;V144,CHAR(10)&amp;UPPER(LEFT(V145,1))&amp;MID(V145,2,20)&amp;":"&amp;CHAR(10),"")&amp;"   "&amp;IF(INDEX('ORDENES'!$AH$4:$AH$1203,U145)="","(s/t)",INDEX('ORDENES'!$AH$4:$AH$1203,U145))&amp;" · "&amp;IF(INDEX('ORDENES'!$AG$4:$AG$1203,U145)="","(sin técnico)",INDEX('ORDENES'!$AG$4:$AG$1203,U145))&amp;" · "&amp;INDEX('ORDENES'!$AT$4:$AT$1203,U145)&amp;"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IF(AND(IF($B$3="(todos)",TRUE,'ORDENES'!$O142=$B$3),IF($D$3="(todos)",TRUE,'ORDENES'!$AH142=$D$3),IF($F$3="(todos)",TRUE,'ORDENES'!$Z142=$F$3),IF($H$3="(todos)",TRUE,'ORDENES'!$Y142=$H$3),'ORDENES'!$AF142=TRUE,'ORDENES'!$A142&lt;&gt;""),1,0)</f>
        <v/>
      </c>
      <c r="L146" s="5">
        <f>IF(K146=1,IFERROR(MATCH('ORDENES'!$S142,lista_dias,0),9)*1000000000+IFERROR(MATCH('ORDENES'!$AH142,lista_turnos,0),9)*10000000+IFERROR(MATCH('ORDENES'!$AG142,'TECNICOS'!$B$4:$B$19,0),99)*100000+139,9000000000000+139)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2">
        <f>IF(K146=1,'ORDENES'!$J142,"")</f>
        <v/>
      </c>
      <c r="U146" s="5">
        <f>IFERROR(MATCH(139,$M$8:$M$1207,0),"")</f>
        <v/>
      </c>
      <c r="V146" s="5">
        <f>IF(U146="","",INDEX('ORDENES'!$S$4:$S$1203,U146))</f>
        <v/>
      </c>
      <c r="W146" s="5">
        <f>IF(U146="","",IF(V146&lt;&gt;V145,CHAR(10)&amp;UPPER(LEFT(V146,1))&amp;MID(V146,2,20)&amp;":"&amp;CHAR(10),"")&amp;"   "&amp;IF(INDEX('ORDENES'!$AH$4:$AH$1203,U146)="","(s/t)",INDEX('ORDENES'!$AH$4:$AH$1203,U146))&amp;" · "&amp;IF(INDEX('ORDENES'!$AG$4:$AG$1203,U146)="","(sin técnico)",INDEX('ORDENES'!$AG$4:$AG$1203,U146))&amp;" · "&amp;INDEX('ORDENES'!$AT$4:$AT$1203,U146)&amp;"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IF(AND(IF($B$3="(todos)",TRUE,'ORDENES'!$O143=$B$3),IF($D$3="(todos)",TRUE,'ORDENES'!$AH143=$D$3),IF($F$3="(todos)",TRUE,'ORDENES'!$Z143=$F$3),IF($H$3="(todos)",TRUE,'ORDENES'!$Y143=$H$3),'ORDENES'!$AF143=TRUE,'ORDENES'!$A143&lt;&gt;""),1,0)</f>
        <v/>
      </c>
      <c r="L147" s="5">
        <f>IF(K147=1,IFERROR(MATCH('ORDENES'!$S143,lista_dias,0),9)*1000000000+IFERROR(MATCH('ORDENES'!$AH143,lista_turnos,0),9)*10000000+IFERROR(MATCH('ORDENES'!$AG143,'TECNICOS'!$B$4:$B$19,0),99)*100000+140,9000000000000+140)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2">
        <f>IF(K147=1,'ORDENES'!$J143,"")</f>
        <v/>
      </c>
      <c r="U147" s="5">
        <f>IFERROR(MATCH(140,$M$8:$M$1207,0),"")</f>
        <v/>
      </c>
      <c r="V147" s="5">
        <f>IF(U147="","",INDEX('ORDENES'!$S$4:$S$1203,U147))</f>
        <v/>
      </c>
      <c r="W147" s="5">
        <f>IF(U147="","",IF(V147&lt;&gt;V146,CHAR(10)&amp;UPPER(LEFT(V147,1))&amp;MID(V147,2,20)&amp;":"&amp;CHAR(10),"")&amp;"   "&amp;IF(INDEX('ORDENES'!$AH$4:$AH$1203,U147)="","(s/t)",INDEX('ORDENES'!$AH$4:$AH$1203,U147))&amp;" · "&amp;IF(INDEX('ORDENES'!$AG$4:$AG$1203,U147)="","(sin técnico)",INDEX('ORDENES'!$AG$4:$AG$1203,U147))&amp;" · "&amp;INDEX('ORDENES'!$AT$4:$AT$1203,U147)&amp;"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IF(AND(IF($B$3="(todos)",TRUE,'ORDENES'!$O144=$B$3),IF($D$3="(todos)",TRUE,'ORDENES'!$AH144=$D$3),IF($F$3="(todos)",TRUE,'ORDENES'!$Z144=$F$3),IF($H$3="(todos)",TRUE,'ORDENES'!$Y144=$H$3),'ORDENES'!$AF144=TRUE,'ORDENES'!$A144&lt;&gt;""),1,0)</f>
        <v/>
      </c>
      <c r="L148" s="5">
        <f>IF(K148=1,IFERROR(MATCH('ORDENES'!$S144,lista_dias,0),9)*1000000000+IFERROR(MATCH('ORDENES'!$AH144,lista_turnos,0),9)*10000000+IFERROR(MATCH('ORDENES'!$AG144,'TECNICOS'!$B$4:$B$19,0),99)*100000+141,9000000000000+141)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2">
        <f>IF(K148=1,'ORDENES'!$J144,"")</f>
        <v/>
      </c>
      <c r="U148" s="5">
        <f>IFERROR(MATCH(141,$M$8:$M$1207,0),"")</f>
        <v/>
      </c>
      <c r="V148" s="5">
        <f>IF(U148="","",INDEX('ORDENES'!$S$4:$S$1203,U148))</f>
        <v/>
      </c>
      <c r="W148" s="5">
        <f>IF(U148="","",IF(V148&lt;&gt;V147,CHAR(10)&amp;UPPER(LEFT(V148,1))&amp;MID(V148,2,20)&amp;":"&amp;CHAR(10),"")&amp;"   "&amp;IF(INDEX('ORDENES'!$AH$4:$AH$1203,U148)="","(s/t)",INDEX('ORDENES'!$AH$4:$AH$1203,U148))&amp;" · "&amp;IF(INDEX('ORDENES'!$AG$4:$AG$1203,U148)="","(sin técnico)",INDEX('ORDENES'!$AG$4:$AG$1203,U148))&amp;" · "&amp;INDEX('ORDENES'!$AT$4:$AT$1203,U148)&amp;"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IF(AND(IF($B$3="(todos)",TRUE,'ORDENES'!$O145=$B$3),IF($D$3="(todos)",TRUE,'ORDENES'!$AH145=$D$3),IF($F$3="(todos)",TRUE,'ORDENES'!$Z145=$F$3),IF($H$3="(todos)",TRUE,'ORDENES'!$Y145=$H$3),'ORDENES'!$AF145=TRUE,'ORDENES'!$A145&lt;&gt;""),1,0)</f>
        <v/>
      </c>
      <c r="L149" s="5">
        <f>IF(K149=1,IFERROR(MATCH('ORDENES'!$S145,lista_dias,0),9)*1000000000+IFERROR(MATCH('ORDENES'!$AH145,lista_turnos,0),9)*10000000+IFERROR(MATCH('ORDENES'!$AG145,'TECNICOS'!$B$4:$B$19,0),99)*100000+142,9000000000000+142)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2">
        <f>IF(K149=1,'ORDENES'!$J145,"")</f>
        <v/>
      </c>
      <c r="U149" s="5">
        <f>IFERROR(MATCH(142,$M$8:$M$1207,0),"")</f>
        <v/>
      </c>
      <c r="V149" s="5">
        <f>IF(U149="","",INDEX('ORDENES'!$S$4:$S$1203,U149))</f>
        <v/>
      </c>
      <c r="W149" s="5">
        <f>IF(U149="","",IF(V149&lt;&gt;V148,CHAR(10)&amp;UPPER(LEFT(V149,1))&amp;MID(V149,2,20)&amp;":"&amp;CHAR(10),"")&amp;"   "&amp;IF(INDEX('ORDENES'!$AH$4:$AH$1203,U149)="","(s/t)",INDEX('ORDENES'!$AH$4:$AH$1203,U149))&amp;" · "&amp;IF(INDEX('ORDENES'!$AG$4:$AG$1203,U149)="","(sin técnico)",INDEX('ORDENES'!$AG$4:$AG$1203,U149))&amp;" · "&amp;INDEX('ORDENES'!$AT$4:$AT$1203,U149)&amp;"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IF(AND(IF($B$3="(todos)",TRUE,'ORDENES'!$O146=$B$3),IF($D$3="(todos)",TRUE,'ORDENES'!$AH146=$D$3),IF($F$3="(todos)",TRUE,'ORDENES'!$Z146=$F$3),IF($H$3="(todos)",TRUE,'ORDENES'!$Y146=$H$3),'ORDENES'!$AF146=TRUE,'ORDENES'!$A146&lt;&gt;""),1,0)</f>
        <v/>
      </c>
      <c r="L150" s="5">
        <f>IF(K150=1,IFERROR(MATCH('ORDENES'!$S146,lista_dias,0),9)*1000000000+IFERROR(MATCH('ORDENES'!$AH146,lista_turnos,0),9)*10000000+IFERROR(MATCH('ORDENES'!$AG146,'TECNICOS'!$B$4:$B$19,0),99)*100000+143,9000000000000+143)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2">
        <f>IF(K150=1,'ORDENES'!$J146,"")</f>
        <v/>
      </c>
      <c r="U150" s="5">
        <f>IFERROR(MATCH(143,$M$8:$M$1207,0),"")</f>
        <v/>
      </c>
      <c r="V150" s="5">
        <f>IF(U150="","",INDEX('ORDENES'!$S$4:$S$1203,U150))</f>
        <v/>
      </c>
      <c r="W150" s="5">
        <f>IF(U150="","",IF(V150&lt;&gt;V149,CHAR(10)&amp;UPPER(LEFT(V150,1))&amp;MID(V150,2,20)&amp;":"&amp;CHAR(10),"")&amp;"   "&amp;IF(INDEX('ORDENES'!$AH$4:$AH$1203,U150)="","(s/t)",INDEX('ORDENES'!$AH$4:$AH$1203,U150))&amp;" · "&amp;IF(INDEX('ORDENES'!$AG$4:$AG$1203,U150)="","(sin técnico)",INDEX('ORDENES'!$AG$4:$AG$1203,U150))&amp;" · "&amp;INDEX('ORDENES'!$AT$4:$AT$1203,U150)&amp;"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IF(AND(IF($B$3="(todos)",TRUE,'ORDENES'!$O147=$B$3),IF($D$3="(todos)",TRUE,'ORDENES'!$AH147=$D$3),IF($F$3="(todos)",TRUE,'ORDENES'!$Z147=$F$3),IF($H$3="(todos)",TRUE,'ORDENES'!$Y147=$H$3),'ORDENES'!$AF147=TRUE,'ORDENES'!$A147&lt;&gt;""),1,0)</f>
        <v/>
      </c>
      <c r="L151" s="5">
        <f>IF(K151=1,IFERROR(MATCH('ORDENES'!$S147,lista_dias,0),9)*1000000000+IFERROR(MATCH('ORDENES'!$AH147,lista_turnos,0),9)*10000000+IFERROR(MATCH('ORDENES'!$AG147,'TECNICOS'!$B$4:$B$19,0),99)*100000+144,9000000000000+144)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2">
        <f>IF(K151=1,'ORDENES'!$J147,"")</f>
        <v/>
      </c>
      <c r="U151" s="5">
        <f>IFERROR(MATCH(144,$M$8:$M$1207,0),"")</f>
        <v/>
      </c>
      <c r="V151" s="5">
        <f>IF(U151="","",INDEX('ORDENES'!$S$4:$S$1203,U151))</f>
        <v/>
      </c>
      <c r="W151" s="5">
        <f>IF(U151="","",IF(V151&lt;&gt;V150,CHAR(10)&amp;UPPER(LEFT(V151,1))&amp;MID(V151,2,20)&amp;":"&amp;CHAR(10),"")&amp;"   "&amp;IF(INDEX('ORDENES'!$AH$4:$AH$1203,U151)="","(s/t)",INDEX('ORDENES'!$AH$4:$AH$1203,U151))&amp;" · "&amp;IF(INDEX('ORDENES'!$AG$4:$AG$1203,U151)="","(sin técnico)",INDEX('ORDENES'!$AG$4:$AG$1203,U151))&amp;" · "&amp;INDEX('ORDENES'!$AT$4:$AT$1203,U151)&amp;"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IF(AND(IF($B$3="(todos)",TRUE,'ORDENES'!$O148=$B$3),IF($D$3="(todos)",TRUE,'ORDENES'!$AH148=$D$3),IF($F$3="(todos)",TRUE,'ORDENES'!$Z148=$F$3),IF($H$3="(todos)",TRUE,'ORDENES'!$Y148=$H$3),'ORDENES'!$AF148=TRUE,'ORDENES'!$A148&lt;&gt;""),1,0)</f>
        <v/>
      </c>
      <c r="L152" s="5">
        <f>IF(K152=1,IFERROR(MATCH('ORDENES'!$S148,lista_dias,0),9)*1000000000+IFERROR(MATCH('ORDENES'!$AH148,lista_turnos,0),9)*10000000+IFERROR(MATCH('ORDENES'!$AG148,'TECNICOS'!$B$4:$B$19,0),99)*100000+145,9000000000000+145)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2">
        <f>IF(K152=1,'ORDENES'!$J148,"")</f>
        <v/>
      </c>
      <c r="U152" s="5">
        <f>IFERROR(MATCH(145,$M$8:$M$1207,0),"")</f>
        <v/>
      </c>
      <c r="V152" s="5">
        <f>IF(U152="","",INDEX('ORDENES'!$S$4:$S$1203,U152))</f>
        <v/>
      </c>
      <c r="W152" s="5">
        <f>IF(U152="","",IF(V152&lt;&gt;V151,CHAR(10)&amp;UPPER(LEFT(V152,1))&amp;MID(V152,2,20)&amp;":"&amp;CHAR(10),"")&amp;"   "&amp;IF(INDEX('ORDENES'!$AH$4:$AH$1203,U152)="","(s/t)",INDEX('ORDENES'!$AH$4:$AH$1203,U152))&amp;" · "&amp;IF(INDEX('ORDENES'!$AG$4:$AG$1203,U152)="","(sin técnico)",INDEX('ORDENES'!$AG$4:$AG$1203,U152))&amp;" · "&amp;INDEX('ORDENES'!$AT$4:$AT$1203,U152)&amp;"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IF(AND(IF($B$3="(todos)",TRUE,'ORDENES'!$O149=$B$3),IF($D$3="(todos)",TRUE,'ORDENES'!$AH149=$D$3),IF($F$3="(todos)",TRUE,'ORDENES'!$Z149=$F$3),IF($H$3="(todos)",TRUE,'ORDENES'!$Y149=$H$3),'ORDENES'!$AF149=TRUE,'ORDENES'!$A149&lt;&gt;""),1,0)</f>
        <v/>
      </c>
      <c r="L153" s="5">
        <f>IF(K153=1,IFERROR(MATCH('ORDENES'!$S149,lista_dias,0),9)*1000000000+IFERROR(MATCH('ORDENES'!$AH149,lista_turnos,0),9)*10000000+IFERROR(MATCH('ORDENES'!$AG149,'TECNICOS'!$B$4:$B$19,0),99)*100000+146,9000000000000+146)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2">
        <f>IF(K153=1,'ORDENES'!$J149,"")</f>
        <v/>
      </c>
      <c r="U153" s="5">
        <f>IFERROR(MATCH(146,$M$8:$M$1207,0),"")</f>
        <v/>
      </c>
      <c r="V153" s="5">
        <f>IF(U153="","",INDEX('ORDENES'!$S$4:$S$1203,U153))</f>
        <v/>
      </c>
      <c r="W153" s="5">
        <f>IF(U153="","",IF(V153&lt;&gt;V152,CHAR(10)&amp;UPPER(LEFT(V153,1))&amp;MID(V153,2,20)&amp;":"&amp;CHAR(10),"")&amp;"   "&amp;IF(INDEX('ORDENES'!$AH$4:$AH$1203,U153)="","(s/t)",INDEX('ORDENES'!$AH$4:$AH$1203,U153))&amp;" · "&amp;IF(INDEX('ORDENES'!$AG$4:$AG$1203,U153)="","(sin técnico)",INDEX('ORDENES'!$AG$4:$AG$1203,U153))&amp;" · "&amp;INDEX('ORDENES'!$AT$4:$AT$1203,U153)&amp;"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IF(AND(IF($B$3="(todos)",TRUE,'ORDENES'!$O150=$B$3),IF($D$3="(todos)",TRUE,'ORDENES'!$AH150=$D$3),IF($F$3="(todos)",TRUE,'ORDENES'!$Z150=$F$3),IF($H$3="(todos)",TRUE,'ORDENES'!$Y150=$H$3),'ORDENES'!$AF150=TRUE,'ORDENES'!$A150&lt;&gt;""),1,0)</f>
        <v/>
      </c>
      <c r="L154" s="5">
        <f>IF(K154=1,IFERROR(MATCH('ORDENES'!$S150,lista_dias,0),9)*1000000000+IFERROR(MATCH('ORDENES'!$AH150,lista_turnos,0),9)*10000000+IFERROR(MATCH('ORDENES'!$AG150,'TECNICOS'!$B$4:$B$19,0),99)*100000+147,9000000000000+147)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2">
        <f>IF(K154=1,'ORDENES'!$J150,"")</f>
        <v/>
      </c>
      <c r="U154" s="5">
        <f>IFERROR(MATCH(147,$M$8:$M$1207,0),"")</f>
        <v/>
      </c>
      <c r="V154" s="5">
        <f>IF(U154="","",INDEX('ORDENES'!$S$4:$S$1203,U154))</f>
        <v/>
      </c>
      <c r="W154" s="5">
        <f>IF(U154="","",IF(V154&lt;&gt;V153,CHAR(10)&amp;UPPER(LEFT(V154,1))&amp;MID(V154,2,20)&amp;":"&amp;CHAR(10),"")&amp;"   "&amp;IF(INDEX('ORDENES'!$AH$4:$AH$1203,U154)="","(s/t)",INDEX('ORDENES'!$AH$4:$AH$1203,U154))&amp;" · "&amp;IF(INDEX('ORDENES'!$AG$4:$AG$1203,U154)="","(sin técnico)",INDEX('ORDENES'!$AG$4:$AG$1203,U154))&amp;" · "&amp;INDEX('ORDENES'!$AT$4:$AT$1203,U154)&amp;"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IF(AND(IF($B$3="(todos)",TRUE,'ORDENES'!$O151=$B$3),IF($D$3="(todos)",TRUE,'ORDENES'!$AH151=$D$3),IF($F$3="(todos)",TRUE,'ORDENES'!$Z151=$F$3),IF($H$3="(todos)",TRUE,'ORDENES'!$Y151=$H$3),'ORDENES'!$AF151=TRUE,'ORDENES'!$A151&lt;&gt;""),1,0)</f>
        <v/>
      </c>
      <c r="L155" s="5">
        <f>IF(K155=1,IFERROR(MATCH('ORDENES'!$S151,lista_dias,0),9)*1000000000+IFERROR(MATCH('ORDENES'!$AH151,lista_turnos,0),9)*10000000+IFERROR(MATCH('ORDENES'!$AG151,'TECNICOS'!$B$4:$B$19,0),99)*100000+148,9000000000000+148)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2">
        <f>IF(K155=1,'ORDENES'!$J151,"")</f>
        <v/>
      </c>
      <c r="U155" s="5">
        <f>IFERROR(MATCH(148,$M$8:$M$1207,0),"")</f>
        <v/>
      </c>
      <c r="V155" s="5">
        <f>IF(U155="","",INDEX('ORDENES'!$S$4:$S$1203,U155))</f>
        <v/>
      </c>
      <c r="W155" s="5">
        <f>IF(U155="","",IF(V155&lt;&gt;V154,CHAR(10)&amp;UPPER(LEFT(V155,1))&amp;MID(V155,2,20)&amp;":"&amp;CHAR(10),"")&amp;"   "&amp;IF(INDEX('ORDENES'!$AH$4:$AH$1203,U155)="","(s/t)",INDEX('ORDENES'!$AH$4:$AH$1203,U155))&amp;" · "&amp;IF(INDEX('ORDENES'!$AG$4:$AG$1203,U155)="","(sin técnico)",INDEX('ORDENES'!$AG$4:$AG$1203,U155))&amp;" · "&amp;INDEX('ORDENES'!$AT$4:$AT$1203,U155)&amp;"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IF(AND(IF($B$3="(todos)",TRUE,'ORDENES'!$O152=$B$3),IF($D$3="(todos)",TRUE,'ORDENES'!$AH152=$D$3),IF($F$3="(todos)",TRUE,'ORDENES'!$Z152=$F$3),IF($H$3="(todos)",TRUE,'ORDENES'!$Y152=$H$3),'ORDENES'!$AF152=TRUE,'ORDENES'!$A152&lt;&gt;""),1,0)</f>
        <v/>
      </c>
      <c r="L156" s="5">
        <f>IF(K156=1,IFERROR(MATCH('ORDENES'!$S152,lista_dias,0),9)*1000000000+IFERROR(MATCH('ORDENES'!$AH152,lista_turnos,0),9)*10000000+IFERROR(MATCH('ORDENES'!$AG152,'TECNICOS'!$B$4:$B$19,0),99)*100000+149,9000000000000+149)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2">
        <f>IF(K156=1,'ORDENES'!$J152,"")</f>
        <v/>
      </c>
      <c r="U156" s="5">
        <f>IFERROR(MATCH(149,$M$8:$M$1207,0),"")</f>
        <v/>
      </c>
      <c r="V156" s="5">
        <f>IF(U156="","",INDEX('ORDENES'!$S$4:$S$1203,U156))</f>
        <v/>
      </c>
      <c r="W156" s="5">
        <f>IF(U156="","",IF(V156&lt;&gt;V155,CHAR(10)&amp;UPPER(LEFT(V156,1))&amp;MID(V156,2,20)&amp;":"&amp;CHAR(10),"")&amp;"   "&amp;IF(INDEX('ORDENES'!$AH$4:$AH$1203,U156)="","(s/t)",INDEX('ORDENES'!$AH$4:$AH$1203,U156))&amp;" · "&amp;IF(INDEX('ORDENES'!$AG$4:$AG$1203,U156)="","(sin técnico)",INDEX('ORDENES'!$AG$4:$AG$1203,U156))&amp;" · "&amp;INDEX('ORDENES'!$AT$4:$AT$1203,U156)&amp;"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IF(AND(IF($B$3="(todos)",TRUE,'ORDENES'!$O153=$B$3),IF($D$3="(todos)",TRUE,'ORDENES'!$AH153=$D$3),IF($F$3="(todos)",TRUE,'ORDENES'!$Z153=$F$3),IF($H$3="(todos)",TRUE,'ORDENES'!$Y153=$H$3),'ORDENES'!$AF153=TRUE,'ORDENES'!$A153&lt;&gt;""),1,0)</f>
        <v/>
      </c>
      <c r="L157" s="5">
        <f>IF(K157=1,IFERROR(MATCH('ORDENES'!$S153,lista_dias,0),9)*1000000000+IFERROR(MATCH('ORDENES'!$AH153,lista_turnos,0),9)*10000000+IFERROR(MATCH('ORDENES'!$AG153,'TECNICOS'!$B$4:$B$19,0),99)*100000+150,9000000000000+150)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2">
        <f>IF(K157=1,'ORDENES'!$J153,"")</f>
        <v/>
      </c>
      <c r="U157" s="5">
        <f>IFERROR(MATCH(150,$M$8:$M$1207,0),"")</f>
        <v/>
      </c>
      <c r="V157" s="5">
        <f>IF(U157="","",INDEX('ORDENES'!$S$4:$S$1203,U157))</f>
        <v/>
      </c>
      <c r="W157" s="5">
        <f>IF(U157="","",IF(V157&lt;&gt;V156,CHAR(10)&amp;UPPER(LEFT(V157,1))&amp;MID(V157,2,20)&amp;":"&amp;CHAR(10),"")&amp;"   "&amp;IF(INDEX('ORDENES'!$AH$4:$AH$1203,U157)="","(s/t)",INDEX('ORDENES'!$AH$4:$AH$1203,U157))&amp;" · "&amp;IF(INDEX('ORDENES'!$AG$4:$AG$1203,U157)="","(sin técnico)",INDEX('ORDENES'!$AG$4:$AG$1203,U157))&amp;" · "&amp;INDEX('ORDENES'!$AT$4:$AT$1203,U157)&amp;"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IF(AND(IF($B$3="(todos)",TRUE,'ORDENES'!$O154=$B$3),IF($D$3="(todos)",TRUE,'ORDENES'!$AH154=$D$3),IF($F$3="(todos)",TRUE,'ORDENES'!$Z154=$F$3),IF($H$3="(todos)",TRUE,'ORDENES'!$Y154=$H$3),'ORDENES'!$AF154=TRUE,'ORDENES'!$A154&lt;&gt;""),1,0)</f>
        <v/>
      </c>
      <c r="L158" s="5">
        <f>IF(K158=1,IFERROR(MATCH('ORDENES'!$S154,lista_dias,0),9)*1000000000+IFERROR(MATCH('ORDENES'!$AH154,lista_turnos,0),9)*10000000+IFERROR(MATCH('ORDENES'!$AG154,'TECNICOS'!$B$4:$B$19,0),99)*100000+151,9000000000000+151)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2">
        <f>IF(K158=1,'ORDENES'!$J154,"")</f>
        <v/>
      </c>
      <c r="U158" s="5">
        <f>IFERROR(MATCH(151,$M$8:$M$1207,0),"")</f>
        <v/>
      </c>
      <c r="V158" s="5">
        <f>IF(U158="","",INDEX('ORDENES'!$S$4:$S$1203,U158))</f>
        <v/>
      </c>
      <c r="W158" s="5">
        <f>IF(U158="","",IF(V158&lt;&gt;V157,CHAR(10)&amp;UPPER(LEFT(V158,1))&amp;MID(V158,2,20)&amp;":"&amp;CHAR(10),"")&amp;"   "&amp;IF(INDEX('ORDENES'!$AH$4:$AH$1203,U158)="","(s/t)",INDEX('ORDENES'!$AH$4:$AH$1203,U158))&amp;" · "&amp;IF(INDEX('ORDENES'!$AG$4:$AG$1203,U158)="","(sin técnico)",INDEX('ORDENES'!$AG$4:$AG$1203,U158))&amp;" · "&amp;INDEX('ORDENES'!$AT$4:$AT$1203,U158)&amp;"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IF(AND(IF($B$3="(todos)",TRUE,'ORDENES'!$O155=$B$3),IF($D$3="(todos)",TRUE,'ORDENES'!$AH155=$D$3),IF($F$3="(todos)",TRUE,'ORDENES'!$Z155=$F$3),IF($H$3="(todos)",TRUE,'ORDENES'!$Y155=$H$3),'ORDENES'!$AF155=TRUE,'ORDENES'!$A155&lt;&gt;""),1,0)</f>
        <v/>
      </c>
      <c r="L159" s="5">
        <f>IF(K159=1,IFERROR(MATCH('ORDENES'!$S155,lista_dias,0),9)*1000000000+IFERROR(MATCH('ORDENES'!$AH155,lista_turnos,0),9)*10000000+IFERROR(MATCH('ORDENES'!$AG155,'TECNICOS'!$B$4:$B$19,0),99)*100000+152,9000000000000+152)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2">
        <f>IF(K159=1,'ORDENES'!$J155,"")</f>
        <v/>
      </c>
      <c r="U159" s="5">
        <f>IFERROR(MATCH(152,$M$8:$M$1207,0),"")</f>
        <v/>
      </c>
      <c r="V159" s="5">
        <f>IF(U159="","",INDEX('ORDENES'!$S$4:$S$1203,U159))</f>
        <v/>
      </c>
      <c r="W159" s="5">
        <f>IF(U159="","",IF(V159&lt;&gt;V158,CHAR(10)&amp;UPPER(LEFT(V159,1))&amp;MID(V159,2,20)&amp;":"&amp;CHAR(10),"")&amp;"   "&amp;IF(INDEX('ORDENES'!$AH$4:$AH$1203,U159)="","(s/t)",INDEX('ORDENES'!$AH$4:$AH$1203,U159))&amp;" · "&amp;IF(INDEX('ORDENES'!$AG$4:$AG$1203,U159)="","(sin técnico)",INDEX('ORDENES'!$AG$4:$AG$1203,U159))&amp;" · "&amp;INDEX('ORDENES'!$AT$4:$AT$1203,U159)&amp;"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IF(AND(IF($B$3="(todos)",TRUE,'ORDENES'!$O156=$B$3),IF($D$3="(todos)",TRUE,'ORDENES'!$AH156=$D$3),IF($F$3="(todos)",TRUE,'ORDENES'!$Z156=$F$3),IF($H$3="(todos)",TRUE,'ORDENES'!$Y156=$H$3),'ORDENES'!$AF156=TRUE,'ORDENES'!$A156&lt;&gt;""),1,0)</f>
        <v/>
      </c>
      <c r="L160" s="5">
        <f>IF(K160=1,IFERROR(MATCH('ORDENES'!$S156,lista_dias,0),9)*1000000000+IFERROR(MATCH('ORDENES'!$AH156,lista_turnos,0),9)*10000000+IFERROR(MATCH('ORDENES'!$AG156,'TECNICOS'!$B$4:$B$19,0),99)*100000+153,9000000000000+153)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2">
        <f>IF(K160=1,'ORDENES'!$J156,"")</f>
        <v/>
      </c>
      <c r="U160" s="5">
        <f>IFERROR(MATCH(153,$M$8:$M$1207,0),"")</f>
        <v/>
      </c>
      <c r="V160" s="5">
        <f>IF(U160="","",INDEX('ORDENES'!$S$4:$S$1203,U160))</f>
        <v/>
      </c>
      <c r="W160" s="5">
        <f>IF(U160="","",IF(V160&lt;&gt;V159,CHAR(10)&amp;UPPER(LEFT(V160,1))&amp;MID(V160,2,20)&amp;":"&amp;CHAR(10),"")&amp;"   "&amp;IF(INDEX('ORDENES'!$AH$4:$AH$1203,U160)="","(s/t)",INDEX('ORDENES'!$AH$4:$AH$1203,U160))&amp;" · "&amp;IF(INDEX('ORDENES'!$AG$4:$AG$1203,U160)="","(sin técnico)",INDEX('ORDENES'!$AG$4:$AG$1203,U160))&amp;" · "&amp;INDEX('ORDENES'!$AT$4:$AT$1203,U160)&amp;"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IF(AND(IF($B$3="(todos)",TRUE,'ORDENES'!$O157=$B$3),IF($D$3="(todos)",TRUE,'ORDENES'!$AH157=$D$3),IF($F$3="(todos)",TRUE,'ORDENES'!$Z157=$F$3),IF($H$3="(todos)",TRUE,'ORDENES'!$Y157=$H$3),'ORDENES'!$AF157=TRUE,'ORDENES'!$A157&lt;&gt;""),1,0)</f>
        <v/>
      </c>
      <c r="L161" s="5">
        <f>IF(K161=1,IFERROR(MATCH('ORDENES'!$S157,lista_dias,0),9)*1000000000+IFERROR(MATCH('ORDENES'!$AH157,lista_turnos,0),9)*10000000+IFERROR(MATCH('ORDENES'!$AG157,'TECNICOS'!$B$4:$B$19,0),99)*100000+154,9000000000000+154)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2">
        <f>IF(K161=1,'ORDENES'!$J157,"")</f>
        <v/>
      </c>
      <c r="U161" s="5">
        <f>IFERROR(MATCH(154,$M$8:$M$1207,0),"")</f>
        <v/>
      </c>
      <c r="V161" s="5">
        <f>IF(U161="","",INDEX('ORDENES'!$S$4:$S$1203,U161))</f>
        <v/>
      </c>
      <c r="W161" s="5">
        <f>IF(U161="","",IF(V161&lt;&gt;V160,CHAR(10)&amp;UPPER(LEFT(V161,1))&amp;MID(V161,2,20)&amp;":"&amp;CHAR(10),"")&amp;"   "&amp;IF(INDEX('ORDENES'!$AH$4:$AH$1203,U161)="","(s/t)",INDEX('ORDENES'!$AH$4:$AH$1203,U161))&amp;" · "&amp;IF(INDEX('ORDENES'!$AG$4:$AG$1203,U161)="","(sin técnico)",INDEX('ORDENES'!$AG$4:$AG$1203,U161))&amp;" · "&amp;INDEX('ORDENES'!$AT$4:$AT$1203,U161)&amp;"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IF(AND(IF($B$3="(todos)",TRUE,'ORDENES'!$O158=$B$3),IF($D$3="(todos)",TRUE,'ORDENES'!$AH158=$D$3),IF($F$3="(todos)",TRUE,'ORDENES'!$Z158=$F$3),IF($H$3="(todos)",TRUE,'ORDENES'!$Y158=$H$3),'ORDENES'!$AF158=TRUE,'ORDENES'!$A158&lt;&gt;""),1,0)</f>
        <v/>
      </c>
      <c r="L162" s="5">
        <f>IF(K162=1,IFERROR(MATCH('ORDENES'!$S158,lista_dias,0),9)*1000000000+IFERROR(MATCH('ORDENES'!$AH158,lista_turnos,0),9)*10000000+IFERROR(MATCH('ORDENES'!$AG158,'TECNICOS'!$B$4:$B$19,0),99)*100000+155,9000000000000+155)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2">
        <f>IF(K162=1,'ORDENES'!$J158,"")</f>
        <v/>
      </c>
      <c r="U162" s="5">
        <f>IFERROR(MATCH(155,$M$8:$M$1207,0),"")</f>
        <v/>
      </c>
      <c r="V162" s="5">
        <f>IF(U162="","",INDEX('ORDENES'!$S$4:$S$1203,U162))</f>
        <v/>
      </c>
      <c r="W162" s="5">
        <f>IF(U162="","",IF(V162&lt;&gt;V161,CHAR(10)&amp;UPPER(LEFT(V162,1))&amp;MID(V162,2,20)&amp;":"&amp;CHAR(10),"")&amp;"   "&amp;IF(INDEX('ORDENES'!$AH$4:$AH$1203,U162)="","(s/t)",INDEX('ORDENES'!$AH$4:$AH$1203,U162))&amp;" · "&amp;IF(INDEX('ORDENES'!$AG$4:$AG$1203,U162)="","(sin técnico)",INDEX('ORDENES'!$AG$4:$AG$1203,U162))&amp;" · "&amp;INDEX('ORDENES'!$AT$4:$AT$1203,U162)&amp;"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IF(AND(IF($B$3="(todos)",TRUE,'ORDENES'!$O159=$B$3),IF($D$3="(todos)",TRUE,'ORDENES'!$AH159=$D$3),IF($F$3="(todos)",TRUE,'ORDENES'!$Z159=$F$3),IF($H$3="(todos)",TRUE,'ORDENES'!$Y159=$H$3),'ORDENES'!$AF159=TRUE,'ORDENES'!$A159&lt;&gt;""),1,0)</f>
        <v/>
      </c>
      <c r="L163" s="5">
        <f>IF(K163=1,IFERROR(MATCH('ORDENES'!$S159,lista_dias,0),9)*1000000000+IFERROR(MATCH('ORDENES'!$AH159,lista_turnos,0),9)*10000000+IFERROR(MATCH('ORDENES'!$AG159,'TECNICOS'!$B$4:$B$19,0),99)*100000+156,9000000000000+156)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2">
        <f>IF(K163=1,'ORDENES'!$J159,"")</f>
        <v/>
      </c>
      <c r="U163" s="5">
        <f>IFERROR(MATCH(156,$M$8:$M$1207,0),"")</f>
        <v/>
      </c>
      <c r="V163" s="5">
        <f>IF(U163="","",INDEX('ORDENES'!$S$4:$S$1203,U163))</f>
        <v/>
      </c>
      <c r="W163" s="5">
        <f>IF(U163="","",IF(V163&lt;&gt;V162,CHAR(10)&amp;UPPER(LEFT(V163,1))&amp;MID(V163,2,20)&amp;":"&amp;CHAR(10),"")&amp;"   "&amp;IF(INDEX('ORDENES'!$AH$4:$AH$1203,U163)="","(s/t)",INDEX('ORDENES'!$AH$4:$AH$1203,U163))&amp;" · "&amp;IF(INDEX('ORDENES'!$AG$4:$AG$1203,U163)="","(sin técnico)",INDEX('ORDENES'!$AG$4:$AG$1203,U163))&amp;" · "&amp;INDEX('ORDENES'!$AT$4:$AT$1203,U163)&amp;"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IF(AND(IF($B$3="(todos)",TRUE,'ORDENES'!$O160=$B$3),IF($D$3="(todos)",TRUE,'ORDENES'!$AH160=$D$3),IF($F$3="(todos)",TRUE,'ORDENES'!$Z160=$F$3),IF($H$3="(todos)",TRUE,'ORDENES'!$Y160=$H$3),'ORDENES'!$AF160=TRUE,'ORDENES'!$A160&lt;&gt;""),1,0)</f>
        <v/>
      </c>
      <c r="L164" s="5">
        <f>IF(K164=1,IFERROR(MATCH('ORDENES'!$S160,lista_dias,0),9)*1000000000+IFERROR(MATCH('ORDENES'!$AH160,lista_turnos,0),9)*10000000+IFERROR(MATCH('ORDENES'!$AG160,'TECNICOS'!$B$4:$B$19,0),99)*100000+157,9000000000000+157)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2">
        <f>IF(K164=1,'ORDENES'!$J160,"")</f>
        <v/>
      </c>
      <c r="U164" s="5">
        <f>IFERROR(MATCH(157,$M$8:$M$1207,0),"")</f>
        <v/>
      </c>
      <c r="V164" s="5">
        <f>IF(U164="","",INDEX('ORDENES'!$S$4:$S$1203,U164))</f>
        <v/>
      </c>
      <c r="W164" s="5">
        <f>IF(U164="","",IF(V164&lt;&gt;V163,CHAR(10)&amp;UPPER(LEFT(V164,1))&amp;MID(V164,2,20)&amp;":"&amp;CHAR(10),"")&amp;"   "&amp;IF(INDEX('ORDENES'!$AH$4:$AH$1203,U164)="","(s/t)",INDEX('ORDENES'!$AH$4:$AH$1203,U164))&amp;" · "&amp;IF(INDEX('ORDENES'!$AG$4:$AG$1203,U164)="","(sin técnico)",INDEX('ORDENES'!$AG$4:$AG$1203,U164))&amp;" · "&amp;INDEX('ORDENES'!$AT$4:$AT$1203,U164)&amp;"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IF(AND(IF($B$3="(todos)",TRUE,'ORDENES'!$O161=$B$3),IF($D$3="(todos)",TRUE,'ORDENES'!$AH161=$D$3),IF($F$3="(todos)",TRUE,'ORDENES'!$Z161=$F$3),IF($H$3="(todos)",TRUE,'ORDENES'!$Y161=$H$3),'ORDENES'!$AF161=TRUE,'ORDENES'!$A161&lt;&gt;""),1,0)</f>
        <v/>
      </c>
      <c r="L165" s="5">
        <f>IF(K165=1,IFERROR(MATCH('ORDENES'!$S161,lista_dias,0),9)*1000000000+IFERROR(MATCH('ORDENES'!$AH161,lista_turnos,0),9)*10000000+IFERROR(MATCH('ORDENES'!$AG161,'TECNICOS'!$B$4:$B$19,0),99)*100000+158,9000000000000+158)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2">
        <f>IF(K165=1,'ORDENES'!$J161,"")</f>
        <v/>
      </c>
      <c r="U165" s="5">
        <f>IFERROR(MATCH(158,$M$8:$M$1207,0),"")</f>
        <v/>
      </c>
      <c r="V165" s="5">
        <f>IF(U165="","",INDEX('ORDENES'!$S$4:$S$1203,U165))</f>
        <v/>
      </c>
      <c r="W165" s="5">
        <f>IF(U165="","",IF(V165&lt;&gt;V164,CHAR(10)&amp;UPPER(LEFT(V165,1))&amp;MID(V165,2,20)&amp;":"&amp;CHAR(10),"")&amp;"   "&amp;IF(INDEX('ORDENES'!$AH$4:$AH$1203,U165)="","(s/t)",INDEX('ORDENES'!$AH$4:$AH$1203,U165))&amp;" · "&amp;IF(INDEX('ORDENES'!$AG$4:$AG$1203,U165)="","(sin técnico)",INDEX('ORDENES'!$AG$4:$AG$1203,U165))&amp;" · "&amp;INDEX('ORDENES'!$AT$4:$AT$1203,U165)&amp;"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IF(AND(IF($B$3="(todos)",TRUE,'ORDENES'!$O162=$B$3),IF($D$3="(todos)",TRUE,'ORDENES'!$AH162=$D$3),IF($F$3="(todos)",TRUE,'ORDENES'!$Z162=$F$3),IF($H$3="(todos)",TRUE,'ORDENES'!$Y162=$H$3),'ORDENES'!$AF162=TRUE,'ORDENES'!$A162&lt;&gt;""),1,0)</f>
        <v/>
      </c>
      <c r="L166" s="5">
        <f>IF(K166=1,IFERROR(MATCH('ORDENES'!$S162,lista_dias,0),9)*1000000000+IFERROR(MATCH('ORDENES'!$AH162,lista_turnos,0),9)*10000000+IFERROR(MATCH('ORDENES'!$AG162,'TECNICOS'!$B$4:$B$19,0),99)*100000+159,9000000000000+159)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2">
        <f>IF(K166=1,'ORDENES'!$J162,"")</f>
        <v/>
      </c>
      <c r="U166" s="5">
        <f>IFERROR(MATCH(159,$M$8:$M$1207,0),"")</f>
        <v/>
      </c>
      <c r="V166" s="5">
        <f>IF(U166="","",INDEX('ORDENES'!$S$4:$S$1203,U166))</f>
        <v/>
      </c>
      <c r="W166" s="5">
        <f>IF(U166="","",IF(V166&lt;&gt;V165,CHAR(10)&amp;UPPER(LEFT(V166,1))&amp;MID(V166,2,20)&amp;":"&amp;CHAR(10),"")&amp;"   "&amp;IF(INDEX('ORDENES'!$AH$4:$AH$1203,U166)="","(s/t)",INDEX('ORDENES'!$AH$4:$AH$1203,U166))&amp;" · "&amp;IF(INDEX('ORDENES'!$AG$4:$AG$1203,U166)="","(sin técnico)",INDEX('ORDENES'!$AG$4:$AG$1203,U166))&amp;" · "&amp;INDEX('ORDENES'!$AT$4:$AT$1203,U166)&amp;"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IF(AND(IF($B$3="(todos)",TRUE,'ORDENES'!$O163=$B$3),IF($D$3="(todos)",TRUE,'ORDENES'!$AH163=$D$3),IF($F$3="(todos)",TRUE,'ORDENES'!$Z163=$F$3),IF($H$3="(todos)",TRUE,'ORDENES'!$Y163=$H$3),'ORDENES'!$AF163=TRUE,'ORDENES'!$A163&lt;&gt;""),1,0)</f>
        <v/>
      </c>
      <c r="L167" s="5">
        <f>IF(K167=1,IFERROR(MATCH('ORDENES'!$S163,lista_dias,0),9)*1000000000+IFERROR(MATCH('ORDENES'!$AH163,lista_turnos,0),9)*10000000+IFERROR(MATCH('ORDENES'!$AG163,'TECNICOS'!$B$4:$B$19,0),99)*100000+160,9000000000000+160)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2">
        <f>IF(K167=1,'ORDENES'!$J163,"")</f>
        <v/>
      </c>
      <c r="U167" s="5">
        <f>IFERROR(MATCH(160,$M$8:$M$1207,0),"")</f>
        <v/>
      </c>
      <c r="V167" s="5">
        <f>IF(U167="","",INDEX('ORDENES'!$S$4:$S$1203,U167))</f>
        <v/>
      </c>
      <c r="W167" s="5">
        <f>IF(U167="","",IF(V167&lt;&gt;V166,CHAR(10)&amp;UPPER(LEFT(V167,1))&amp;MID(V167,2,20)&amp;":"&amp;CHAR(10),"")&amp;"   "&amp;IF(INDEX('ORDENES'!$AH$4:$AH$1203,U167)="","(s/t)",INDEX('ORDENES'!$AH$4:$AH$1203,U167))&amp;" · "&amp;IF(INDEX('ORDENES'!$AG$4:$AG$1203,U167)="","(sin técnico)",INDEX('ORDENES'!$AG$4:$AG$1203,U167))&amp;" · "&amp;INDEX('ORDENES'!$AT$4:$AT$1203,U167)&amp;"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IF(AND(IF($B$3="(todos)",TRUE,'ORDENES'!$O164=$B$3),IF($D$3="(todos)",TRUE,'ORDENES'!$AH164=$D$3),IF($F$3="(todos)",TRUE,'ORDENES'!$Z164=$F$3),IF($H$3="(todos)",TRUE,'ORDENES'!$Y164=$H$3),'ORDENES'!$AF164=TRUE,'ORDENES'!$A164&lt;&gt;""),1,0)</f>
        <v/>
      </c>
      <c r="L168" s="5">
        <f>IF(K168=1,IFERROR(MATCH('ORDENES'!$S164,lista_dias,0),9)*1000000000+IFERROR(MATCH('ORDENES'!$AH164,lista_turnos,0),9)*10000000+IFERROR(MATCH('ORDENES'!$AG164,'TECNICOS'!$B$4:$B$19,0),99)*100000+161,9000000000000+161)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2">
        <f>IF(K168=1,'ORDENES'!$J164,"")</f>
        <v/>
      </c>
      <c r="U168" s="5">
        <f>IFERROR(MATCH(161,$M$8:$M$1207,0),"")</f>
        <v/>
      </c>
      <c r="V168" s="5">
        <f>IF(U168="","",INDEX('ORDENES'!$S$4:$S$1203,U168))</f>
        <v/>
      </c>
      <c r="W168" s="5">
        <f>IF(U168="","",IF(V168&lt;&gt;V167,CHAR(10)&amp;UPPER(LEFT(V168,1))&amp;MID(V168,2,20)&amp;":"&amp;CHAR(10),"")&amp;"   "&amp;IF(INDEX('ORDENES'!$AH$4:$AH$1203,U168)="","(s/t)",INDEX('ORDENES'!$AH$4:$AH$1203,U168))&amp;" · "&amp;IF(INDEX('ORDENES'!$AG$4:$AG$1203,U168)="","(sin técnico)",INDEX('ORDENES'!$AG$4:$AG$1203,U168))&amp;" · "&amp;INDEX('ORDENES'!$AT$4:$AT$1203,U168)&amp;"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IF(AND(IF($B$3="(todos)",TRUE,'ORDENES'!$O165=$B$3),IF($D$3="(todos)",TRUE,'ORDENES'!$AH165=$D$3),IF($F$3="(todos)",TRUE,'ORDENES'!$Z165=$F$3),IF($H$3="(todos)",TRUE,'ORDENES'!$Y165=$H$3),'ORDENES'!$AF165=TRUE,'ORDENES'!$A165&lt;&gt;""),1,0)</f>
        <v/>
      </c>
      <c r="L169" s="5">
        <f>IF(K169=1,IFERROR(MATCH('ORDENES'!$S165,lista_dias,0),9)*1000000000+IFERROR(MATCH('ORDENES'!$AH165,lista_turnos,0),9)*10000000+IFERROR(MATCH('ORDENES'!$AG165,'TECNICOS'!$B$4:$B$19,0),99)*100000+162,9000000000000+162)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2">
        <f>IF(K169=1,'ORDENES'!$J165,"")</f>
        <v/>
      </c>
      <c r="U169" s="5">
        <f>IFERROR(MATCH(162,$M$8:$M$1207,0),"")</f>
        <v/>
      </c>
      <c r="V169" s="5">
        <f>IF(U169="","",INDEX('ORDENES'!$S$4:$S$1203,U169))</f>
        <v/>
      </c>
      <c r="W169" s="5">
        <f>IF(U169="","",IF(V169&lt;&gt;V168,CHAR(10)&amp;UPPER(LEFT(V169,1))&amp;MID(V169,2,20)&amp;":"&amp;CHAR(10),"")&amp;"   "&amp;IF(INDEX('ORDENES'!$AH$4:$AH$1203,U169)="","(s/t)",INDEX('ORDENES'!$AH$4:$AH$1203,U169))&amp;" · "&amp;IF(INDEX('ORDENES'!$AG$4:$AG$1203,U169)="","(sin técnico)",INDEX('ORDENES'!$AG$4:$AG$1203,U169))&amp;" · "&amp;INDEX('ORDENES'!$AT$4:$AT$1203,U169)&amp;"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IF(AND(IF($B$3="(todos)",TRUE,'ORDENES'!$O166=$B$3),IF($D$3="(todos)",TRUE,'ORDENES'!$AH166=$D$3),IF($F$3="(todos)",TRUE,'ORDENES'!$Z166=$F$3),IF($H$3="(todos)",TRUE,'ORDENES'!$Y166=$H$3),'ORDENES'!$AF166=TRUE,'ORDENES'!$A166&lt;&gt;""),1,0)</f>
        <v/>
      </c>
      <c r="L170" s="5">
        <f>IF(K170=1,IFERROR(MATCH('ORDENES'!$S166,lista_dias,0),9)*1000000000+IFERROR(MATCH('ORDENES'!$AH166,lista_turnos,0),9)*10000000+IFERROR(MATCH('ORDENES'!$AG166,'TECNICOS'!$B$4:$B$19,0),99)*100000+163,9000000000000+163)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2">
        <f>IF(K170=1,'ORDENES'!$J166,"")</f>
        <v/>
      </c>
      <c r="U170" s="5">
        <f>IFERROR(MATCH(163,$M$8:$M$1207,0),"")</f>
        <v/>
      </c>
      <c r="V170" s="5">
        <f>IF(U170="","",INDEX('ORDENES'!$S$4:$S$1203,U170))</f>
        <v/>
      </c>
      <c r="W170" s="5">
        <f>IF(U170="","",IF(V170&lt;&gt;V169,CHAR(10)&amp;UPPER(LEFT(V170,1))&amp;MID(V170,2,20)&amp;":"&amp;CHAR(10),"")&amp;"   "&amp;IF(INDEX('ORDENES'!$AH$4:$AH$1203,U170)="","(s/t)",INDEX('ORDENES'!$AH$4:$AH$1203,U170))&amp;" · "&amp;IF(INDEX('ORDENES'!$AG$4:$AG$1203,U170)="","(sin técnico)",INDEX('ORDENES'!$AG$4:$AG$1203,U170))&amp;" · "&amp;INDEX('ORDENES'!$AT$4:$AT$1203,U170)&amp;"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IF(AND(IF($B$3="(todos)",TRUE,'ORDENES'!$O167=$B$3),IF($D$3="(todos)",TRUE,'ORDENES'!$AH167=$D$3),IF($F$3="(todos)",TRUE,'ORDENES'!$Z167=$F$3),IF($H$3="(todos)",TRUE,'ORDENES'!$Y167=$H$3),'ORDENES'!$AF167=TRUE,'ORDENES'!$A167&lt;&gt;""),1,0)</f>
        <v/>
      </c>
      <c r="L171" s="5">
        <f>IF(K171=1,IFERROR(MATCH('ORDENES'!$S167,lista_dias,0),9)*1000000000+IFERROR(MATCH('ORDENES'!$AH167,lista_turnos,0),9)*10000000+IFERROR(MATCH('ORDENES'!$AG167,'TECNICOS'!$B$4:$B$19,0),99)*100000+164,9000000000000+164)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2">
        <f>IF(K171=1,'ORDENES'!$J167,"")</f>
        <v/>
      </c>
      <c r="U171" s="5">
        <f>IFERROR(MATCH(164,$M$8:$M$1207,0),"")</f>
        <v/>
      </c>
      <c r="V171" s="5">
        <f>IF(U171="","",INDEX('ORDENES'!$S$4:$S$1203,U171))</f>
        <v/>
      </c>
      <c r="W171" s="5">
        <f>IF(U171="","",IF(V171&lt;&gt;V170,CHAR(10)&amp;UPPER(LEFT(V171,1))&amp;MID(V171,2,20)&amp;":"&amp;CHAR(10),"")&amp;"   "&amp;IF(INDEX('ORDENES'!$AH$4:$AH$1203,U171)="","(s/t)",INDEX('ORDENES'!$AH$4:$AH$1203,U171))&amp;" · "&amp;IF(INDEX('ORDENES'!$AG$4:$AG$1203,U171)="","(sin técnico)",INDEX('ORDENES'!$AG$4:$AG$1203,U171))&amp;" · "&amp;INDEX('ORDENES'!$AT$4:$AT$1203,U171)&amp;"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IF(AND(IF($B$3="(todos)",TRUE,'ORDENES'!$O168=$B$3),IF($D$3="(todos)",TRUE,'ORDENES'!$AH168=$D$3),IF($F$3="(todos)",TRUE,'ORDENES'!$Z168=$F$3),IF($H$3="(todos)",TRUE,'ORDENES'!$Y168=$H$3),'ORDENES'!$AF168=TRUE,'ORDENES'!$A168&lt;&gt;""),1,0)</f>
        <v/>
      </c>
      <c r="L172" s="5">
        <f>IF(K172=1,IFERROR(MATCH('ORDENES'!$S168,lista_dias,0),9)*1000000000+IFERROR(MATCH('ORDENES'!$AH168,lista_turnos,0),9)*10000000+IFERROR(MATCH('ORDENES'!$AG168,'TECNICOS'!$B$4:$B$19,0),99)*100000+165,9000000000000+165)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2">
        <f>IF(K172=1,'ORDENES'!$J168,"")</f>
        <v/>
      </c>
      <c r="U172" s="5">
        <f>IFERROR(MATCH(165,$M$8:$M$1207,0),"")</f>
        <v/>
      </c>
      <c r="V172" s="5">
        <f>IF(U172="","",INDEX('ORDENES'!$S$4:$S$1203,U172))</f>
        <v/>
      </c>
      <c r="W172" s="5">
        <f>IF(U172="","",IF(V172&lt;&gt;V171,CHAR(10)&amp;UPPER(LEFT(V172,1))&amp;MID(V172,2,20)&amp;":"&amp;CHAR(10),"")&amp;"   "&amp;IF(INDEX('ORDENES'!$AH$4:$AH$1203,U172)="","(s/t)",INDEX('ORDENES'!$AH$4:$AH$1203,U172))&amp;" · "&amp;IF(INDEX('ORDENES'!$AG$4:$AG$1203,U172)="","(sin técnico)",INDEX('ORDENES'!$AG$4:$AG$1203,U172))&amp;" · "&amp;INDEX('ORDENES'!$AT$4:$AT$1203,U172)&amp;"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IF(AND(IF($B$3="(todos)",TRUE,'ORDENES'!$O169=$B$3),IF($D$3="(todos)",TRUE,'ORDENES'!$AH169=$D$3),IF($F$3="(todos)",TRUE,'ORDENES'!$Z169=$F$3),IF($H$3="(todos)",TRUE,'ORDENES'!$Y169=$H$3),'ORDENES'!$AF169=TRUE,'ORDENES'!$A169&lt;&gt;""),1,0)</f>
        <v/>
      </c>
      <c r="L173" s="5">
        <f>IF(K173=1,IFERROR(MATCH('ORDENES'!$S169,lista_dias,0),9)*1000000000+IFERROR(MATCH('ORDENES'!$AH169,lista_turnos,0),9)*10000000+IFERROR(MATCH('ORDENES'!$AG169,'TECNICOS'!$B$4:$B$19,0),99)*100000+166,9000000000000+166)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2">
        <f>IF(K173=1,'ORDENES'!$J169,"")</f>
        <v/>
      </c>
      <c r="U173" s="5">
        <f>IFERROR(MATCH(166,$M$8:$M$1207,0),"")</f>
        <v/>
      </c>
      <c r="V173" s="5">
        <f>IF(U173="","",INDEX('ORDENES'!$S$4:$S$1203,U173))</f>
        <v/>
      </c>
      <c r="W173" s="5">
        <f>IF(U173="","",IF(V173&lt;&gt;V172,CHAR(10)&amp;UPPER(LEFT(V173,1))&amp;MID(V173,2,20)&amp;":"&amp;CHAR(10),"")&amp;"   "&amp;IF(INDEX('ORDENES'!$AH$4:$AH$1203,U173)="","(s/t)",INDEX('ORDENES'!$AH$4:$AH$1203,U173))&amp;" · "&amp;IF(INDEX('ORDENES'!$AG$4:$AG$1203,U173)="","(sin técnico)",INDEX('ORDENES'!$AG$4:$AG$1203,U173))&amp;" · "&amp;INDEX('ORDENES'!$AT$4:$AT$1203,U173)&amp;"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IF(AND(IF($B$3="(todos)",TRUE,'ORDENES'!$O170=$B$3),IF($D$3="(todos)",TRUE,'ORDENES'!$AH170=$D$3),IF($F$3="(todos)",TRUE,'ORDENES'!$Z170=$F$3),IF($H$3="(todos)",TRUE,'ORDENES'!$Y170=$H$3),'ORDENES'!$AF170=TRUE,'ORDENES'!$A170&lt;&gt;""),1,0)</f>
        <v/>
      </c>
      <c r="L174" s="5">
        <f>IF(K174=1,IFERROR(MATCH('ORDENES'!$S170,lista_dias,0),9)*1000000000+IFERROR(MATCH('ORDENES'!$AH170,lista_turnos,0),9)*10000000+IFERROR(MATCH('ORDENES'!$AG170,'TECNICOS'!$B$4:$B$19,0),99)*100000+167,9000000000000+167)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2">
        <f>IF(K174=1,'ORDENES'!$J170,"")</f>
        <v/>
      </c>
      <c r="U174" s="5">
        <f>IFERROR(MATCH(167,$M$8:$M$1207,0),"")</f>
        <v/>
      </c>
      <c r="V174" s="5">
        <f>IF(U174="","",INDEX('ORDENES'!$S$4:$S$1203,U174))</f>
        <v/>
      </c>
      <c r="W174" s="5">
        <f>IF(U174="","",IF(V174&lt;&gt;V173,CHAR(10)&amp;UPPER(LEFT(V174,1))&amp;MID(V174,2,20)&amp;":"&amp;CHAR(10),"")&amp;"   "&amp;IF(INDEX('ORDENES'!$AH$4:$AH$1203,U174)="","(s/t)",INDEX('ORDENES'!$AH$4:$AH$1203,U174))&amp;" · "&amp;IF(INDEX('ORDENES'!$AG$4:$AG$1203,U174)="","(sin técnico)",INDEX('ORDENES'!$AG$4:$AG$1203,U174))&amp;" · "&amp;INDEX('ORDENES'!$AT$4:$AT$1203,U174)&amp;"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IF(AND(IF($B$3="(todos)",TRUE,'ORDENES'!$O171=$B$3),IF($D$3="(todos)",TRUE,'ORDENES'!$AH171=$D$3),IF($F$3="(todos)",TRUE,'ORDENES'!$Z171=$F$3),IF($H$3="(todos)",TRUE,'ORDENES'!$Y171=$H$3),'ORDENES'!$AF171=TRUE,'ORDENES'!$A171&lt;&gt;""),1,0)</f>
        <v/>
      </c>
      <c r="L175" s="5">
        <f>IF(K175=1,IFERROR(MATCH('ORDENES'!$S171,lista_dias,0),9)*1000000000+IFERROR(MATCH('ORDENES'!$AH171,lista_turnos,0),9)*10000000+IFERROR(MATCH('ORDENES'!$AG171,'TECNICOS'!$B$4:$B$19,0),99)*100000+168,9000000000000+168)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2">
        <f>IF(K175=1,'ORDENES'!$J171,"")</f>
        <v/>
      </c>
      <c r="U175" s="5">
        <f>IFERROR(MATCH(168,$M$8:$M$1207,0),"")</f>
        <v/>
      </c>
      <c r="V175" s="5">
        <f>IF(U175="","",INDEX('ORDENES'!$S$4:$S$1203,U175))</f>
        <v/>
      </c>
      <c r="W175" s="5">
        <f>IF(U175="","",IF(V175&lt;&gt;V174,CHAR(10)&amp;UPPER(LEFT(V175,1))&amp;MID(V175,2,20)&amp;":"&amp;CHAR(10),"")&amp;"   "&amp;IF(INDEX('ORDENES'!$AH$4:$AH$1203,U175)="","(s/t)",INDEX('ORDENES'!$AH$4:$AH$1203,U175))&amp;" · "&amp;IF(INDEX('ORDENES'!$AG$4:$AG$1203,U175)="","(sin técnico)",INDEX('ORDENES'!$AG$4:$AG$1203,U175))&amp;" · "&amp;INDEX('ORDENES'!$AT$4:$AT$1203,U175)&amp;"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IF(AND(IF($B$3="(todos)",TRUE,'ORDENES'!$O172=$B$3),IF($D$3="(todos)",TRUE,'ORDENES'!$AH172=$D$3),IF($F$3="(todos)",TRUE,'ORDENES'!$Z172=$F$3),IF($H$3="(todos)",TRUE,'ORDENES'!$Y172=$H$3),'ORDENES'!$AF172=TRUE,'ORDENES'!$A172&lt;&gt;""),1,0)</f>
        <v/>
      </c>
      <c r="L176" s="5">
        <f>IF(K176=1,IFERROR(MATCH('ORDENES'!$S172,lista_dias,0),9)*1000000000+IFERROR(MATCH('ORDENES'!$AH172,lista_turnos,0),9)*10000000+IFERROR(MATCH('ORDENES'!$AG172,'TECNICOS'!$B$4:$B$19,0),99)*100000+169,9000000000000+169)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2">
        <f>IF(K176=1,'ORDENES'!$J172,"")</f>
        <v/>
      </c>
      <c r="U176" s="5">
        <f>IFERROR(MATCH(169,$M$8:$M$1207,0),"")</f>
        <v/>
      </c>
      <c r="V176" s="5">
        <f>IF(U176="","",INDEX('ORDENES'!$S$4:$S$1203,U176))</f>
        <v/>
      </c>
      <c r="W176" s="5">
        <f>IF(U176="","",IF(V176&lt;&gt;V175,CHAR(10)&amp;UPPER(LEFT(V176,1))&amp;MID(V176,2,20)&amp;":"&amp;CHAR(10),"")&amp;"   "&amp;IF(INDEX('ORDENES'!$AH$4:$AH$1203,U176)="","(s/t)",INDEX('ORDENES'!$AH$4:$AH$1203,U176))&amp;" · "&amp;IF(INDEX('ORDENES'!$AG$4:$AG$1203,U176)="","(sin técnico)",INDEX('ORDENES'!$AG$4:$AG$1203,U176))&amp;" · "&amp;INDEX('ORDENES'!$AT$4:$AT$1203,U176)&amp;"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IF(AND(IF($B$3="(todos)",TRUE,'ORDENES'!$O173=$B$3),IF($D$3="(todos)",TRUE,'ORDENES'!$AH173=$D$3),IF($F$3="(todos)",TRUE,'ORDENES'!$Z173=$F$3),IF($H$3="(todos)",TRUE,'ORDENES'!$Y173=$H$3),'ORDENES'!$AF173=TRUE,'ORDENES'!$A173&lt;&gt;""),1,0)</f>
        <v/>
      </c>
      <c r="L177" s="5">
        <f>IF(K177=1,IFERROR(MATCH('ORDENES'!$S173,lista_dias,0),9)*1000000000+IFERROR(MATCH('ORDENES'!$AH173,lista_turnos,0),9)*10000000+IFERROR(MATCH('ORDENES'!$AG173,'TECNICOS'!$B$4:$B$19,0),99)*100000+170,9000000000000+170)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2">
        <f>IF(K177=1,'ORDENES'!$J173,"")</f>
        <v/>
      </c>
      <c r="U177" s="5">
        <f>IFERROR(MATCH(170,$M$8:$M$1207,0),"")</f>
        <v/>
      </c>
      <c r="V177" s="5">
        <f>IF(U177="","",INDEX('ORDENES'!$S$4:$S$1203,U177))</f>
        <v/>
      </c>
      <c r="W177" s="5">
        <f>IF(U177="","",IF(V177&lt;&gt;V176,CHAR(10)&amp;UPPER(LEFT(V177,1))&amp;MID(V177,2,20)&amp;":"&amp;CHAR(10),"")&amp;"   "&amp;IF(INDEX('ORDENES'!$AH$4:$AH$1203,U177)="","(s/t)",INDEX('ORDENES'!$AH$4:$AH$1203,U177))&amp;" · "&amp;IF(INDEX('ORDENES'!$AG$4:$AG$1203,U177)="","(sin técnico)",INDEX('ORDENES'!$AG$4:$AG$1203,U177))&amp;" · "&amp;INDEX('ORDENES'!$AT$4:$AT$1203,U177)&amp;"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IF(AND(IF($B$3="(todos)",TRUE,'ORDENES'!$O174=$B$3),IF($D$3="(todos)",TRUE,'ORDENES'!$AH174=$D$3),IF($F$3="(todos)",TRUE,'ORDENES'!$Z174=$F$3),IF($H$3="(todos)",TRUE,'ORDENES'!$Y174=$H$3),'ORDENES'!$AF174=TRUE,'ORDENES'!$A174&lt;&gt;""),1,0)</f>
        <v/>
      </c>
      <c r="L178" s="5">
        <f>IF(K178=1,IFERROR(MATCH('ORDENES'!$S174,lista_dias,0),9)*1000000000+IFERROR(MATCH('ORDENES'!$AH174,lista_turnos,0),9)*10000000+IFERROR(MATCH('ORDENES'!$AG174,'TECNICOS'!$B$4:$B$19,0),99)*100000+171,9000000000000+171)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2">
        <f>IF(K178=1,'ORDENES'!$J174,"")</f>
        <v/>
      </c>
      <c r="U178" s="5">
        <f>IFERROR(MATCH(171,$M$8:$M$1207,0),"")</f>
        <v/>
      </c>
      <c r="V178" s="5">
        <f>IF(U178="","",INDEX('ORDENES'!$S$4:$S$1203,U178))</f>
        <v/>
      </c>
      <c r="W178" s="5">
        <f>IF(U178="","",IF(V178&lt;&gt;V177,CHAR(10)&amp;UPPER(LEFT(V178,1))&amp;MID(V178,2,20)&amp;":"&amp;CHAR(10),"")&amp;"   "&amp;IF(INDEX('ORDENES'!$AH$4:$AH$1203,U178)="","(s/t)",INDEX('ORDENES'!$AH$4:$AH$1203,U178))&amp;" · "&amp;IF(INDEX('ORDENES'!$AG$4:$AG$1203,U178)="","(sin técnico)",INDEX('ORDENES'!$AG$4:$AG$1203,U178))&amp;" · "&amp;INDEX('ORDENES'!$AT$4:$AT$1203,U178)&amp;"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IF(AND(IF($B$3="(todos)",TRUE,'ORDENES'!$O175=$B$3),IF($D$3="(todos)",TRUE,'ORDENES'!$AH175=$D$3),IF($F$3="(todos)",TRUE,'ORDENES'!$Z175=$F$3),IF($H$3="(todos)",TRUE,'ORDENES'!$Y175=$H$3),'ORDENES'!$AF175=TRUE,'ORDENES'!$A175&lt;&gt;""),1,0)</f>
        <v/>
      </c>
      <c r="L179" s="5">
        <f>IF(K179=1,IFERROR(MATCH('ORDENES'!$S175,lista_dias,0),9)*1000000000+IFERROR(MATCH('ORDENES'!$AH175,lista_turnos,0),9)*10000000+IFERROR(MATCH('ORDENES'!$AG175,'TECNICOS'!$B$4:$B$19,0),99)*100000+172,9000000000000+172)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2">
        <f>IF(K179=1,'ORDENES'!$J175,"")</f>
        <v/>
      </c>
      <c r="U179" s="5">
        <f>IFERROR(MATCH(172,$M$8:$M$1207,0),"")</f>
        <v/>
      </c>
      <c r="V179" s="5">
        <f>IF(U179="","",INDEX('ORDENES'!$S$4:$S$1203,U179))</f>
        <v/>
      </c>
      <c r="W179" s="5">
        <f>IF(U179="","",IF(V179&lt;&gt;V178,CHAR(10)&amp;UPPER(LEFT(V179,1))&amp;MID(V179,2,20)&amp;":"&amp;CHAR(10),"")&amp;"   "&amp;IF(INDEX('ORDENES'!$AH$4:$AH$1203,U179)="","(s/t)",INDEX('ORDENES'!$AH$4:$AH$1203,U179))&amp;" · "&amp;IF(INDEX('ORDENES'!$AG$4:$AG$1203,U179)="","(sin técnico)",INDEX('ORDENES'!$AG$4:$AG$1203,U179))&amp;" · "&amp;INDEX('ORDENES'!$AT$4:$AT$1203,U179)&amp;"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IF(AND(IF($B$3="(todos)",TRUE,'ORDENES'!$O176=$B$3),IF($D$3="(todos)",TRUE,'ORDENES'!$AH176=$D$3),IF($F$3="(todos)",TRUE,'ORDENES'!$Z176=$F$3),IF($H$3="(todos)",TRUE,'ORDENES'!$Y176=$H$3),'ORDENES'!$AF176=TRUE,'ORDENES'!$A176&lt;&gt;""),1,0)</f>
        <v/>
      </c>
      <c r="L180" s="5">
        <f>IF(K180=1,IFERROR(MATCH('ORDENES'!$S176,lista_dias,0),9)*1000000000+IFERROR(MATCH('ORDENES'!$AH176,lista_turnos,0),9)*10000000+IFERROR(MATCH('ORDENES'!$AG176,'TECNICOS'!$B$4:$B$19,0),99)*100000+173,9000000000000+173)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2">
        <f>IF(K180=1,'ORDENES'!$J176,"")</f>
        <v/>
      </c>
      <c r="U180" s="5">
        <f>IFERROR(MATCH(173,$M$8:$M$1207,0),"")</f>
        <v/>
      </c>
      <c r="V180" s="5">
        <f>IF(U180="","",INDEX('ORDENES'!$S$4:$S$1203,U180))</f>
        <v/>
      </c>
      <c r="W180" s="5">
        <f>IF(U180="","",IF(V180&lt;&gt;V179,CHAR(10)&amp;UPPER(LEFT(V180,1))&amp;MID(V180,2,20)&amp;":"&amp;CHAR(10),"")&amp;"   "&amp;IF(INDEX('ORDENES'!$AH$4:$AH$1203,U180)="","(s/t)",INDEX('ORDENES'!$AH$4:$AH$1203,U180))&amp;" · "&amp;IF(INDEX('ORDENES'!$AG$4:$AG$1203,U180)="","(sin técnico)",INDEX('ORDENES'!$AG$4:$AG$1203,U180))&amp;" · "&amp;INDEX('ORDENES'!$AT$4:$AT$1203,U180)&amp;"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IF(AND(IF($B$3="(todos)",TRUE,'ORDENES'!$O177=$B$3),IF($D$3="(todos)",TRUE,'ORDENES'!$AH177=$D$3),IF($F$3="(todos)",TRUE,'ORDENES'!$Z177=$F$3),IF($H$3="(todos)",TRUE,'ORDENES'!$Y177=$H$3),'ORDENES'!$AF177=TRUE,'ORDENES'!$A177&lt;&gt;""),1,0)</f>
        <v/>
      </c>
      <c r="L181" s="5">
        <f>IF(K181=1,IFERROR(MATCH('ORDENES'!$S177,lista_dias,0),9)*1000000000+IFERROR(MATCH('ORDENES'!$AH177,lista_turnos,0),9)*10000000+IFERROR(MATCH('ORDENES'!$AG177,'TECNICOS'!$B$4:$B$19,0),99)*100000+174,9000000000000+174)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2">
        <f>IF(K181=1,'ORDENES'!$J177,"")</f>
        <v/>
      </c>
      <c r="U181" s="5">
        <f>IFERROR(MATCH(174,$M$8:$M$1207,0),"")</f>
        <v/>
      </c>
      <c r="V181" s="5">
        <f>IF(U181="","",INDEX('ORDENES'!$S$4:$S$1203,U181))</f>
        <v/>
      </c>
      <c r="W181" s="5">
        <f>IF(U181="","",IF(V181&lt;&gt;V180,CHAR(10)&amp;UPPER(LEFT(V181,1))&amp;MID(V181,2,20)&amp;":"&amp;CHAR(10),"")&amp;"   "&amp;IF(INDEX('ORDENES'!$AH$4:$AH$1203,U181)="","(s/t)",INDEX('ORDENES'!$AH$4:$AH$1203,U181))&amp;" · "&amp;IF(INDEX('ORDENES'!$AG$4:$AG$1203,U181)="","(sin técnico)",INDEX('ORDENES'!$AG$4:$AG$1203,U181))&amp;" · "&amp;INDEX('ORDENES'!$AT$4:$AT$1203,U181)&amp;"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IF(AND(IF($B$3="(todos)",TRUE,'ORDENES'!$O178=$B$3),IF($D$3="(todos)",TRUE,'ORDENES'!$AH178=$D$3),IF($F$3="(todos)",TRUE,'ORDENES'!$Z178=$F$3),IF($H$3="(todos)",TRUE,'ORDENES'!$Y178=$H$3),'ORDENES'!$AF178=TRUE,'ORDENES'!$A178&lt;&gt;""),1,0)</f>
        <v/>
      </c>
      <c r="L182" s="5">
        <f>IF(K182=1,IFERROR(MATCH('ORDENES'!$S178,lista_dias,0),9)*1000000000+IFERROR(MATCH('ORDENES'!$AH178,lista_turnos,0),9)*10000000+IFERROR(MATCH('ORDENES'!$AG178,'TECNICOS'!$B$4:$B$19,0),99)*100000+175,9000000000000+175)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2">
        <f>IF(K182=1,'ORDENES'!$J178,"")</f>
        <v/>
      </c>
      <c r="U182" s="5">
        <f>IFERROR(MATCH(175,$M$8:$M$1207,0),"")</f>
        <v/>
      </c>
      <c r="V182" s="5">
        <f>IF(U182="","",INDEX('ORDENES'!$S$4:$S$1203,U182))</f>
        <v/>
      </c>
      <c r="W182" s="5">
        <f>IF(U182="","",IF(V182&lt;&gt;V181,CHAR(10)&amp;UPPER(LEFT(V182,1))&amp;MID(V182,2,20)&amp;":"&amp;CHAR(10),"")&amp;"   "&amp;IF(INDEX('ORDENES'!$AH$4:$AH$1203,U182)="","(s/t)",INDEX('ORDENES'!$AH$4:$AH$1203,U182))&amp;" · "&amp;IF(INDEX('ORDENES'!$AG$4:$AG$1203,U182)="","(sin técnico)",INDEX('ORDENES'!$AG$4:$AG$1203,U182))&amp;" · "&amp;INDEX('ORDENES'!$AT$4:$AT$1203,U182)&amp;"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IF(AND(IF($B$3="(todos)",TRUE,'ORDENES'!$O179=$B$3),IF($D$3="(todos)",TRUE,'ORDENES'!$AH179=$D$3),IF($F$3="(todos)",TRUE,'ORDENES'!$Z179=$F$3),IF($H$3="(todos)",TRUE,'ORDENES'!$Y179=$H$3),'ORDENES'!$AF179=TRUE,'ORDENES'!$A179&lt;&gt;""),1,0)</f>
        <v/>
      </c>
      <c r="L183" s="5">
        <f>IF(K183=1,IFERROR(MATCH('ORDENES'!$S179,lista_dias,0),9)*1000000000+IFERROR(MATCH('ORDENES'!$AH179,lista_turnos,0),9)*10000000+IFERROR(MATCH('ORDENES'!$AG179,'TECNICOS'!$B$4:$B$19,0),99)*100000+176,9000000000000+176)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2">
        <f>IF(K183=1,'ORDENES'!$J179,"")</f>
        <v/>
      </c>
      <c r="U183" s="5">
        <f>IFERROR(MATCH(176,$M$8:$M$1207,0),"")</f>
        <v/>
      </c>
      <c r="V183" s="5">
        <f>IF(U183="","",INDEX('ORDENES'!$S$4:$S$1203,U183))</f>
        <v/>
      </c>
      <c r="W183" s="5">
        <f>IF(U183="","",IF(V183&lt;&gt;V182,CHAR(10)&amp;UPPER(LEFT(V183,1))&amp;MID(V183,2,20)&amp;":"&amp;CHAR(10),"")&amp;"   "&amp;IF(INDEX('ORDENES'!$AH$4:$AH$1203,U183)="","(s/t)",INDEX('ORDENES'!$AH$4:$AH$1203,U183))&amp;" · "&amp;IF(INDEX('ORDENES'!$AG$4:$AG$1203,U183)="","(sin técnico)",INDEX('ORDENES'!$AG$4:$AG$1203,U183))&amp;" · "&amp;INDEX('ORDENES'!$AT$4:$AT$1203,U183)&amp;"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IF(AND(IF($B$3="(todos)",TRUE,'ORDENES'!$O180=$B$3),IF($D$3="(todos)",TRUE,'ORDENES'!$AH180=$D$3),IF($F$3="(todos)",TRUE,'ORDENES'!$Z180=$F$3),IF($H$3="(todos)",TRUE,'ORDENES'!$Y180=$H$3),'ORDENES'!$AF180=TRUE,'ORDENES'!$A180&lt;&gt;""),1,0)</f>
        <v/>
      </c>
      <c r="L184" s="5">
        <f>IF(K184=1,IFERROR(MATCH('ORDENES'!$S180,lista_dias,0),9)*1000000000+IFERROR(MATCH('ORDENES'!$AH180,lista_turnos,0),9)*10000000+IFERROR(MATCH('ORDENES'!$AG180,'TECNICOS'!$B$4:$B$19,0),99)*100000+177,9000000000000+177)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2">
        <f>IF(K184=1,'ORDENES'!$J180,"")</f>
        <v/>
      </c>
      <c r="U184" s="5">
        <f>IFERROR(MATCH(177,$M$8:$M$1207,0),"")</f>
        <v/>
      </c>
      <c r="V184" s="5">
        <f>IF(U184="","",INDEX('ORDENES'!$S$4:$S$1203,U184))</f>
        <v/>
      </c>
      <c r="W184" s="5">
        <f>IF(U184="","",IF(V184&lt;&gt;V183,CHAR(10)&amp;UPPER(LEFT(V184,1))&amp;MID(V184,2,20)&amp;":"&amp;CHAR(10),"")&amp;"   "&amp;IF(INDEX('ORDENES'!$AH$4:$AH$1203,U184)="","(s/t)",INDEX('ORDENES'!$AH$4:$AH$1203,U184))&amp;" · "&amp;IF(INDEX('ORDENES'!$AG$4:$AG$1203,U184)="","(sin técnico)",INDEX('ORDENES'!$AG$4:$AG$1203,U184))&amp;" · "&amp;INDEX('ORDENES'!$AT$4:$AT$1203,U184)&amp;"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IF(AND(IF($B$3="(todos)",TRUE,'ORDENES'!$O181=$B$3),IF($D$3="(todos)",TRUE,'ORDENES'!$AH181=$D$3),IF($F$3="(todos)",TRUE,'ORDENES'!$Z181=$F$3),IF($H$3="(todos)",TRUE,'ORDENES'!$Y181=$H$3),'ORDENES'!$AF181=TRUE,'ORDENES'!$A181&lt;&gt;""),1,0)</f>
        <v/>
      </c>
      <c r="L185" s="5">
        <f>IF(K185=1,IFERROR(MATCH('ORDENES'!$S181,lista_dias,0),9)*1000000000+IFERROR(MATCH('ORDENES'!$AH181,lista_turnos,0),9)*10000000+IFERROR(MATCH('ORDENES'!$AG181,'TECNICOS'!$B$4:$B$19,0),99)*100000+178,9000000000000+178)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2">
        <f>IF(K185=1,'ORDENES'!$J181,"")</f>
        <v/>
      </c>
      <c r="U185" s="5">
        <f>IFERROR(MATCH(178,$M$8:$M$1207,0),"")</f>
        <v/>
      </c>
      <c r="V185" s="5">
        <f>IF(U185="","",INDEX('ORDENES'!$S$4:$S$1203,U185))</f>
        <v/>
      </c>
      <c r="W185" s="5">
        <f>IF(U185="","",IF(V185&lt;&gt;V184,CHAR(10)&amp;UPPER(LEFT(V185,1))&amp;MID(V185,2,20)&amp;":"&amp;CHAR(10),"")&amp;"   "&amp;IF(INDEX('ORDENES'!$AH$4:$AH$1203,U185)="","(s/t)",INDEX('ORDENES'!$AH$4:$AH$1203,U185))&amp;" · "&amp;IF(INDEX('ORDENES'!$AG$4:$AG$1203,U185)="","(sin técnico)",INDEX('ORDENES'!$AG$4:$AG$1203,U185))&amp;" · "&amp;INDEX('ORDENES'!$AT$4:$AT$1203,U185)&amp;"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IF(AND(IF($B$3="(todos)",TRUE,'ORDENES'!$O182=$B$3),IF($D$3="(todos)",TRUE,'ORDENES'!$AH182=$D$3),IF($F$3="(todos)",TRUE,'ORDENES'!$Z182=$F$3),IF($H$3="(todos)",TRUE,'ORDENES'!$Y182=$H$3),'ORDENES'!$AF182=TRUE,'ORDENES'!$A182&lt;&gt;""),1,0)</f>
        <v/>
      </c>
      <c r="L186" s="5">
        <f>IF(K186=1,IFERROR(MATCH('ORDENES'!$S182,lista_dias,0),9)*1000000000+IFERROR(MATCH('ORDENES'!$AH182,lista_turnos,0),9)*10000000+IFERROR(MATCH('ORDENES'!$AG182,'TECNICOS'!$B$4:$B$19,0),99)*100000+179,9000000000000+179)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2">
        <f>IF(K186=1,'ORDENES'!$J182,"")</f>
        <v/>
      </c>
      <c r="U186" s="5">
        <f>IFERROR(MATCH(179,$M$8:$M$1207,0),"")</f>
        <v/>
      </c>
      <c r="V186" s="5">
        <f>IF(U186="","",INDEX('ORDENES'!$S$4:$S$1203,U186))</f>
        <v/>
      </c>
      <c r="W186" s="5">
        <f>IF(U186="","",IF(V186&lt;&gt;V185,CHAR(10)&amp;UPPER(LEFT(V186,1))&amp;MID(V186,2,20)&amp;":"&amp;CHAR(10),"")&amp;"   "&amp;IF(INDEX('ORDENES'!$AH$4:$AH$1203,U186)="","(s/t)",INDEX('ORDENES'!$AH$4:$AH$1203,U186))&amp;" · "&amp;IF(INDEX('ORDENES'!$AG$4:$AG$1203,U186)="","(sin técnico)",INDEX('ORDENES'!$AG$4:$AG$1203,U186))&amp;" · "&amp;INDEX('ORDENES'!$AT$4:$AT$1203,U186)&amp;"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IF(AND(IF($B$3="(todos)",TRUE,'ORDENES'!$O183=$B$3),IF($D$3="(todos)",TRUE,'ORDENES'!$AH183=$D$3),IF($F$3="(todos)",TRUE,'ORDENES'!$Z183=$F$3),IF($H$3="(todos)",TRUE,'ORDENES'!$Y183=$H$3),'ORDENES'!$AF183=TRUE,'ORDENES'!$A183&lt;&gt;""),1,0)</f>
        <v/>
      </c>
      <c r="L187" s="5">
        <f>IF(K187=1,IFERROR(MATCH('ORDENES'!$S183,lista_dias,0),9)*1000000000+IFERROR(MATCH('ORDENES'!$AH183,lista_turnos,0),9)*10000000+IFERROR(MATCH('ORDENES'!$AG183,'TECNICOS'!$B$4:$B$19,0),99)*100000+180,9000000000000+180)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2">
        <f>IF(K187=1,'ORDENES'!$J183,"")</f>
        <v/>
      </c>
      <c r="U187" s="5">
        <f>IFERROR(MATCH(180,$M$8:$M$1207,0),"")</f>
        <v/>
      </c>
      <c r="V187" s="5">
        <f>IF(U187="","",INDEX('ORDENES'!$S$4:$S$1203,U187))</f>
        <v/>
      </c>
      <c r="W187" s="5">
        <f>IF(U187="","",IF(V187&lt;&gt;V186,CHAR(10)&amp;UPPER(LEFT(V187,1))&amp;MID(V187,2,20)&amp;":"&amp;CHAR(10),"")&amp;"   "&amp;IF(INDEX('ORDENES'!$AH$4:$AH$1203,U187)="","(s/t)",INDEX('ORDENES'!$AH$4:$AH$1203,U187))&amp;" · "&amp;IF(INDEX('ORDENES'!$AG$4:$AG$1203,U187)="","(sin técnico)",INDEX('ORDENES'!$AG$4:$AG$1203,U187))&amp;" · "&amp;INDEX('ORDENES'!$AT$4:$AT$1203,U187)&amp;"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IF(AND(IF($B$3="(todos)",TRUE,'ORDENES'!$O184=$B$3),IF($D$3="(todos)",TRUE,'ORDENES'!$AH184=$D$3),IF($F$3="(todos)",TRUE,'ORDENES'!$Z184=$F$3),IF($H$3="(todos)",TRUE,'ORDENES'!$Y184=$H$3),'ORDENES'!$AF184=TRUE,'ORDENES'!$A184&lt;&gt;""),1,0)</f>
        <v/>
      </c>
      <c r="L188" s="5">
        <f>IF(K188=1,IFERROR(MATCH('ORDENES'!$S184,lista_dias,0),9)*1000000000+IFERROR(MATCH('ORDENES'!$AH184,lista_turnos,0),9)*10000000+IFERROR(MATCH('ORDENES'!$AG184,'TECNICOS'!$B$4:$B$19,0),99)*100000+181,9000000000000+181)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2">
        <f>IF(K188=1,'ORDENES'!$J184,"")</f>
        <v/>
      </c>
      <c r="U188" s="5">
        <f>IFERROR(MATCH(181,$M$8:$M$1207,0),"")</f>
        <v/>
      </c>
      <c r="V188" s="5">
        <f>IF(U188="","",INDEX('ORDENES'!$S$4:$S$1203,U188))</f>
        <v/>
      </c>
      <c r="W188" s="5">
        <f>IF(U188="","",IF(V188&lt;&gt;V187,CHAR(10)&amp;UPPER(LEFT(V188,1))&amp;MID(V188,2,20)&amp;":"&amp;CHAR(10),"")&amp;"   "&amp;IF(INDEX('ORDENES'!$AH$4:$AH$1203,U188)="","(s/t)",INDEX('ORDENES'!$AH$4:$AH$1203,U188))&amp;" · "&amp;IF(INDEX('ORDENES'!$AG$4:$AG$1203,U188)="","(sin técnico)",INDEX('ORDENES'!$AG$4:$AG$1203,U188))&amp;" · "&amp;INDEX('ORDENES'!$AT$4:$AT$1203,U188)&amp;"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IF(AND(IF($B$3="(todos)",TRUE,'ORDENES'!$O185=$B$3),IF($D$3="(todos)",TRUE,'ORDENES'!$AH185=$D$3),IF($F$3="(todos)",TRUE,'ORDENES'!$Z185=$F$3),IF($H$3="(todos)",TRUE,'ORDENES'!$Y185=$H$3),'ORDENES'!$AF185=TRUE,'ORDENES'!$A185&lt;&gt;""),1,0)</f>
        <v/>
      </c>
      <c r="L189" s="5">
        <f>IF(K189=1,IFERROR(MATCH('ORDENES'!$S185,lista_dias,0),9)*1000000000+IFERROR(MATCH('ORDENES'!$AH185,lista_turnos,0),9)*10000000+IFERROR(MATCH('ORDENES'!$AG185,'TECNICOS'!$B$4:$B$19,0),99)*100000+182,9000000000000+182)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2">
        <f>IF(K189=1,'ORDENES'!$J185,"")</f>
        <v/>
      </c>
      <c r="U189" s="5">
        <f>IFERROR(MATCH(182,$M$8:$M$1207,0),"")</f>
        <v/>
      </c>
      <c r="V189" s="5">
        <f>IF(U189="","",INDEX('ORDENES'!$S$4:$S$1203,U189))</f>
        <v/>
      </c>
      <c r="W189" s="5">
        <f>IF(U189="","",IF(V189&lt;&gt;V188,CHAR(10)&amp;UPPER(LEFT(V189,1))&amp;MID(V189,2,20)&amp;":"&amp;CHAR(10),"")&amp;"   "&amp;IF(INDEX('ORDENES'!$AH$4:$AH$1203,U189)="","(s/t)",INDEX('ORDENES'!$AH$4:$AH$1203,U189))&amp;" · "&amp;IF(INDEX('ORDENES'!$AG$4:$AG$1203,U189)="","(sin técnico)",INDEX('ORDENES'!$AG$4:$AG$1203,U189))&amp;" · "&amp;INDEX('ORDENES'!$AT$4:$AT$1203,U189)&amp;"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IF(AND(IF($B$3="(todos)",TRUE,'ORDENES'!$O186=$B$3),IF($D$3="(todos)",TRUE,'ORDENES'!$AH186=$D$3),IF($F$3="(todos)",TRUE,'ORDENES'!$Z186=$F$3),IF($H$3="(todos)",TRUE,'ORDENES'!$Y186=$H$3),'ORDENES'!$AF186=TRUE,'ORDENES'!$A186&lt;&gt;""),1,0)</f>
        <v/>
      </c>
      <c r="L190" s="5">
        <f>IF(K190=1,IFERROR(MATCH('ORDENES'!$S186,lista_dias,0),9)*1000000000+IFERROR(MATCH('ORDENES'!$AH186,lista_turnos,0),9)*10000000+IFERROR(MATCH('ORDENES'!$AG186,'TECNICOS'!$B$4:$B$19,0),99)*100000+183,9000000000000+183)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2">
        <f>IF(K190=1,'ORDENES'!$J186,"")</f>
        <v/>
      </c>
      <c r="U190" s="5">
        <f>IFERROR(MATCH(183,$M$8:$M$1207,0),"")</f>
        <v/>
      </c>
      <c r="V190" s="5">
        <f>IF(U190="","",INDEX('ORDENES'!$S$4:$S$1203,U190))</f>
        <v/>
      </c>
      <c r="W190" s="5">
        <f>IF(U190="","",IF(V190&lt;&gt;V189,CHAR(10)&amp;UPPER(LEFT(V190,1))&amp;MID(V190,2,20)&amp;":"&amp;CHAR(10),"")&amp;"   "&amp;IF(INDEX('ORDENES'!$AH$4:$AH$1203,U190)="","(s/t)",INDEX('ORDENES'!$AH$4:$AH$1203,U190))&amp;" · "&amp;IF(INDEX('ORDENES'!$AG$4:$AG$1203,U190)="","(sin técnico)",INDEX('ORDENES'!$AG$4:$AG$1203,U190))&amp;" · "&amp;INDEX('ORDENES'!$AT$4:$AT$1203,U190)&amp;"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IF(AND(IF($B$3="(todos)",TRUE,'ORDENES'!$O187=$B$3),IF($D$3="(todos)",TRUE,'ORDENES'!$AH187=$D$3),IF($F$3="(todos)",TRUE,'ORDENES'!$Z187=$F$3),IF($H$3="(todos)",TRUE,'ORDENES'!$Y187=$H$3),'ORDENES'!$AF187=TRUE,'ORDENES'!$A187&lt;&gt;""),1,0)</f>
        <v/>
      </c>
      <c r="L191" s="5">
        <f>IF(K191=1,IFERROR(MATCH('ORDENES'!$S187,lista_dias,0),9)*1000000000+IFERROR(MATCH('ORDENES'!$AH187,lista_turnos,0),9)*10000000+IFERROR(MATCH('ORDENES'!$AG187,'TECNICOS'!$B$4:$B$19,0),99)*100000+184,9000000000000+184)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2">
        <f>IF(K191=1,'ORDENES'!$J187,"")</f>
        <v/>
      </c>
      <c r="U191" s="5">
        <f>IFERROR(MATCH(184,$M$8:$M$1207,0),"")</f>
        <v/>
      </c>
      <c r="V191" s="5">
        <f>IF(U191="","",INDEX('ORDENES'!$S$4:$S$1203,U191))</f>
        <v/>
      </c>
      <c r="W191" s="5">
        <f>IF(U191="","",IF(V191&lt;&gt;V190,CHAR(10)&amp;UPPER(LEFT(V191,1))&amp;MID(V191,2,20)&amp;":"&amp;CHAR(10),"")&amp;"   "&amp;IF(INDEX('ORDENES'!$AH$4:$AH$1203,U191)="","(s/t)",INDEX('ORDENES'!$AH$4:$AH$1203,U191))&amp;" · "&amp;IF(INDEX('ORDENES'!$AG$4:$AG$1203,U191)="","(sin técnico)",INDEX('ORDENES'!$AG$4:$AG$1203,U191))&amp;" · "&amp;INDEX('ORDENES'!$AT$4:$AT$1203,U191)&amp;"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IF(AND(IF($B$3="(todos)",TRUE,'ORDENES'!$O188=$B$3),IF($D$3="(todos)",TRUE,'ORDENES'!$AH188=$D$3),IF($F$3="(todos)",TRUE,'ORDENES'!$Z188=$F$3),IF($H$3="(todos)",TRUE,'ORDENES'!$Y188=$H$3),'ORDENES'!$AF188=TRUE,'ORDENES'!$A188&lt;&gt;""),1,0)</f>
        <v/>
      </c>
      <c r="L192" s="5">
        <f>IF(K192=1,IFERROR(MATCH('ORDENES'!$S188,lista_dias,0),9)*1000000000+IFERROR(MATCH('ORDENES'!$AH188,lista_turnos,0),9)*10000000+IFERROR(MATCH('ORDENES'!$AG188,'TECNICOS'!$B$4:$B$19,0),99)*100000+185,9000000000000+185)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2">
        <f>IF(K192=1,'ORDENES'!$J188,"")</f>
        <v/>
      </c>
      <c r="U192" s="5">
        <f>IFERROR(MATCH(185,$M$8:$M$1207,0),"")</f>
        <v/>
      </c>
      <c r="V192" s="5">
        <f>IF(U192="","",INDEX('ORDENES'!$S$4:$S$1203,U192))</f>
        <v/>
      </c>
      <c r="W192" s="5">
        <f>IF(U192="","",IF(V192&lt;&gt;V191,CHAR(10)&amp;UPPER(LEFT(V192,1))&amp;MID(V192,2,20)&amp;":"&amp;CHAR(10),"")&amp;"   "&amp;IF(INDEX('ORDENES'!$AH$4:$AH$1203,U192)="","(s/t)",INDEX('ORDENES'!$AH$4:$AH$1203,U192))&amp;" · "&amp;IF(INDEX('ORDENES'!$AG$4:$AG$1203,U192)="","(sin técnico)",INDEX('ORDENES'!$AG$4:$AG$1203,U192))&amp;" · "&amp;INDEX('ORDENES'!$AT$4:$AT$1203,U192)&amp;"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IF(AND(IF($B$3="(todos)",TRUE,'ORDENES'!$O189=$B$3),IF($D$3="(todos)",TRUE,'ORDENES'!$AH189=$D$3),IF($F$3="(todos)",TRUE,'ORDENES'!$Z189=$F$3),IF($H$3="(todos)",TRUE,'ORDENES'!$Y189=$H$3),'ORDENES'!$AF189=TRUE,'ORDENES'!$A189&lt;&gt;""),1,0)</f>
        <v/>
      </c>
      <c r="L193" s="5">
        <f>IF(K193=1,IFERROR(MATCH('ORDENES'!$S189,lista_dias,0),9)*1000000000+IFERROR(MATCH('ORDENES'!$AH189,lista_turnos,0),9)*10000000+IFERROR(MATCH('ORDENES'!$AG189,'TECNICOS'!$B$4:$B$19,0),99)*100000+186,9000000000000+186)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2">
        <f>IF(K193=1,'ORDENES'!$J189,"")</f>
        <v/>
      </c>
      <c r="U193" s="5">
        <f>IFERROR(MATCH(186,$M$8:$M$1207,0),"")</f>
        <v/>
      </c>
      <c r="V193" s="5">
        <f>IF(U193="","",INDEX('ORDENES'!$S$4:$S$1203,U193))</f>
        <v/>
      </c>
      <c r="W193" s="5">
        <f>IF(U193="","",IF(V193&lt;&gt;V192,CHAR(10)&amp;UPPER(LEFT(V193,1))&amp;MID(V193,2,20)&amp;":"&amp;CHAR(10),"")&amp;"   "&amp;IF(INDEX('ORDENES'!$AH$4:$AH$1203,U193)="","(s/t)",INDEX('ORDENES'!$AH$4:$AH$1203,U193))&amp;" · "&amp;IF(INDEX('ORDENES'!$AG$4:$AG$1203,U193)="","(sin técnico)",INDEX('ORDENES'!$AG$4:$AG$1203,U193))&amp;" · "&amp;INDEX('ORDENES'!$AT$4:$AT$1203,U193)&amp;"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IF(AND(IF($B$3="(todos)",TRUE,'ORDENES'!$O190=$B$3),IF($D$3="(todos)",TRUE,'ORDENES'!$AH190=$D$3),IF($F$3="(todos)",TRUE,'ORDENES'!$Z190=$F$3),IF($H$3="(todos)",TRUE,'ORDENES'!$Y190=$H$3),'ORDENES'!$AF190=TRUE,'ORDENES'!$A190&lt;&gt;""),1,0)</f>
        <v/>
      </c>
      <c r="L194" s="5">
        <f>IF(K194=1,IFERROR(MATCH('ORDENES'!$S190,lista_dias,0),9)*1000000000+IFERROR(MATCH('ORDENES'!$AH190,lista_turnos,0),9)*10000000+IFERROR(MATCH('ORDENES'!$AG190,'TECNICOS'!$B$4:$B$19,0),99)*100000+187,9000000000000+187)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2">
        <f>IF(K194=1,'ORDENES'!$J190,"")</f>
        <v/>
      </c>
      <c r="U194" s="5">
        <f>IFERROR(MATCH(187,$M$8:$M$1207,0),"")</f>
        <v/>
      </c>
      <c r="V194" s="5">
        <f>IF(U194="","",INDEX('ORDENES'!$S$4:$S$1203,U194))</f>
        <v/>
      </c>
      <c r="W194" s="5">
        <f>IF(U194="","",IF(V194&lt;&gt;V193,CHAR(10)&amp;UPPER(LEFT(V194,1))&amp;MID(V194,2,20)&amp;":"&amp;CHAR(10),"")&amp;"   "&amp;IF(INDEX('ORDENES'!$AH$4:$AH$1203,U194)="","(s/t)",INDEX('ORDENES'!$AH$4:$AH$1203,U194))&amp;" · "&amp;IF(INDEX('ORDENES'!$AG$4:$AG$1203,U194)="","(sin técnico)",INDEX('ORDENES'!$AG$4:$AG$1203,U194))&amp;" · "&amp;INDEX('ORDENES'!$AT$4:$AT$1203,U194)&amp;"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IF(AND(IF($B$3="(todos)",TRUE,'ORDENES'!$O191=$B$3),IF($D$3="(todos)",TRUE,'ORDENES'!$AH191=$D$3),IF($F$3="(todos)",TRUE,'ORDENES'!$Z191=$F$3),IF($H$3="(todos)",TRUE,'ORDENES'!$Y191=$H$3),'ORDENES'!$AF191=TRUE,'ORDENES'!$A191&lt;&gt;""),1,0)</f>
        <v/>
      </c>
      <c r="L195" s="5">
        <f>IF(K195=1,IFERROR(MATCH('ORDENES'!$S191,lista_dias,0),9)*1000000000+IFERROR(MATCH('ORDENES'!$AH191,lista_turnos,0),9)*10000000+IFERROR(MATCH('ORDENES'!$AG191,'TECNICOS'!$B$4:$B$19,0),99)*100000+188,9000000000000+188)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2">
        <f>IF(K195=1,'ORDENES'!$J191,"")</f>
        <v/>
      </c>
      <c r="U195" s="5">
        <f>IFERROR(MATCH(188,$M$8:$M$1207,0),"")</f>
        <v/>
      </c>
      <c r="V195" s="5">
        <f>IF(U195="","",INDEX('ORDENES'!$S$4:$S$1203,U195))</f>
        <v/>
      </c>
      <c r="W195" s="5">
        <f>IF(U195="","",IF(V195&lt;&gt;V194,CHAR(10)&amp;UPPER(LEFT(V195,1))&amp;MID(V195,2,20)&amp;":"&amp;CHAR(10),"")&amp;"   "&amp;IF(INDEX('ORDENES'!$AH$4:$AH$1203,U195)="","(s/t)",INDEX('ORDENES'!$AH$4:$AH$1203,U195))&amp;" · "&amp;IF(INDEX('ORDENES'!$AG$4:$AG$1203,U195)="","(sin técnico)",INDEX('ORDENES'!$AG$4:$AG$1203,U195))&amp;" · "&amp;INDEX('ORDENES'!$AT$4:$AT$1203,U195)&amp;"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IF(AND(IF($B$3="(todos)",TRUE,'ORDENES'!$O192=$B$3),IF($D$3="(todos)",TRUE,'ORDENES'!$AH192=$D$3),IF($F$3="(todos)",TRUE,'ORDENES'!$Z192=$F$3),IF($H$3="(todos)",TRUE,'ORDENES'!$Y192=$H$3),'ORDENES'!$AF192=TRUE,'ORDENES'!$A192&lt;&gt;""),1,0)</f>
        <v/>
      </c>
      <c r="L196" s="5">
        <f>IF(K196=1,IFERROR(MATCH('ORDENES'!$S192,lista_dias,0),9)*1000000000+IFERROR(MATCH('ORDENES'!$AH192,lista_turnos,0),9)*10000000+IFERROR(MATCH('ORDENES'!$AG192,'TECNICOS'!$B$4:$B$19,0),99)*100000+189,9000000000000+189)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2">
        <f>IF(K196=1,'ORDENES'!$J192,"")</f>
        <v/>
      </c>
      <c r="U196" s="5">
        <f>IFERROR(MATCH(189,$M$8:$M$1207,0),"")</f>
        <v/>
      </c>
      <c r="V196" s="5">
        <f>IF(U196="","",INDEX('ORDENES'!$S$4:$S$1203,U196))</f>
        <v/>
      </c>
      <c r="W196" s="5">
        <f>IF(U196="","",IF(V196&lt;&gt;V195,CHAR(10)&amp;UPPER(LEFT(V196,1))&amp;MID(V196,2,20)&amp;":"&amp;CHAR(10),"")&amp;"   "&amp;IF(INDEX('ORDENES'!$AH$4:$AH$1203,U196)="","(s/t)",INDEX('ORDENES'!$AH$4:$AH$1203,U196))&amp;" · "&amp;IF(INDEX('ORDENES'!$AG$4:$AG$1203,U196)="","(sin técnico)",INDEX('ORDENES'!$AG$4:$AG$1203,U196))&amp;" · "&amp;INDEX('ORDENES'!$AT$4:$AT$1203,U196)&amp;"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IF(AND(IF($B$3="(todos)",TRUE,'ORDENES'!$O193=$B$3),IF($D$3="(todos)",TRUE,'ORDENES'!$AH193=$D$3),IF($F$3="(todos)",TRUE,'ORDENES'!$Z193=$F$3),IF($H$3="(todos)",TRUE,'ORDENES'!$Y193=$H$3),'ORDENES'!$AF193=TRUE,'ORDENES'!$A193&lt;&gt;""),1,0)</f>
        <v/>
      </c>
      <c r="L197" s="5">
        <f>IF(K197=1,IFERROR(MATCH('ORDENES'!$S193,lista_dias,0),9)*1000000000+IFERROR(MATCH('ORDENES'!$AH193,lista_turnos,0),9)*10000000+IFERROR(MATCH('ORDENES'!$AG193,'TECNICOS'!$B$4:$B$19,0),99)*100000+190,9000000000000+190)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2">
        <f>IF(K197=1,'ORDENES'!$J193,"")</f>
        <v/>
      </c>
      <c r="U197" s="5">
        <f>IFERROR(MATCH(190,$M$8:$M$1207,0),"")</f>
        <v/>
      </c>
      <c r="V197" s="5">
        <f>IF(U197="","",INDEX('ORDENES'!$S$4:$S$1203,U197))</f>
        <v/>
      </c>
      <c r="W197" s="5">
        <f>IF(U197="","",IF(V197&lt;&gt;V196,CHAR(10)&amp;UPPER(LEFT(V197,1))&amp;MID(V197,2,20)&amp;":"&amp;CHAR(10),"")&amp;"   "&amp;IF(INDEX('ORDENES'!$AH$4:$AH$1203,U197)="","(s/t)",INDEX('ORDENES'!$AH$4:$AH$1203,U197))&amp;" · "&amp;IF(INDEX('ORDENES'!$AG$4:$AG$1203,U197)="","(sin técnico)",INDEX('ORDENES'!$AG$4:$AG$1203,U197))&amp;" · "&amp;INDEX('ORDENES'!$AT$4:$AT$1203,U197)&amp;"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IF(AND(IF($B$3="(todos)",TRUE,'ORDENES'!$O194=$B$3),IF($D$3="(todos)",TRUE,'ORDENES'!$AH194=$D$3),IF($F$3="(todos)",TRUE,'ORDENES'!$Z194=$F$3),IF($H$3="(todos)",TRUE,'ORDENES'!$Y194=$H$3),'ORDENES'!$AF194=TRUE,'ORDENES'!$A194&lt;&gt;""),1,0)</f>
        <v/>
      </c>
      <c r="L198" s="5">
        <f>IF(K198=1,IFERROR(MATCH('ORDENES'!$S194,lista_dias,0),9)*1000000000+IFERROR(MATCH('ORDENES'!$AH194,lista_turnos,0),9)*10000000+IFERROR(MATCH('ORDENES'!$AG194,'TECNICOS'!$B$4:$B$19,0),99)*100000+191,9000000000000+191)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2">
        <f>IF(K198=1,'ORDENES'!$J194,"")</f>
        <v/>
      </c>
      <c r="U198" s="5">
        <f>IFERROR(MATCH(191,$M$8:$M$1207,0),"")</f>
        <v/>
      </c>
      <c r="V198" s="5">
        <f>IF(U198="","",INDEX('ORDENES'!$S$4:$S$1203,U198))</f>
        <v/>
      </c>
      <c r="W198" s="5">
        <f>IF(U198="","",IF(V198&lt;&gt;V197,CHAR(10)&amp;UPPER(LEFT(V198,1))&amp;MID(V198,2,20)&amp;":"&amp;CHAR(10),"")&amp;"   "&amp;IF(INDEX('ORDENES'!$AH$4:$AH$1203,U198)="","(s/t)",INDEX('ORDENES'!$AH$4:$AH$1203,U198))&amp;" · "&amp;IF(INDEX('ORDENES'!$AG$4:$AG$1203,U198)="","(sin técnico)",INDEX('ORDENES'!$AG$4:$AG$1203,U198))&amp;" · "&amp;INDEX('ORDENES'!$AT$4:$AT$1203,U198)&amp;"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IF(AND(IF($B$3="(todos)",TRUE,'ORDENES'!$O195=$B$3),IF($D$3="(todos)",TRUE,'ORDENES'!$AH195=$D$3),IF($F$3="(todos)",TRUE,'ORDENES'!$Z195=$F$3),IF($H$3="(todos)",TRUE,'ORDENES'!$Y195=$H$3),'ORDENES'!$AF195=TRUE,'ORDENES'!$A195&lt;&gt;""),1,0)</f>
        <v/>
      </c>
      <c r="L199" s="5">
        <f>IF(K199=1,IFERROR(MATCH('ORDENES'!$S195,lista_dias,0),9)*1000000000+IFERROR(MATCH('ORDENES'!$AH195,lista_turnos,0),9)*10000000+IFERROR(MATCH('ORDENES'!$AG195,'TECNICOS'!$B$4:$B$19,0),99)*100000+192,9000000000000+192)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2">
        <f>IF(K199=1,'ORDENES'!$J195,"")</f>
        <v/>
      </c>
      <c r="U199" s="5">
        <f>IFERROR(MATCH(192,$M$8:$M$1207,0),"")</f>
        <v/>
      </c>
      <c r="V199" s="5">
        <f>IF(U199="","",INDEX('ORDENES'!$S$4:$S$1203,U199))</f>
        <v/>
      </c>
      <c r="W199" s="5">
        <f>IF(U199="","",IF(V199&lt;&gt;V198,CHAR(10)&amp;UPPER(LEFT(V199,1))&amp;MID(V199,2,20)&amp;":"&amp;CHAR(10),"")&amp;"   "&amp;IF(INDEX('ORDENES'!$AH$4:$AH$1203,U199)="","(s/t)",INDEX('ORDENES'!$AH$4:$AH$1203,U199))&amp;" · "&amp;IF(INDEX('ORDENES'!$AG$4:$AG$1203,U199)="","(sin técnico)",INDEX('ORDENES'!$AG$4:$AG$1203,U199))&amp;" · "&amp;INDEX('ORDENES'!$AT$4:$AT$1203,U199)&amp;"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IF(AND(IF($B$3="(todos)",TRUE,'ORDENES'!$O196=$B$3),IF($D$3="(todos)",TRUE,'ORDENES'!$AH196=$D$3),IF($F$3="(todos)",TRUE,'ORDENES'!$Z196=$F$3),IF($H$3="(todos)",TRUE,'ORDENES'!$Y196=$H$3),'ORDENES'!$AF196=TRUE,'ORDENES'!$A196&lt;&gt;""),1,0)</f>
        <v/>
      </c>
      <c r="L200" s="5">
        <f>IF(K200=1,IFERROR(MATCH('ORDENES'!$S196,lista_dias,0),9)*1000000000+IFERROR(MATCH('ORDENES'!$AH196,lista_turnos,0),9)*10000000+IFERROR(MATCH('ORDENES'!$AG196,'TECNICOS'!$B$4:$B$19,0),99)*100000+193,9000000000000+193)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2">
        <f>IF(K200=1,'ORDENES'!$J196,"")</f>
        <v/>
      </c>
      <c r="U200" s="5">
        <f>IFERROR(MATCH(193,$M$8:$M$1207,0),"")</f>
        <v/>
      </c>
      <c r="V200" s="5">
        <f>IF(U200="","",INDEX('ORDENES'!$S$4:$S$1203,U200))</f>
        <v/>
      </c>
      <c r="W200" s="5">
        <f>IF(U200="","",IF(V200&lt;&gt;V199,CHAR(10)&amp;UPPER(LEFT(V200,1))&amp;MID(V200,2,20)&amp;":"&amp;CHAR(10),"")&amp;"   "&amp;IF(INDEX('ORDENES'!$AH$4:$AH$1203,U200)="","(s/t)",INDEX('ORDENES'!$AH$4:$AH$1203,U200))&amp;" · "&amp;IF(INDEX('ORDENES'!$AG$4:$AG$1203,U200)="","(sin técnico)",INDEX('ORDENES'!$AG$4:$AG$1203,U200))&amp;" · "&amp;INDEX('ORDENES'!$AT$4:$AT$1203,U200)&amp;"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IF(AND(IF($B$3="(todos)",TRUE,'ORDENES'!$O197=$B$3),IF($D$3="(todos)",TRUE,'ORDENES'!$AH197=$D$3),IF($F$3="(todos)",TRUE,'ORDENES'!$Z197=$F$3),IF($H$3="(todos)",TRUE,'ORDENES'!$Y197=$H$3),'ORDENES'!$AF197=TRUE,'ORDENES'!$A197&lt;&gt;""),1,0)</f>
        <v/>
      </c>
      <c r="L201" s="5">
        <f>IF(K201=1,IFERROR(MATCH('ORDENES'!$S197,lista_dias,0),9)*1000000000+IFERROR(MATCH('ORDENES'!$AH197,lista_turnos,0),9)*10000000+IFERROR(MATCH('ORDENES'!$AG197,'TECNICOS'!$B$4:$B$19,0),99)*100000+194,9000000000000+194)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2">
        <f>IF(K201=1,'ORDENES'!$J197,"")</f>
        <v/>
      </c>
      <c r="U201" s="5">
        <f>IFERROR(MATCH(194,$M$8:$M$1207,0),"")</f>
        <v/>
      </c>
      <c r="V201" s="5">
        <f>IF(U201="","",INDEX('ORDENES'!$S$4:$S$1203,U201))</f>
        <v/>
      </c>
      <c r="W201" s="5">
        <f>IF(U201="","",IF(V201&lt;&gt;V200,CHAR(10)&amp;UPPER(LEFT(V201,1))&amp;MID(V201,2,20)&amp;":"&amp;CHAR(10),"")&amp;"   "&amp;IF(INDEX('ORDENES'!$AH$4:$AH$1203,U201)="","(s/t)",INDEX('ORDENES'!$AH$4:$AH$1203,U201))&amp;" · "&amp;IF(INDEX('ORDENES'!$AG$4:$AG$1203,U201)="","(sin técnico)",INDEX('ORDENES'!$AG$4:$AG$1203,U201))&amp;" · "&amp;INDEX('ORDENES'!$AT$4:$AT$1203,U201)&amp;"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IF(AND(IF($B$3="(todos)",TRUE,'ORDENES'!$O198=$B$3),IF($D$3="(todos)",TRUE,'ORDENES'!$AH198=$D$3),IF($F$3="(todos)",TRUE,'ORDENES'!$Z198=$F$3),IF($H$3="(todos)",TRUE,'ORDENES'!$Y198=$H$3),'ORDENES'!$AF198=TRUE,'ORDENES'!$A198&lt;&gt;""),1,0)</f>
        <v/>
      </c>
      <c r="L202" s="5">
        <f>IF(K202=1,IFERROR(MATCH('ORDENES'!$S198,lista_dias,0),9)*1000000000+IFERROR(MATCH('ORDENES'!$AH198,lista_turnos,0),9)*10000000+IFERROR(MATCH('ORDENES'!$AG198,'TECNICOS'!$B$4:$B$19,0),99)*100000+195,9000000000000+195)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2">
        <f>IF(K202=1,'ORDENES'!$J198,"")</f>
        <v/>
      </c>
      <c r="U202" s="5">
        <f>IFERROR(MATCH(195,$M$8:$M$1207,0),"")</f>
        <v/>
      </c>
      <c r="V202" s="5">
        <f>IF(U202="","",INDEX('ORDENES'!$S$4:$S$1203,U202))</f>
        <v/>
      </c>
      <c r="W202" s="5">
        <f>IF(U202="","",IF(V202&lt;&gt;V201,CHAR(10)&amp;UPPER(LEFT(V202,1))&amp;MID(V202,2,20)&amp;":"&amp;CHAR(10),"")&amp;"   "&amp;IF(INDEX('ORDENES'!$AH$4:$AH$1203,U202)="","(s/t)",INDEX('ORDENES'!$AH$4:$AH$1203,U202))&amp;" · "&amp;IF(INDEX('ORDENES'!$AG$4:$AG$1203,U202)="","(sin técnico)",INDEX('ORDENES'!$AG$4:$AG$1203,U202))&amp;" · "&amp;INDEX('ORDENES'!$AT$4:$AT$1203,U202)&amp;"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IF(AND(IF($B$3="(todos)",TRUE,'ORDENES'!$O199=$B$3),IF($D$3="(todos)",TRUE,'ORDENES'!$AH199=$D$3),IF($F$3="(todos)",TRUE,'ORDENES'!$Z199=$F$3),IF($H$3="(todos)",TRUE,'ORDENES'!$Y199=$H$3),'ORDENES'!$AF199=TRUE,'ORDENES'!$A199&lt;&gt;""),1,0)</f>
        <v/>
      </c>
      <c r="L203" s="5">
        <f>IF(K203=1,IFERROR(MATCH('ORDENES'!$S199,lista_dias,0),9)*1000000000+IFERROR(MATCH('ORDENES'!$AH199,lista_turnos,0),9)*10000000+IFERROR(MATCH('ORDENES'!$AG199,'TECNICOS'!$B$4:$B$19,0),99)*100000+196,9000000000000+196)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2">
        <f>IF(K203=1,'ORDENES'!$J199,"")</f>
        <v/>
      </c>
      <c r="U203" s="5">
        <f>IFERROR(MATCH(196,$M$8:$M$1207,0),"")</f>
        <v/>
      </c>
      <c r="V203" s="5">
        <f>IF(U203="","",INDEX('ORDENES'!$S$4:$S$1203,U203))</f>
        <v/>
      </c>
      <c r="W203" s="5">
        <f>IF(U203="","",IF(V203&lt;&gt;V202,CHAR(10)&amp;UPPER(LEFT(V203,1))&amp;MID(V203,2,20)&amp;":"&amp;CHAR(10),"")&amp;"   "&amp;IF(INDEX('ORDENES'!$AH$4:$AH$1203,U203)="","(s/t)",INDEX('ORDENES'!$AH$4:$AH$1203,U203))&amp;" · "&amp;IF(INDEX('ORDENES'!$AG$4:$AG$1203,U203)="","(sin técnico)",INDEX('ORDENES'!$AG$4:$AG$1203,U203))&amp;" · "&amp;INDEX('ORDENES'!$AT$4:$AT$1203,U203)&amp;"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IF(AND(IF($B$3="(todos)",TRUE,'ORDENES'!$O200=$B$3),IF($D$3="(todos)",TRUE,'ORDENES'!$AH200=$D$3),IF($F$3="(todos)",TRUE,'ORDENES'!$Z200=$F$3),IF($H$3="(todos)",TRUE,'ORDENES'!$Y200=$H$3),'ORDENES'!$AF200=TRUE,'ORDENES'!$A200&lt;&gt;""),1,0)</f>
        <v/>
      </c>
      <c r="L204" s="5">
        <f>IF(K204=1,IFERROR(MATCH('ORDENES'!$S200,lista_dias,0),9)*1000000000+IFERROR(MATCH('ORDENES'!$AH200,lista_turnos,0),9)*10000000+IFERROR(MATCH('ORDENES'!$AG200,'TECNICOS'!$B$4:$B$19,0),99)*100000+197,9000000000000+197)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2">
        <f>IF(K204=1,'ORDENES'!$J200,"")</f>
        <v/>
      </c>
      <c r="U204" s="5">
        <f>IFERROR(MATCH(197,$M$8:$M$1207,0),"")</f>
        <v/>
      </c>
      <c r="V204" s="5">
        <f>IF(U204="","",INDEX('ORDENES'!$S$4:$S$1203,U204))</f>
        <v/>
      </c>
      <c r="W204" s="5">
        <f>IF(U204="","",IF(V204&lt;&gt;V203,CHAR(10)&amp;UPPER(LEFT(V204,1))&amp;MID(V204,2,20)&amp;":"&amp;CHAR(10),"")&amp;"   "&amp;IF(INDEX('ORDENES'!$AH$4:$AH$1203,U204)="","(s/t)",INDEX('ORDENES'!$AH$4:$AH$1203,U204))&amp;" · "&amp;IF(INDEX('ORDENES'!$AG$4:$AG$1203,U204)="","(sin técnico)",INDEX('ORDENES'!$AG$4:$AG$1203,U204))&amp;" · "&amp;INDEX('ORDENES'!$AT$4:$AT$1203,U204)&amp;"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IF(AND(IF($B$3="(todos)",TRUE,'ORDENES'!$O201=$B$3),IF($D$3="(todos)",TRUE,'ORDENES'!$AH201=$D$3),IF($F$3="(todos)",TRUE,'ORDENES'!$Z201=$F$3),IF($H$3="(todos)",TRUE,'ORDENES'!$Y201=$H$3),'ORDENES'!$AF201=TRUE,'ORDENES'!$A201&lt;&gt;""),1,0)</f>
        <v/>
      </c>
      <c r="L205" s="5">
        <f>IF(K205=1,IFERROR(MATCH('ORDENES'!$S201,lista_dias,0),9)*1000000000+IFERROR(MATCH('ORDENES'!$AH201,lista_turnos,0),9)*10000000+IFERROR(MATCH('ORDENES'!$AG201,'TECNICOS'!$B$4:$B$19,0),99)*100000+198,9000000000000+198)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2">
        <f>IF(K205=1,'ORDENES'!$J201,"")</f>
        <v/>
      </c>
      <c r="U205" s="5">
        <f>IFERROR(MATCH(198,$M$8:$M$1207,0),"")</f>
        <v/>
      </c>
      <c r="V205" s="5">
        <f>IF(U205="","",INDEX('ORDENES'!$S$4:$S$1203,U205))</f>
        <v/>
      </c>
      <c r="W205" s="5">
        <f>IF(U205="","",IF(V205&lt;&gt;V204,CHAR(10)&amp;UPPER(LEFT(V205,1))&amp;MID(V205,2,20)&amp;":"&amp;CHAR(10),"")&amp;"   "&amp;IF(INDEX('ORDENES'!$AH$4:$AH$1203,U205)="","(s/t)",INDEX('ORDENES'!$AH$4:$AH$1203,U205))&amp;" · "&amp;IF(INDEX('ORDENES'!$AG$4:$AG$1203,U205)="","(sin técnico)",INDEX('ORDENES'!$AG$4:$AG$1203,U205))&amp;" · "&amp;INDEX('ORDENES'!$AT$4:$AT$1203,U205)&amp;"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IF(AND(IF($B$3="(todos)",TRUE,'ORDENES'!$O202=$B$3),IF($D$3="(todos)",TRUE,'ORDENES'!$AH202=$D$3),IF($F$3="(todos)",TRUE,'ORDENES'!$Z202=$F$3),IF($H$3="(todos)",TRUE,'ORDENES'!$Y202=$H$3),'ORDENES'!$AF202=TRUE,'ORDENES'!$A202&lt;&gt;""),1,0)</f>
        <v/>
      </c>
      <c r="L206" s="5">
        <f>IF(K206=1,IFERROR(MATCH('ORDENES'!$S202,lista_dias,0),9)*1000000000+IFERROR(MATCH('ORDENES'!$AH202,lista_turnos,0),9)*10000000+IFERROR(MATCH('ORDENES'!$AG202,'TECNICOS'!$B$4:$B$19,0),99)*100000+199,9000000000000+199)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2">
        <f>IF(K206=1,'ORDENES'!$J202,"")</f>
        <v/>
      </c>
      <c r="U206" s="5">
        <f>IFERROR(MATCH(199,$M$8:$M$1207,0),"")</f>
        <v/>
      </c>
      <c r="V206" s="5">
        <f>IF(U206="","",INDEX('ORDENES'!$S$4:$S$1203,U206))</f>
        <v/>
      </c>
      <c r="W206" s="5">
        <f>IF(U206="","",IF(V206&lt;&gt;V205,CHAR(10)&amp;UPPER(LEFT(V206,1))&amp;MID(V206,2,20)&amp;":"&amp;CHAR(10),"")&amp;"   "&amp;IF(INDEX('ORDENES'!$AH$4:$AH$1203,U206)="","(s/t)",INDEX('ORDENES'!$AH$4:$AH$1203,U206))&amp;" · "&amp;IF(INDEX('ORDENES'!$AG$4:$AG$1203,U206)="","(sin técnico)",INDEX('ORDENES'!$AG$4:$AG$1203,U206))&amp;" · "&amp;INDEX('ORDENES'!$AT$4:$AT$1203,U206)&amp;"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IF(AND(IF($B$3="(todos)",TRUE,'ORDENES'!$O203=$B$3),IF($D$3="(todos)",TRUE,'ORDENES'!$AH203=$D$3),IF($F$3="(todos)",TRUE,'ORDENES'!$Z203=$F$3),IF($H$3="(todos)",TRUE,'ORDENES'!$Y203=$H$3),'ORDENES'!$AF203=TRUE,'ORDENES'!$A203&lt;&gt;""),1,0)</f>
        <v/>
      </c>
      <c r="L207" s="5">
        <f>IF(K207=1,IFERROR(MATCH('ORDENES'!$S203,lista_dias,0),9)*1000000000+IFERROR(MATCH('ORDENES'!$AH203,lista_turnos,0),9)*10000000+IFERROR(MATCH('ORDENES'!$AG203,'TECNICOS'!$B$4:$B$19,0),99)*100000+200,9000000000000+200)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2">
        <f>IF(K207=1,'ORDENES'!$J203,"")</f>
        <v/>
      </c>
      <c r="U207" s="5">
        <f>IFERROR(MATCH(200,$M$8:$M$1207,0),"")</f>
        <v/>
      </c>
      <c r="V207" s="5">
        <f>IF(U207="","",INDEX('ORDENES'!$S$4:$S$1203,U207))</f>
        <v/>
      </c>
      <c r="W207" s="5">
        <f>IF(U207="","",IF(V207&lt;&gt;V206,CHAR(10)&amp;UPPER(LEFT(V207,1))&amp;MID(V207,2,20)&amp;":"&amp;CHAR(10),"")&amp;"   "&amp;IF(INDEX('ORDENES'!$AH$4:$AH$1203,U207)="","(s/t)",INDEX('ORDENES'!$AH$4:$AH$1203,U207))&amp;" · "&amp;IF(INDEX('ORDENES'!$AG$4:$AG$1203,U207)="","(sin técnico)",INDEX('ORDENES'!$AG$4:$AG$1203,U207))&amp;" · "&amp;INDEX('ORDENES'!$AT$4:$AT$1203,U207)&amp;"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IF(AND(IF($B$3="(todos)",TRUE,'ORDENES'!$O204=$B$3),IF($D$3="(todos)",TRUE,'ORDENES'!$AH204=$D$3),IF($F$3="(todos)",TRUE,'ORDENES'!$Z204=$F$3),IF($H$3="(todos)",TRUE,'ORDENES'!$Y204=$H$3),'ORDENES'!$AF204=TRUE,'ORDENES'!$A204&lt;&gt;""),1,0)</f>
        <v/>
      </c>
      <c r="L208" s="5">
        <f>IF(K208=1,IFERROR(MATCH('ORDENES'!$S204,lista_dias,0),9)*1000000000+IFERROR(MATCH('ORDENES'!$AH204,lista_turnos,0),9)*10000000+IFERROR(MATCH('ORDENES'!$AG204,'TECNICOS'!$B$4:$B$19,0),99)*100000+201,9000000000000+201)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2">
        <f>IF(K208=1,'ORDENES'!$J204,"")</f>
        <v/>
      </c>
    </row>
    <row r="209">
      <c r="K209" s="5">
        <f>IF(AND(IF($B$3="(todos)",TRUE,'ORDENES'!$O205=$B$3),IF($D$3="(todos)",TRUE,'ORDENES'!$AH205=$D$3),IF($F$3="(todos)",TRUE,'ORDENES'!$Z205=$F$3),IF($H$3="(todos)",TRUE,'ORDENES'!$Y205=$H$3),'ORDENES'!$AF205=TRUE,'ORDENES'!$A205&lt;&gt;""),1,0)</f>
        <v/>
      </c>
      <c r="L209" s="5">
        <f>IF(K209=1,IFERROR(MATCH('ORDENES'!$S205,lista_dias,0),9)*1000000000+IFERROR(MATCH('ORDENES'!$AH205,lista_turnos,0),9)*10000000+IFERROR(MATCH('ORDENES'!$AG205,'TECNICOS'!$B$4:$B$19,0),99)*100000+202,9000000000000+202)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2">
        <f>IF(K209=1,'ORDENES'!$J205,"")</f>
        <v/>
      </c>
    </row>
    <row r="210">
      <c r="K210" s="5">
        <f>IF(AND(IF($B$3="(todos)",TRUE,'ORDENES'!$O206=$B$3),IF($D$3="(todos)",TRUE,'ORDENES'!$AH206=$D$3),IF($F$3="(todos)",TRUE,'ORDENES'!$Z206=$F$3),IF($H$3="(todos)",TRUE,'ORDENES'!$Y206=$H$3),'ORDENES'!$AF206=TRUE,'ORDENES'!$A206&lt;&gt;""),1,0)</f>
        <v/>
      </c>
      <c r="L210" s="5">
        <f>IF(K210=1,IFERROR(MATCH('ORDENES'!$S206,lista_dias,0),9)*1000000000+IFERROR(MATCH('ORDENES'!$AH206,lista_turnos,0),9)*10000000+IFERROR(MATCH('ORDENES'!$AG206,'TECNICOS'!$B$4:$B$19,0),99)*100000+203,9000000000000+203)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2">
        <f>IF(K210=1,'ORDENES'!$J206,"")</f>
        <v/>
      </c>
    </row>
    <row r="211">
      <c r="K211" s="5">
        <f>IF(AND(IF($B$3="(todos)",TRUE,'ORDENES'!$O207=$B$3),IF($D$3="(todos)",TRUE,'ORDENES'!$AH207=$D$3),IF($F$3="(todos)",TRUE,'ORDENES'!$Z207=$F$3),IF($H$3="(todos)",TRUE,'ORDENES'!$Y207=$H$3),'ORDENES'!$AF207=TRUE,'ORDENES'!$A207&lt;&gt;""),1,0)</f>
        <v/>
      </c>
      <c r="L211" s="5">
        <f>IF(K211=1,IFERROR(MATCH('ORDENES'!$S207,lista_dias,0),9)*1000000000+IFERROR(MATCH('ORDENES'!$AH207,lista_turnos,0),9)*10000000+IFERROR(MATCH('ORDENES'!$AG207,'TECNICOS'!$B$4:$B$19,0),99)*100000+204,9000000000000+204)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2">
        <f>IF(K211=1,'ORDENES'!$J207,"")</f>
        <v/>
      </c>
    </row>
    <row r="212">
      <c r="K212" s="5">
        <f>IF(AND(IF($B$3="(todos)",TRUE,'ORDENES'!$O208=$B$3),IF($D$3="(todos)",TRUE,'ORDENES'!$AH208=$D$3),IF($F$3="(todos)",TRUE,'ORDENES'!$Z208=$F$3),IF($H$3="(todos)",TRUE,'ORDENES'!$Y208=$H$3),'ORDENES'!$AF208=TRUE,'ORDENES'!$A208&lt;&gt;""),1,0)</f>
        <v/>
      </c>
      <c r="L212" s="5">
        <f>IF(K212=1,IFERROR(MATCH('ORDENES'!$S208,lista_dias,0),9)*1000000000+IFERROR(MATCH('ORDENES'!$AH208,lista_turnos,0),9)*10000000+IFERROR(MATCH('ORDENES'!$AG208,'TECNICOS'!$B$4:$B$19,0),99)*100000+205,9000000000000+205)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2">
        <f>IF(K212=1,'ORDENES'!$J208,"")</f>
        <v/>
      </c>
    </row>
    <row r="213">
      <c r="K213" s="5">
        <f>IF(AND(IF($B$3="(todos)",TRUE,'ORDENES'!$O209=$B$3),IF($D$3="(todos)",TRUE,'ORDENES'!$AH209=$D$3),IF($F$3="(todos)",TRUE,'ORDENES'!$Z209=$F$3),IF($H$3="(todos)",TRUE,'ORDENES'!$Y209=$H$3),'ORDENES'!$AF209=TRUE,'ORDENES'!$A209&lt;&gt;""),1,0)</f>
        <v/>
      </c>
      <c r="L213" s="5">
        <f>IF(K213=1,IFERROR(MATCH('ORDENES'!$S209,lista_dias,0),9)*1000000000+IFERROR(MATCH('ORDENES'!$AH209,lista_turnos,0),9)*10000000+IFERROR(MATCH('ORDENES'!$AG209,'TECNICOS'!$B$4:$B$19,0),99)*100000+206,9000000000000+206)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2">
        <f>IF(K213=1,'ORDENES'!$J209,"")</f>
        <v/>
      </c>
    </row>
    <row r="214">
      <c r="K214" s="5">
        <f>IF(AND(IF($B$3="(todos)",TRUE,'ORDENES'!$O210=$B$3),IF($D$3="(todos)",TRUE,'ORDENES'!$AH210=$D$3),IF($F$3="(todos)",TRUE,'ORDENES'!$Z210=$F$3),IF($H$3="(todos)",TRUE,'ORDENES'!$Y210=$H$3),'ORDENES'!$AF210=TRUE,'ORDENES'!$A210&lt;&gt;""),1,0)</f>
        <v/>
      </c>
      <c r="L214" s="5">
        <f>IF(K214=1,IFERROR(MATCH('ORDENES'!$S210,lista_dias,0),9)*1000000000+IFERROR(MATCH('ORDENES'!$AH210,lista_turnos,0),9)*10000000+IFERROR(MATCH('ORDENES'!$AG210,'TECNICOS'!$B$4:$B$19,0),99)*100000+207,9000000000000+207)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2">
        <f>IF(K214=1,'ORDENES'!$J210,"")</f>
        <v/>
      </c>
    </row>
    <row r="215">
      <c r="K215" s="5">
        <f>IF(AND(IF($B$3="(todos)",TRUE,'ORDENES'!$O211=$B$3),IF($D$3="(todos)",TRUE,'ORDENES'!$AH211=$D$3),IF($F$3="(todos)",TRUE,'ORDENES'!$Z211=$F$3),IF($H$3="(todos)",TRUE,'ORDENES'!$Y211=$H$3),'ORDENES'!$AF211=TRUE,'ORDENES'!$A211&lt;&gt;""),1,0)</f>
        <v/>
      </c>
      <c r="L215" s="5">
        <f>IF(K215=1,IFERROR(MATCH('ORDENES'!$S211,lista_dias,0),9)*1000000000+IFERROR(MATCH('ORDENES'!$AH211,lista_turnos,0),9)*10000000+IFERROR(MATCH('ORDENES'!$AG211,'TECNICOS'!$B$4:$B$19,0),99)*100000+208,9000000000000+208)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2">
        <f>IF(K215=1,'ORDENES'!$J211,"")</f>
        <v/>
      </c>
    </row>
    <row r="216">
      <c r="K216" s="5">
        <f>IF(AND(IF($B$3="(todos)",TRUE,'ORDENES'!$O212=$B$3),IF($D$3="(todos)",TRUE,'ORDENES'!$AH212=$D$3),IF($F$3="(todos)",TRUE,'ORDENES'!$Z212=$F$3),IF($H$3="(todos)",TRUE,'ORDENES'!$Y212=$H$3),'ORDENES'!$AF212=TRUE,'ORDENES'!$A212&lt;&gt;""),1,0)</f>
        <v/>
      </c>
      <c r="L216" s="5">
        <f>IF(K216=1,IFERROR(MATCH('ORDENES'!$S212,lista_dias,0),9)*1000000000+IFERROR(MATCH('ORDENES'!$AH212,lista_turnos,0),9)*10000000+IFERROR(MATCH('ORDENES'!$AG212,'TECNICOS'!$B$4:$B$19,0),99)*100000+209,9000000000000+209)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2">
        <f>IF(K216=1,'ORDENES'!$J212,"")</f>
        <v/>
      </c>
    </row>
    <row r="217">
      <c r="K217" s="5">
        <f>IF(AND(IF($B$3="(todos)",TRUE,'ORDENES'!$O213=$B$3),IF($D$3="(todos)",TRUE,'ORDENES'!$AH213=$D$3),IF($F$3="(todos)",TRUE,'ORDENES'!$Z213=$F$3),IF($H$3="(todos)",TRUE,'ORDENES'!$Y213=$H$3),'ORDENES'!$AF213=TRUE,'ORDENES'!$A213&lt;&gt;""),1,0)</f>
        <v/>
      </c>
      <c r="L217" s="5">
        <f>IF(K217=1,IFERROR(MATCH('ORDENES'!$S213,lista_dias,0),9)*1000000000+IFERROR(MATCH('ORDENES'!$AH213,lista_turnos,0),9)*10000000+IFERROR(MATCH('ORDENES'!$AG213,'TECNICOS'!$B$4:$B$19,0),99)*100000+210,9000000000000+210)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2">
        <f>IF(K217=1,'ORDENES'!$J213,"")</f>
        <v/>
      </c>
    </row>
    <row r="218">
      <c r="K218" s="5">
        <f>IF(AND(IF($B$3="(todos)",TRUE,'ORDENES'!$O214=$B$3),IF($D$3="(todos)",TRUE,'ORDENES'!$AH214=$D$3),IF($F$3="(todos)",TRUE,'ORDENES'!$Z214=$F$3),IF($H$3="(todos)",TRUE,'ORDENES'!$Y214=$H$3),'ORDENES'!$AF214=TRUE,'ORDENES'!$A214&lt;&gt;""),1,0)</f>
        <v/>
      </c>
      <c r="L218" s="5">
        <f>IF(K218=1,IFERROR(MATCH('ORDENES'!$S214,lista_dias,0),9)*1000000000+IFERROR(MATCH('ORDENES'!$AH214,lista_turnos,0),9)*10000000+IFERROR(MATCH('ORDENES'!$AG214,'TECNICOS'!$B$4:$B$19,0),99)*100000+211,9000000000000+211)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2">
        <f>IF(K218=1,'ORDENES'!$J214,"")</f>
        <v/>
      </c>
    </row>
    <row r="219">
      <c r="K219" s="5">
        <f>IF(AND(IF($B$3="(todos)",TRUE,'ORDENES'!$O215=$B$3),IF($D$3="(todos)",TRUE,'ORDENES'!$AH215=$D$3),IF($F$3="(todos)",TRUE,'ORDENES'!$Z215=$F$3),IF($H$3="(todos)",TRUE,'ORDENES'!$Y215=$H$3),'ORDENES'!$AF215=TRUE,'ORDENES'!$A215&lt;&gt;""),1,0)</f>
        <v/>
      </c>
      <c r="L219" s="5">
        <f>IF(K219=1,IFERROR(MATCH('ORDENES'!$S215,lista_dias,0),9)*1000000000+IFERROR(MATCH('ORDENES'!$AH215,lista_turnos,0),9)*10000000+IFERROR(MATCH('ORDENES'!$AG215,'TECNICOS'!$B$4:$B$19,0),99)*100000+212,9000000000000+212)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2">
        <f>IF(K219=1,'ORDENES'!$J215,"")</f>
        <v/>
      </c>
    </row>
    <row r="220">
      <c r="K220" s="5">
        <f>IF(AND(IF($B$3="(todos)",TRUE,'ORDENES'!$O216=$B$3),IF($D$3="(todos)",TRUE,'ORDENES'!$AH216=$D$3),IF($F$3="(todos)",TRUE,'ORDENES'!$Z216=$F$3),IF($H$3="(todos)",TRUE,'ORDENES'!$Y216=$H$3),'ORDENES'!$AF216=TRUE,'ORDENES'!$A216&lt;&gt;""),1,0)</f>
        <v/>
      </c>
      <c r="L220" s="5">
        <f>IF(K220=1,IFERROR(MATCH('ORDENES'!$S216,lista_dias,0),9)*1000000000+IFERROR(MATCH('ORDENES'!$AH216,lista_turnos,0),9)*10000000+IFERROR(MATCH('ORDENES'!$AG216,'TECNICOS'!$B$4:$B$19,0),99)*100000+213,9000000000000+213)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2">
        <f>IF(K220=1,'ORDENES'!$J216,"")</f>
        <v/>
      </c>
    </row>
    <row r="221">
      <c r="K221" s="5">
        <f>IF(AND(IF($B$3="(todos)",TRUE,'ORDENES'!$O217=$B$3),IF($D$3="(todos)",TRUE,'ORDENES'!$AH217=$D$3),IF($F$3="(todos)",TRUE,'ORDENES'!$Z217=$F$3),IF($H$3="(todos)",TRUE,'ORDENES'!$Y217=$H$3),'ORDENES'!$AF217=TRUE,'ORDENES'!$A217&lt;&gt;""),1,0)</f>
        <v/>
      </c>
      <c r="L221" s="5">
        <f>IF(K221=1,IFERROR(MATCH('ORDENES'!$S217,lista_dias,0),9)*1000000000+IFERROR(MATCH('ORDENES'!$AH217,lista_turnos,0),9)*10000000+IFERROR(MATCH('ORDENES'!$AG217,'TECNICOS'!$B$4:$B$19,0),99)*100000+214,9000000000000+214)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2">
        <f>IF(K221=1,'ORDENES'!$J217,"")</f>
        <v/>
      </c>
    </row>
    <row r="222">
      <c r="K222" s="5">
        <f>IF(AND(IF($B$3="(todos)",TRUE,'ORDENES'!$O218=$B$3),IF($D$3="(todos)",TRUE,'ORDENES'!$AH218=$D$3),IF($F$3="(todos)",TRUE,'ORDENES'!$Z218=$F$3),IF($H$3="(todos)",TRUE,'ORDENES'!$Y218=$H$3),'ORDENES'!$AF218=TRUE,'ORDENES'!$A218&lt;&gt;""),1,0)</f>
        <v/>
      </c>
      <c r="L222" s="5">
        <f>IF(K222=1,IFERROR(MATCH('ORDENES'!$S218,lista_dias,0),9)*1000000000+IFERROR(MATCH('ORDENES'!$AH218,lista_turnos,0),9)*10000000+IFERROR(MATCH('ORDENES'!$AG218,'TECNICOS'!$B$4:$B$19,0),99)*100000+215,9000000000000+215)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2">
        <f>IF(K222=1,'ORDENES'!$J218,"")</f>
        <v/>
      </c>
    </row>
    <row r="223">
      <c r="K223" s="5">
        <f>IF(AND(IF($B$3="(todos)",TRUE,'ORDENES'!$O219=$B$3),IF($D$3="(todos)",TRUE,'ORDENES'!$AH219=$D$3),IF($F$3="(todos)",TRUE,'ORDENES'!$Z219=$F$3),IF($H$3="(todos)",TRUE,'ORDENES'!$Y219=$H$3),'ORDENES'!$AF219=TRUE,'ORDENES'!$A219&lt;&gt;""),1,0)</f>
        <v/>
      </c>
      <c r="L223" s="5">
        <f>IF(K223=1,IFERROR(MATCH('ORDENES'!$S219,lista_dias,0),9)*1000000000+IFERROR(MATCH('ORDENES'!$AH219,lista_turnos,0),9)*10000000+IFERROR(MATCH('ORDENES'!$AG219,'TECNICOS'!$B$4:$B$19,0),99)*100000+216,9000000000000+216)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2">
        <f>IF(K223=1,'ORDENES'!$J219,"")</f>
        <v/>
      </c>
    </row>
    <row r="224">
      <c r="K224" s="5">
        <f>IF(AND(IF($B$3="(todos)",TRUE,'ORDENES'!$O220=$B$3),IF($D$3="(todos)",TRUE,'ORDENES'!$AH220=$D$3),IF($F$3="(todos)",TRUE,'ORDENES'!$Z220=$F$3),IF($H$3="(todos)",TRUE,'ORDENES'!$Y220=$H$3),'ORDENES'!$AF220=TRUE,'ORDENES'!$A220&lt;&gt;""),1,0)</f>
        <v/>
      </c>
      <c r="L224" s="5">
        <f>IF(K224=1,IFERROR(MATCH('ORDENES'!$S220,lista_dias,0),9)*1000000000+IFERROR(MATCH('ORDENES'!$AH220,lista_turnos,0),9)*10000000+IFERROR(MATCH('ORDENES'!$AG220,'TECNICOS'!$B$4:$B$19,0),99)*100000+217,9000000000000+217)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2">
        <f>IF(K224=1,'ORDENES'!$J220,"")</f>
        <v/>
      </c>
    </row>
    <row r="225">
      <c r="K225" s="5">
        <f>IF(AND(IF($B$3="(todos)",TRUE,'ORDENES'!$O221=$B$3),IF($D$3="(todos)",TRUE,'ORDENES'!$AH221=$D$3),IF($F$3="(todos)",TRUE,'ORDENES'!$Z221=$F$3),IF($H$3="(todos)",TRUE,'ORDENES'!$Y221=$H$3),'ORDENES'!$AF221=TRUE,'ORDENES'!$A221&lt;&gt;""),1,0)</f>
        <v/>
      </c>
      <c r="L225" s="5">
        <f>IF(K225=1,IFERROR(MATCH('ORDENES'!$S221,lista_dias,0),9)*1000000000+IFERROR(MATCH('ORDENES'!$AH221,lista_turnos,0),9)*10000000+IFERROR(MATCH('ORDENES'!$AG221,'TECNICOS'!$B$4:$B$19,0),99)*100000+218,9000000000000+218)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2">
        <f>IF(K225=1,'ORDENES'!$J221,"")</f>
        <v/>
      </c>
    </row>
    <row r="226">
      <c r="K226" s="5">
        <f>IF(AND(IF($B$3="(todos)",TRUE,'ORDENES'!$O222=$B$3),IF($D$3="(todos)",TRUE,'ORDENES'!$AH222=$D$3),IF($F$3="(todos)",TRUE,'ORDENES'!$Z222=$F$3),IF($H$3="(todos)",TRUE,'ORDENES'!$Y222=$H$3),'ORDENES'!$AF222=TRUE,'ORDENES'!$A222&lt;&gt;""),1,0)</f>
        <v/>
      </c>
      <c r="L226" s="5">
        <f>IF(K226=1,IFERROR(MATCH('ORDENES'!$S222,lista_dias,0),9)*1000000000+IFERROR(MATCH('ORDENES'!$AH222,lista_turnos,0),9)*10000000+IFERROR(MATCH('ORDENES'!$AG222,'TECNICOS'!$B$4:$B$19,0),99)*100000+219,9000000000000+219)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2">
        <f>IF(K226=1,'ORDENES'!$J222,"")</f>
        <v/>
      </c>
    </row>
    <row r="227">
      <c r="K227" s="5">
        <f>IF(AND(IF($B$3="(todos)",TRUE,'ORDENES'!$O223=$B$3),IF($D$3="(todos)",TRUE,'ORDENES'!$AH223=$D$3),IF($F$3="(todos)",TRUE,'ORDENES'!$Z223=$F$3),IF($H$3="(todos)",TRUE,'ORDENES'!$Y223=$H$3),'ORDENES'!$AF223=TRUE,'ORDENES'!$A223&lt;&gt;""),1,0)</f>
        <v/>
      </c>
      <c r="L227" s="5">
        <f>IF(K227=1,IFERROR(MATCH('ORDENES'!$S223,lista_dias,0),9)*1000000000+IFERROR(MATCH('ORDENES'!$AH223,lista_turnos,0),9)*10000000+IFERROR(MATCH('ORDENES'!$AG223,'TECNICOS'!$B$4:$B$19,0),99)*100000+220,9000000000000+220)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2">
        <f>IF(K227=1,'ORDENES'!$J223,"")</f>
        <v/>
      </c>
    </row>
    <row r="228">
      <c r="K228" s="5">
        <f>IF(AND(IF($B$3="(todos)",TRUE,'ORDENES'!$O224=$B$3),IF($D$3="(todos)",TRUE,'ORDENES'!$AH224=$D$3),IF($F$3="(todos)",TRUE,'ORDENES'!$Z224=$F$3),IF($H$3="(todos)",TRUE,'ORDENES'!$Y224=$H$3),'ORDENES'!$AF224=TRUE,'ORDENES'!$A224&lt;&gt;""),1,0)</f>
        <v/>
      </c>
      <c r="L228" s="5">
        <f>IF(K228=1,IFERROR(MATCH('ORDENES'!$S224,lista_dias,0),9)*1000000000+IFERROR(MATCH('ORDENES'!$AH224,lista_turnos,0),9)*10000000+IFERROR(MATCH('ORDENES'!$AG224,'TECNICOS'!$B$4:$B$19,0),99)*100000+221,9000000000000+221)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2">
        <f>IF(K228=1,'ORDENES'!$J224,"")</f>
        <v/>
      </c>
    </row>
    <row r="229">
      <c r="K229" s="5">
        <f>IF(AND(IF($B$3="(todos)",TRUE,'ORDENES'!$O225=$B$3),IF($D$3="(todos)",TRUE,'ORDENES'!$AH225=$D$3),IF($F$3="(todos)",TRUE,'ORDENES'!$Z225=$F$3),IF($H$3="(todos)",TRUE,'ORDENES'!$Y225=$H$3),'ORDENES'!$AF225=TRUE,'ORDENES'!$A225&lt;&gt;""),1,0)</f>
        <v/>
      </c>
      <c r="L229" s="5">
        <f>IF(K229=1,IFERROR(MATCH('ORDENES'!$S225,lista_dias,0),9)*1000000000+IFERROR(MATCH('ORDENES'!$AH225,lista_turnos,0),9)*10000000+IFERROR(MATCH('ORDENES'!$AG225,'TECNICOS'!$B$4:$B$19,0),99)*100000+222,9000000000000+222)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2">
        <f>IF(K229=1,'ORDENES'!$J225,"")</f>
        <v/>
      </c>
    </row>
    <row r="230">
      <c r="K230" s="5">
        <f>IF(AND(IF($B$3="(todos)",TRUE,'ORDENES'!$O226=$B$3),IF($D$3="(todos)",TRUE,'ORDENES'!$AH226=$D$3),IF($F$3="(todos)",TRUE,'ORDENES'!$Z226=$F$3),IF($H$3="(todos)",TRUE,'ORDENES'!$Y226=$H$3),'ORDENES'!$AF226=TRUE,'ORDENES'!$A226&lt;&gt;""),1,0)</f>
        <v/>
      </c>
      <c r="L230" s="5">
        <f>IF(K230=1,IFERROR(MATCH('ORDENES'!$S226,lista_dias,0),9)*1000000000+IFERROR(MATCH('ORDENES'!$AH226,lista_turnos,0),9)*10000000+IFERROR(MATCH('ORDENES'!$AG226,'TECNICOS'!$B$4:$B$19,0),99)*100000+223,9000000000000+223)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2">
        <f>IF(K230=1,'ORDENES'!$J226,"")</f>
        <v/>
      </c>
    </row>
    <row r="231">
      <c r="K231" s="5">
        <f>IF(AND(IF($B$3="(todos)",TRUE,'ORDENES'!$O227=$B$3),IF($D$3="(todos)",TRUE,'ORDENES'!$AH227=$D$3),IF($F$3="(todos)",TRUE,'ORDENES'!$Z227=$F$3),IF($H$3="(todos)",TRUE,'ORDENES'!$Y227=$H$3),'ORDENES'!$AF227=TRUE,'ORDENES'!$A227&lt;&gt;""),1,0)</f>
        <v/>
      </c>
      <c r="L231" s="5">
        <f>IF(K231=1,IFERROR(MATCH('ORDENES'!$S227,lista_dias,0),9)*1000000000+IFERROR(MATCH('ORDENES'!$AH227,lista_turnos,0),9)*10000000+IFERROR(MATCH('ORDENES'!$AG227,'TECNICOS'!$B$4:$B$19,0),99)*100000+224,9000000000000+224)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2">
        <f>IF(K231=1,'ORDENES'!$J227,"")</f>
        <v/>
      </c>
    </row>
    <row r="232">
      <c r="K232" s="5">
        <f>IF(AND(IF($B$3="(todos)",TRUE,'ORDENES'!$O228=$B$3),IF($D$3="(todos)",TRUE,'ORDENES'!$AH228=$D$3),IF($F$3="(todos)",TRUE,'ORDENES'!$Z228=$F$3),IF($H$3="(todos)",TRUE,'ORDENES'!$Y228=$H$3),'ORDENES'!$AF228=TRUE,'ORDENES'!$A228&lt;&gt;""),1,0)</f>
        <v/>
      </c>
      <c r="L232" s="5">
        <f>IF(K232=1,IFERROR(MATCH('ORDENES'!$S228,lista_dias,0),9)*1000000000+IFERROR(MATCH('ORDENES'!$AH228,lista_turnos,0),9)*10000000+IFERROR(MATCH('ORDENES'!$AG228,'TECNICOS'!$B$4:$B$19,0),99)*100000+225,9000000000000+225)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2">
        <f>IF(K232=1,'ORDENES'!$J228,"")</f>
        <v/>
      </c>
    </row>
    <row r="233">
      <c r="K233" s="5">
        <f>IF(AND(IF($B$3="(todos)",TRUE,'ORDENES'!$O229=$B$3),IF($D$3="(todos)",TRUE,'ORDENES'!$AH229=$D$3),IF($F$3="(todos)",TRUE,'ORDENES'!$Z229=$F$3),IF($H$3="(todos)",TRUE,'ORDENES'!$Y229=$H$3),'ORDENES'!$AF229=TRUE,'ORDENES'!$A229&lt;&gt;""),1,0)</f>
        <v/>
      </c>
      <c r="L233" s="5">
        <f>IF(K233=1,IFERROR(MATCH('ORDENES'!$S229,lista_dias,0),9)*1000000000+IFERROR(MATCH('ORDENES'!$AH229,lista_turnos,0),9)*10000000+IFERROR(MATCH('ORDENES'!$AG229,'TECNICOS'!$B$4:$B$19,0),99)*100000+226,9000000000000+226)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2">
        <f>IF(K233=1,'ORDENES'!$J229,"")</f>
        <v/>
      </c>
    </row>
    <row r="234">
      <c r="K234" s="5">
        <f>IF(AND(IF($B$3="(todos)",TRUE,'ORDENES'!$O230=$B$3),IF($D$3="(todos)",TRUE,'ORDENES'!$AH230=$D$3),IF($F$3="(todos)",TRUE,'ORDENES'!$Z230=$F$3),IF($H$3="(todos)",TRUE,'ORDENES'!$Y230=$H$3),'ORDENES'!$AF230=TRUE,'ORDENES'!$A230&lt;&gt;""),1,0)</f>
        <v/>
      </c>
      <c r="L234" s="5">
        <f>IF(K234=1,IFERROR(MATCH('ORDENES'!$S230,lista_dias,0),9)*1000000000+IFERROR(MATCH('ORDENES'!$AH230,lista_turnos,0),9)*10000000+IFERROR(MATCH('ORDENES'!$AG230,'TECNICOS'!$B$4:$B$19,0),99)*100000+227,9000000000000+227)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2">
        <f>IF(K234=1,'ORDENES'!$J230,"")</f>
        <v/>
      </c>
    </row>
    <row r="235">
      <c r="K235" s="5">
        <f>IF(AND(IF($B$3="(todos)",TRUE,'ORDENES'!$O231=$B$3),IF($D$3="(todos)",TRUE,'ORDENES'!$AH231=$D$3),IF($F$3="(todos)",TRUE,'ORDENES'!$Z231=$F$3),IF($H$3="(todos)",TRUE,'ORDENES'!$Y231=$H$3),'ORDENES'!$AF231=TRUE,'ORDENES'!$A231&lt;&gt;""),1,0)</f>
        <v/>
      </c>
      <c r="L235" s="5">
        <f>IF(K235=1,IFERROR(MATCH('ORDENES'!$S231,lista_dias,0),9)*1000000000+IFERROR(MATCH('ORDENES'!$AH231,lista_turnos,0),9)*10000000+IFERROR(MATCH('ORDENES'!$AG231,'TECNICOS'!$B$4:$B$19,0),99)*100000+228,9000000000000+228)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2">
        <f>IF(K235=1,'ORDENES'!$J231,"")</f>
        <v/>
      </c>
    </row>
    <row r="236">
      <c r="K236" s="5">
        <f>IF(AND(IF($B$3="(todos)",TRUE,'ORDENES'!$O232=$B$3),IF($D$3="(todos)",TRUE,'ORDENES'!$AH232=$D$3),IF($F$3="(todos)",TRUE,'ORDENES'!$Z232=$F$3),IF($H$3="(todos)",TRUE,'ORDENES'!$Y232=$H$3),'ORDENES'!$AF232=TRUE,'ORDENES'!$A232&lt;&gt;""),1,0)</f>
        <v/>
      </c>
      <c r="L236" s="5">
        <f>IF(K236=1,IFERROR(MATCH('ORDENES'!$S232,lista_dias,0),9)*1000000000+IFERROR(MATCH('ORDENES'!$AH232,lista_turnos,0),9)*10000000+IFERROR(MATCH('ORDENES'!$AG232,'TECNICOS'!$B$4:$B$19,0),99)*100000+229,9000000000000+229)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2">
        <f>IF(K236=1,'ORDENES'!$J232,"")</f>
        <v/>
      </c>
    </row>
    <row r="237">
      <c r="K237" s="5">
        <f>IF(AND(IF($B$3="(todos)",TRUE,'ORDENES'!$O233=$B$3),IF($D$3="(todos)",TRUE,'ORDENES'!$AH233=$D$3),IF($F$3="(todos)",TRUE,'ORDENES'!$Z233=$F$3),IF($H$3="(todos)",TRUE,'ORDENES'!$Y233=$H$3),'ORDENES'!$AF233=TRUE,'ORDENES'!$A233&lt;&gt;""),1,0)</f>
        <v/>
      </c>
      <c r="L237" s="5">
        <f>IF(K237=1,IFERROR(MATCH('ORDENES'!$S233,lista_dias,0),9)*1000000000+IFERROR(MATCH('ORDENES'!$AH233,lista_turnos,0),9)*10000000+IFERROR(MATCH('ORDENES'!$AG233,'TECNICOS'!$B$4:$B$19,0),99)*100000+230,9000000000000+230)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2">
        <f>IF(K237=1,'ORDENES'!$J233,"")</f>
        <v/>
      </c>
    </row>
    <row r="238">
      <c r="K238" s="5">
        <f>IF(AND(IF($B$3="(todos)",TRUE,'ORDENES'!$O234=$B$3),IF($D$3="(todos)",TRUE,'ORDENES'!$AH234=$D$3),IF($F$3="(todos)",TRUE,'ORDENES'!$Z234=$F$3),IF($H$3="(todos)",TRUE,'ORDENES'!$Y234=$H$3),'ORDENES'!$AF234=TRUE,'ORDENES'!$A234&lt;&gt;""),1,0)</f>
        <v/>
      </c>
      <c r="L238" s="5">
        <f>IF(K238=1,IFERROR(MATCH('ORDENES'!$S234,lista_dias,0),9)*1000000000+IFERROR(MATCH('ORDENES'!$AH234,lista_turnos,0),9)*10000000+IFERROR(MATCH('ORDENES'!$AG234,'TECNICOS'!$B$4:$B$19,0),99)*100000+231,9000000000000+231)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2">
        <f>IF(K238=1,'ORDENES'!$J234,"")</f>
        <v/>
      </c>
    </row>
    <row r="239">
      <c r="K239" s="5">
        <f>IF(AND(IF($B$3="(todos)",TRUE,'ORDENES'!$O235=$B$3),IF($D$3="(todos)",TRUE,'ORDENES'!$AH235=$D$3),IF($F$3="(todos)",TRUE,'ORDENES'!$Z235=$F$3),IF($H$3="(todos)",TRUE,'ORDENES'!$Y235=$H$3),'ORDENES'!$AF235=TRUE,'ORDENES'!$A235&lt;&gt;""),1,0)</f>
        <v/>
      </c>
      <c r="L239" s="5">
        <f>IF(K239=1,IFERROR(MATCH('ORDENES'!$S235,lista_dias,0),9)*1000000000+IFERROR(MATCH('ORDENES'!$AH235,lista_turnos,0),9)*10000000+IFERROR(MATCH('ORDENES'!$AG235,'TECNICOS'!$B$4:$B$19,0),99)*100000+232,9000000000000+232)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2">
        <f>IF(K239=1,'ORDENES'!$J235,"")</f>
        <v/>
      </c>
    </row>
    <row r="240">
      <c r="K240" s="5">
        <f>IF(AND(IF($B$3="(todos)",TRUE,'ORDENES'!$O236=$B$3),IF($D$3="(todos)",TRUE,'ORDENES'!$AH236=$D$3),IF($F$3="(todos)",TRUE,'ORDENES'!$Z236=$F$3),IF($H$3="(todos)",TRUE,'ORDENES'!$Y236=$H$3),'ORDENES'!$AF236=TRUE,'ORDENES'!$A236&lt;&gt;""),1,0)</f>
        <v/>
      </c>
      <c r="L240" s="5">
        <f>IF(K240=1,IFERROR(MATCH('ORDENES'!$S236,lista_dias,0),9)*1000000000+IFERROR(MATCH('ORDENES'!$AH236,lista_turnos,0),9)*10000000+IFERROR(MATCH('ORDENES'!$AG236,'TECNICOS'!$B$4:$B$19,0),99)*100000+233,9000000000000+233)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2">
        <f>IF(K240=1,'ORDENES'!$J236,"")</f>
        <v/>
      </c>
    </row>
    <row r="241">
      <c r="K241" s="5">
        <f>IF(AND(IF($B$3="(todos)",TRUE,'ORDENES'!$O237=$B$3),IF($D$3="(todos)",TRUE,'ORDENES'!$AH237=$D$3),IF($F$3="(todos)",TRUE,'ORDENES'!$Z237=$F$3),IF($H$3="(todos)",TRUE,'ORDENES'!$Y237=$H$3),'ORDENES'!$AF237=TRUE,'ORDENES'!$A237&lt;&gt;""),1,0)</f>
        <v/>
      </c>
      <c r="L241" s="5">
        <f>IF(K241=1,IFERROR(MATCH('ORDENES'!$S237,lista_dias,0),9)*1000000000+IFERROR(MATCH('ORDENES'!$AH237,lista_turnos,0),9)*10000000+IFERROR(MATCH('ORDENES'!$AG237,'TECNICOS'!$B$4:$B$19,0),99)*100000+234,9000000000000+234)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2">
        <f>IF(K241=1,'ORDENES'!$J237,"")</f>
        <v/>
      </c>
    </row>
    <row r="242">
      <c r="K242" s="5">
        <f>IF(AND(IF($B$3="(todos)",TRUE,'ORDENES'!$O238=$B$3),IF($D$3="(todos)",TRUE,'ORDENES'!$AH238=$D$3),IF($F$3="(todos)",TRUE,'ORDENES'!$Z238=$F$3),IF($H$3="(todos)",TRUE,'ORDENES'!$Y238=$H$3),'ORDENES'!$AF238=TRUE,'ORDENES'!$A238&lt;&gt;""),1,0)</f>
        <v/>
      </c>
      <c r="L242" s="5">
        <f>IF(K242=1,IFERROR(MATCH('ORDENES'!$S238,lista_dias,0),9)*1000000000+IFERROR(MATCH('ORDENES'!$AH238,lista_turnos,0),9)*10000000+IFERROR(MATCH('ORDENES'!$AG238,'TECNICOS'!$B$4:$B$19,0),99)*100000+235,9000000000000+235)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2">
        <f>IF(K242=1,'ORDENES'!$J238,"")</f>
        <v/>
      </c>
    </row>
    <row r="243">
      <c r="K243" s="5">
        <f>IF(AND(IF($B$3="(todos)",TRUE,'ORDENES'!$O239=$B$3),IF($D$3="(todos)",TRUE,'ORDENES'!$AH239=$D$3),IF($F$3="(todos)",TRUE,'ORDENES'!$Z239=$F$3),IF($H$3="(todos)",TRUE,'ORDENES'!$Y239=$H$3),'ORDENES'!$AF239=TRUE,'ORDENES'!$A239&lt;&gt;""),1,0)</f>
        <v/>
      </c>
      <c r="L243" s="5">
        <f>IF(K243=1,IFERROR(MATCH('ORDENES'!$S239,lista_dias,0),9)*1000000000+IFERROR(MATCH('ORDENES'!$AH239,lista_turnos,0),9)*10000000+IFERROR(MATCH('ORDENES'!$AG239,'TECNICOS'!$B$4:$B$19,0),99)*100000+236,9000000000000+236)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2">
        <f>IF(K243=1,'ORDENES'!$J239,"")</f>
        <v/>
      </c>
    </row>
    <row r="244">
      <c r="K244" s="5">
        <f>IF(AND(IF($B$3="(todos)",TRUE,'ORDENES'!$O240=$B$3),IF($D$3="(todos)",TRUE,'ORDENES'!$AH240=$D$3),IF($F$3="(todos)",TRUE,'ORDENES'!$Z240=$F$3),IF($H$3="(todos)",TRUE,'ORDENES'!$Y240=$H$3),'ORDENES'!$AF240=TRUE,'ORDENES'!$A240&lt;&gt;""),1,0)</f>
        <v/>
      </c>
      <c r="L244" s="5">
        <f>IF(K244=1,IFERROR(MATCH('ORDENES'!$S240,lista_dias,0),9)*1000000000+IFERROR(MATCH('ORDENES'!$AH240,lista_turnos,0),9)*10000000+IFERROR(MATCH('ORDENES'!$AG240,'TECNICOS'!$B$4:$B$19,0),99)*100000+237,9000000000000+237)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2">
        <f>IF(K244=1,'ORDENES'!$J240,"")</f>
        <v/>
      </c>
    </row>
    <row r="245">
      <c r="K245" s="5">
        <f>IF(AND(IF($B$3="(todos)",TRUE,'ORDENES'!$O241=$B$3),IF($D$3="(todos)",TRUE,'ORDENES'!$AH241=$D$3),IF($F$3="(todos)",TRUE,'ORDENES'!$Z241=$F$3),IF($H$3="(todos)",TRUE,'ORDENES'!$Y241=$H$3),'ORDENES'!$AF241=TRUE,'ORDENES'!$A241&lt;&gt;""),1,0)</f>
        <v/>
      </c>
      <c r="L245" s="5">
        <f>IF(K245=1,IFERROR(MATCH('ORDENES'!$S241,lista_dias,0),9)*1000000000+IFERROR(MATCH('ORDENES'!$AH241,lista_turnos,0),9)*10000000+IFERROR(MATCH('ORDENES'!$AG241,'TECNICOS'!$B$4:$B$19,0),99)*100000+238,9000000000000+238)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2">
        <f>IF(K245=1,'ORDENES'!$J241,"")</f>
        <v/>
      </c>
    </row>
    <row r="246">
      <c r="K246" s="5">
        <f>IF(AND(IF($B$3="(todos)",TRUE,'ORDENES'!$O242=$B$3),IF($D$3="(todos)",TRUE,'ORDENES'!$AH242=$D$3),IF($F$3="(todos)",TRUE,'ORDENES'!$Z242=$F$3),IF($H$3="(todos)",TRUE,'ORDENES'!$Y242=$H$3),'ORDENES'!$AF242=TRUE,'ORDENES'!$A242&lt;&gt;""),1,0)</f>
        <v/>
      </c>
      <c r="L246" s="5">
        <f>IF(K246=1,IFERROR(MATCH('ORDENES'!$S242,lista_dias,0),9)*1000000000+IFERROR(MATCH('ORDENES'!$AH242,lista_turnos,0),9)*10000000+IFERROR(MATCH('ORDENES'!$AG242,'TECNICOS'!$B$4:$B$19,0),99)*100000+239,9000000000000+239)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2">
        <f>IF(K246=1,'ORDENES'!$J242,"")</f>
        <v/>
      </c>
    </row>
    <row r="247">
      <c r="K247" s="5">
        <f>IF(AND(IF($B$3="(todos)",TRUE,'ORDENES'!$O243=$B$3),IF($D$3="(todos)",TRUE,'ORDENES'!$AH243=$D$3),IF($F$3="(todos)",TRUE,'ORDENES'!$Z243=$F$3),IF($H$3="(todos)",TRUE,'ORDENES'!$Y243=$H$3),'ORDENES'!$AF243=TRUE,'ORDENES'!$A243&lt;&gt;""),1,0)</f>
        <v/>
      </c>
      <c r="L247" s="5">
        <f>IF(K247=1,IFERROR(MATCH('ORDENES'!$S243,lista_dias,0),9)*1000000000+IFERROR(MATCH('ORDENES'!$AH243,lista_turnos,0),9)*10000000+IFERROR(MATCH('ORDENES'!$AG243,'TECNICOS'!$B$4:$B$19,0),99)*100000+240,9000000000000+240)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2">
        <f>IF(K247=1,'ORDENES'!$J243,"")</f>
        <v/>
      </c>
    </row>
    <row r="248">
      <c r="K248" s="5">
        <f>IF(AND(IF($B$3="(todos)",TRUE,'ORDENES'!$O244=$B$3),IF($D$3="(todos)",TRUE,'ORDENES'!$AH244=$D$3),IF($F$3="(todos)",TRUE,'ORDENES'!$Z244=$F$3),IF($H$3="(todos)",TRUE,'ORDENES'!$Y244=$H$3),'ORDENES'!$AF244=TRUE,'ORDENES'!$A244&lt;&gt;""),1,0)</f>
        <v/>
      </c>
      <c r="L248" s="5">
        <f>IF(K248=1,IFERROR(MATCH('ORDENES'!$S244,lista_dias,0),9)*1000000000+IFERROR(MATCH('ORDENES'!$AH244,lista_turnos,0),9)*10000000+IFERROR(MATCH('ORDENES'!$AG244,'TECNICOS'!$B$4:$B$19,0),99)*100000+241,9000000000000+241)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2">
        <f>IF(K248=1,'ORDENES'!$J244,"")</f>
        <v/>
      </c>
    </row>
    <row r="249">
      <c r="K249" s="5">
        <f>IF(AND(IF($B$3="(todos)",TRUE,'ORDENES'!$O245=$B$3),IF($D$3="(todos)",TRUE,'ORDENES'!$AH245=$D$3),IF($F$3="(todos)",TRUE,'ORDENES'!$Z245=$F$3),IF($H$3="(todos)",TRUE,'ORDENES'!$Y245=$H$3),'ORDENES'!$AF245=TRUE,'ORDENES'!$A245&lt;&gt;""),1,0)</f>
        <v/>
      </c>
      <c r="L249" s="5">
        <f>IF(K249=1,IFERROR(MATCH('ORDENES'!$S245,lista_dias,0),9)*1000000000+IFERROR(MATCH('ORDENES'!$AH245,lista_turnos,0),9)*10000000+IFERROR(MATCH('ORDENES'!$AG245,'TECNICOS'!$B$4:$B$19,0),99)*100000+242,9000000000000+242)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2">
        <f>IF(K249=1,'ORDENES'!$J245,"")</f>
        <v/>
      </c>
    </row>
    <row r="250">
      <c r="K250" s="5">
        <f>IF(AND(IF($B$3="(todos)",TRUE,'ORDENES'!$O246=$B$3),IF($D$3="(todos)",TRUE,'ORDENES'!$AH246=$D$3),IF($F$3="(todos)",TRUE,'ORDENES'!$Z246=$F$3),IF($H$3="(todos)",TRUE,'ORDENES'!$Y246=$H$3),'ORDENES'!$AF246=TRUE,'ORDENES'!$A246&lt;&gt;""),1,0)</f>
        <v/>
      </c>
      <c r="L250" s="5">
        <f>IF(K250=1,IFERROR(MATCH('ORDENES'!$S246,lista_dias,0),9)*1000000000+IFERROR(MATCH('ORDENES'!$AH246,lista_turnos,0),9)*10000000+IFERROR(MATCH('ORDENES'!$AG246,'TECNICOS'!$B$4:$B$19,0),99)*100000+243,9000000000000+243)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2">
        <f>IF(K250=1,'ORDENES'!$J246,"")</f>
        <v/>
      </c>
    </row>
    <row r="251">
      <c r="K251" s="5">
        <f>IF(AND(IF($B$3="(todos)",TRUE,'ORDENES'!$O247=$B$3),IF($D$3="(todos)",TRUE,'ORDENES'!$AH247=$D$3),IF($F$3="(todos)",TRUE,'ORDENES'!$Z247=$F$3),IF($H$3="(todos)",TRUE,'ORDENES'!$Y247=$H$3),'ORDENES'!$AF247=TRUE,'ORDENES'!$A247&lt;&gt;""),1,0)</f>
        <v/>
      </c>
      <c r="L251" s="5">
        <f>IF(K251=1,IFERROR(MATCH('ORDENES'!$S247,lista_dias,0),9)*1000000000+IFERROR(MATCH('ORDENES'!$AH247,lista_turnos,0),9)*10000000+IFERROR(MATCH('ORDENES'!$AG247,'TECNICOS'!$B$4:$B$19,0),99)*100000+244,9000000000000+244)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2">
        <f>IF(K251=1,'ORDENES'!$J247,"")</f>
        <v/>
      </c>
    </row>
    <row r="252">
      <c r="K252" s="5">
        <f>IF(AND(IF($B$3="(todos)",TRUE,'ORDENES'!$O248=$B$3),IF($D$3="(todos)",TRUE,'ORDENES'!$AH248=$D$3),IF($F$3="(todos)",TRUE,'ORDENES'!$Z248=$F$3),IF($H$3="(todos)",TRUE,'ORDENES'!$Y248=$H$3),'ORDENES'!$AF248=TRUE,'ORDENES'!$A248&lt;&gt;""),1,0)</f>
        <v/>
      </c>
      <c r="L252" s="5">
        <f>IF(K252=1,IFERROR(MATCH('ORDENES'!$S248,lista_dias,0),9)*1000000000+IFERROR(MATCH('ORDENES'!$AH248,lista_turnos,0),9)*10000000+IFERROR(MATCH('ORDENES'!$AG248,'TECNICOS'!$B$4:$B$19,0),99)*100000+245,9000000000000+245)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2">
        <f>IF(K252=1,'ORDENES'!$J248,"")</f>
        <v/>
      </c>
    </row>
    <row r="253">
      <c r="K253" s="5">
        <f>IF(AND(IF($B$3="(todos)",TRUE,'ORDENES'!$O249=$B$3),IF($D$3="(todos)",TRUE,'ORDENES'!$AH249=$D$3),IF($F$3="(todos)",TRUE,'ORDENES'!$Z249=$F$3),IF($H$3="(todos)",TRUE,'ORDENES'!$Y249=$H$3),'ORDENES'!$AF249=TRUE,'ORDENES'!$A249&lt;&gt;""),1,0)</f>
        <v/>
      </c>
      <c r="L253" s="5">
        <f>IF(K253=1,IFERROR(MATCH('ORDENES'!$S249,lista_dias,0),9)*1000000000+IFERROR(MATCH('ORDENES'!$AH249,lista_turnos,0),9)*10000000+IFERROR(MATCH('ORDENES'!$AG249,'TECNICOS'!$B$4:$B$19,0),99)*100000+246,9000000000000+246)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2">
        <f>IF(K253=1,'ORDENES'!$J249,"")</f>
        <v/>
      </c>
    </row>
    <row r="254">
      <c r="K254" s="5">
        <f>IF(AND(IF($B$3="(todos)",TRUE,'ORDENES'!$O250=$B$3),IF($D$3="(todos)",TRUE,'ORDENES'!$AH250=$D$3),IF($F$3="(todos)",TRUE,'ORDENES'!$Z250=$F$3),IF($H$3="(todos)",TRUE,'ORDENES'!$Y250=$H$3),'ORDENES'!$AF250=TRUE,'ORDENES'!$A250&lt;&gt;""),1,0)</f>
        <v/>
      </c>
      <c r="L254" s="5">
        <f>IF(K254=1,IFERROR(MATCH('ORDENES'!$S250,lista_dias,0),9)*1000000000+IFERROR(MATCH('ORDENES'!$AH250,lista_turnos,0),9)*10000000+IFERROR(MATCH('ORDENES'!$AG250,'TECNICOS'!$B$4:$B$19,0),99)*100000+247,9000000000000+247)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2">
        <f>IF(K254=1,'ORDENES'!$J250,"")</f>
        <v/>
      </c>
    </row>
    <row r="255">
      <c r="K255" s="5">
        <f>IF(AND(IF($B$3="(todos)",TRUE,'ORDENES'!$O251=$B$3),IF($D$3="(todos)",TRUE,'ORDENES'!$AH251=$D$3),IF($F$3="(todos)",TRUE,'ORDENES'!$Z251=$F$3),IF($H$3="(todos)",TRUE,'ORDENES'!$Y251=$H$3),'ORDENES'!$AF251=TRUE,'ORDENES'!$A251&lt;&gt;""),1,0)</f>
        <v/>
      </c>
      <c r="L255" s="5">
        <f>IF(K255=1,IFERROR(MATCH('ORDENES'!$S251,lista_dias,0),9)*1000000000+IFERROR(MATCH('ORDENES'!$AH251,lista_turnos,0),9)*10000000+IFERROR(MATCH('ORDENES'!$AG251,'TECNICOS'!$B$4:$B$19,0),99)*100000+248,9000000000000+248)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2">
        <f>IF(K255=1,'ORDENES'!$J251,"")</f>
        <v/>
      </c>
    </row>
    <row r="256">
      <c r="K256" s="5">
        <f>IF(AND(IF($B$3="(todos)",TRUE,'ORDENES'!$O252=$B$3),IF($D$3="(todos)",TRUE,'ORDENES'!$AH252=$D$3),IF($F$3="(todos)",TRUE,'ORDENES'!$Z252=$F$3),IF($H$3="(todos)",TRUE,'ORDENES'!$Y252=$H$3),'ORDENES'!$AF252=TRUE,'ORDENES'!$A252&lt;&gt;""),1,0)</f>
        <v/>
      </c>
      <c r="L256" s="5">
        <f>IF(K256=1,IFERROR(MATCH('ORDENES'!$S252,lista_dias,0),9)*1000000000+IFERROR(MATCH('ORDENES'!$AH252,lista_turnos,0),9)*10000000+IFERROR(MATCH('ORDENES'!$AG252,'TECNICOS'!$B$4:$B$19,0),99)*100000+249,9000000000000+249)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2">
        <f>IF(K256=1,'ORDENES'!$J252,"")</f>
        <v/>
      </c>
    </row>
    <row r="257">
      <c r="K257" s="5">
        <f>IF(AND(IF($B$3="(todos)",TRUE,'ORDENES'!$O253=$B$3),IF($D$3="(todos)",TRUE,'ORDENES'!$AH253=$D$3),IF($F$3="(todos)",TRUE,'ORDENES'!$Z253=$F$3),IF($H$3="(todos)",TRUE,'ORDENES'!$Y253=$H$3),'ORDENES'!$AF253=TRUE,'ORDENES'!$A253&lt;&gt;""),1,0)</f>
        <v/>
      </c>
      <c r="L257" s="5">
        <f>IF(K257=1,IFERROR(MATCH('ORDENES'!$S253,lista_dias,0),9)*1000000000+IFERROR(MATCH('ORDENES'!$AH253,lista_turnos,0),9)*10000000+IFERROR(MATCH('ORDENES'!$AG253,'TECNICOS'!$B$4:$B$19,0),99)*100000+250,9000000000000+250)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2">
        <f>IF(K257=1,'ORDENES'!$J253,"")</f>
        <v/>
      </c>
    </row>
    <row r="258">
      <c r="K258" s="5">
        <f>IF(AND(IF($B$3="(todos)",TRUE,'ORDENES'!$O254=$B$3),IF($D$3="(todos)",TRUE,'ORDENES'!$AH254=$D$3),IF($F$3="(todos)",TRUE,'ORDENES'!$Z254=$F$3),IF($H$3="(todos)",TRUE,'ORDENES'!$Y254=$H$3),'ORDENES'!$AF254=TRUE,'ORDENES'!$A254&lt;&gt;""),1,0)</f>
        <v/>
      </c>
      <c r="L258" s="5">
        <f>IF(K258=1,IFERROR(MATCH('ORDENES'!$S254,lista_dias,0),9)*1000000000+IFERROR(MATCH('ORDENES'!$AH254,lista_turnos,0),9)*10000000+IFERROR(MATCH('ORDENES'!$AG254,'TECNICOS'!$B$4:$B$19,0),99)*100000+251,9000000000000+251)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2">
        <f>IF(K258=1,'ORDENES'!$J254,"")</f>
        <v/>
      </c>
    </row>
    <row r="259">
      <c r="K259" s="5">
        <f>IF(AND(IF($B$3="(todos)",TRUE,'ORDENES'!$O255=$B$3),IF($D$3="(todos)",TRUE,'ORDENES'!$AH255=$D$3),IF($F$3="(todos)",TRUE,'ORDENES'!$Z255=$F$3),IF($H$3="(todos)",TRUE,'ORDENES'!$Y255=$H$3),'ORDENES'!$AF255=TRUE,'ORDENES'!$A255&lt;&gt;""),1,0)</f>
        <v/>
      </c>
      <c r="L259" s="5">
        <f>IF(K259=1,IFERROR(MATCH('ORDENES'!$S255,lista_dias,0),9)*1000000000+IFERROR(MATCH('ORDENES'!$AH255,lista_turnos,0),9)*10000000+IFERROR(MATCH('ORDENES'!$AG255,'TECNICOS'!$B$4:$B$19,0),99)*100000+252,9000000000000+252)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2">
        <f>IF(K259=1,'ORDENES'!$J255,"")</f>
        <v/>
      </c>
    </row>
    <row r="260">
      <c r="K260" s="5">
        <f>IF(AND(IF($B$3="(todos)",TRUE,'ORDENES'!$O256=$B$3),IF($D$3="(todos)",TRUE,'ORDENES'!$AH256=$D$3),IF($F$3="(todos)",TRUE,'ORDENES'!$Z256=$F$3),IF($H$3="(todos)",TRUE,'ORDENES'!$Y256=$H$3),'ORDENES'!$AF256=TRUE,'ORDENES'!$A256&lt;&gt;""),1,0)</f>
        <v/>
      </c>
      <c r="L260" s="5">
        <f>IF(K260=1,IFERROR(MATCH('ORDENES'!$S256,lista_dias,0),9)*1000000000+IFERROR(MATCH('ORDENES'!$AH256,lista_turnos,0),9)*10000000+IFERROR(MATCH('ORDENES'!$AG256,'TECNICOS'!$B$4:$B$19,0),99)*100000+253,9000000000000+253)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2">
        <f>IF(K260=1,'ORDENES'!$J256,"")</f>
        <v/>
      </c>
    </row>
    <row r="261">
      <c r="K261" s="5">
        <f>IF(AND(IF($B$3="(todos)",TRUE,'ORDENES'!$O257=$B$3),IF($D$3="(todos)",TRUE,'ORDENES'!$AH257=$D$3),IF($F$3="(todos)",TRUE,'ORDENES'!$Z257=$F$3),IF($H$3="(todos)",TRUE,'ORDENES'!$Y257=$H$3),'ORDENES'!$AF257=TRUE,'ORDENES'!$A257&lt;&gt;""),1,0)</f>
        <v/>
      </c>
      <c r="L261" s="5">
        <f>IF(K261=1,IFERROR(MATCH('ORDENES'!$S257,lista_dias,0),9)*1000000000+IFERROR(MATCH('ORDENES'!$AH257,lista_turnos,0),9)*10000000+IFERROR(MATCH('ORDENES'!$AG257,'TECNICOS'!$B$4:$B$19,0),99)*100000+254,9000000000000+254)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2">
        <f>IF(K261=1,'ORDENES'!$J257,"")</f>
        <v/>
      </c>
    </row>
    <row r="262">
      <c r="K262" s="5">
        <f>IF(AND(IF($B$3="(todos)",TRUE,'ORDENES'!$O258=$B$3),IF($D$3="(todos)",TRUE,'ORDENES'!$AH258=$D$3),IF($F$3="(todos)",TRUE,'ORDENES'!$Z258=$F$3),IF($H$3="(todos)",TRUE,'ORDENES'!$Y258=$H$3),'ORDENES'!$AF258=TRUE,'ORDENES'!$A258&lt;&gt;""),1,0)</f>
        <v/>
      </c>
      <c r="L262" s="5">
        <f>IF(K262=1,IFERROR(MATCH('ORDENES'!$S258,lista_dias,0),9)*1000000000+IFERROR(MATCH('ORDENES'!$AH258,lista_turnos,0),9)*10000000+IFERROR(MATCH('ORDENES'!$AG258,'TECNICOS'!$B$4:$B$19,0),99)*100000+255,9000000000000+255)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2">
        <f>IF(K262=1,'ORDENES'!$J258,"")</f>
        <v/>
      </c>
    </row>
    <row r="263">
      <c r="K263" s="5">
        <f>IF(AND(IF($B$3="(todos)",TRUE,'ORDENES'!$O259=$B$3),IF($D$3="(todos)",TRUE,'ORDENES'!$AH259=$D$3),IF($F$3="(todos)",TRUE,'ORDENES'!$Z259=$F$3),IF($H$3="(todos)",TRUE,'ORDENES'!$Y259=$H$3),'ORDENES'!$AF259=TRUE,'ORDENES'!$A259&lt;&gt;""),1,0)</f>
        <v/>
      </c>
      <c r="L263" s="5">
        <f>IF(K263=1,IFERROR(MATCH('ORDENES'!$S259,lista_dias,0),9)*1000000000+IFERROR(MATCH('ORDENES'!$AH259,lista_turnos,0),9)*10000000+IFERROR(MATCH('ORDENES'!$AG259,'TECNICOS'!$B$4:$B$19,0),99)*100000+256,9000000000000+256)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2">
        <f>IF(K263=1,'ORDENES'!$J259,"")</f>
        <v/>
      </c>
    </row>
    <row r="264">
      <c r="K264" s="5">
        <f>IF(AND(IF($B$3="(todos)",TRUE,'ORDENES'!$O260=$B$3),IF($D$3="(todos)",TRUE,'ORDENES'!$AH260=$D$3),IF($F$3="(todos)",TRUE,'ORDENES'!$Z260=$F$3),IF($H$3="(todos)",TRUE,'ORDENES'!$Y260=$H$3),'ORDENES'!$AF260=TRUE,'ORDENES'!$A260&lt;&gt;""),1,0)</f>
        <v/>
      </c>
      <c r="L264" s="5">
        <f>IF(K264=1,IFERROR(MATCH('ORDENES'!$S260,lista_dias,0),9)*1000000000+IFERROR(MATCH('ORDENES'!$AH260,lista_turnos,0),9)*10000000+IFERROR(MATCH('ORDENES'!$AG260,'TECNICOS'!$B$4:$B$19,0),99)*100000+257,9000000000000+257)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2">
        <f>IF(K264=1,'ORDENES'!$J260,"")</f>
        <v/>
      </c>
    </row>
    <row r="265">
      <c r="K265" s="5">
        <f>IF(AND(IF($B$3="(todos)",TRUE,'ORDENES'!$O261=$B$3),IF($D$3="(todos)",TRUE,'ORDENES'!$AH261=$D$3),IF($F$3="(todos)",TRUE,'ORDENES'!$Z261=$F$3),IF($H$3="(todos)",TRUE,'ORDENES'!$Y261=$H$3),'ORDENES'!$AF261=TRUE,'ORDENES'!$A261&lt;&gt;""),1,0)</f>
        <v/>
      </c>
      <c r="L265" s="5">
        <f>IF(K265=1,IFERROR(MATCH('ORDENES'!$S261,lista_dias,0),9)*1000000000+IFERROR(MATCH('ORDENES'!$AH261,lista_turnos,0),9)*10000000+IFERROR(MATCH('ORDENES'!$AG261,'TECNICOS'!$B$4:$B$19,0),99)*100000+258,9000000000000+258)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2">
        <f>IF(K265=1,'ORDENES'!$J261,"")</f>
        <v/>
      </c>
    </row>
    <row r="266">
      <c r="K266" s="5">
        <f>IF(AND(IF($B$3="(todos)",TRUE,'ORDENES'!$O262=$B$3),IF($D$3="(todos)",TRUE,'ORDENES'!$AH262=$D$3),IF($F$3="(todos)",TRUE,'ORDENES'!$Z262=$F$3),IF($H$3="(todos)",TRUE,'ORDENES'!$Y262=$H$3),'ORDENES'!$AF262=TRUE,'ORDENES'!$A262&lt;&gt;""),1,0)</f>
        <v/>
      </c>
      <c r="L266" s="5">
        <f>IF(K266=1,IFERROR(MATCH('ORDENES'!$S262,lista_dias,0),9)*1000000000+IFERROR(MATCH('ORDENES'!$AH262,lista_turnos,0),9)*10000000+IFERROR(MATCH('ORDENES'!$AG262,'TECNICOS'!$B$4:$B$19,0),99)*100000+259,9000000000000+259)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2">
        <f>IF(K266=1,'ORDENES'!$J262,"")</f>
        <v/>
      </c>
    </row>
    <row r="267">
      <c r="K267" s="5">
        <f>IF(AND(IF($B$3="(todos)",TRUE,'ORDENES'!$O263=$B$3),IF($D$3="(todos)",TRUE,'ORDENES'!$AH263=$D$3),IF($F$3="(todos)",TRUE,'ORDENES'!$Z263=$F$3),IF($H$3="(todos)",TRUE,'ORDENES'!$Y263=$H$3),'ORDENES'!$AF263=TRUE,'ORDENES'!$A263&lt;&gt;""),1,0)</f>
        <v/>
      </c>
      <c r="L267" s="5">
        <f>IF(K267=1,IFERROR(MATCH('ORDENES'!$S263,lista_dias,0),9)*1000000000+IFERROR(MATCH('ORDENES'!$AH263,lista_turnos,0),9)*10000000+IFERROR(MATCH('ORDENES'!$AG263,'TECNICOS'!$B$4:$B$19,0),99)*100000+260,9000000000000+260)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2">
        <f>IF(K267=1,'ORDENES'!$J263,"")</f>
        <v/>
      </c>
    </row>
    <row r="268">
      <c r="K268" s="5">
        <f>IF(AND(IF($B$3="(todos)",TRUE,'ORDENES'!$O264=$B$3),IF($D$3="(todos)",TRUE,'ORDENES'!$AH264=$D$3),IF($F$3="(todos)",TRUE,'ORDENES'!$Z264=$F$3),IF($H$3="(todos)",TRUE,'ORDENES'!$Y264=$H$3),'ORDENES'!$AF264=TRUE,'ORDENES'!$A264&lt;&gt;""),1,0)</f>
        <v/>
      </c>
      <c r="L268" s="5">
        <f>IF(K268=1,IFERROR(MATCH('ORDENES'!$S264,lista_dias,0),9)*1000000000+IFERROR(MATCH('ORDENES'!$AH264,lista_turnos,0),9)*10000000+IFERROR(MATCH('ORDENES'!$AG264,'TECNICOS'!$B$4:$B$19,0),99)*100000+261,9000000000000+261)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2">
        <f>IF(K268=1,'ORDENES'!$J264,"")</f>
        <v/>
      </c>
    </row>
    <row r="269">
      <c r="K269" s="5">
        <f>IF(AND(IF($B$3="(todos)",TRUE,'ORDENES'!$O265=$B$3),IF($D$3="(todos)",TRUE,'ORDENES'!$AH265=$D$3),IF($F$3="(todos)",TRUE,'ORDENES'!$Z265=$F$3),IF($H$3="(todos)",TRUE,'ORDENES'!$Y265=$H$3),'ORDENES'!$AF265=TRUE,'ORDENES'!$A265&lt;&gt;""),1,0)</f>
        <v/>
      </c>
      <c r="L269" s="5">
        <f>IF(K269=1,IFERROR(MATCH('ORDENES'!$S265,lista_dias,0),9)*1000000000+IFERROR(MATCH('ORDENES'!$AH265,lista_turnos,0),9)*10000000+IFERROR(MATCH('ORDENES'!$AG265,'TECNICOS'!$B$4:$B$19,0),99)*100000+262,9000000000000+262)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2">
        <f>IF(K269=1,'ORDENES'!$J265,"")</f>
        <v/>
      </c>
    </row>
    <row r="270">
      <c r="K270" s="5">
        <f>IF(AND(IF($B$3="(todos)",TRUE,'ORDENES'!$O266=$B$3),IF($D$3="(todos)",TRUE,'ORDENES'!$AH266=$D$3),IF($F$3="(todos)",TRUE,'ORDENES'!$Z266=$F$3),IF($H$3="(todos)",TRUE,'ORDENES'!$Y266=$H$3),'ORDENES'!$AF266=TRUE,'ORDENES'!$A266&lt;&gt;""),1,0)</f>
        <v/>
      </c>
      <c r="L270" s="5">
        <f>IF(K270=1,IFERROR(MATCH('ORDENES'!$S266,lista_dias,0),9)*1000000000+IFERROR(MATCH('ORDENES'!$AH266,lista_turnos,0),9)*10000000+IFERROR(MATCH('ORDENES'!$AG266,'TECNICOS'!$B$4:$B$19,0),99)*100000+263,9000000000000+263)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2">
        <f>IF(K270=1,'ORDENES'!$J266,"")</f>
        <v/>
      </c>
    </row>
    <row r="271">
      <c r="K271" s="5">
        <f>IF(AND(IF($B$3="(todos)",TRUE,'ORDENES'!$O267=$B$3),IF($D$3="(todos)",TRUE,'ORDENES'!$AH267=$D$3),IF($F$3="(todos)",TRUE,'ORDENES'!$Z267=$F$3),IF($H$3="(todos)",TRUE,'ORDENES'!$Y267=$H$3),'ORDENES'!$AF267=TRUE,'ORDENES'!$A267&lt;&gt;""),1,0)</f>
        <v/>
      </c>
      <c r="L271" s="5">
        <f>IF(K271=1,IFERROR(MATCH('ORDENES'!$S267,lista_dias,0),9)*1000000000+IFERROR(MATCH('ORDENES'!$AH267,lista_turnos,0),9)*10000000+IFERROR(MATCH('ORDENES'!$AG267,'TECNICOS'!$B$4:$B$19,0),99)*100000+264,9000000000000+264)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2">
        <f>IF(K271=1,'ORDENES'!$J267,"")</f>
        <v/>
      </c>
    </row>
    <row r="272">
      <c r="K272" s="5">
        <f>IF(AND(IF($B$3="(todos)",TRUE,'ORDENES'!$O268=$B$3),IF($D$3="(todos)",TRUE,'ORDENES'!$AH268=$D$3),IF($F$3="(todos)",TRUE,'ORDENES'!$Z268=$F$3),IF($H$3="(todos)",TRUE,'ORDENES'!$Y268=$H$3),'ORDENES'!$AF268=TRUE,'ORDENES'!$A268&lt;&gt;""),1,0)</f>
        <v/>
      </c>
      <c r="L272" s="5">
        <f>IF(K272=1,IFERROR(MATCH('ORDENES'!$S268,lista_dias,0),9)*1000000000+IFERROR(MATCH('ORDENES'!$AH268,lista_turnos,0),9)*10000000+IFERROR(MATCH('ORDENES'!$AG268,'TECNICOS'!$B$4:$B$19,0),99)*100000+265,9000000000000+265)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2">
        <f>IF(K272=1,'ORDENES'!$J268,"")</f>
        <v/>
      </c>
    </row>
    <row r="273">
      <c r="K273" s="5">
        <f>IF(AND(IF($B$3="(todos)",TRUE,'ORDENES'!$O269=$B$3),IF($D$3="(todos)",TRUE,'ORDENES'!$AH269=$D$3),IF($F$3="(todos)",TRUE,'ORDENES'!$Z269=$F$3),IF($H$3="(todos)",TRUE,'ORDENES'!$Y269=$H$3),'ORDENES'!$AF269=TRUE,'ORDENES'!$A269&lt;&gt;""),1,0)</f>
        <v/>
      </c>
      <c r="L273" s="5">
        <f>IF(K273=1,IFERROR(MATCH('ORDENES'!$S269,lista_dias,0),9)*1000000000+IFERROR(MATCH('ORDENES'!$AH269,lista_turnos,0),9)*10000000+IFERROR(MATCH('ORDENES'!$AG269,'TECNICOS'!$B$4:$B$19,0),99)*100000+266,9000000000000+266)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2">
        <f>IF(K273=1,'ORDENES'!$J269,"")</f>
        <v/>
      </c>
    </row>
    <row r="274">
      <c r="K274" s="5">
        <f>IF(AND(IF($B$3="(todos)",TRUE,'ORDENES'!$O270=$B$3),IF($D$3="(todos)",TRUE,'ORDENES'!$AH270=$D$3),IF($F$3="(todos)",TRUE,'ORDENES'!$Z270=$F$3),IF($H$3="(todos)",TRUE,'ORDENES'!$Y270=$H$3),'ORDENES'!$AF270=TRUE,'ORDENES'!$A270&lt;&gt;""),1,0)</f>
        <v/>
      </c>
      <c r="L274" s="5">
        <f>IF(K274=1,IFERROR(MATCH('ORDENES'!$S270,lista_dias,0),9)*1000000000+IFERROR(MATCH('ORDENES'!$AH270,lista_turnos,0),9)*10000000+IFERROR(MATCH('ORDENES'!$AG270,'TECNICOS'!$B$4:$B$19,0),99)*100000+267,9000000000000+267)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2">
        <f>IF(K274=1,'ORDENES'!$J270,"")</f>
        <v/>
      </c>
    </row>
    <row r="275">
      <c r="K275" s="5">
        <f>IF(AND(IF($B$3="(todos)",TRUE,'ORDENES'!$O271=$B$3),IF($D$3="(todos)",TRUE,'ORDENES'!$AH271=$D$3),IF($F$3="(todos)",TRUE,'ORDENES'!$Z271=$F$3),IF($H$3="(todos)",TRUE,'ORDENES'!$Y271=$H$3),'ORDENES'!$AF271=TRUE,'ORDENES'!$A271&lt;&gt;""),1,0)</f>
        <v/>
      </c>
      <c r="L275" s="5">
        <f>IF(K275=1,IFERROR(MATCH('ORDENES'!$S271,lista_dias,0),9)*1000000000+IFERROR(MATCH('ORDENES'!$AH271,lista_turnos,0),9)*10000000+IFERROR(MATCH('ORDENES'!$AG271,'TECNICOS'!$B$4:$B$19,0),99)*100000+268,9000000000000+268)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2">
        <f>IF(K275=1,'ORDENES'!$J271,"")</f>
        <v/>
      </c>
    </row>
    <row r="276">
      <c r="K276" s="5">
        <f>IF(AND(IF($B$3="(todos)",TRUE,'ORDENES'!$O272=$B$3),IF($D$3="(todos)",TRUE,'ORDENES'!$AH272=$D$3),IF($F$3="(todos)",TRUE,'ORDENES'!$Z272=$F$3),IF($H$3="(todos)",TRUE,'ORDENES'!$Y272=$H$3),'ORDENES'!$AF272=TRUE,'ORDENES'!$A272&lt;&gt;""),1,0)</f>
        <v/>
      </c>
      <c r="L276" s="5">
        <f>IF(K276=1,IFERROR(MATCH('ORDENES'!$S272,lista_dias,0),9)*1000000000+IFERROR(MATCH('ORDENES'!$AH272,lista_turnos,0),9)*10000000+IFERROR(MATCH('ORDENES'!$AG272,'TECNICOS'!$B$4:$B$19,0),99)*100000+269,9000000000000+269)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2">
        <f>IF(K276=1,'ORDENES'!$J272,"")</f>
        <v/>
      </c>
    </row>
    <row r="277">
      <c r="K277" s="5">
        <f>IF(AND(IF($B$3="(todos)",TRUE,'ORDENES'!$O273=$B$3),IF($D$3="(todos)",TRUE,'ORDENES'!$AH273=$D$3),IF($F$3="(todos)",TRUE,'ORDENES'!$Z273=$F$3),IF($H$3="(todos)",TRUE,'ORDENES'!$Y273=$H$3),'ORDENES'!$AF273=TRUE,'ORDENES'!$A273&lt;&gt;""),1,0)</f>
        <v/>
      </c>
      <c r="L277" s="5">
        <f>IF(K277=1,IFERROR(MATCH('ORDENES'!$S273,lista_dias,0),9)*1000000000+IFERROR(MATCH('ORDENES'!$AH273,lista_turnos,0),9)*10000000+IFERROR(MATCH('ORDENES'!$AG273,'TECNICOS'!$B$4:$B$19,0),99)*100000+270,9000000000000+270)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2">
        <f>IF(K277=1,'ORDENES'!$J273,"")</f>
        <v/>
      </c>
    </row>
    <row r="278">
      <c r="K278" s="5">
        <f>IF(AND(IF($B$3="(todos)",TRUE,'ORDENES'!$O274=$B$3),IF($D$3="(todos)",TRUE,'ORDENES'!$AH274=$D$3),IF($F$3="(todos)",TRUE,'ORDENES'!$Z274=$F$3),IF($H$3="(todos)",TRUE,'ORDENES'!$Y274=$H$3),'ORDENES'!$AF274=TRUE,'ORDENES'!$A274&lt;&gt;""),1,0)</f>
        <v/>
      </c>
      <c r="L278" s="5">
        <f>IF(K278=1,IFERROR(MATCH('ORDENES'!$S274,lista_dias,0),9)*1000000000+IFERROR(MATCH('ORDENES'!$AH274,lista_turnos,0),9)*10000000+IFERROR(MATCH('ORDENES'!$AG274,'TECNICOS'!$B$4:$B$19,0),99)*100000+271,9000000000000+271)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2">
        <f>IF(K278=1,'ORDENES'!$J274,"")</f>
        <v/>
      </c>
    </row>
    <row r="279">
      <c r="K279" s="5">
        <f>IF(AND(IF($B$3="(todos)",TRUE,'ORDENES'!$O275=$B$3),IF($D$3="(todos)",TRUE,'ORDENES'!$AH275=$D$3),IF($F$3="(todos)",TRUE,'ORDENES'!$Z275=$F$3),IF($H$3="(todos)",TRUE,'ORDENES'!$Y275=$H$3),'ORDENES'!$AF275=TRUE,'ORDENES'!$A275&lt;&gt;""),1,0)</f>
        <v/>
      </c>
      <c r="L279" s="5">
        <f>IF(K279=1,IFERROR(MATCH('ORDENES'!$S275,lista_dias,0),9)*1000000000+IFERROR(MATCH('ORDENES'!$AH275,lista_turnos,0),9)*10000000+IFERROR(MATCH('ORDENES'!$AG275,'TECNICOS'!$B$4:$B$19,0),99)*100000+272,9000000000000+272)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2">
        <f>IF(K279=1,'ORDENES'!$J275,"")</f>
        <v/>
      </c>
    </row>
    <row r="280">
      <c r="K280" s="5">
        <f>IF(AND(IF($B$3="(todos)",TRUE,'ORDENES'!$O276=$B$3),IF($D$3="(todos)",TRUE,'ORDENES'!$AH276=$D$3),IF($F$3="(todos)",TRUE,'ORDENES'!$Z276=$F$3),IF($H$3="(todos)",TRUE,'ORDENES'!$Y276=$H$3),'ORDENES'!$AF276=TRUE,'ORDENES'!$A276&lt;&gt;""),1,0)</f>
        <v/>
      </c>
      <c r="L280" s="5">
        <f>IF(K280=1,IFERROR(MATCH('ORDENES'!$S276,lista_dias,0),9)*1000000000+IFERROR(MATCH('ORDENES'!$AH276,lista_turnos,0),9)*10000000+IFERROR(MATCH('ORDENES'!$AG276,'TECNICOS'!$B$4:$B$19,0),99)*100000+273,9000000000000+273)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2">
        <f>IF(K280=1,'ORDENES'!$J276,"")</f>
        <v/>
      </c>
    </row>
    <row r="281">
      <c r="K281" s="5">
        <f>IF(AND(IF($B$3="(todos)",TRUE,'ORDENES'!$O277=$B$3),IF($D$3="(todos)",TRUE,'ORDENES'!$AH277=$D$3),IF($F$3="(todos)",TRUE,'ORDENES'!$Z277=$F$3),IF($H$3="(todos)",TRUE,'ORDENES'!$Y277=$H$3),'ORDENES'!$AF277=TRUE,'ORDENES'!$A277&lt;&gt;""),1,0)</f>
        <v/>
      </c>
      <c r="L281" s="5">
        <f>IF(K281=1,IFERROR(MATCH('ORDENES'!$S277,lista_dias,0),9)*1000000000+IFERROR(MATCH('ORDENES'!$AH277,lista_turnos,0),9)*10000000+IFERROR(MATCH('ORDENES'!$AG277,'TECNICOS'!$B$4:$B$19,0),99)*100000+274,9000000000000+274)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2">
        <f>IF(K281=1,'ORDENES'!$J277,"")</f>
        <v/>
      </c>
    </row>
    <row r="282">
      <c r="K282" s="5">
        <f>IF(AND(IF($B$3="(todos)",TRUE,'ORDENES'!$O278=$B$3),IF($D$3="(todos)",TRUE,'ORDENES'!$AH278=$D$3),IF($F$3="(todos)",TRUE,'ORDENES'!$Z278=$F$3),IF($H$3="(todos)",TRUE,'ORDENES'!$Y278=$H$3),'ORDENES'!$AF278=TRUE,'ORDENES'!$A278&lt;&gt;""),1,0)</f>
        <v/>
      </c>
      <c r="L282" s="5">
        <f>IF(K282=1,IFERROR(MATCH('ORDENES'!$S278,lista_dias,0),9)*1000000000+IFERROR(MATCH('ORDENES'!$AH278,lista_turnos,0),9)*10000000+IFERROR(MATCH('ORDENES'!$AG278,'TECNICOS'!$B$4:$B$19,0),99)*100000+275,9000000000000+275)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2">
        <f>IF(K282=1,'ORDENES'!$J278,"")</f>
        <v/>
      </c>
    </row>
    <row r="283">
      <c r="K283" s="5">
        <f>IF(AND(IF($B$3="(todos)",TRUE,'ORDENES'!$O279=$B$3),IF($D$3="(todos)",TRUE,'ORDENES'!$AH279=$D$3),IF($F$3="(todos)",TRUE,'ORDENES'!$Z279=$F$3),IF($H$3="(todos)",TRUE,'ORDENES'!$Y279=$H$3),'ORDENES'!$AF279=TRUE,'ORDENES'!$A279&lt;&gt;""),1,0)</f>
        <v/>
      </c>
      <c r="L283" s="5">
        <f>IF(K283=1,IFERROR(MATCH('ORDENES'!$S279,lista_dias,0),9)*1000000000+IFERROR(MATCH('ORDENES'!$AH279,lista_turnos,0),9)*10000000+IFERROR(MATCH('ORDENES'!$AG279,'TECNICOS'!$B$4:$B$19,0),99)*100000+276,9000000000000+276)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2">
        <f>IF(K283=1,'ORDENES'!$J279,"")</f>
        <v/>
      </c>
    </row>
    <row r="284">
      <c r="K284" s="5">
        <f>IF(AND(IF($B$3="(todos)",TRUE,'ORDENES'!$O280=$B$3),IF($D$3="(todos)",TRUE,'ORDENES'!$AH280=$D$3),IF($F$3="(todos)",TRUE,'ORDENES'!$Z280=$F$3),IF($H$3="(todos)",TRUE,'ORDENES'!$Y280=$H$3),'ORDENES'!$AF280=TRUE,'ORDENES'!$A280&lt;&gt;""),1,0)</f>
        <v/>
      </c>
      <c r="L284" s="5">
        <f>IF(K284=1,IFERROR(MATCH('ORDENES'!$S280,lista_dias,0),9)*1000000000+IFERROR(MATCH('ORDENES'!$AH280,lista_turnos,0),9)*10000000+IFERROR(MATCH('ORDENES'!$AG280,'TECNICOS'!$B$4:$B$19,0),99)*100000+277,9000000000000+277)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2">
        <f>IF(K284=1,'ORDENES'!$J280,"")</f>
        <v/>
      </c>
    </row>
    <row r="285">
      <c r="K285" s="5">
        <f>IF(AND(IF($B$3="(todos)",TRUE,'ORDENES'!$O281=$B$3),IF($D$3="(todos)",TRUE,'ORDENES'!$AH281=$D$3),IF($F$3="(todos)",TRUE,'ORDENES'!$Z281=$F$3),IF($H$3="(todos)",TRUE,'ORDENES'!$Y281=$H$3),'ORDENES'!$AF281=TRUE,'ORDENES'!$A281&lt;&gt;""),1,0)</f>
        <v/>
      </c>
      <c r="L285" s="5">
        <f>IF(K285=1,IFERROR(MATCH('ORDENES'!$S281,lista_dias,0),9)*1000000000+IFERROR(MATCH('ORDENES'!$AH281,lista_turnos,0),9)*10000000+IFERROR(MATCH('ORDENES'!$AG281,'TECNICOS'!$B$4:$B$19,0),99)*100000+278,9000000000000+278)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2">
        <f>IF(K285=1,'ORDENES'!$J281,"")</f>
        <v/>
      </c>
    </row>
    <row r="286">
      <c r="K286" s="5">
        <f>IF(AND(IF($B$3="(todos)",TRUE,'ORDENES'!$O282=$B$3),IF($D$3="(todos)",TRUE,'ORDENES'!$AH282=$D$3),IF($F$3="(todos)",TRUE,'ORDENES'!$Z282=$F$3),IF($H$3="(todos)",TRUE,'ORDENES'!$Y282=$H$3),'ORDENES'!$AF282=TRUE,'ORDENES'!$A282&lt;&gt;""),1,0)</f>
        <v/>
      </c>
      <c r="L286" s="5">
        <f>IF(K286=1,IFERROR(MATCH('ORDENES'!$S282,lista_dias,0),9)*1000000000+IFERROR(MATCH('ORDENES'!$AH282,lista_turnos,0),9)*10000000+IFERROR(MATCH('ORDENES'!$AG282,'TECNICOS'!$B$4:$B$19,0),99)*100000+279,9000000000000+279)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2">
        <f>IF(K286=1,'ORDENES'!$J282,"")</f>
        <v/>
      </c>
    </row>
    <row r="287">
      <c r="K287" s="5">
        <f>IF(AND(IF($B$3="(todos)",TRUE,'ORDENES'!$O283=$B$3),IF($D$3="(todos)",TRUE,'ORDENES'!$AH283=$D$3),IF($F$3="(todos)",TRUE,'ORDENES'!$Z283=$F$3),IF($H$3="(todos)",TRUE,'ORDENES'!$Y283=$H$3),'ORDENES'!$AF283=TRUE,'ORDENES'!$A283&lt;&gt;""),1,0)</f>
        <v/>
      </c>
      <c r="L287" s="5">
        <f>IF(K287=1,IFERROR(MATCH('ORDENES'!$S283,lista_dias,0),9)*1000000000+IFERROR(MATCH('ORDENES'!$AH283,lista_turnos,0),9)*10000000+IFERROR(MATCH('ORDENES'!$AG283,'TECNICOS'!$B$4:$B$19,0),99)*100000+280,9000000000000+280)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2">
        <f>IF(K287=1,'ORDENES'!$J283,"")</f>
        <v/>
      </c>
    </row>
    <row r="288">
      <c r="K288" s="5">
        <f>IF(AND(IF($B$3="(todos)",TRUE,'ORDENES'!$O284=$B$3),IF($D$3="(todos)",TRUE,'ORDENES'!$AH284=$D$3),IF($F$3="(todos)",TRUE,'ORDENES'!$Z284=$F$3),IF($H$3="(todos)",TRUE,'ORDENES'!$Y284=$H$3),'ORDENES'!$AF284=TRUE,'ORDENES'!$A284&lt;&gt;""),1,0)</f>
        <v/>
      </c>
      <c r="L288" s="5">
        <f>IF(K288=1,IFERROR(MATCH('ORDENES'!$S284,lista_dias,0),9)*1000000000+IFERROR(MATCH('ORDENES'!$AH284,lista_turnos,0),9)*10000000+IFERROR(MATCH('ORDENES'!$AG284,'TECNICOS'!$B$4:$B$19,0),99)*100000+281,9000000000000+281)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2">
        <f>IF(K288=1,'ORDENES'!$J284,"")</f>
        <v/>
      </c>
    </row>
    <row r="289">
      <c r="K289" s="5">
        <f>IF(AND(IF($B$3="(todos)",TRUE,'ORDENES'!$O285=$B$3),IF($D$3="(todos)",TRUE,'ORDENES'!$AH285=$D$3),IF($F$3="(todos)",TRUE,'ORDENES'!$Z285=$F$3),IF($H$3="(todos)",TRUE,'ORDENES'!$Y285=$H$3),'ORDENES'!$AF285=TRUE,'ORDENES'!$A285&lt;&gt;""),1,0)</f>
        <v/>
      </c>
      <c r="L289" s="5">
        <f>IF(K289=1,IFERROR(MATCH('ORDENES'!$S285,lista_dias,0),9)*1000000000+IFERROR(MATCH('ORDENES'!$AH285,lista_turnos,0),9)*10000000+IFERROR(MATCH('ORDENES'!$AG285,'TECNICOS'!$B$4:$B$19,0),99)*100000+282,9000000000000+282)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2">
        <f>IF(K289=1,'ORDENES'!$J285,"")</f>
        <v/>
      </c>
    </row>
    <row r="290">
      <c r="K290" s="5">
        <f>IF(AND(IF($B$3="(todos)",TRUE,'ORDENES'!$O286=$B$3),IF($D$3="(todos)",TRUE,'ORDENES'!$AH286=$D$3),IF($F$3="(todos)",TRUE,'ORDENES'!$Z286=$F$3),IF($H$3="(todos)",TRUE,'ORDENES'!$Y286=$H$3),'ORDENES'!$AF286=TRUE,'ORDENES'!$A286&lt;&gt;""),1,0)</f>
        <v/>
      </c>
      <c r="L290" s="5">
        <f>IF(K290=1,IFERROR(MATCH('ORDENES'!$S286,lista_dias,0),9)*1000000000+IFERROR(MATCH('ORDENES'!$AH286,lista_turnos,0),9)*10000000+IFERROR(MATCH('ORDENES'!$AG286,'TECNICOS'!$B$4:$B$19,0),99)*100000+283,9000000000000+283)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2">
        <f>IF(K290=1,'ORDENES'!$J286,"")</f>
        <v/>
      </c>
    </row>
    <row r="291">
      <c r="K291" s="5">
        <f>IF(AND(IF($B$3="(todos)",TRUE,'ORDENES'!$O287=$B$3),IF($D$3="(todos)",TRUE,'ORDENES'!$AH287=$D$3),IF($F$3="(todos)",TRUE,'ORDENES'!$Z287=$F$3),IF($H$3="(todos)",TRUE,'ORDENES'!$Y287=$H$3),'ORDENES'!$AF287=TRUE,'ORDENES'!$A287&lt;&gt;""),1,0)</f>
        <v/>
      </c>
      <c r="L291" s="5">
        <f>IF(K291=1,IFERROR(MATCH('ORDENES'!$S287,lista_dias,0),9)*1000000000+IFERROR(MATCH('ORDENES'!$AH287,lista_turnos,0),9)*10000000+IFERROR(MATCH('ORDENES'!$AG287,'TECNICOS'!$B$4:$B$19,0),99)*100000+284,9000000000000+284)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2">
        <f>IF(K291=1,'ORDENES'!$J287,"")</f>
        <v/>
      </c>
    </row>
    <row r="292">
      <c r="K292" s="5">
        <f>IF(AND(IF($B$3="(todos)",TRUE,'ORDENES'!$O288=$B$3),IF($D$3="(todos)",TRUE,'ORDENES'!$AH288=$D$3),IF($F$3="(todos)",TRUE,'ORDENES'!$Z288=$F$3),IF($H$3="(todos)",TRUE,'ORDENES'!$Y288=$H$3),'ORDENES'!$AF288=TRUE,'ORDENES'!$A288&lt;&gt;""),1,0)</f>
        <v/>
      </c>
      <c r="L292" s="5">
        <f>IF(K292=1,IFERROR(MATCH('ORDENES'!$S288,lista_dias,0),9)*1000000000+IFERROR(MATCH('ORDENES'!$AH288,lista_turnos,0),9)*10000000+IFERROR(MATCH('ORDENES'!$AG288,'TECNICOS'!$B$4:$B$19,0),99)*100000+285,9000000000000+285)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2">
        <f>IF(K292=1,'ORDENES'!$J288,"")</f>
        <v/>
      </c>
    </row>
    <row r="293">
      <c r="K293" s="5">
        <f>IF(AND(IF($B$3="(todos)",TRUE,'ORDENES'!$O289=$B$3),IF($D$3="(todos)",TRUE,'ORDENES'!$AH289=$D$3),IF($F$3="(todos)",TRUE,'ORDENES'!$Z289=$F$3),IF($H$3="(todos)",TRUE,'ORDENES'!$Y289=$H$3),'ORDENES'!$AF289=TRUE,'ORDENES'!$A289&lt;&gt;""),1,0)</f>
        <v/>
      </c>
      <c r="L293" s="5">
        <f>IF(K293=1,IFERROR(MATCH('ORDENES'!$S289,lista_dias,0),9)*1000000000+IFERROR(MATCH('ORDENES'!$AH289,lista_turnos,0),9)*10000000+IFERROR(MATCH('ORDENES'!$AG289,'TECNICOS'!$B$4:$B$19,0),99)*100000+286,9000000000000+286)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2">
        <f>IF(K293=1,'ORDENES'!$J289,"")</f>
        <v/>
      </c>
    </row>
    <row r="294">
      <c r="K294" s="5">
        <f>IF(AND(IF($B$3="(todos)",TRUE,'ORDENES'!$O290=$B$3),IF($D$3="(todos)",TRUE,'ORDENES'!$AH290=$D$3),IF($F$3="(todos)",TRUE,'ORDENES'!$Z290=$F$3),IF($H$3="(todos)",TRUE,'ORDENES'!$Y290=$H$3),'ORDENES'!$AF290=TRUE,'ORDENES'!$A290&lt;&gt;""),1,0)</f>
        <v/>
      </c>
      <c r="L294" s="5">
        <f>IF(K294=1,IFERROR(MATCH('ORDENES'!$S290,lista_dias,0),9)*1000000000+IFERROR(MATCH('ORDENES'!$AH290,lista_turnos,0),9)*10000000+IFERROR(MATCH('ORDENES'!$AG290,'TECNICOS'!$B$4:$B$19,0),99)*100000+287,9000000000000+287)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2">
        <f>IF(K294=1,'ORDENES'!$J290,"")</f>
        <v/>
      </c>
    </row>
    <row r="295">
      <c r="K295" s="5">
        <f>IF(AND(IF($B$3="(todos)",TRUE,'ORDENES'!$O291=$B$3),IF($D$3="(todos)",TRUE,'ORDENES'!$AH291=$D$3),IF($F$3="(todos)",TRUE,'ORDENES'!$Z291=$F$3),IF($H$3="(todos)",TRUE,'ORDENES'!$Y291=$H$3),'ORDENES'!$AF291=TRUE,'ORDENES'!$A291&lt;&gt;""),1,0)</f>
        <v/>
      </c>
      <c r="L295" s="5">
        <f>IF(K295=1,IFERROR(MATCH('ORDENES'!$S291,lista_dias,0),9)*1000000000+IFERROR(MATCH('ORDENES'!$AH291,lista_turnos,0),9)*10000000+IFERROR(MATCH('ORDENES'!$AG291,'TECNICOS'!$B$4:$B$19,0),99)*100000+288,9000000000000+288)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2">
        <f>IF(K295=1,'ORDENES'!$J291,"")</f>
        <v/>
      </c>
    </row>
    <row r="296">
      <c r="K296" s="5">
        <f>IF(AND(IF($B$3="(todos)",TRUE,'ORDENES'!$O292=$B$3),IF($D$3="(todos)",TRUE,'ORDENES'!$AH292=$D$3),IF($F$3="(todos)",TRUE,'ORDENES'!$Z292=$F$3),IF($H$3="(todos)",TRUE,'ORDENES'!$Y292=$H$3),'ORDENES'!$AF292=TRUE,'ORDENES'!$A292&lt;&gt;""),1,0)</f>
        <v/>
      </c>
      <c r="L296" s="5">
        <f>IF(K296=1,IFERROR(MATCH('ORDENES'!$S292,lista_dias,0),9)*1000000000+IFERROR(MATCH('ORDENES'!$AH292,lista_turnos,0),9)*10000000+IFERROR(MATCH('ORDENES'!$AG292,'TECNICOS'!$B$4:$B$19,0),99)*100000+289,9000000000000+289)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2">
        <f>IF(K296=1,'ORDENES'!$J292,"")</f>
        <v/>
      </c>
    </row>
    <row r="297">
      <c r="K297" s="5">
        <f>IF(AND(IF($B$3="(todos)",TRUE,'ORDENES'!$O293=$B$3),IF($D$3="(todos)",TRUE,'ORDENES'!$AH293=$D$3),IF($F$3="(todos)",TRUE,'ORDENES'!$Z293=$F$3),IF($H$3="(todos)",TRUE,'ORDENES'!$Y293=$H$3),'ORDENES'!$AF293=TRUE,'ORDENES'!$A293&lt;&gt;""),1,0)</f>
        <v/>
      </c>
      <c r="L297" s="5">
        <f>IF(K297=1,IFERROR(MATCH('ORDENES'!$S293,lista_dias,0),9)*1000000000+IFERROR(MATCH('ORDENES'!$AH293,lista_turnos,0),9)*10000000+IFERROR(MATCH('ORDENES'!$AG293,'TECNICOS'!$B$4:$B$19,0),99)*100000+290,9000000000000+290)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2">
        <f>IF(K297=1,'ORDENES'!$J293,"")</f>
        <v/>
      </c>
    </row>
    <row r="298">
      <c r="K298" s="5">
        <f>IF(AND(IF($B$3="(todos)",TRUE,'ORDENES'!$O294=$B$3),IF($D$3="(todos)",TRUE,'ORDENES'!$AH294=$D$3),IF($F$3="(todos)",TRUE,'ORDENES'!$Z294=$F$3),IF($H$3="(todos)",TRUE,'ORDENES'!$Y294=$H$3),'ORDENES'!$AF294=TRUE,'ORDENES'!$A294&lt;&gt;""),1,0)</f>
        <v/>
      </c>
      <c r="L298" s="5">
        <f>IF(K298=1,IFERROR(MATCH('ORDENES'!$S294,lista_dias,0),9)*1000000000+IFERROR(MATCH('ORDENES'!$AH294,lista_turnos,0),9)*10000000+IFERROR(MATCH('ORDENES'!$AG294,'TECNICOS'!$B$4:$B$19,0),99)*100000+291,9000000000000+291)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2">
        <f>IF(K298=1,'ORDENES'!$J294,"")</f>
        <v/>
      </c>
    </row>
    <row r="299">
      <c r="K299" s="5">
        <f>IF(AND(IF($B$3="(todos)",TRUE,'ORDENES'!$O295=$B$3),IF($D$3="(todos)",TRUE,'ORDENES'!$AH295=$D$3),IF($F$3="(todos)",TRUE,'ORDENES'!$Z295=$F$3),IF($H$3="(todos)",TRUE,'ORDENES'!$Y295=$H$3),'ORDENES'!$AF295=TRUE,'ORDENES'!$A295&lt;&gt;""),1,0)</f>
        <v/>
      </c>
      <c r="L299" s="5">
        <f>IF(K299=1,IFERROR(MATCH('ORDENES'!$S295,lista_dias,0),9)*1000000000+IFERROR(MATCH('ORDENES'!$AH295,lista_turnos,0),9)*10000000+IFERROR(MATCH('ORDENES'!$AG295,'TECNICOS'!$B$4:$B$19,0),99)*100000+292,9000000000000+292)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2">
        <f>IF(K299=1,'ORDENES'!$J295,"")</f>
        <v/>
      </c>
    </row>
    <row r="300">
      <c r="K300" s="5">
        <f>IF(AND(IF($B$3="(todos)",TRUE,'ORDENES'!$O296=$B$3),IF($D$3="(todos)",TRUE,'ORDENES'!$AH296=$D$3),IF($F$3="(todos)",TRUE,'ORDENES'!$Z296=$F$3),IF($H$3="(todos)",TRUE,'ORDENES'!$Y296=$H$3),'ORDENES'!$AF296=TRUE,'ORDENES'!$A296&lt;&gt;""),1,0)</f>
        <v/>
      </c>
      <c r="L300" s="5">
        <f>IF(K300=1,IFERROR(MATCH('ORDENES'!$S296,lista_dias,0),9)*1000000000+IFERROR(MATCH('ORDENES'!$AH296,lista_turnos,0),9)*10000000+IFERROR(MATCH('ORDENES'!$AG296,'TECNICOS'!$B$4:$B$19,0),99)*100000+293,9000000000000+293)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2">
        <f>IF(K300=1,'ORDENES'!$J296,"")</f>
        <v/>
      </c>
    </row>
    <row r="301">
      <c r="K301" s="5">
        <f>IF(AND(IF($B$3="(todos)",TRUE,'ORDENES'!$O297=$B$3),IF($D$3="(todos)",TRUE,'ORDENES'!$AH297=$D$3),IF($F$3="(todos)",TRUE,'ORDENES'!$Z297=$F$3),IF($H$3="(todos)",TRUE,'ORDENES'!$Y297=$H$3),'ORDENES'!$AF297=TRUE,'ORDENES'!$A297&lt;&gt;""),1,0)</f>
        <v/>
      </c>
      <c r="L301" s="5">
        <f>IF(K301=1,IFERROR(MATCH('ORDENES'!$S297,lista_dias,0),9)*1000000000+IFERROR(MATCH('ORDENES'!$AH297,lista_turnos,0),9)*10000000+IFERROR(MATCH('ORDENES'!$AG297,'TECNICOS'!$B$4:$B$19,0),99)*100000+294,9000000000000+294)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2">
        <f>IF(K301=1,'ORDENES'!$J297,"")</f>
        <v/>
      </c>
    </row>
    <row r="302">
      <c r="K302" s="5">
        <f>IF(AND(IF($B$3="(todos)",TRUE,'ORDENES'!$O298=$B$3),IF($D$3="(todos)",TRUE,'ORDENES'!$AH298=$D$3),IF($F$3="(todos)",TRUE,'ORDENES'!$Z298=$F$3),IF($H$3="(todos)",TRUE,'ORDENES'!$Y298=$H$3),'ORDENES'!$AF298=TRUE,'ORDENES'!$A298&lt;&gt;""),1,0)</f>
        <v/>
      </c>
      <c r="L302" s="5">
        <f>IF(K302=1,IFERROR(MATCH('ORDENES'!$S298,lista_dias,0),9)*1000000000+IFERROR(MATCH('ORDENES'!$AH298,lista_turnos,0),9)*10000000+IFERROR(MATCH('ORDENES'!$AG298,'TECNICOS'!$B$4:$B$19,0),99)*100000+295,9000000000000+295)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2">
        <f>IF(K302=1,'ORDENES'!$J298,"")</f>
        <v/>
      </c>
    </row>
    <row r="303">
      <c r="K303" s="5">
        <f>IF(AND(IF($B$3="(todos)",TRUE,'ORDENES'!$O299=$B$3),IF($D$3="(todos)",TRUE,'ORDENES'!$AH299=$D$3),IF($F$3="(todos)",TRUE,'ORDENES'!$Z299=$F$3),IF($H$3="(todos)",TRUE,'ORDENES'!$Y299=$H$3),'ORDENES'!$AF299=TRUE,'ORDENES'!$A299&lt;&gt;""),1,0)</f>
        <v/>
      </c>
      <c r="L303" s="5">
        <f>IF(K303=1,IFERROR(MATCH('ORDENES'!$S299,lista_dias,0),9)*1000000000+IFERROR(MATCH('ORDENES'!$AH299,lista_turnos,0),9)*10000000+IFERROR(MATCH('ORDENES'!$AG299,'TECNICOS'!$B$4:$B$19,0),99)*100000+296,9000000000000+296)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2">
        <f>IF(K303=1,'ORDENES'!$J299,"")</f>
        <v/>
      </c>
    </row>
    <row r="304">
      <c r="K304" s="5">
        <f>IF(AND(IF($B$3="(todos)",TRUE,'ORDENES'!$O300=$B$3),IF($D$3="(todos)",TRUE,'ORDENES'!$AH300=$D$3),IF($F$3="(todos)",TRUE,'ORDENES'!$Z300=$F$3),IF($H$3="(todos)",TRUE,'ORDENES'!$Y300=$H$3),'ORDENES'!$AF300=TRUE,'ORDENES'!$A300&lt;&gt;""),1,0)</f>
        <v/>
      </c>
      <c r="L304" s="5">
        <f>IF(K304=1,IFERROR(MATCH('ORDENES'!$S300,lista_dias,0),9)*1000000000+IFERROR(MATCH('ORDENES'!$AH300,lista_turnos,0),9)*10000000+IFERROR(MATCH('ORDENES'!$AG300,'TECNICOS'!$B$4:$B$19,0),99)*100000+297,9000000000000+297)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2">
        <f>IF(K304=1,'ORDENES'!$J300,"")</f>
        <v/>
      </c>
    </row>
    <row r="305">
      <c r="K305" s="5">
        <f>IF(AND(IF($B$3="(todos)",TRUE,'ORDENES'!$O301=$B$3),IF($D$3="(todos)",TRUE,'ORDENES'!$AH301=$D$3),IF($F$3="(todos)",TRUE,'ORDENES'!$Z301=$F$3),IF($H$3="(todos)",TRUE,'ORDENES'!$Y301=$H$3),'ORDENES'!$AF301=TRUE,'ORDENES'!$A301&lt;&gt;""),1,0)</f>
        <v/>
      </c>
      <c r="L305" s="5">
        <f>IF(K305=1,IFERROR(MATCH('ORDENES'!$S301,lista_dias,0),9)*1000000000+IFERROR(MATCH('ORDENES'!$AH301,lista_turnos,0),9)*10000000+IFERROR(MATCH('ORDENES'!$AG301,'TECNICOS'!$B$4:$B$19,0),99)*100000+298,9000000000000+298)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2">
        <f>IF(K305=1,'ORDENES'!$J301,"")</f>
        <v/>
      </c>
    </row>
    <row r="306">
      <c r="K306" s="5">
        <f>IF(AND(IF($B$3="(todos)",TRUE,'ORDENES'!$O302=$B$3),IF($D$3="(todos)",TRUE,'ORDENES'!$AH302=$D$3),IF($F$3="(todos)",TRUE,'ORDENES'!$Z302=$F$3),IF($H$3="(todos)",TRUE,'ORDENES'!$Y302=$H$3),'ORDENES'!$AF302=TRUE,'ORDENES'!$A302&lt;&gt;""),1,0)</f>
        <v/>
      </c>
      <c r="L306" s="5">
        <f>IF(K306=1,IFERROR(MATCH('ORDENES'!$S302,lista_dias,0),9)*1000000000+IFERROR(MATCH('ORDENES'!$AH302,lista_turnos,0),9)*10000000+IFERROR(MATCH('ORDENES'!$AG302,'TECNICOS'!$B$4:$B$19,0),99)*100000+299,9000000000000+299)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2">
        <f>IF(K306=1,'ORDENES'!$J302,"")</f>
        <v/>
      </c>
    </row>
    <row r="307">
      <c r="K307" s="5">
        <f>IF(AND(IF($B$3="(todos)",TRUE,'ORDENES'!$O303=$B$3),IF($D$3="(todos)",TRUE,'ORDENES'!$AH303=$D$3),IF($F$3="(todos)",TRUE,'ORDENES'!$Z303=$F$3),IF($H$3="(todos)",TRUE,'ORDENES'!$Y303=$H$3),'ORDENES'!$AF303=TRUE,'ORDENES'!$A303&lt;&gt;""),1,0)</f>
        <v/>
      </c>
      <c r="L307" s="5">
        <f>IF(K307=1,IFERROR(MATCH('ORDENES'!$S303,lista_dias,0),9)*1000000000+IFERROR(MATCH('ORDENES'!$AH303,lista_turnos,0),9)*10000000+IFERROR(MATCH('ORDENES'!$AG303,'TECNICOS'!$B$4:$B$19,0),99)*100000+300,9000000000000+300)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2">
        <f>IF(K307=1,'ORDENES'!$J303,"")</f>
        <v/>
      </c>
    </row>
    <row r="308">
      <c r="K308" s="5">
        <f>IF(AND(IF($B$3="(todos)",TRUE,'ORDENES'!$O304=$B$3),IF($D$3="(todos)",TRUE,'ORDENES'!$AH304=$D$3),IF($F$3="(todos)",TRUE,'ORDENES'!$Z304=$F$3),IF($H$3="(todos)",TRUE,'ORDENES'!$Y304=$H$3),'ORDENES'!$AF304=TRUE,'ORDENES'!$A304&lt;&gt;""),1,0)</f>
        <v/>
      </c>
      <c r="L308" s="5">
        <f>IF(K308=1,IFERROR(MATCH('ORDENES'!$S304,lista_dias,0),9)*1000000000+IFERROR(MATCH('ORDENES'!$AH304,lista_turnos,0),9)*10000000+IFERROR(MATCH('ORDENES'!$AG304,'TECNICOS'!$B$4:$B$19,0),99)*100000+301,9000000000000+301)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2">
        <f>IF(K308=1,'ORDENES'!$J304,"")</f>
        <v/>
      </c>
    </row>
    <row r="309">
      <c r="K309" s="5">
        <f>IF(AND(IF($B$3="(todos)",TRUE,'ORDENES'!$O305=$B$3),IF($D$3="(todos)",TRUE,'ORDENES'!$AH305=$D$3),IF($F$3="(todos)",TRUE,'ORDENES'!$Z305=$F$3),IF($H$3="(todos)",TRUE,'ORDENES'!$Y305=$H$3),'ORDENES'!$AF305=TRUE,'ORDENES'!$A305&lt;&gt;""),1,0)</f>
        <v/>
      </c>
      <c r="L309" s="5">
        <f>IF(K309=1,IFERROR(MATCH('ORDENES'!$S305,lista_dias,0),9)*1000000000+IFERROR(MATCH('ORDENES'!$AH305,lista_turnos,0),9)*10000000+IFERROR(MATCH('ORDENES'!$AG305,'TECNICOS'!$B$4:$B$19,0),99)*100000+302,9000000000000+302)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2">
        <f>IF(K309=1,'ORDENES'!$J305,"")</f>
        <v/>
      </c>
    </row>
    <row r="310">
      <c r="K310" s="5">
        <f>IF(AND(IF($B$3="(todos)",TRUE,'ORDENES'!$O306=$B$3),IF($D$3="(todos)",TRUE,'ORDENES'!$AH306=$D$3),IF($F$3="(todos)",TRUE,'ORDENES'!$Z306=$F$3),IF($H$3="(todos)",TRUE,'ORDENES'!$Y306=$H$3),'ORDENES'!$AF306=TRUE,'ORDENES'!$A306&lt;&gt;""),1,0)</f>
        <v/>
      </c>
      <c r="L310" s="5">
        <f>IF(K310=1,IFERROR(MATCH('ORDENES'!$S306,lista_dias,0),9)*1000000000+IFERROR(MATCH('ORDENES'!$AH306,lista_turnos,0),9)*10000000+IFERROR(MATCH('ORDENES'!$AG306,'TECNICOS'!$B$4:$B$19,0),99)*100000+303,9000000000000+303)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2">
        <f>IF(K310=1,'ORDENES'!$J306,"")</f>
        <v/>
      </c>
    </row>
    <row r="311">
      <c r="K311" s="5">
        <f>IF(AND(IF($B$3="(todos)",TRUE,'ORDENES'!$O307=$B$3),IF($D$3="(todos)",TRUE,'ORDENES'!$AH307=$D$3),IF($F$3="(todos)",TRUE,'ORDENES'!$Z307=$F$3),IF($H$3="(todos)",TRUE,'ORDENES'!$Y307=$H$3),'ORDENES'!$AF307=TRUE,'ORDENES'!$A307&lt;&gt;""),1,0)</f>
        <v/>
      </c>
      <c r="L311" s="5">
        <f>IF(K311=1,IFERROR(MATCH('ORDENES'!$S307,lista_dias,0),9)*1000000000+IFERROR(MATCH('ORDENES'!$AH307,lista_turnos,0),9)*10000000+IFERROR(MATCH('ORDENES'!$AG307,'TECNICOS'!$B$4:$B$19,0),99)*100000+304,9000000000000+304)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2">
        <f>IF(K311=1,'ORDENES'!$J307,"")</f>
        <v/>
      </c>
    </row>
    <row r="312">
      <c r="K312" s="5">
        <f>IF(AND(IF($B$3="(todos)",TRUE,'ORDENES'!$O308=$B$3),IF($D$3="(todos)",TRUE,'ORDENES'!$AH308=$D$3),IF($F$3="(todos)",TRUE,'ORDENES'!$Z308=$F$3),IF($H$3="(todos)",TRUE,'ORDENES'!$Y308=$H$3),'ORDENES'!$AF308=TRUE,'ORDENES'!$A308&lt;&gt;""),1,0)</f>
        <v/>
      </c>
      <c r="L312" s="5">
        <f>IF(K312=1,IFERROR(MATCH('ORDENES'!$S308,lista_dias,0),9)*1000000000+IFERROR(MATCH('ORDENES'!$AH308,lista_turnos,0),9)*10000000+IFERROR(MATCH('ORDENES'!$AG308,'TECNICOS'!$B$4:$B$19,0),99)*100000+305,9000000000000+305)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2">
        <f>IF(K312=1,'ORDENES'!$J308,"")</f>
        <v/>
      </c>
    </row>
    <row r="313">
      <c r="K313" s="5">
        <f>IF(AND(IF($B$3="(todos)",TRUE,'ORDENES'!$O309=$B$3),IF($D$3="(todos)",TRUE,'ORDENES'!$AH309=$D$3),IF($F$3="(todos)",TRUE,'ORDENES'!$Z309=$F$3),IF($H$3="(todos)",TRUE,'ORDENES'!$Y309=$H$3),'ORDENES'!$AF309=TRUE,'ORDENES'!$A309&lt;&gt;""),1,0)</f>
        <v/>
      </c>
      <c r="L313" s="5">
        <f>IF(K313=1,IFERROR(MATCH('ORDENES'!$S309,lista_dias,0),9)*1000000000+IFERROR(MATCH('ORDENES'!$AH309,lista_turnos,0),9)*10000000+IFERROR(MATCH('ORDENES'!$AG309,'TECNICOS'!$B$4:$B$19,0),99)*100000+306,9000000000000+306)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2">
        <f>IF(K313=1,'ORDENES'!$J309,"")</f>
        <v/>
      </c>
    </row>
    <row r="314">
      <c r="K314" s="5">
        <f>IF(AND(IF($B$3="(todos)",TRUE,'ORDENES'!$O310=$B$3),IF($D$3="(todos)",TRUE,'ORDENES'!$AH310=$D$3),IF($F$3="(todos)",TRUE,'ORDENES'!$Z310=$F$3),IF($H$3="(todos)",TRUE,'ORDENES'!$Y310=$H$3),'ORDENES'!$AF310=TRUE,'ORDENES'!$A310&lt;&gt;""),1,0)</f>
        <v/>
      </c>
      <c r="L314" s="5">
        <f>IF(K314=1,IFERROR(MATCH('ORDENES'!$S310,lista_dias,0),9)*1000000000+IFERROR(MATCH('ORDENES'!$AH310,lista_turnos,0),9)*10000000+IFERROR(MATCH('ORDENES'!$AG310,'TECNICOS'!$B$4:$B$19,0),99)*100000+307,9000000000000+307)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2">
        <f>IF(K314=1,'ORDENES'!$J310,"")</f>
        <v/>
      </c>
    </row>
    <row r="315">
      <c r="K315" s="5">
        <f>IF(AND(IF($B$3="(todos)",TRUE,'ORDENES'!$O311=$B$3),IF($D$3="(todos)",TRUE,'ORDENES'!$AH311=$D$3),IF($F$3="(todos)",TRUE,'ORDENES'!$Z311=$F$3),IF($H$3="(todos)",TRUE,'ORDENES'!$Y311=$H$3),'ORDENES'!$AF311=TRUE,'ORDENES'!$A311&lt;&gt;""),1,0)</f>
        <v/>
      </c>
      <c r="L315" s="5">
        <f>IF(K315=1,IFERROR(MATCH('ORDENES'!$S311,lista_dias,0),9)*1000000000+IFERROR(MATCH('ORDENES'!$AH311,lista_turnos,0),9)*10000000+IFERROR(MATCH('ORDENES'!$AG311,'TECNICOS'!$B$4:$B$19,0),99)*100000+308,9000000000000+308)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2">
        <f>IF(K315=1,'ORDENES'!$J311,"")</f>
        <v/>
      </c>
    </row>
    <row r="316">
      <c r="K316" s="5">
        <f>IF(AND(IF($B$3="(todos)",TRUE,'ORDENES'!$O312=$B$3),IF($D$3="(todos)",TRUE,'ORDENES'!$AH312=$D$3),IF($F$3="(todos)",TRUE,'ORDENES'!$Z312=$F$3),IF($H$3="(todos)",TRUE,'ORDENES'!$Y312=$H$3),'ORDENES'!$AF312=TRUE,'ORDENES'!$A312&lt;&gt;""),1,0)</f>
        <v/>
      </c>
      <c r="L316" s="5">
        <f>IF(K316=1,IFERROR(MATCH('ORDENES'!$S312,lista_dias,0),9)*1000000000+IFERROR(MATCH('ORDENES'!$AH312,lista_turnos,0),9)*10000000+IFERROR(MATCH('ORDENES'!$AG312,'TECNICOS'!$B$4:$B$19,0),99)*100000+309,9000000000000+309)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2">
        <f>IF(K316=1,'ORDENES'!$J312,"")</f>
        <v/>
      </c>
    </row>
    <row r="317">
      <c r="K317" s="5">
        <f>IF(AND(IF($B$3="(todos)",TRUE,'ORDENES'!$O313=$B$3),IF($D$3="(todos)",TRUE,'ORDENES'!$AH313=$D$3),IF($F$3="(todos)",TRUE,'ORDENES'!$Z313=$F$3),IF($H$3="(todos)",TRUE,'ORDENES'!$Y313=$H$3),'ORDENES'!$AF313=TRUE,'ORDENES'!$A313&lt;&gt;""),1,0)</f>
        <v/>
      </c>
      <c r="L317" s="5">
        <f>IF(K317=1,IFERROR(MATCH('ORDENES'!$S313,lista_dias,0),9)*1000000000+IFERROR(MATCH('ORDENES'!$AH313,lista_turnos,0),9)*10000000+IFERROR(MATCH('ORDENES'!$AG313,'TECNICOS'!$B$4:$B$19,0),99)*100000+310,9000000000000+310)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2">
        <f>IF(K317=1,'ORDENES'!$J313,"")</f>
        <v/>
      </c>
    </row>
    <row r="318">
      <c r="K318" s="5">
        <f>IF(AND(IF($B$3="(todos)",TRUE,'ORDENES'!$O314=$B$3),IF($D$3="(todos)",TRUE,'ORDENES'!$AH314=$D$3),IF($F$3="(todos)",TRUE,'ORDENES'!$Z314=$F$3),IF($H$3="(todos)",TRUE,'ORDENES'!$Y314=$H$3),'ORDENES'!$AF314=TRUE,'ORDENES'!$A314&lt;&gt;""),1,0)</f>
        <v/>
      </c>
      <c r="L318" s="5">
        <f>IF(K318=1,IFERROR(MATCH('ORDENES'!$S314,lista_dias,0),9)*1000000000+IFERROR(MATCH('ORDENES'!$AH314,lista_turnos,0),9)*10000000+IFERROR(MATCH('ORDENES'!$AG314,'TECNICOS'!$B$4:$B$19,0),99)*100000+311,9000000000000+311)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2">
        <f>IF(K318=1,'ORDENES'!$J314,"")</f>
        <v/>
      </c>
    </row>
    <row r="319">
      <c r="K319" s="5">
        <f>IF(AND(IF($B$3="(todos)",TRUE,'ORDENES'!$O315=$B$3),IF($D$3="(todos)",TRUE,'ORDENES'!$AH315=$D$3),IF($F$3="(todos)",TRUE,'ORDENES'!$Z315=$F$3),IF($H$3="(todos)",TRUE,'ORDENES'!$Y315=$H$3),'ORDENES'!$AF315=TRUE,'ORDENES'!$A315&lt;&gt;""),1,0)</f>
        <v/>
      </c>
      <c r="L319" s="5">
        <f>IF(K319=1,IFERROR(MATCH('ORDENES'!$S315,lista_dias,0),9)*1000000000+IFERROR(MATCH('ORDENES'!$AH315,lista_turnos,0),9)*10000000+IFERROR(MATCH('ORDENES'!$AG315,'TECNICOS'!$B$4:$B$19,0),99)*100000+312,9000000000000+312)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2">
        <f>IF(K319=1,'ORDENES'!$J315,"")</f>
        <v/>
      </c>
    </row>
    <row r="320">
      <c r="K320" s="5">
        <f>IF(AND(IF($B$3="(todos)",TRUE,'ORDENES'!$O316=$B$3),IF($D$3="(todos)",TRUE,'ORDENES'!$AH316=$D$3),IF($F$3="(todos)",TRUE,'ORDENES'!$Z316=$F$3),IF($H$3="(todos)",TRUE,'ORDENES'!$Y316=$H$3),'ORDENES'!$AF316=TRUE,'ORDENES'!$A316&lt;&gt;""),1,0)</f>
        <v/>
      </c>
      <c r="L320" s="5">
        <f>IF(K320=1,IFERROR(MATCH('ORDENES'!$S316,lista_dias,0),9)*1000000000+IFERROR(MATCH('ORDENES'!$AH316,lista_turnos,0),9)*10000000+IFERROR(MATCH('ORDENES'!$AG316,'TECNICOS'!$B$4:$B$19,0),99)*100000+313,9000000000000+313)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2">
        <f>IF(K320=1,'ORDENES'!$J316,"")</f>
        <v/>
      </c>
    </row>
    <row r="321">
      <c r="K321" s="5">
        <f>IF(AND(IF($B$3="(todos)",TRUE,'ORDENES'!$O317=$B$3),IF($D$3="(todos)",TRUE,'ORDENES'!$AH317=$D$3),IF($F$3="(todos)",TRUE,'ORDENES'!$Z317=$F$3),IF($H$3="(todos)",TRUE,'ORDENES'!$Y317=$H$3),'ORDENES'!$AF317=TRUE,'ORDENES'!$A317&lt;&gt;""),1,0)</f>
        <v/>
      </c>
      <c r="L321" s="5">
        <f>IF(K321=1,IFERROR(MATCH('ORDENES'!$S317,lista_dias,0),9)*1000000000+IFERROR(MATCH('ORDENES'!$AH317,lista_turnos,0),9)*10000000+IFERROR(MATCH('ORDENES'!$AG317,'TECNICOS'!$B$4:$B$19,0),99)*100000+314,9000000000000+314)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2">
        <f>IF(K321=1,'ORDENES'!$J317,"")</f>
        <v/>
      </c>
    </row>
    <row r="322">
      <c r="K322" s="5">
        <f>IF(AND(IF($B$3="(todos)",TRUE,'ORDENES'!$O318=$B$3),IF($D$3="(todos)",TRUE,'ORDENES'!$AH318=$D$3),IF($F$3="(todos)",TRUE,'ORDENES'!$Z318=$F$3),IF($H$3="(todos)",TRUE,'ORDENES'!$Y318=$H$3),'ORDENES'!$AF318=TRUE,'ORDENES'!$A318&lt;&gt;""),1,0)</f>
        <v/>
      </c>
      <c r="L322" s="5">
        <f>IF(K322=1,IFERROR(MATCH('ORDENES'!$S318,lista_dias,0),9)*1000000000+IFERROR(MATCH('ORDENES'!$AH318,lista_turnos,0),9)*10000000+IFERROR(MATCH('ORDENES'!$AG318,'TECNICOS'!$B$4:$B$19,0),99)*100000+315,9000000000000+315)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2">
        <f>IF(K322=1,'ORDENES'!$J318,"")</f>
        <v/>
      </c>
    </row>
    <row r="323">
      <c r="K323" s="5">
        <f>IF(AND(IF($B$3="(todos)",TRUE,'ORDENES'!$O319=$B$3),IF($D$3="(todos)",TRUE,'ORDENES'!$AH319=$D$3),IF($F$3="(todos)",TRUE,'ORDENES'!$Z319=$F$3),IF($H$3="(todos)",TRUE,'ORDENES'!$Y319=$H$3),'ORDENES'!$AF319=TRUE,'ORDENES'!$A319&lt;&gt;""),1,0)</f>
        <v/>
      </c>
      <c r="L323" s="5">
        <f>IF(K323=1,IFERROR(MATCH('ORDENES'!$S319,lista_dias,0),9)*1000000000+IFERROR(MATCH('ORDENES'!$AH319,lista_turnos,0),9)*10000000+IFERROR(MATCH('ORDENES'!$AG319,'TECNICOS'!$B$4:$B$19,0),99)*100000+316,9000000000000+316)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2">
        <f>IF(K323=1,'ORDENES'!$J319,"")</f>
        <v/>
      </c>
    </row>
    <row r="324">
      <c r="K324" s="5">
        <f>IF(AND(IF($B$3="(todos)",TRUE,'ORDENES'!$O320=$B$3),IF($D$3="(todos)",TRUE,'ORDENES'!$AH320=$D$3),IF($F$3="(todos)",TRUE,'ORDENES'!$Z320=$F$3),IF($H$3="(todos)",TRUE,'ORDENES'!$Y320=$H$3),'ORDENES'!$AF320=TRUE,'ORDENES'!$A320&lt;&gt;""),1,0)</f>
        <v/>
      </c>
      <c r="L324" s="5">
        <f>IF(K324=1,IFERROR(MATCH('ORDENES'!$S320,lista_dias,0),9)*1000000000+IFERROR(MATCH('ORDENES'!$AH320,lista_turnos,0),9)*10000000+IFERROR(MATCH('ORDENES'!$AG320,'TECNICOS'!$B$4:$B$19,0),99)*100000+317,9000000000000+317)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2">
        <f>IF(K324=1,'ORDENES'!$J320,"")</f>
        <v/>
      </c>
    </row>
    <row r="325">
      <c r="K325" s="5">
        <f>IF(AND(IF($B$3="(todos)",TRUE,'ORDENES'!$O321=$B$3),IF($D$3="(todos)",TRUE,'ORDENES'!$AH321=$D$3),IF($F$3="(todos)",TRUE,'ORDENES'!$Z321=$F$3),IF($H$3="(todos)",TRUE,'ORDENES'!$Y321=$H$3),'ORDENES'!$AF321=TRUE,'ORDENES'!$A321&lt;&gt;""),1,0)</f>
        <v/>
      </c>
      <c r="L325" s="5">
        <f>IF(K325=1,IFERROR(MATCH('ORDENES'!$S321,lista_dias,0),9)*1000000000+IFERROR(MATCH('ORDENES'!$AH321,lista_turnos,0),9)*10000000+IFERROR(MATCH('ORDENES'!$AG321,'TECNICOS'!$B$4:$B$19,0),99)*100000+318,9000000000000+318)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2">
        <f>IF(K325=1,'ORDENES'!$J321,"")</f>
        <v/>
      </c>
    </row>
    <row r="326">
      <c r="K326" s="5">
        <f>IF(AND(IF($B$3="(todos)",TRUE,'ORDENES'!$O322=$B$3),IF($D$3="(todos)",TRUE,'ORDENES'!$AH322=$D$3),IF($F$3="(todos)",TRUE,'ORDENES'!$Z322=$F$3),IF($H$3="(todos)",TRUE,'ORDENES'!$Y322=$H$3),'ORDENES'!$AF322=TRUE,'ORDENES'!$A322&lt;&gt;""),1,0)</f>
        <v/>
      </c>
      <c r="L326" s="5">
        <f>IF(K326=1,IFERROR(MATCH('ORDENES'!$S322,lista_dias,0),9)*1000000000+IFERROR(MATCH('ORDENES'!$AH322,lista_turnos,0),9)*10000000+IFERROR(MATCH('ORDENES'!$AG322,'TECNICOS'!$B$4:$B$19,0),99)*100000+319,9000000000000+319)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2">
        <f>IF(K326=1,'ORDENES'!$J322,"")</f>
        <v/>
      </c>
    </row>
    <row r="327">
      <c r="K327" s="5">
        <f>IF(AND(IF($B$3="(todos)",TRUE,'ORDENES'!$O323=$B$3),IF($D$3="(todos)",TRUE,'ORDENES'!$AH323=$D$3),IF($F$3="(todos)",TRUE,'ORDENES'!$Z323=$F$3),IF($H$3="(todos)",TRUE,'ORDENES'!$Y323=$H$3),'ORDENES'!$AF323=TRUE,'ORDENES'!$A323&lt;&gt;""),1,0)</f>
        <v/>
      </c>
      <c r="L327" s="5">
        <f>IF(K327=1,IFERROR(MATCH('ORDENES'!$S323,lista_dias,0),9)*1000000000+IFERROR(MATCH('ORDENES'!$AH323,lista_turnos,0),9)*10000000+IFERROR(MATCH('ORDENES'!$AG323,'TECNICOS'!$B$4:$B$19,0),99)*100000+320,9000000000000+320)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2">
        <f>IF(K327=1,'ORDENES'!$J323,"")</f>
        <v/>
      </c>
    </row>
    <row r="328">
      <c r="K328" s="5">
        <f>IF(AND(IF($B$3="(todos)",TRUE,'ORDENES'!$O324=$B$3),IF($D$3="(todos)",TRUE,'ORDENES'!$AH324=$D$3),IF($F$3="(todos)",TRUE,'ORDENES'!$Z324=$F$3),IF($H$3="(todos)",TRUE,'ORDENES'!$Y324=$H$3),'ORDENES'!$AF324=TRUE,'ORDENES'!$A324&lt;&gt;""),1,0)</f>
        <v/>
      </c>
      <c r="L328" s="5">
        <f>IF(K328=1,IFERROR(MATCH('ORDENES'!$S324,lista_dias,0),9)*1000000000+IFERROR(MATCH('ORDENES'!$AH324,lista_turnos,0),9)*10000000+IFERROR(MATCH('ORDENES'!$AG324,'TECNICOS'!$B$4:$B$19,0),99)*100000+321,9000000000000+321)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2">
        <f>IF(K328=1,'ORDENES'!$J324,"")</f>
        <v/>
      </c>
    </row>
    <row r="329">
      <c r="K329" s="5">
        <f>IF(AND(IF($B$3="(todos)",TRUE,'ORDENES'!$O325=$B$3),IF($D$3="(todos)",TRUE,'ORDENES'!$AH325=$D$3),IF($F$3="(todos)",TRUE,'ORDENES'!$Z325=$F$3),IF($H$3="(todos)",TRUE,'ORDENES'!$Y325=$H$3),'ORDENES'!$AF325=TRUE,'ORDENES'!$A325&lt;&gt;""),1,0)</f>
        <v/>
      </c>
      <c r="L329" s="5">
        <f>IF(K329=1,IFERROR(MATCH('ORDENES'!$S325,lista_dias,0),9)*1000000000+IFERROR(MATCH('ORDENES'!$AH325,lista_turnos,0),9)*10000000+IFERROR(MATCH('ORDENES'!$AG325,'TECNICOS'!$B$4:$B$19,0),99)*100000+322,9000000000000+322)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2">
        <f>IF(K329=1,'ORDENES'!$J325,"")</f>
        <v/>
      </c>
    </row>
    <row r="330">
      <c r="K330" s="5">
        <f>IF(AND(IF($B$3="(todos)",TRUE,'ORDENES'!$O326=$B$3),IF($D$3="(todos)",TRUE,'ORDENES'!$AH326=$D$3),IF($F$3="(todos)",TRUE,'ORDENES'!$Z326=$F$3),IF($H$3="(todos)",TRUE,'ORDENES'!$Y326=$H$3),'ORDENES'!$AF326=TRUE,'ORDENES'!$A326&lt;&gt;""),1,0)</f>
        <v/>
      </c>
      <c r="L330" s="5">
        <f>IF(K330=1,IFERROR(MATCH('ORDENES'!$S326,lista_dias,0),9)*1000000000+IFERROR(MATCH('ORDENES'!$AH326,lista_turnos,0),9)*10000000+IFERROR(MATCH('ORDENES'!$AG326,'TECNICOS'!$B$4:$B$19,0),99)*100000+323,9000000000000+323)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2">
        <f>IF(K330=1,'ORDENES'!$J326,"")</f>
        <v/>
      </c>
    </row>
    <row r="331">
      <c r="K331" s="5">
        <f>IF(AND(IF($B$3="(todos)",TRUE,'ORDENES'!$O327=$B$3),IF($D$3="(todos)",TRUE,'ORDENES'!$AH327=$D$3),IF($F$3="(todos)",TRUE,'ORDENES'!$Z327=$F$3),IF($H$3="(todos)",TRUE,'ORDENES'!$Y327=$H$3),'ORDENES'!$AF327=TRUE,'ORDENES'!$A327&lt;&gt;""),1,0)</f>
        <v/>
      </c>
      <c r="L331" s="5">
        <f>IF(K331=1,IFERROR(MATCH('ORDENES'!$S327,lista_dias,0),9)*1000000000+IFERROR(MATCH('ORDENES'!$AH327,lista_turnos,0),9)*10000000+IFERROR(MATCH('ORDENES'!$AG327,'TECNICOS'!$B$4:$B$19,0),99)*100000+324,9000000000000+324)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2">
        <f>IF(K331=1,'ORDENES'!$J327,"")</f>
        <v/>
      </c>
    </row>
    <row r="332">
      <c r="K332" s="5">
        <f>IF(AND(IF($B$3="(todos)",TRUE,'ORDENES'!$O328=$B$3),IF($D$3="(todos)",TRUE,'ORDENES'!$AH328=$D$3),IF($F$3="(todos)",TRUE,'ORDENES'!$Z328=$F$3),IF($H$3="(todos)",TRUE,'ORDENES'!$Y328=$H$3),'ORDENES'!$AF328=TRUE,'ORDENES'!$A328&lt;&gt;""),1,0)</f>
        <v/>
      </c>
      <c r="L332" s="5">
        <f>IF(K332=1,IFERROR(MATCH('ORDENES'!$S328,lista_dias,0),9)*1000000000+IFERROR(MATCH('ORDENES'!$AH328,lista_turnos,0),9)*10000000+IFERROR(MATCH('ORDENES'!$AG328,'TECNICOS'!$B$4:$B$19,0),99)*100000+325,9000000000000+325)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2">
        <f>IF(K332=1,'ORDENES'!$J328,"")</f>
        <v/>
      </c>
    </row>
    <row r="333">
      <c r="K333" s="5">
        <f>IF(AND(IF($B$3="(todos)",TRUE,'ORDENES'!$O329=$B$3),IF($D$3="(todos)",TRUE,'ORDENES'!$AH329=$D$3),IF($F$3="(todos)",TRUE,'ORDENES'!$Z329=$F$3),IF($H$3="(todos)",TRUE,'ORDENES'!$Y329=$H$3),'ORDENES'!$AF329=TRUE,'ORDENES'!$A329&lt;&gt;""),1,0)</f>
        <v/>
      </c>
      <c r="L333" s="5">
        <f>IF(K333=1,IFERROR(MATCH('ORDENES'!$S329,lista_dias,0),9)*1000000000+IFERROR(MATCH('ORDENES'!$AH329,lista_turnos,0),9)*10000000+IFERROR(MATCH('ORDENES'!$AG329,'TECNICOS'!$B$4:$B$19,0),99)*100000+326,9000000000000+326)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2">
        <f>IF(K333=1,'ORDENES'!$J329,"")</f>
        <v/>
      </c>
    </row>
    <row r="334">
      <c r="K334" s="5">
        <f>IF(AND(IF($B$3="(todos)",TRUE,'ORDENES'!$O330=$B$3),IF($D$3="(todos)",TRUE,'ORDENES'!$AH330=$D$3),IF($F$3="(todos)",TRUE,'ORDENES'!$Z330=$F$3),IF($H$3="(todos)",TRUE,'ORDENES'!$Y330=$H$3),'ORDENES'!$AF330=TRUE,'ORDENES'!$A330&lt;&gt;""),1,0)</f>
        <v/>
      </c>
      <c r="L334" s="5">
        <f>IF(K334=1,IFERROR(MATCH('ORDENES'!$S330,lista_dias,0),9)*1000000000+IFERROR(MATCH('ORDENES'!$AH330,lista_turnos,0),9)*10000000+IFERROR(MATCH('ORDENES'!$AG330,'TECNICOS'!$B$4:$B$19,0),99)*100000+327,9000000000000+327)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2">
        <f>IF(K334=1,'ORDENES'!$J330,"")</f>
        <v/>
      </c>
    </row>
    <row r="335">
      <c r="K335" s="5">
        <f>IF(AND(IF($B$3="(todos)",TRUE,'ORDENES'!$O331=$B$3),IF($D$3="(todos)",TRUE,'ORDENES'!$AH331=$D$3),IF($F$3="(todos)",TRUE,'ORDENES'!$Z331=$F$3),IF($H$3="(todos)",TRUE,'ORDENES'!$Y331=$H$3),'ORDENES'!$AF331=TRUE,'ORDENES'!$A331&lt;&gt;""),1,0)</f>
        <v/>
      </c>
      <c r="L335" s="5">
        <f>IF(K335=1,IFERROR(MATCH('ORDENES'!$S331,lista_dias,0),9)*1000000000+IFERROR(MATCH('ORDENES'!$AH331,lista_turnos,0),9)*10000000+IFERROR(MATCH('ORDENES'!$AG331,'TECNICOS'!$B$4:$B$19,0),99)*100000+328,9000000000000+328)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2">
        <f>IF(K335=1,'ORDENES'!$J331,"")</f>
        <v/>
      </c>
    </row>
    <row r="336">
      <c r="K336" s="5">
        <f>IF(AND(IF($B$3="(todos)",TRUE,'ORDENES'!$O332=$B$3),IF($D$3="(todos)",TRUE,'ORDENES'!$AH332=$D$3),IF($F$3="(todos)",TRUE,'ORDENES'!$Z332=$F$3),IF($H$3="(todos)",TRUE,'ORDENES'!$Y332=$H$3),'ORDENES'!$AF332=TRUE,'ORDENES'!$A332&lt;&gt;""),1,0)</f>
        <v/>
      </c>
      <c r="L336" s="5">
        <f>IF(K336=1,IFERROR(MATCH('ORDENES'!$S332,lista_dias,0),9)*1000000000+IFERROR(MATCH('ORDENES'!$AH332,lista_turnos,0),9)*10000000+IFERROR(MATCH('ORDENES'!$AG332,'TECNICOS'!$B$4:$B$19,0),99)*100000+329,9000000000000+329)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2">
        <f>IF(K336=1,'ORDENES'!$J332,"")</f>
        <v/>
      </c>
    </row>
    <row r="337">
      <c r="K337" s="5">
        <f>IF(AND(IF($B$3="(todos)",TRUE,'ORDENES'!$O333=$B$3),IF($D$3="(todos)",TRUE,'ORDENES'!$AH333=$D$3),IF($F$3="(todos)",TRUE,'ORDENES'!$Z333=$F$3),IF($H$3="(todos)",TRUE,'ORDENES'!$Y333=$H$3),'ORDENES'!$AF333=TRUE,'ORDENES'!$A333&lt;&gt;""),1,0)</f>
        <v/>
      </c>
      <c r="L337" s="5">
        <f>IF(K337=1,IFERROR(MATCH('ORDENES'!$S333,lista_dias,0),9)*1000000000+IFERROR(MATCH('ORDENES'!$AH333,lista_turnos,0),9)*10000000+IFERROR(MATCH('ORDENES'!$AG333,'TECNICOS'!$B$4:$B$19,0),99)*100000+330,9000000000000+330)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2">
        <f>IF(K337=1,'ORDENES'!$J333,"")</f>
        <v/>
      </c>
    </row>
    <row r="338">
      <c r="K338" s="5">
        <f>IF(AND(IF($B$3="(todos)",TRUE,'ORDENES'!$O334=$B$3),IF($D$3="(todos)",TRUE,'ORDENES'!$AH334=$D$3),IF($F$3="(todos)",TRUE,'ORDENES'!$Z334=$F$3),IF($H$3="(todos)",TRUE,'ORDENES'!$Y334=$H$3),'ORDENES'!$AF334=TRUE,'ORDENES'!$A334&lt;&gt;""),1,0)</f>
        <v/>
      </c>
      <c r="L338" s="5">
        <f>IF(K338=1,IFERROR(MATCH('ORDENES'!$S334,lista_dias,0),9)*1000000000+IFERROR(MATCH('ORDENES'!$AH334,lista_turnos,0),9)*10000000+IFERROR(MATCH('ORDENES'!$AG334,'TECNICOS'!$B$4:$B$19,0),99)*100000+331,9000000000000+331)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2">
        <f>IF(K338=1,'ORDENES'!$J334,"")</f>
        <v/>
      </c>
    </row>
    <row r="339">
      <c r="K339" s="5">
        <f>IF(AND(IF($B$3="(todos)",TRUE,'ORDENES'!$O335=$B$3),IF($D$3="(todos)",TRUE,'ORDENES'!$AH335=$D$3),IF($F$3="(todos)",TRUE,'ORDENES'!$Z335=$F$3),IF($H$3="(todos)",TRUE,'ORDENES'!$Y335=$H$3),'ORDENES'!$AF335=TRUE,'ORDENES'!$A335&lt;&gt;""),1,0)</f>
        <v/>
      </c>
      <c r="L339" s="5">
        <f>IF(K339=1,IFERROR(MATCH('ORDENES'!$S335,lista_dias,0),9)*1000000000+IFERROR(MATCH('ORDENES'!$AH335,lista_turnos,0),9)*10000000+IFERROR(MATCH('ORDENES'!$AG335,'TECNICOS'!$B$4:$B$19,0),99)*100000+332,9000000000000+332)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2">
        <f>IF(K339=1,'ORDENES'!$J335,"")</f>
        <v/>
      </c>
    </row>
    <row r="340">
      <c r="K340" s="5">
        <f>IF(AND(IF($B$3="(todos)",TRUE,'ORDENES'!$O336=$B$3),IF($D$3="(todos)",TRUE,'ORDENES'!$AH336=$D$3),IF($F$3="(todos)",TRUE,'ORDENES'!$Z336=$F$3),IF($H$3="(todos)",TRUE,'ORDENES'!$Y336=$H$3),'ORDENES'!$AF336=TRUE,'ORDENES'!$A336&lt;&gt;""),1,0)</f>
        <v/>
      </c>
      <c r="L340" s="5">
        <f>IF(K340=1,IFERROR(MATCH('ORDENES'!$S336,lista_dias,0),9)*1000000000+IFERROR(MATCH('ORDENES'!$AH336,lista_turnos,0),9)*10000000+IFERROR(MATCH('ORDENES'!$AG336,'TECNICOS'!$B$4:$B$19,0),99)*100000+333,9000000000000+333)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2">
        <f>IF(K340=1,'ORDENES'!$J336,"")</f>
        <v/>
      </c>
    </row>
    <row r="341">
      <c r="K341" s="5">
        <f>IF(AND(IF($B$3="(todos)",TRUE,'ORDENES'!$O337=$B$3),IF($D$3="(todos)",TRUE,'ORDENES'!$AH337=$D$3),IF($F$3="(todos)",TRUE,'ORDENES'!$Z337=$F$3),IF($H$3="(todos)",TRUE,'ORDENES'!$Y337=$H$3),'ORDENES'!$AF337=TRUE,'ORDENES'!$A337&lt;&gt;""),1,0)</f>
        <v/>
      </c>
      <c r="L341" s="5">
        <f>IF(K341=1,IFERROR(MATCH('ORDENES'!$S337,lista_dias,0),9)*1000000000+IFERROR(MATCH('ORDENES'!$AH337,lista_turnos,0),9)*10000000+IFERROR(MATCH('ORDENES'!$AG337,'TECNICOS'!$B$4:$B$19,0),99)*100000+334,9000000000000+334)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2">
        <f>IF(K341=1,'ORDENES'!$J337,"")</f>
        <v/>
      </c>
    </row>
    <row r="342">
      <c r="K342" s="5">
        <f>IF(AND(IF($B$3="(todos)",TRUE,'ORDENES'!$O338=$B$3),IF($D$3="(todos)",TRUE,'ORDENES'!$AH338=$D$3),IF($F$3="(todos)",TRUE,'ORDENES'!$Z338=$F$3),IF($H$3="(todos)",TRUE,'ORDENES'!$Y338=$H$3),'ORDENES'!$AF338=TRUE,'ORDENES'!$A338&lt;&gt;""),1,0)</f>
        <v/>
      </c>
      <c r="L342" s="5">
        <f>IF(K342=1,IFERROR(MATCH('ORDENES'!$S338,lista_dias,0),9)*1000000000+IFERROR(MATCH('ORDENES'!$AH338,lista_turnos,0),9)*10000000+IFERROR(MATCH('ORDENES'!$AG338,'TECNICOS'!$B$4:$B$19,0),99)*100000+335,9000000000000+335)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2">
        <f>IF(K342=1,'ORDENES'!$J338,"")</f>
        <v/>
      </c>
    </row>
    <row r="343">
      <c r="K343" s="5">
        <f>IF(AND(IF($B$3="(todos)",TRUE,'ORDENES'!$O339=$B$3),IF($D$3="(todos)",TRUE,'ORDENES'!$AH339=$D$3),IF($F$3="(todos)",TRUE,'ORDENES'!$Z339=$F$3),IF($H$3="(todos)",TRUE,'ORDENES'!$Y339=$H$3),'ORDENES'!$AF339=TRUE,'ORDENES'!$A339&lt;&gt;""),1,0)</f>
        <v/>
      </c>
      <c r="L343" s="5">
        <f>IF(K343=1,IFERROR(MATCH('ORDENES'!$S339,lista_dias,0),9)*1000000000+IFERROR(MATCH('ORDENES'!$AH339,lista_turnos,0),9)*10000000+IFERROR(MATCH('ORDENES'!$AG339,'TECNICOS'!$B$4:$B$19,0),99)*100000+336,9000000000000+336)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2">
        <f>IF(K343=1,'ORDENES'!$J339,"")</f>
        <v/>
      </c>
    </row>
    <row r="344">
      <c r="K344" s="5">
        <f>IF(AND(IF($B$3="(todos)",TRUE,'ORDENES'!$O340=$B$3),IF($D$3="(todos)",TRUE,'ORDENES'!$AH340=$D$3),IF($F$3="(todos)",TRUE,'ORDENES'!$Z340=$F$3),IF($H$3="(todos)",TRUE,'ORDENES'!$Y340=$H$3),'ORDENES'!$AF340=TRUE,'ORDENES'!$A340&lt;&gt;""),1,0)</f>
        <v/>
      </c>
      <c r="L344" s="5">
        <f>IF(K344=1,IFERROR(MATCH('ORDENES'!$S340,lista_dias,0),9)*1000000000+IFERROR(MATCH('ORDENES'!$AH340,lista_turnos,0),9)*10000000+IFERROR(MATCH('ORDENES'!$AG340,'TECNICOS'!$B$4:$B$19,0),99)*100000+337,9000000000000+337)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2">
        <f>IF(K344=1,'ORDENES'!$J340,"")</f>
        <v/>
      </c>
    </row>
    <row r="345">
      <c r="K345" s="5">
        <f>IF(AND(IF($B$3="(todos)",TRUE,'ORDENES'!$O341=$B$3),IF($D$3="(todos)",TRUE,'ORDENES'!$AH341=$D$3),IF($F$3="(todos)",TRUE,'ORDENES'!$Z341=$F$3),IF($H$3="(todos)",TRUE,'ORDENES'!$Y341=$H$3),'ORDENES'!$AF341=TRUE,'ORDENES'!$A341&lt;&gt;""),1,0)</f>
        <v/>
      </c>
      <c r="L345" s="5">
        <f>IF(K345=1,IFERROR(MATCH('ORDENES'!$S341,lista_dias,0),9)*1000000000+IFERROR(MATCH('ORDENES'!$AH341,lista_turnos,0),9)*10000000+IFERROR(MATCH('ORDENES'!$AG341,'TECNICOS'!$B$4:$B$19,0),99)*100000+338,9000000000000+338)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2">
        <f>IF(K345=1,'ORDENES'!$J341,"")</f>
        <v/>
      </c>
    </row>
    <row r="346">
      <c r="K346" s="5">
        <f>IF(AND(IF($B$3="(todos)",TRUE,'ORDENES'!$O342=$B$3),IF($D$3="(todos)",TRUE,'ORDENES'!$AH342=$D$3),IF($F$3="(todos)",TRUE,'ORDENES'!$Z342=$F$3),IF($H$3="(todos)",TRUE,'ORDENES'!$Y342=$H$3),'ORDENES'!$AF342=TRUE,'ORDENES'!$A342&lt;&gt;""),1,0)</f>
        <v/>
      </c>
      <c r="L346" s="5">
        <f>IF(K346=1,IFERROR(MATCH('ORDENES'!$S342,lista_dias,0),9)*1000000000+IFERROR(MATCH('ORDENES'!$AH342,lista_turnos,0),9)*10000000+IFERROR(MATCH('ORDENES'!$AG342,'TECNICOS'!$B$4:$B$19,0),99)*100000+339,9000000000000+339)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2">
        <f>IF(K346=1,'ORDENES'!$J342,"")</f>
        <v/>
      </c>
    </row>
    <row r="347">
      <c r="K347" s="5">
        <f>IF(AND(IF($B$3="(todos)",TRUE,'ORDENES'!$O343=$B$3),IF($D$3="(todos)",TRUE,'ORDENES'!$AH343=$D$3),IF($F$3="(todos)",TRUE,'ORDENES'!$Z343=$F$3),IF($H$3="(todos)",TRUE,'ORDENES'!$Y343=$H$3),'ORDENES'!$AF343=TRUE,'ORDENES'!$A343&lt;&gt;""),1,0)</f>
        <v/>
      </c>
      <c r="L347" s="5">
        <f>IF(K347=1,IFERROR(MATCH('ORDENES'!$S343,lista_dias,0),9)*1000000000+IFERROR(MATCH('ORDENES'!$AH343,lista_turnos,0),9)*10000000+IFERROR(MATCH('ORDENES'!$AG343,'TECNICOS'!$B$4:$B$19,0),99)*100000+340,9000000000000+340)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2">
        <f>IF(K347=1,'ORDENES'!$J343,"")</f>
        <v/>
      </c>
    </row>
    <row r="348">
      <c r="K348" s="5">
        <f>IF(AND(IF($B$3="(todos)",TRUE,'ORDENES'!$O344=$B$3),IF($D$3="(todos)",TRUE,'ORDENES'!$AH344=$D$3),IF($F$3="(todos)",TRUE,'ORDENES'!$Z344=$F$3),IF($H$3="(todos)",TRUE,'ORDENES'!$Y344=$H$3),'ORDENES'!$AF344=TRUE,'ORDENES'!$A344&lt;&gt;""),1,0)</f>
        <v/>
      </c>
      <c r="L348" s="5">
        <f>IF(K348=1,IFERROR(MATCH('ORDENES'!$S344,lista_dias,0),9)*1000000000+IFERROR(MATCH('ORDENES'!$AH344,lista_turnos,0),9)*10000000+IFERROR(MATCH('ORDENES'!$AG344,'TECNICOS'!$B$4:$B$19,0),99)*100000+341,9000000000000+341)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2">
        <f>IF(K348=1,'ORDENES'!$J344,"")</f>
        <v/>
      </c>
    </row>
    <row r="349">
      <c r="K349" s="5">
        <f>IF(AND(IF($B$3="(todos)",TRUE,'ORDENES'!$O345=$B$3),IF($D$3="(todos)",TRUE,'ORDENES'!$AH345=$D$3),IF($F$3="(todos)",TRUE,'ORDENES'!$Z345=$F$3),IF($H$3="(todos)",TRUE,'ORDENES'!$Y345=$H$3),'ORDENES'!$AF345=TRUE,'ORDENES'!$A345&lt;&gt;""),1,0)</f>
        <v/>
      </c>
      <c r="L349" s="5">
        <f>IF(K349=1,IFERROR(MATCH('ORDENES'!$S345,lista_dias,0),9)*1000000000+IFERROR(MATCH('ORDENES'!$AH345,lista_turnos,0),9)*10000000+IFERROR(MATCH('ORDENES'!$AG345,'TECNICOS'!$B$4:$B$19,0),99)*100000+342,9000000000000+342)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2">
        <f>IF(K349=1,'ORDENES'!$J345,"")</f>
        <v/>
      </c>
    </row>
    <row r="350">
      <c r="K350" s="5">
        <f>IF(AND(IF($B$3="(todos)",TRUE,'ORDENES'!$O346=$B$3),IF($D$3="(todos)",TRUE,'ORDENES'!$AH346=$D$3),IF($F$3="(todos)",TRUE,'ORDENES'!$Z346=$F$3),IF($H$3="(todos)",TRUE,'ORDENES'!$Y346=$H$3),'ORDENES'!$AF346=TRUE,'ORDENES'!$A346&lt;&gt;""),1,0)</f>
        <v/>
      </c>
      <c r="L350" s="5">
        <f>IF(K350=1,IFERROR(MATCH('ORDENES'!$S346,lista_dias,0),9)*1000000000+IFERROR(MATCH('ORDENES'!$AH346,lista_turnos,0),9)*10000000+IFERROR(MATCH('ORDENES'!$AG346,'TECNICOS'!$B$4:$B$19,0),99)*100000+343,9000000000000+343)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2">
        <f>IF(K350=1,'ORDENES'!$J346,"")</f>
        <v/>
      </c>
    </row>
    <row r="351">
      <c r="K351" s="5">
        <f>IF(AND(IF($B$3="(todos)",TRUE,'ORDENES'!$O347=$B$3),IF($D$3="(todos)",TRUE,'ORDENES'!$AH347=$D$3),IF($F$3="(todos)",TRUE,'ORDENES'!$Z347=$F$3),IF($H$3="(todos)",TRUE,'ORDENES'!$Y347=$H$3),'ORDENES'!$AF347=TRUE,'ORDENES'!$A347&lt;&gt;""),1,0)</f>
        <v/>
      </c>
      <c r="L351" s="5">
        <f>IF(K351=1,IFERROR(MATCH('ORDENES'!$S347,lista_dias,0),9)*1000000000+IFERROR(MATCH('ORDENES'!$AH347,lista_turnos,0),9)*10000000+IFERROR(MATCH('ORDENES'!$AG347,'TECNICOS'!$B$4:$B$19,0),99)*100000+344,9000000000000+344)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2">
        <f>IF(K351=1,'ORDENES'!$J347,"")</f>
        <v/>
      </c>
    </row>
    <row r="352">
      <c r="K352" s="5">
        <f>IF(AND(IF($B$3="(todos)",TRUE,'ORDENES'!$O348=$B$3),IF($D$3="(todos)",TRUE,'ORDENES'!$AH348=$D$3),IF($F$3="(todos)",TRUE,'ORDENES'!$Z348=$F$3),IF($H$3="(todos)",TRUE,'ORDENES'!$Y348=$H$3),'ORDENES'!$AF348=TRUE,'ORDENES'!$A348&lt;&gt;""),1,0)</f>
        <v/>
      </c>
      <c r="L352" s="5">
        <f>IF(K352=1,IFERROR(MATCH('ORDENES'!$S348,lista_dias,0),9)*1000000000+IFERROR(MATCH('ORDENES'!$AH348,lista_turnos,0),9)*10000000+IFERROR(MATCH('ORDENES'!$AG348,'TECNICOS'!$B$4:$B$19,0),99)*100000+345,9000000000000+345)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2">
        <f>IF(K352=1,'ORDENES'!$J348,"")</f>
        <v/>
      </c>
    </row>
    <row r="353">
      <c r="K353" s="5">
        <f>IF(AND(IF($B$3="(todos)",TRUE,'ORDENES'!$O349=$B$3),IF($D$3="(todos)",TRUE,'ORDENES'!$AH349=$D$3),IF($F$3="(todos)",TRUE,'ORDENES'!$Z349=$F$3),IF($H$3="(todos)",TRUE,'ORDENES'!$Y349=$H$3),'ORDENES'!$AF349=TRUE,'ORDENES'!$A349&lt;&gt;""),1,0)</f>
        <v/>
      </c>
      <c r="L353" s="5">
        <f>IF(K353=1,IFERROR(MATCH('ORDENES'!$S349,lista_dias,0),9)*1000000000+IFERROR(MATCH('ORDENES'!$AH349,lista_turnos,0),9)*10000000+IFERROR(MATCH('ORDENES'!$AG349,'TECNICOS'!$B$4:$B$19,0),99)*100000+346,9000000000000+346)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2">
        <f>IF(K353=1,'ORDENES'!$J349,"")</f>
        <v/>
      </c>
    </row>
    <row r="354">
      <c r="K354" s="5">
        <f>IF(AND(IF($B$3="(todos)",TRUE,'ORDENES'!$O350=$B$3),IF($D$3="(todos)",TRUE,'ORDENES'!$AH350=$D$3),IF($F$3="(todos)",TRUE,'ORDENES'!$Z350=$F$3),IF($H$3="(todos)",TRUE,'ORDENES'!$Y350=$H$3),'ORDENES'!$AF350=TRUE,'ORDENES'!$A350&lt;&gt;""),1,0)</f>
        <v/>
      </c>
      <c r="L354" s="5">
        <f>IF(K354=1,IFERROR(MATCH('ORDENES'!$S350,lista_dias,0),9)*1000000000+IFERROR(MATCH('ORDENES'!$AH350,lista_turnos,0),9)*10000000+IFERROR(MATCH('ORDENES'!$AG350,'TECNICOS'!$B$4:$B$19,0),99)*100000+347,9000000000000+347)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2">
        <f>IF(K354=1,'ORDENES'!$J350,"")</f>
        <v/>
      </c>
    </row>
    <row r="355">
      <c r="K355" s="5">
        <f>IF(AND(IF($B$3="(todos)",TRUE,'ORDENES'!$O351=$B$3),IF($D$3="(todos)",TRUE,'ORDENES'!$AH351=$D$3),IF($F$3="(todos)",TRUE,'ORDENES'!$Z351=$F$3),IF($H$3="(todos)",TRUE,'ORDENES'!$Y351=$H$3),'ORDENES'!$AF351=TRUE,'ORDENES'!$A351&lt;&gt;""),1,0)</f>
        <v/>
      </c>
      <c r="L355" s="5">
        <f>IF(K355=1,IFERROR(MATCH('ORDENES'!$S351,lista_dias,0),9)*1000000000+IFERROR(MATCH('ORDENES'!$AH351,lista_turnos,0),9)*10000000+IFERROR(MATCH('ORDENES'!$AG351,'TECNICOS'!$B$4:$B$19,0),99)*100000+348,9000000000000+348)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2">
        <f>IF(K355=1,'ORDENES'!$J351,"")</f>
        <v/>
      </c>
    </row>
    <row r="356">
      <c r="K356" s="5">
        <f>IF(AND(IF($B$3="(todos)",TRUE,'ORDENES'!$O352=$B$3),IF($D$3="(todos)",TRUE,'ORDENES'!$AH352=$D$3),IF($F$3="(todos)",TRUE,'ORDENES'!$Z352=$F$3),IF($H$3="(todos)",TRUE,'ORDENES'!$Y352=$H$3),'ORDENES'!$AF352=TRUE,'ORDENES'!$A352&lt;&gt;""),1,0)</f>
        <v/>
      </c>
      <c r="L356" s="5">
        <f>IF(K356=1,IFERROR(MATCH('ORDENES'!$S352,lista_dias,0),9)*1000000000+IFERROR(MATCH('ORDENES'!$AH352,lista_turnos,0),9)*10000000+IFERROR(MATCH('ORDENES'!$AG352,'TECNICOS'!$B$4:$B$19,0),99)*100000+349,9000000000000+349)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2">
        <f>IF(K356=1,'ORDENES'!$J352,"")</f>
        <v/>
      </c>
    </row>
    <row r="357">
      <c r="K357" s="5">
        <f>IF(AND(IF($B$3="(todos)",TRUE,'ORDENES'!$O353=$B$3),IF($D$3="(todos)",TRUE,'ORDENES'!$AH353=$D$3),IF($F$3="(todos)",TRUE,'ORDENES'!$Z353=$F$3),IF($H$3="(todos)",TRUE,'ORDENES'!$Y353=$H$3),'ORDENES'!$AF353=TRUE,'ORDENES'!$A353&lt;&gt;""),1,0)</f>
        <v/>
      </c>
      <c r="L357" s="5">
        <f>IF(K357=1,IFERROR(MATCH('ORDENES'!$S353,lista_dias,0),9)*1000000000+IFERROR(MATCH('ORDENES'!$AH353,lista_turnos,0),9)*10000000+IFERROR(MATCH('ORDENES'!$AG353,'TECNICOS'!$B$4:$B$19,0),99)*100000+350,9000000000000+350)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2">
        <f>IF(K357=1,'ORDENES'!$J353,"")</f>
        <v/>
      </c>
    </row>
    <row r="358">
      <c r="K358" s="5">
        <f>IF(AND(IF($B$3="(todos)",TRUE,'ORDENES'!$O354=$B$3),IF($D$3="(todos)",TRUE,'ORDENES'!$AH354=$D$3),IF($F$3="(todos)",TRUE,'ORDENES'!$Z354=$F$3),IF($H$3="(todos)",TRUE,'ORDENES'!$Y354=$H$3),'ORDENES'!$AF354=TRUE,'ORDENES'!$A354&lt;&gt;""),1,0)</f>
        <v/>
      </c>
      <c r="L358" s="5">
        <f>IF(K358=1,IFERROR(MATCH('ORDENES'!$S354,lista_dias,0),9)*1000000000+IFERROR(MATCH('ORDENES'!$AH354,lista_turnos,0),9)*10000000+IFERROR(MATCH('ORDENES'!$AG354,'TECNICOS'!$B$4:$B$19,0),99)*100000+351,9000000000000+351)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2">
        <f>IF(K358=1,'ORDENES'!$J354,"")</f>
        <v/>
      </c>
    </row>
    <row r="359">
      <c r="K359" s="5">
        <f>IF(AND(IF($B$3="(todos)",TRUE,'ORDENES'!$O355=$B$3),IF($D$3="(todos)",TRUE,'ORDENES'!$AH355=$D$3),IF($F$3="(todos)",TRUE,'ORDENES'!$Z355=$F$3),IF($H$3="(todos)",TRUE,'ORDENES'!$Y355=$H$3),'ORDENES'!$AF355=TRUE,'ORDENES'!$A355&lt;&gt;""),1,0)</f>
        <v/>
      </c>
      <c r="L359" s="5">
        <f>IF(K359=1,IFERROR(MATCH('ORDENES'!$S355,lista_dias,0),9)*1000000000+IFERROR(MATCH('ORDENES'!$AH355,lista_turnos,0),9)*10000000+IFERROR(MATCH('ORDENES'!$AG355,'TECNICOS'!$B$4:$B$19,0),99)*100000+352,9000000000000+352)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2">
        <f>IF(K359=1,'ORDENES'!$J355,"")</f>
        <v/>
      </c>
    </row>
    <row r="360">
      <c r="K360" s="5">
        <f>IF(AND(IF($B$3="(todos)",TRUE,'ORDENES'!$O356=$B$3),IF($D$3="(todos)",TRUE,'ORDENES'!$AH356=$D$3),IF($F$3="(todos)",TRUE,'ORDENES'!$Z356=$F$3),IF($H$3="(todos)",TRUE,'ORDENES'!$Y356=$H$3),'ORDENES'!$AF356=TRUE,'ORDENES'!$A356&lt;&gt;""),1,0)</f>
        <v/>
      </c>
      <c r="L360" s="5">
        <f>IF(K360=1,IFERROR(MATCH('ORDENES'!$S356,lista_dias,0),9)*1000000000+IFERROR(MATCH('ORDENES'!$AH356,lista_turnos,0),9)*10000000+IFERROR(MATCH('ORDENES'!$AG356,'TECNICOS'!$B$4:$B$19,0),99)*100000+353,9000000000000+353)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2">
        <f>IF(K360=1,'ORDENES'!$J356,"")</f>
        <v/>
      </c>
    </row>
    <row r="361">
      <c r="K361" s="5">
        <f>IF(AND(IF($B$3="(todos)",TRUE,'ORDENES'!$O357=$B$3),IF($D$3="(todos)",TRUE,'ORDENES'!$AH357=$D$3),IF($F$3="(todos)",TRUE,'ORDENES'!$Z357=$F$3),IF($H$3="(todos)",TRUE,'ORDENES'!$Y357=$H$3),'ORDENES'!$AF357=TRUE,'ORDENES'!$A357&lt;&gt;""),1,0)</f>
        <v/>
      </c>
      <c r="L361" s="5">
        <f>IF(K361=1,IFERROR(MATCH('ORDENES'!$S357,lista_dias,0),9)*1000000000+IFERROR(MATCH('ORDENES'!$AH357,lista_turnos,0),9)*10000000+IFERROR(MATCH('ORDENES'!$AG357,'TECNICOS'!$B$4:$B$19,0),99)*100000+354,9000000000000+354)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2">
        <f>IF(K361=1,'ORDENES'!$J357,"")</f>
        <v/>
      </c>
    </row>
    <row r="362">
      <c r="K362" s="5">
        <f>IF(AND(IF($B$3="(todos)",TRUE,'ORDENES'!$O358=$B$3),IF($D$3="(todos)",TRUE,'ORDENES'!$AH358=$D$3),IF($F$3="(todos)",TRUE,'ORDENES'!$Z358=$F$3),IF($H$3="(todos)",TRUE,'ORDENES'!$Y358=$H$3),'ORDENES'!$AF358=TRUE,'ORDENES'!$A358&lt;&gt;""),1,0)</f>
        <v/>
      </c>
      <c r="L362" s="5">
        <f>IF(K362=1,IFERROR(MATCH('ORDENES'!$S358,lista_dias,0),9)*1000000000+IFERROR(MATCH('ORDENES'!$AH358,lista_turnos,0),9)*10000000+IFERROR(MATCH('ORDENES'!$AG358,'TECNICOS'!$B$4:$B$19,0),99)*100000+355,9000000000000+355)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2">
        <f>IF(K362=1,'ORDENES'!$J358,"")</f>
        <v/>
      </c>
    </row>
    <row r="363">
      <c r="K363" s="5">
        <f>IF(AND(IF($B$3="(todos)",TRUE,'ORDENES'!$O359=$B$3),IF($D$3="(todos)",TRUE,'ORDENES'!$AH359=$D$3),IF($F$3="(todos)",TRUE,'ORDENES'!$Z359=$F$3),IF($H$3="(todos)",TRUE,'ORDENES'!$Y359=$H$3),'ORDENES'!$AF359=TRUE,'ORDENES'!$A359&lt;&gt;""),1,0)</f>
        <v/>
      </c>
      <c r="L363" s="5">
        <f>IF(K363=1,IFERROR(MATCH('ORDENES'!$S359,lista_dias,0),9)*1000000000+IFERROR(MATCH('ORDENES'!$AH359,lista_turnos,0),9)*10000000+IFERROR(MATCH('ORDENES'!$AG359,'TECNICOS'!$B$4:$B$19,0),99)*100000+356,9000000000000+356)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2">
        <f>IF(K363=1,'ORDENES'!$J359,"")</f>
        <v/>
      </c>
    </row>
    <row r="364">
      <c r="K364" s="5">
        <f>IF(AND(IF($B$3="(todos)",TRUE,'ORDENES'!$O360=$B$3),IF($D$3="(todos)",TRUE,'ORDENES'!$AH360=$D$3),IF($F$3="(todos)",TRUE,'ORDENES'!$Z360=$F$3),IF($H$3="(todos)",TRUE,'ORDENES'!$Y360=$H$3),'ORDENES'!$AF360=TRUE,'ORDENES'!$A360&lt;&gt;""),1,0)</f>
        <v/>
      </c>
      <c r="L364" s="5">
        <f>IF(K364=1,IFERROR(MATCH('ORDENES'!$S360,lista_dias,0),9)*1000000000+IFERROR(MATCH('ORDENES'!$AH360,lista_turnos,0),9)*10000000+IFERROR(MATCH('ORDENES'!$AG360,'TECNICOS'!$B$4:$B$19,0),99)*100000+357,9000000000000+357)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2">
        <f>IF(K364=1,'ORDENES'!$J360,"")</f>
        <v/>
      </c>
    </row>
    <row r="365">
      <c r="K365" s="5">
        <f>IF(AND(IF($B$3="(todos)",TRUE,'ORDENES'!$O361=$B$3),IF($D$3="(todos)",TRUE,'ORDENES'!$AH361=$D$3),IF($F$3="(todos)",TRUE,'ORDENES'!$Z361=$F$3),IF($H$3="(todos)",TRUE,'ORDENES'!$Y361=$H$3),'ORDENES'!$AF361=TRUE,'ORDENES'!$A361&lt;&gt;""),1,0)</f>
        <v/>
      </c>
      <c r="L365" s="5">
        <f>IF(K365=1,IFERROR(MATCH('ORDENES'!$S361,lista_dias,0),9)*1000000000+IFERROR(MATCH('ORDENES'!$AH361,lista_turnos,0),9)*10000000+IFERROR(MATCH('ORDENES'!$AG361,'TECNICOS'!$B$4:$B$19,0),99)*100000+358,9000000000000+358)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2">
        <f>IF(K365=1,'ORDENES'!$J361,"")</f>
        <v/>
      </c>
    </row>
    <row r="366">
      <c r="K366" s="5">
        <f>IF(AND(IF($B$3="(todos)",TRUE,'ORDENES'!$O362=$B$3),IF($D$3="(todos)",TRUE,'ORDENES'!$AH362=$D$3),IF($F$3="(todos)",TRUE,'ORDENES'!$Z362=$F$3),IF($H$3="(todos)",TRUE,'ORDENES'!$Y362=$H$3),'ORDENES'!$AF362=TRUE,'ORDENES'!$A362&lt;&gt;""),1,0)</f>
        <v/>
      </c>
      <c r="L366" s="5">
        <f>IF(K366=1,IFERROR(MATCH('ORDENES'!$S362,lista_dias,0),9)*1000000000+IFERROR(MATCH('ORDENES'!$AH362,lista_turnos,0),9)*10000000+IFERROR(MATCH('ORDENES'!$AG362,'TECNICOS'!$B$4:$B$19,0),99)*100000+359,9000000000000+359)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2">
        <f>IF(K366=1,'ORDENES'!$J362,"")</f>
        <v/>
      </c>
    </row>
    <row r="367">
      <c r="K367" s="5">
        <f>IF(AND(IF($B$3="(todos)",TRUE,'ORDENES'!$O363=$B$3),IF($D$3="(todos)",TRUE,'ORDENES'!$AH363=$D$3),IF($F$3="(todos)",TRUE,'ORDENES'!$Z363=$F$3),IF($H$3="(todos)",TRUE,'ORDENES'!$Y363=$H$3),'ORDENES'!$AF363=TRUE,'ORDENES'!$A363&lt;&gt;""),1,0)</f>
        <v/>
      </c>
      <c r="L367" s="5">
        <f>IF(K367=1,IFERROR(MATCH('ORDENES'!$S363,lista_dias,0),9)*1000000000+IFERROR(MATCH('ORDENES'!$AH363,lista_turnos,0),9)*10000000+IFERROR(MATCH('ORDENES'!$AG363,'TECNICOS'!$B$4:$B$19,0),99)*100000+360,9000000000000+360)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2">
        <f>IF(K367=1,'ORDENES'!$J363,"")</f>
        <v/>
      </c>
    </row>
    <row r="368">
      <c r="K368" s="5">
        <f>IF(AND(IF($B$3="(todos)",TRUE,'ORDENES'!$O364=$B$3),IF($D$3="(todos)",TRUE,'ORDENES'!$AH364=$D$3),IF($F$3="(todos)",TRUE,'ORDENES'!$Z364=$F$3),IF($H$3="(todos)",TRUE,'ORDENES'!$Y364=$H$3),'ORDENES'!$AF364=TRUE,'ORDENES'!$A364&lt;&gt;""),1,0)</f>
        <v/>
      </c>
      <c r="L368" s="5">
        <f>IF(K368=1,IFERROR(MATCH('ORDENES'!$S364,lista_dias,0),9)*1000000000+IFERROR(MATCH('ORDENES'!$AH364,lista_turnos,0),9)*10000000+IFERROR(MATCH('ORDENES'!$AG364,'TECNICOS'!$B$4:$B$19,0),99)*100000+361,9000000000000+361)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2">
        <f>IF(K368=1,'ORDENES'!$J364,"")</f>
        <v/>
      </c>
    </row>
    <row r="369">
      <c r="K369" s="5">
        <f>IF(AND(IF($B$3="(todos)",TRUE,'ORDENES'!$O365=$B$3),IF($D$3="(todos)",TRUE,'ORDENES'!$AH365=$D$3),IF($F$3="(todos)",TRUE,'ORDENES'!$Z365=$F$3),IF($H$3="(todos)",TRUE,'ORDENES'!$Y365=$H$3),'ORDENES'!$AF365=TRUE,'ORDENES'!$A365&lt;&gt;""),1,0)</f>
        <v/>
      </c>
      <c r="L369" s="5">
        <f>IF(K369=1,IFERROR(MATCH('ORDENES'!$S365,lista_dias,0),9)*1000000000+IFERROR(MATCH('ORDENES'!$AH365,lista_turnos,0),9)*10000000+IFERROR(MATCH('ORDENES'!$AG365,'TECNICOS'!$B$4:$B$19,0),99)*100000+362,9000000000000+362)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2">
        <f>IF(K369=1,'ORDENES'!$J365,"")</f>
        <v/>
      </c>
    </row>
    <row r="370">
      <c r="K370" s="5">
        <f>IF(AND(IF($B$3="(todos)",TRUE,'ORDENES'!$O366=$B$3),IF($D$3="(todos)",TRUE,'ORDENES'!$AH366=$D$3),IF($F$3="(todos)",TRUE,'ORDENES'!$Z366=$F$3),IF($H$3="(todos)",TRUE,'ORDENES'!$Y366=$H$3),'ORDENES'!$AF366=TRUE,'ORDENES'!$A366&lt;&gt;""),1,0)</f>
        <v/>
      </c>
      <c r="L370" s="5">
        <f>IF(K370=1,IFERROR(MATCH('ORDENES'!$S366,lista_dias,0),9)*1000000000+IFERROR(MATCH('ORDENES'!$AH366,lista_turnos,0),9)*10000000+IFERROR(MATCH('ORDENES'!$AG366,'TECNICOS'!$B$4:$B$19,0),99)*100000+363,9000000000000+363)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2">
        <f>IF(K370=1,'ORDENES'!$J366,"")</f>
        <v/>
      </c>
    </row>
    <row r="371">
      <c r="K371" s="5">
        <f>IF(AND(IF($B$3="(todos)",TRUE,'ORDENES'!$O367=$B$3),IF($D$3="(todos)",TRUE,'ORDENES'!$AH367=$D$3),IF($F$3="(todos)",TRUE,'ORDENES'!$Z367=$F$3),IF($H$3="(todos)",TRUE,'ORDENES'!$Y367=$H$3),'ORDENES'!$AF367=TRUE,'ORDENES'!$A367&lt;&gt;""),1,0)</f>
        <v/>
      </c>
      <c r="L371" s="5">
        <f>IF(K371=1,IFERROR(MATCH('ORDENES'!$S367,lista_dias,0),9)*1000000000+IFERROR(MATCH('ORDENES'!$AH367,lista_turnos,0),9)*10000000+IFERROR(MATCH('ORDENES'!$AG367,'TECNICOS'!$B$4:$B$19,0),99)*100000+364,9000000000000+364)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2">
        <f>IF(K371=1,'ORDENES'!$J367,"")</f>
        <v/>
      </c>
    </row>
    <row r="372">
      <c r="K372" s="5">
        <f>IF(AND(IF($B$3="(todos)",TRUE,'ORDENES'!$O368=$B$3),IF($D$3="(todos)",TRUE,'ORDENES'!$AH368=$D$3),IF($F$3="(todos)",TRUE,'ORDENES'!$Z368=$F$3),IF($H$3="(todos)",TRUE,'ORDENES'!$Y368=$H$3),'ORDENES'!$AF368=TRUE,'ORDENES'!$A368&lt;&gt;""),1,0)</f>
        <v/>
      </c>
      <c r="L372" s="5">
        <f>IF(K372=1,IFERROR(MATCH('ORDENES'!$S368,lista_dias,0),9)*1000000000+IFERROR(MATCH('ORDENES'!$AH368,lista_turnos,0),9)*10000000+IFERROR(MATCH('ORDENES'!$AG368,'TECNICOS'!$B$4:$B$19,0),99)*100000+365,9000000000000+365)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2">
        <f>IF(K372=1,'ORDENES'!$J368,"")</f>
        <v/>
      </c>
    </row>
    <row r="373">
      <c r="K373" s="5">
        <f>IF(AND(IF($B$3="(todos)",TRUE,'ORDENES'!$O369=$B$3),IF($D$3="(todos)",TRUE,'ORDENES'!$AH369=$D$3),IF($F$3="(todos)",TRUE,'ORDENES'!$Z369=$F$3),IF($H$3="(todos)",TRUE,'ORDENES'!$Y369=$H$3),'ORDENES'!$AF369=TRUE,'ORDENES'!$A369&lt;&gt;""),1,0)</f>
        <v/>
      </c>
      <c r="L373" s="5">
        <f>IF(K373=1,IFERROR(MATCH('ORDENES'!$S369,lista_dias,0),9)*1000000000+IFERROR(MATCH('ORDENES'!$AH369,lista_turnos,0),9)*10000000+IFERROR(MATCH('ORDENES'!$AG369,'TECNICOS'!$B$4:$B$19,0),99)*100000+366,9000000000000+366)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2">
        <f>IF(K373=1,'ORDENES'!$J369,"")</f>
        <v/>
      </c>
    </row>
    <row r="374">
      <c r="K374" s="5">
        <f>IF(AND(IF($B$3="(todos)",TRUE,'ORDENES'!$O370=$B$3),IF($D$3="(todos)",TRUE,'ORDENES'!$AH370=$D$3),IF($F$3="(todos)",TRUE,'ORDENES'!$Z370=$F$3),IF($H$3="(todos)",TRUE,'ORDENES'!$Y370=$H$3),'ORDENES'!$AF370=TRUE,'ORDENES'!$A370&lt;&gt;""),1,0)</f>
        <v/>
      </c>
      <c r="L374" s="5">
        <f>IF(K374=1,IFERROR(MATCH('ORDENES'!$S370,lista_dias,0),9)*1000000000+IFERROR(MATCH('ORDENES'!$AH370,lista_turnos,0),9)*10000000+IFERROR(MATCH('ORDENES'!$AG370,'TECNICOS'!$B$4:$B$19,0),99)*100000+367,9000000000000+367)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2">
        <f>IF(K374=1,'ORDENES'!$J370,"")</f>
        <v/>
      </c>
    </row>
    <row r="375">
      <c r="K375" s="5">
        <f>IF(AND(IF($B$3="(todos)",TRUE,'ORDENES'!$O371=$B$3),IF($D$3="(todos)",TRUE,'ORDENES'!$AH371=$D$3),IF($F$3="(todos)",TRUE,'ORDENES'!$Z371=$F$3),IF($H$3="(todos)",TRUE,'ORDENES'!$Y371=$H$3),'ORDENES'!$AF371=TRUE,'ORDENES'!$A371&lt;&gt;""),1,0)</f>
        <v/>
      </c>
      <c r="L375" s="5">
        <f>IF(K375=1,IFERROR(MATCH('ORDENES'!$S371,lista_dias,0),9)*1000000000+IFERROR(MATCH('ORDENES'!$AH371,lista_turnos,0),9)*10000000+IFERROR(MATCH('ORDENES'!$AG371,'TECNICOS'!$B$4:$B$19,0),99)*100000+368,9000000000000+368)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2">
        <f>IF(K375=1,'ORDENES'!$J371,"")</f>
        <v/>
      </c>
    </row>
    <row r="376">
      <c r="K376" s="5">
        <f>IF(AND(IF($B$3="(todos)",TRUE,'ORDENES'!$O372=$B$3),IF($D$3="(todos)",TRUE,'ORDENES'!$AH372=$D$3),IF($F$3="(todos)",TRUE,'ORDENES'!$Z372=$F$3),IF($H$3="(todos)",TRUE,'ORDENES'!$Y372=$H$3),'ORDENES'!$AF372=TRUE,'ORDENES'!$A372&lt;&gt;""),1,0)</f>
        <v/>
      </c>
      <c r="L376" s="5">
        <f>IF(K376=1,IFERROR(MATCH('ORDENES'!$S372,lista_dias,0),9)*1000000000+IFERROR(MATCH('ORDENES'!$AH372,lista_turnos,0),9)*10000000+IFERROR(MATCH('ORDENES'!$AG372,'TECNICOS'!$B$4:$B$19,0),99)*100000+369,9000000000000+369)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2">
        <f>IF(K376=1,'ORDENES'!$J372,"")</f>
        <v/>
      </c>
    </row>
    <row r="377">
      <c r="K377" s="5">
        <f>IF(AND(IF($B$3="(todos)",TRUE,'ORDENES'!$O373=$B$3),IF($D$3="(todos)",TRUE,'ORDENES'!$AH373=$D$3),IF($F$3="(todos)",TRUE,'ORDENES'!$Z373=$F$3),IF($H$3="(todos)",TRUE,'ORDENES'!$Y373=$H$3),'ORDENES'!$AF373=TRUE,'ORDENES'!$A373&lt;&gt;""),1,0)</f>
        <v/>
      </c>
      <c r="L377" s="5">
        <f>IF(K377=1,IFERROR(MATCH('ORDENES'!$S373,lista_dias,0),9)*1000000000+IFERROR(MATCH('ORDENES'!$AH373,lista_turnos,0),9)*10000000+IFERROR(MATCH('ORDENES'!$AG373,'TECNICOS'!$B$4:$B$19,0),99)*100000+370,9000000000000+370)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2">
        <f>IF(K377=1,'ORDENES'!$J373,"")</f>
        <v/>
      </c>
    </row>
    <row r="378">
      <c r="K378" s="5">
        <f>IF(AND(IF($B$3="(todos)",TRUE,'ORDENES'!$O374=$B$3),IF($D$3="(todos)",TRUE,'ORDENES'!$AH374=$D$3),IF($F$3="(todos)",TRUE,'ORDENES'!$Z374=$F$3),IF($H$3="(todos)",TRUE,'ORDENES'!$Y374=$H$3),'ORDENES'!$AF374=TRUE,'ORDENES'!$A374&lt;&gt;""),1,0)</f>
        <v/>
      </c>
      <c r="L378" s="5">
        <f>IF(K378=1,IFERROR(MATCH('ORDENES'!$S374,lista_dias,0),9)*1000000000+IFERROR(MATCH('ORDENES'!$AH374,lista_turnos,0),9)*10000000+IFERROR(MATCH('ORDENES'!$AG374,'TECNICOS'!$B$4:$B$19,0),99)*100000+371,9000000000000+371)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2">
        <f>IF(K378=1,'ORDENES'!$J374,"")</f>
        <v/>
      </c>
    </row>
    <row r="379">
      <c r="K379" s="5">
        <f>IF(AND(IF($B$3="(todos)",TRUE,'ORDENES'!$O375=$B$3),IF($D$3="(todos)",TRUE,'ORDENES'!$AH375=$D$3),IF($F$3="(todos)",TRUE,'ORDENES'!$Z375=$F$3),IF($H$3="(todos)",TRUE,'ORDENES'!$Y375=$H$3),'ORDENES'!$AF375=TRUE,'ORDENES'!$A375&lt;&gt;""),1,0)</f>
        <v/>
      </c>
      <c r="L379" s="5">
        <f>IF(K379=1,IFERROR(MATCH('ORDENES'!$S375,lista_dias,0),9)*1000000000+IFERROR(MATCH('ORDENES'!$AH375,lista_turnos,0),9)*10000000+IFERROR(MATCH('ORDENES'!$AG375,'TECNICOS'!$B$4:$B$19,0),99)*100000+372,9000000000000+372)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2">
        <f>IF(K379=1,'ORDENES'!$J375,"")</f>
        <v/>
      </c>
    </row>
    <row r="380">
      <c r="K380" s="5">
        <f>IF(AND(IF($B$3="(todos)",TRUE,'ORDENES'!$O376=$B$3),IF($D$3="(todos)",TRUE,'ORDENES'!$AH376=$D$3),IF($F$3="(todos)",TRUE,'ORDENES'!$Z376=$F$3),IF($H$3="(todos)",TRUE,'ORDENES'!$Y376=$H$3),'ORDENES'!$AF376=TRUE,'ORDENES'!$A376&lt;&gt;""),1,0)</f>
        <v/>
      </c>
      <c r="L380" s="5">
        <f>IF(K380=1,IFERROR(MATCH('ORDENES'!$S376,lista_dias,0),9)*1000000000+IFERROR(MATCH('ORDENES'!$AH376,lista_turnos,0),9)*10000000+IFERROR(MATCH('ORDENES'!$AG376,'TECNICOS'!$B$4:$B$19,0),99)*100000+373,9000000000000+373)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2">
        <f>IF(K380=1,'ORDENES'!$J376,"")</f>
        <v/>
      </c>
    </row>
    <row r="381">
      <c r="K381" s="5">
        <f>IF(AND(IF($B$3="(todos)",TRUE,'ORDENES'!$O377=$B$3),IF($D$3="(todos)",TRUE,'ORDENES'!$AH377=$D$3),IF($F$3="(todos)",TRUE,'ORDENES'!$Z377=$F$3),IF($H$3="(todos)",TRUE,'ORDENES'!$Y377=$H$3),'ORDENES'!$AF377=TRUE,'ORDENES'!$A377&lt;&gt;""),1,0)</f>
        <v/>
      </c>
      <c r="L381" s="5">
        <f>IF(K381=1,IFERROR(MATCH('ORDENES'!$S377,lista_dias,0),9)*1000000000+IFERROR(MATCH('ORDENES'!$AH377,lista_turnos,0),9)*10000000+IFERROR(MATCH('ORDENES'!$AG377,'TECNICOS'!$B$4:$B$19,0),99)*100000+374,9000000000000+374)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2">
        <f>IF(K381=1,'ORDENES'!$J377,"")</f>
        <v/>
      </c>
    </row>
    <row r="382">
      <c r="K382" s="5">
        <f>IF(AND(IF($B$3="(todos)",TRUE,'ORDENES'!$O378=$B$3),IF($D$3="(todos)",TRUE,'ORDENES'!$AH378=$D$3),IF($F$3="(todos)",TRUE,'ORDENES'!$Z378=$F$3),IF($H$3="(todos)",TRUE,'ORDENES'!$Y378=$H$3),'ORDENES'!$AF378=TRUE,'ORDENES'!$A378&lt;&gt;""),1,0)</f>
        <v/>
      </c>
      <c r="L382" s="5">
        <f>IF(K382=1,IFERROR(MATCH('ORDENES'!$S378,lista_dias,0),9)*1000000000+IFERROR(MATCH('ORDENES'!$AH378,lista_turnos,0),9)*10000000+IFERROR(MATCH('ORDENES'!$AG378,'TECNICOS'!$B$4:$B$19,0),99)*100000+375,9000000000000+375)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2">
        <f>IF(K382=1,'ORDENES'!$J378,"")</f>
        <v/>
      </c>
    </row>
    <row r="383">
      <c r="K383" s="5">
        <f>IF(AND(IF($B$3="(todos)",TRUE,'ORDENES'!$O379=$B$3),IF($D$3="(todos)",TRUE,'ORDENES'!$AH379=$D$3),IF($F$3="(todos)",TRUE,'ORDENES'!$Z379=$F$3),IF($H$3="(todos)",TRUE,'ORDENES'!$Y379=$H$3),'ORDENES'!$AF379=TRUE,'ORDENES'!$A379&lt;&gt;""),1,0)</f>
        <v/>
      </c>
      <c r="L383" s="5">
        <f>IF(K383=1,IFERROR(MATCH('ORDENES'!$S379,lista_dias,0),9)*1000000000+IFERROR(MATCH('ORDENES'!$AH379,lista_turnos,0),9)*10000000+IFERROR(MATCH('ORDENES'!$AG379,'TECNICOS'!$B$4:$B$19,0),99)*100000+376,9000000000000+376)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2">
        <f>IF(K383=1,'ORDENES'!$J379,"")</f>
        <v/>
      </c>
    </row>
    <row r="384">
      <c r="K384" s="5">
        <f>IF(AND(IF($B$3="(todos)",TRUE,'ORDENES'!$O380=$B$3),IF($D$3="(todos)",TRUE,'ORDENES'!$AH380=$D$3),IF($F$3="(todos)",TRUE,'ORDENES'!$Z380=$F$3),IF($H$3="(todos)",TRUE,'ORDENES'!$Y380=$H$3),'ORDENES'!$AF380=TRUE,'ORDENES'!$A380&lt;&gt;""),1,0)</f>
        <v/>
      </c>
      <c r="L384" s="5">
        <f>IF(K384=1,IFERROR(MATCH('ORDENES'!$S380,lista_dias,0),9)*1000000000+IFERROR(MATCH('ORDENES'!$AH380,lista_turnos,0),9)*10000000+IFERROR(MATCH('ORDENES'!$AG380,'TECNICOS'!$B$4:$B$19,0),99)*100000+377,9000000000000+377)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2">
        <f>IF(K384=1,'ORDENES'!$J380,"")</f>
        <v/>
      </c>
    </row>
    <row r="385">
      <c r="K385" s="5">
        <f>IF(AND(IF($B$3="(todos)",TRUE,'ORDENES'!$O381=$B$3),IF($D$3="(todos)",TRUE,'ORDENES'!$AH381=$D$3),IF($F$3="(todos)",TRUE,'ORDENES'!$Z381=$F$3),IF($H$3="(todos)",TRUE,'ORDENES'!$Y381=$H$3),'ORDENES'!$AF381=TRUE,'ORDENES'!$A381&lt;&gt;""),1,0)</f>
        <v/>
      </c>
      <c r="L385" s="5">
        <f>IF(K385=1,IFERROR(MATCH('ORDENES'!$S381,lista_dias,0),9)*1000000000+IFERROR(MATCH('ORDENES'!$AH381,lista_turnos,0),9)*10000000+IFERROR(MATCH('ORDENES'!$AG381,'TECNICOS'!$B$4:$B$19,0),99)*100000+378,9000000000000+378)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2">
        <f>IF(K385=1,'ORDENES'!$J381,"")</f>
        <v/>
      </c>
    </row>
    <row r="386">
      <c r="K386" s="5">
        <f>IF(AND(IF($B$3="(todos)",TRUE,'ORDENES'!$O382=$B$3),IF($D$3="(todos)",TRUE,'ORDENES'!$AH382=$D$3),IF($F$3="(todos)",TRUE,'ORDENES'!$Z382=$F$3),IF($H$3="(todos)",TRUE,'ORDENES'!$Y382=$H$3),'ORDENES'!$AF382=TRUE,'ORDENES'!$A382&lt;&gt;""),1,0)</f>
        <v/>
      </c>
      <c r="L386" s="5">
        <f>IF(K386=1,IFERROR(MATCH('ORDENES'!$S382,lista_dias,0),9)*1000000000+IFERROR(MATCH('ORDENES'!$AH382,lista_turnos,0),9)*10000000+IFERROR(MATCH('ORDENES'!$AG382,'TECNICOS'!$B$4:$B$19,0),99)*100000+379,9000000000000+379)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2">
        <f>IF(K386=1,'ORDENES'!$J382,"")</f>
        <v/>
      </c>
    </row>
    <row r="387">
      <c r="K387" s="5">
        <f>IF(AND(IF($B$3="(todos)",TRUE,'ORDENES'!$O383=$B$3),IF($D$3="(todos)",TRUE,'ORDENES'!$AH383=$D$3),IF($F$3="(todos)",TRUE,'ORDENES'!$Z383=$F$3),IF($H$3="(todos)",TRUE,'ORDENES'!$Y383=$H$3),'ORDENES'!$AF383=TRUE,'ORDENES'!$A383&lt;&gt;""),1,0)</f>
        <v/>
      </c>
      <c r="L387" s="5">
        <f>IF(K387=1,IFERROR(MATCH('ORDENES'!$S383,lista_dias,0),9)*1000000000+IFERROR(MATCH('ORDENES'!$AH383,lista_turnos,0),9)*10000000+IFERROR(MATCH('ORDENES'!$AG383,'TECNICOS'!$B$4:$B$19,0),99)*100000+380,9000000000000+380)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2">
        <f>IF(K387=1,'ORDENES'!$J383,"")</f>
        <v/>
      </c>
    </row>
    <row r="388">
      <c r="K388" s="5">
        <f>IF(AND(IF($B$3="(todos)",TRUE,'ORDENES'!$O384=$B$3),IF($D$3="(todos)",TRUE,'ORDENES'!$AH384=$D$3),IF($F$3="(todos)",TRUE,'ORDENES'!$Z384=$F$3),IF($H$3="(todos)",TRUE,'ORDENES'!$Y384=$H$3),'ORDENES'!$AF384=TRUE,'ORDENES'!$A384&lt;&gt;""),1,0)</f>
        <v/>
      </c>
      <c r="L388" s="5">
        <f>IF(K388=1,IFERROR(MATCH('ORDENES'!$S384,lista_dias,0),9)*1000000000+IFERROR(MATCH('ORDENES'!$AH384,lista_turnos,0),9)*10000000+IFERROR(MATCH('ORDENES'!$AG384,'TECNICOS'!$B$4:$B$19,0),99)*100000+381,9000000000000+381)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2">
        <f>IF(K388=1,'ORDENES'!$J384,"")</f>
        <v/>
      </c>
    </row>
    <row r="389">
      <c r="K389" s="5">
        <f>IF(AND(IF($B$3="(todos)",TRUE,'ORDENES'!$O385=$B$3),IF($D$3="(todos)",TRUE,'ORDENES'!$AH385=$D$3),IF($F$3="(todos)",TRUE,'ORDENES'!$Z385=$F$3),IF($H$3="(todos)",TRUE,'ORDENES'!$Y385=$H$3),'ORDENES'!$AF385=TRUE,'ORDENES'!$A385&lt;&gt;""),1,0)</f>
        <v/>
      </c>
      <c r="L389" s="5">
        <f>IF(K389=1,IFERROR(MATCH('ORDENES'!$S385,lista_dias,0),9)*1000000000+IFERROR(MATCH('ORDENES'!$AH385,lista_turnos,0),9)*10000000+IFERROR(MATCH('ORDENES'!$AG385,'TECNICOS'!$B$4:$B$19,0),99)*100000+382,9000000000000+382)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2">
        <f>IF(K389=1,'ORDENES'!$J385,"")</f>
        <v/>
      </c>
    </row>
    <row r="390">
      <c r="K390" s="5">
        <f>IF(AND(IF($B$3="(todos)",TRUE,'ORDENES'!$O386=$B$3),IF($D$3="(todos)",TRUE,'ORDENES'!$AH386=$D$3),IF($F$3="(todos)",TRUE,'ORDENES'!$Z386=$F$3),IF($H$3="(todos)",TRUE,'ORDENES'!$Y386=$H$3),'ORDENES'!$AF386=TRUE,'ORDENES'!$A386&lt;&gt;""),1,0)</f>
        <v/>
      </c>
      <c r="L390" s="5">
        <f>IF(K390=1,IFERROR(MATCH('ORDENES'!$S386,lista_dias,0),9)*1000000000+IFERROR(MATCH('ORDENES'!$AH386,lista_turnos,0),9)*10000000+IFERROR(MATCH('ORDENES'!$AG386,'TECNICOS'!$B$4:$B$19,0),99)*100000+383,9000000000000+383)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2">
        <f>IF(K390=1,'ORDENES'!$J386,"")</f>
        <v/>
      </c>
    </row>
    <row r="391">
      <c r="K391" s="5">
        <f>IF(AND(IF($B$3="(todos)",TRUE,'ORDENES'!$O387=$B$3),IF($D$3="(todos)",TRUE,'ORDENES'!$AH387=$D$3),IF($F$3="(todos)",TRUE,'ORDENES'!$Z387=$F$3),IF($H$3="(todos)",TRUE,'ORDENES'!$Y387=$H$3),'ORDENES'!$AF387=TRUE,'ORDENES'!$A387&lt;&gt;""),1,0)</f>
        <v/>
      </c>
      <c r="L391" s="5">
        <f>IF(K391=1,IFERROR(MATCH('ORDENES'!$S387,lista_dias,0),9)*1000000000+IFERROR(MATCH('ORDENES'!$AH387,lista_turnos,0),9)*10000000+IFERROR(MATCH('ORDENES'!$AG387,'TECNICOS'!$B$4:$B$19,0),99)*100000+384,9000000000000+384)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2">
        <f>IF(K391=1,'ORDENES'!$J387,"")</f>
        <v/>
      </c>
    </row>
    <row r="392">
      <c r="K392" s="5">
        <f>IF(AND(IF($B$3="(todos)",TRUE,'ORDENES'!$O388=$B$3),IF($D$3="(todos)",TRUE,'ORDENES'!$AH388=$D$3),IF($F$3="(todos)",TRUE,'ORDENES'!$Z388=$F$3),IF($H$3="(todos)",TRUE,'ORDENES'!$Y388=$H$3),'ORDENES'!$AF388=TRUE,'ORDENES'!$A388&lt;&gt;""),1,0)</f>
        <v/>
      </c>
      <c r="L392" s="5">
        <f>IF(K392=1,IFERROR(MATCH('ORDENES'!$S388,lista_dias,0),9)*1000000000+IFERROR(MATCH('ORDENES'!$AH388,lista_turnos,0),9)*10000000+IFERROR(MATCH('ORDENES'!$AG388,'TECNICOS'!$B$4:$B$19,0),99)*100000+385,9000000000000+385)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2">
        <f>IF(K392=1,'ORDENES'!$J388,"")</f>
        <v/>
      </c>
    </row>
    <row r="393">
      <c r="K393" s="5">
        <f>IF(AND(IF($B$3="(todos)",TRUE,'ORDENES'!$O389=$B$3),IF($D$3="(todos)",TRUE,'ORDENES'!$AH389=$D$3),IF($F$3="(todos)",TRUE,'ORDENES'!$Z389=$F$3),IF($H$3="(todos)",TRUE,'ORDENES'!$Y389=$H$3),'ORDENES'!$AF389=TRUE,'ORDENES'!$A389&lt;&gt;""),1,0)</f>
        <v/>
      </c>
      <c r="L393" s="5">
        <f>IF(K393=1,IFERROR(MATCH('ORDENES'!$S389,lista_dias,0),9)*1000000000+IFERROR(MATCH('ORDENES'!$AH389,lista_turnos,0),9)*10000000+IFERROR(MATCH('ORDENES'!$AG389,'TECNICOS'!$B$4:$B$19,0),99)*100000+386,9000000000000+386)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2">
        <f>IF(K393=1,'ORDENES'!$J389,"")</f>
        <v/>
      </c>
    </row>
    <row r="394">
      <c r="K394" s="5">
        <f>IF(AND(IF($B$3="(todos)",TRUE,'ORDENES'!$O390=$B$3),IF($D$3="(todos)",TRUE,'ORDENES'!$AH390=$D$3),IF($F$3="(todos)",TRUE,'ORDENES'!$Z390=$F$3),IF($H$3="(todos)",TRUE,'ORDENES'!$Y390=$H$3),'ORDENES'!$AF390=TRUE,'ORDENES'!$A390&lt;&gt;""),1,0)</f>
        <v/>
      </c>
      <c r="L394" s="5">
        <f>IF(K394=1,IFERROR(MATCH('ORDENES'!$S390,lista_dias,0),9)*1000000000+IFERROR(MATCH('ORDENES'!$AH390,lista_turnos,0),9)*10000000+IFERROR(MATCH('ORDENES'!$AG390,'TECNICOS'!$B$4:$B$19,0),99)*100000+387,9000000000000+387)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2">
        <f>IF(K394=1,'ORDENES'!$J390,"")</f>
        <v/>
      </c>
    </row>
    <row r="395">
      <c r="K395" s="5">
        <f>IF(AND(IF($B$3="(todos)",TRUE,'ORDENES'!$O391=$B$3),IF($D$3="(todos)",TRUE,'ORDENES'!$AH391=$D$3),IF($F$3="(todos)",TRUE,'ORDENES'!$Z391=$F$3),IF($H$3="(todos)",TRUE,'ORDENES'!$Y391=$H$3),'ORDENES'!$AF391=TRUE,'ORDENES'!$A391&lt;&gt;""),1,0)</f>
        <v/>
      </c>
      <c r="L395" s="5">
        <f>IF(K395=1,IFERROR(MATCH('ORDENES'!$S391,lista_dias,0),9)*1000000000+IFERROR(MATCH('ORDENES'!$AH391,lista_turnos,0),9)*10000000+IFERROR(MATCH('ORDENES'!$AG391,'TECNICOS'!$B$4:$B$19,0),99)*100000+388,9000000000000+388)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2">
        <f>IF(K395=1,'ORDENES'!$J391,"")</f>
        <v/>
      </c>
    </row>
    <row r="396">
      <c r="K396" s="5">
        <f>IF(AND(IF($B$3="(todos)",TRUE,'ORDENES'!$O392=$B$3),IF($D$3="(todos)",TRUE,'ORDENES'!$AH392=$D$3),IF($F$3="(todos)",TRUE,'ORDENES'!$Z392=$F$3),IF($H$3="(todos)",TRUE,'ORDENES'!$Y392=$H$3),'ORDENES'!$AF392=TRUE,'ORDENES'!$A392&lt;&gt;""),1,0)</f>
        <v/>
      </c>
      <c r="L396" s="5">
        <f>IF(K396=1,IFERROR(MATCH('ORDENES'!$S392,lista_dias,0),9)*1000000000+IFERROR(MATCH('ORDENES'!$AH392,lista_turnos,0),9)*10000000+IFERROR(MATCH('ORDENES'!$AG392,'TECNICOS'!$B$4:$B$19,0),99)*100000+389,9000000000000+389)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2">
        <f>IF(K396=1,'ORDENES'!$J392,"")</f>
        <v/>
      </c>
    </row>
    <row r="397">
      <c r="K397" s="5">
        <f>IF(AND(IF($B$3="(todos)",TRUE,'ORDENES'!$O393=$B$3),IF($D$3="(todos)",TRUE,'ORDENES'!$AH393=$D$3),IF($F$3="(todos)",TRUE,'ORDENES'!$Z393=$F$3),IF($H$3="(todos)",TRUE,'ORDENES'!$Y393=$H$3),'ORDENES'!$AF393=TRUE,'ORDENES'!$A393&lt;&gt;""),1,0)</f>
        <v/>
      </c>
      <c r="L397" s="5">
        <f>IF(K397=1,IFERROR(MATCH('ORDENES'!$S393,lista_dias,0),9)*1000000000+IFERROR(MATCH('ORDENES'!$AH393,lista_turnos,0),9)*10000000+IFERROR(MATCH('ORDENES'!$AG393,'TECNICOS'!$B$4:$B$19,0),99)*100000+390,9000000000000+390)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2">
        <f>IF(K397=1,'ORDENES'!$J393,"")</f>
        <v/>
      </c>
    </row>
    <row r="398">
      <c r="K398" s="5">
        <f>IF(AND(IF($B$3="(todos)",TRUE,'ORDENES'!$O394=$B$3),IF($D$3="(todos)",TRUE,'ORDENES'!$AH394=$D$3),IF($F$3="(todos)",TRUE,'ORDENES'!$Z394=$F$3),IF($H$3="(todos)",TRUE,'ORDENES'!$Y394=$H$3),'ORDENES'!$AF394=TRUE,'ORDENES'!$A394&lt;&gt;""),1,0)</f>
        <v/>
      </c>
      <c r="L398" s="5">
        <f>IF(K398=1,IFERROR(MATCH('ORDENES'!$S394,lista_dias,0),9)*1000000000+IFERROR(MATCH('ORDENES'!$AH394,lista_turnos,0),9)*10000000+IFERROR(MATCH('ORDENES'!$AG394,'TECNICOS'!$B$4:$B$19,0),99)*100000+391,9000000000000+391)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2">
        <f>IF(K398=1,'ORDENES'!$J394,"")</f>
        <v/>
      </c>
    </row>
    <row r="399">
      <c r="K399" s="5">
        <f>IF(AND(IF($B$3="(todos)",TRUE,'ORDENES'!$O395=$B$3),IF($D$3="(todos)",TRUE,'ORDENES'!$AH395=$D$3),IF($F$3="(todos)",TRUE,'ORDENES'!$Z395=$F$3),IF($H$3="(todos)",TRUE,'ORDENES'!$Y395=$H$3),'ORDENES'!$AF395=TRUE,'ORDENES'!$A395&lt;&gt;""),1,0)</f>
        <v/>
      </c>
      <c r="L399" s="5">
        <f>IF(K399=1,IFERROR(MATCH('ORDENES'!$S395,lista_dias,0),9)*1000000000+IFERROR(MATCH('ORDENES'!$AH395,lista_turnos,0),9)*10000000+IFERROR(MATCH('ORDENES'!$AG395,'TECNICOS'!$B$4:$B$19,0),99)*100000+392,9000000000000+392)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2">
        <f>IF(K399=1,'ORDENES'!$J395,"")</f>
        <v/>
      </c>
    </row>
    <row r="400">
      <c r="K400" s="5">
        <f>IF(AND(IF($B$3="(todos)",TRUE,'ORDENES'!$O396=$B$3),IF($D$3="(todos)",TRUE,'ORDENES'!$AH396=$D$3),IF($F$3="(todos)",TRUE,'ORDENES'!$Z396=$F$3),IF($H$3="(todos)",TRUE,'ORDENES'!$Y396=$H$3),'ORDENES'!$AF396=TRUE,'ORDENES'!$A396&lt;&gt;""),1,0)</f>
        <v/>
      </c>
      <c r="L400" s="5">
        <f>IF(K400=1,IFERROR(MATCH('ORDENES'!$S396,lista_dias,0),9)*1000000000+IFERROR(MATCH('ORDENES'!$AH396,lista_turnos,0),9)*10000000+IFERROR(MATCH('ORDENES'!$AG396,'TECNICOS'!$B$4:$B$19,0),99)*100000+393,9000000000000+393)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2">
        <f>IF(K400=1,'ORDENES'!$J396,"")</f>
        <v/>
      </c>
    </row>
    <row r="401">
      <c r="K401" s="5">
        <f>IF(AND(IF($B$3="(todos)",TRUE,'ORDENES'!$O397=$B$3),IF($D$3="(todos)",TRUE,'ORDENES'!$AH397=$D$3),IF($F$3="(todos)",TRUE,'ORDENES'!$Z397=$F$3),IF($H$3="(todos)",TRUE,'ORDENES'!$Y397=$H$3),'ORDENES'!$AF397=TRUE,'ORDENES'!$A397&lt;&gt;""),1,0)</f>
        <v/>
      </c>
      <c r="L401" s="5">
        <f>IF(K401=1,IFERROR(MATCH('ORDENES'!$S397,lista_dias,0),9)*1000000000+IFERROR(MATCH('ORDENES'!$AH397,lista_turnos,0),9)*10000000+IFERROR(MATCH('ORDENES'!$AG397,'TECNICOS'!$B$4:$B$19,0),99)*100000+394,9000000000000+394)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2">
        <f>IF(K401=1,'ORDENES'!$J397,"")</f>
        <v/>
      </c>
    </row>
    <row r="402">
      <c r="K402" s="5">
        <f>IF(AND(IF($B$3="(todos)",TRUE,'ORDENES'!$O398=$B$3),IF($D$3="(todos)",TRUE,'ORDENES'!$AH398=$D$3),IF($F$3="(todos)",TRUE,'ORDENES'!$Z398=$F$3),IF($H$3="(todos)",TRUE,'ORDENES'!$Y398=$H$3),'ORDENES'!$AF398=TRUE,'ORDENES'!$A398&lt;&gt;""),1,0)</f>
        <v/>
      </c>
      <c r="L402" s="5">
        <f>IF(K402=1,IFERROR(MATCH('ORDENES'!$S398,lista_dias,0),9)*1000000000+IFERROR(MATCH('ORDENES'!$AH398,lista_turnos,0),9)*10000000+IFERROR(MATCH('ORDENES'!$AG398,'TECNICOS'!$B$4:$B$19,0),99)*100000+395,9000000000000+395)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2">
        <f>IF(K402=1,'ORDENES'!$J398,"")</f>
        <v/>
      </c>
    </row>
    <row r="403">
      <c r="K403" s="5">
        <f>IF(AND(IF($B$3="(todos)",TRUE,'ORDENES'!$O399=$B$3),IF($D$3="(todos)",TRUE,'ORDENES'!$AH399=$D$3),IF($F$3="(todos)",TRUE,'ORDENES'!$Z399=$F$3),IF($H$3="(todos)",TRUE,'ORDENES'!$Y399=$H$3),'ORDENES'!$AF399=TRUE,'ORDENES'!$A399&lt;&gt;""),1,0)</f>
        <v/>
      </c>
      <c r="L403" s="5">
        <f>IF(K403=1,IFERROR(MATCH('ORDENES'!$S399,lista_dias,0),9)*1000000000+IFERROR(MATCH('ORDENES'!$AH399,lista_turnos,0),9)*10000000+IFERROR(MATCH('ORDENES'!$AG399,'TECNICOS'!$B$4:$B$19,0),99)*100000+396,9000000000000+396)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2">
        <f>IF(K403=1,'ORDENES'!$J399,"")</f>
        <v/>
      </c>
    </row>
    <row r="404">
      <c r="K404" s="5">
        <f>IF(AND(IF($B$3="(todos)",TRUE,'ORDENES'!$O400=$B$3),IF($D$3="(todos)",TRUE,'ORDENES'!$AH400=$D$3),IF($F$3="(todos)",TRUE,'ORDENES'!$Z400=$F$3),IF($H$3="(todos)",TRUE,'ORDENES'!$Y400=$H$3),'ORDENES'!$AF400=TRUE,'ORDENES'!$A400&lt;&gt;""),1,0)</f>
        <v/>
      </c>
      <c r="L404" s="5">
        <f>IF(K404=1,IFERROR(MATCH('ORDENES'!$S400,lista_dias,0),9)*1000000000+IFERROR(MATCH('ORDENES'!$AH400,lista_turnos,0),9)*10000000+IFERROR(MATCH('ORDENES'!$AG400,'TECNICOS'!$B$4:$B$19,0),99)*100000+397,9000000000000+397)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2">
        <f>IF(K404=1,'ORDENES'!$J400,"")</f>
        <v/>
      </c>
    </row>
    <row r="405">
      <c r="K405" s="5">
        <f>IF(AND(IF($B$3="(todos)",TRUE,'ORDENES'!$O401=$B$3),IF($D$3="(todos)",TRUE,'ORDENES'!$AH401=$D$3),IF($F$3="(todos)",TRUE,'ORDENES'!$Z401=$F$3),IF($H$3="(todos)",TRUE,'ORDENES'!$Y401=$H$3),'ORDENES'!$AF401=TRUE,'ORDENES'!$A401&lt;&gt;""),1,0)</f>
        <v/>
      </c>
      <c r="L405" s="5">
        <f>IF(K405=1,IFERROR(MATCH('ORDENES'!$S401,lista_dias,0),9)*1000000000+IFERROR(MATCH('ORDENES'!$AH401,lista_turnos,0),9)*10000000+IFERROR(MATCH('ORDENES'!$AG401,'TECNICOS'!$B$4:$B$19,0),99)*100000+398,9000000000000+398)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2">
        <f>IF(K405=1,'ORDENES'!$J401,"")</f>
        <v/>
      </c>
    </row>
    <row r="406">
      <c r="K406" s="5">
        <f>IF(AND(IF($B$3="(todos)",TRUE,'ORDENES'!$O402=$B$3),IF($D$3="(todos)",TRUE,'ORDENES'!$AH402=$D$3),IF($F$3="(todos)",TRUE,'ORDENES'!$Z402=$F$3),IF($H$3="(todos)",TRUE,'ORDENES'!$Y402=$H$3),'ORDENES'!$AF402=TRUE,'ORDENES'!$A402&lt;&gt;""),1,0)</f>
        <v/>
      </c>
      <c r="L406" s="5">
        <f>IF(K406=1,IFERROR(MATCH('ORDENES'!$S402,lista_dias,0),9)*1000000000+IFERROR(MATCH('ORDENES'!$AH402,lista_turnos,0),9)*10000000+IFERROR(MATCH('ORDENES'!$AG402,'TECNICOS'!$B$4:$B$19,0),99)*100000+399,9000000000000+399)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2">
        <f>IF(K406=1,'ORDENES'!$J402,"")</f>
        <v/>
      </c>
    </row>
    <row r="407">
      <c r="K407" s="5">
        <f>IF(AND(IF($B$3="(todos)",TRUE,'ORDENES'!$O403=$B$3),IF($D$3="(todos)",TRUE,'ORDENES'!$AH403=$D$3),IF($F$3="(todos)",TRUE,'ORDENES'!$Z403=$F$3),IF($H$3="(todos)",TRUE,'ORDENES'!$Y403=$H$3),'ORDENES'!$AF403=TRUE,'ORDENES'!$A403&lt;&gt;""),1,0)</f>
        <v/>
      </c>
      <c r="L407" s="5">
        <f>IF(K407=1,IFERROR(MATCH('ORDENES'!$S403,lista_dias,0),9)*1000000000+IFERROR(MATCH('ORDENES'!$AH403,lista_turnos,0),9)*10000000+IFERROR(MATCH('ORDENES'!$AG403,'TECNICOS'!$B$4:$B$19,0),99)*100000+400,9000000000000+400)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2">
        <f>IF(K407=1,'ORDENES'!$J403,"")</f>
        <v/>
      </c>
    </row>
    <row r="408">
      <c r="K408" s="5">
        <f>IF(AND(IF($B$3="(todos)",TRUE,'ORDENES'!$O404=$B$3),IF($D$3="(todos)",TRUE,'ORDENES'!$AH404=$D$3),IF($F$3="(todos)",TRUE,'ORDENES'!$Z404=$F$3),IF($H$3="(todos)",TRUE,'ORDENES'!$Y404=$H$3),'ORDENES'!$AF404=TRUE,'ORDENES'!$A404&lt;&gt;""),1,0)</f>
        <v/>
      </c>
      <c r="L408" s="5">
        <f>IF(K408=1,IFERROR(MATCH('ORDENES'!$S404,lista_dias,0),9)*1000000000+IFERROR(MATCH('ORDENES'!$AH404,lista_turnos,0),9)*10000000+IFERROR(MATCH('ORDENES'!$AG404,'TECNICOS'!$B$4:$B$19,0),99)*100000+401,9000000000000+401)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2">
        <f>IF(K408=1,'ORDENES'!$J404,"")</f>
        <v/>
      </c>
    </row>
    <row r="409">
      <c r="K409" s="5">
        <f>IF(AND(IF($B$3="(todos)",TRUE,'ORDENES'!$O405=$B$3),IF($D$3="(todos)",TRUE,'ORDENES'!$AH405=$D$3),IF($F$3="(todos)",TRUE,'ORDENES'!$Z405=$F$3),IF($H$3="(todos)",TRUE,'ORDENES'!$Y405=$H$3),'ORDENES'!$AF405=TRUE,'ORDENES'!$A405&lt;&gt;""),1,0)</f>
        <v/>
      </c>
      <c r="L409" s="5">
        <f>IF(K409=1,IFERROR(MATCH('ORDENES'!$S405,lista_dias,0),9)*1000000000+IFERROR(MATCH('ORDENES'!$AH405,lista_turnos,0),9)*10000000+IFERROR(MATCH('ORDENES'!$AG405,'TECNICOS'!$B$4:$B$19,0),99)*100000+402,9000000000000+402)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2">
        <f>IF(K409=1,'ORDENES'!$J405,"")</f>
        <v/>
      </c>
    </row>
    <row r="410">
      <c r="K410" s="5">
        <f>IF(AND(IF($B$3="(todos)",TRUE,'ORDENES'!$O406=$B$3),IF($D$3="(todos)",TRUE,'ORDENES'!$AH406=$D$3),IF($F$3="(todos)",TRUE,'ORDENES'!$Z406=$F$3),IF($H$3="(todos)",TRUE,'ORDENES'!$Y406=$H$3),'ORDENES'!$AF406=TRUE,'ORDENES'!$A406&lt;&gt;""),1,0)</f>
        <v/>
      </c>
      <c r="L410" s="5">
        <f>IF(K410=1,IFERROR(MATCH('ORDENES'!$S406,lista_dias,0),9)*1000000000+IFERROR(MATCH('ORDENES'!$AH406,lista_turnos,0),9)*10000000+IFERROR(MATCH('ORDENES'!$AG406,'TECNICOS'!$B$4:$B$19,0),99)*100000+403,9000000000000+403)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2">
        <f>IF(K410=1,'ORDENES'!$J406,"")</f>
        <v/>
      </c>
    </row>
    <row r="411">
      <c r="K411" s="5">
        <f>IF(AND(IF($B$3="(todos)",TRUE,'ORDENES'!$O407=$B$3),IF($D$3="(todos)",TRUE,'ORDENES'!$AH407=$D$3),IF($F$3="(todos)",TRUE,'ORDENES'!$Z407=$F$3),IF($H$3="(todos)",TRUE,'ORDENES'!$Y407=$H$3),'ORDENES'!$AF407=TRUE,'ORDENES'!$A407&lt;&gt;""),1,0)</f>
        <v/>
      </c>
      <c r="L411" s="5">
        <f>IF(K411=1,IFERROR(MATCH('ORDENES'!$S407,lista_dias,0),9)*1000000000+IFERROR(MATCH('ORDENES'!$AH407,lista_turnos,0),9)*10000000+IFERROR(MATCH('ORDENES'!$AG407,'TECNICOS'!$B$4:$B$19,0),99)*100000+404,9000000000000+404)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2">
        <f>IF(K411=1,'ORDENES'!$J407,"")</f>
        <v/>
      </c>
    </row>
    <row r="412">
      <c r="K412" s="5">
        <f>IF(AND(IF($B$3="(todos)",TRUE,'ORDENES'!$O408=$B$3),IF($D$3="(todos)",TRUE,'ORDENES'!$AH408=$D$3),IF($F$3="(todos)",TRUE,'ORDENES'!$Z408=$F$3),IF($H$3="(todos)",TRUE,'ORDENES'!$Y408=$H$3),'ORDENES'!$AF408=TRUE,'ORDENES'!$A408&lt;&gt;""),1,0)</f>
        <v/>
      </c>
      <c r="L412" s="5">
        <f>IF(K412=1,IFERROR(MATCH('ORDENES'!$S408,lista_dias,0),9)*1000000000+IFERROR(MATCH('ORDENES'!$AH408,lista_turnos,0),9)*10000000+IFERROR(MATCH('ORDENES'!$AG408,'TECNICOS'!$B$4:$B$19,0),99)*100000+405,9000000000000+405)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2">
        <f>IF(K412=1,'ORDENES'!$J408,"")</f>
        <v/>
      </c>
    </row>
    <row r="413">
      <c r="K413" s="5">
        <f>IF(AND(IF($B$3="(todos)",TRUE,'ORDENES'!$O409=$B$3),IF($D$3="(todos)",TRUE,'ORDENES'!$AH409=$D$3),IF($F$3="(todos)",TRUE,'ORDENES'!$Z409=$F$3),IF($H$3="(todos)",TRUE,'ORDENES'!$Y409=$H$3),'ORDENES'!$AF409=TRUE,'ORDENES'!$A409&lt;&gt;""),1,0)</f>
        <v/>
      </c>
      <c r="L413" s="5">
        <f>IF(K413=1,IFERROR(MATCH('ORDENES'!$S409,lista_dias,0),9)*1000000000+IFERROR(MATCH('ORDENES'!$AH409,lista_turnos,0),9)*10000000+IFERROR(MATCH('ORDENES'!$AG409,'TECNICOS'!$B$4:$B$19,0),99)*100000+406,9000000000000+406)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2">
        <f>IF(K413=1,'ORDENES'!$J409,"")</f>
        <v/>
      </c>
    </row>
    <row r="414">
      <c r="K414" s="5">
        <f>IF(AND(IF($B$3="(todos)",TRUE,'ORDENES'!$O410=$B$3),IF($D$3="(todos)",TRUE,'ORDENES'!$AH410=$D$3),IF($F$3="(todos)",TRUE,'ORDENES'!$Z410=$F$3),IF($H$3="(todos)",TRUE,'ORDENES'!$Y410=$H$3),'ORDENES'!$AF410=TRUE,'ORDENES'!$A410&lt;&gt;""),1,0)</f>
        <v/>
      </c>
      <c r="L414" s="5">
        <f>IF(K414=1,IFERROR(MATCH('ORDENES'!$S410,lista_dias,0),9)*1000000000+IFERROR(MATCH('ORDENES'!$AH410,lista_turnos,0),9)*10000000+IFERROR(MATCH('ORDENES'!$AG410,'TECNICOS'!$B$4:$B$19,0),99)*100000+407,9000000000000+407)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2">
        <f>IF(K414=1,'ORDENES'!$J410,"")</f>
        <v/>
      </c>
    </row>
    <row r="415">
      <c r="K415" s="5">
        <f>IF(AND(IF($B$3="(todos)",TRUE,'ORDENES'!$O411=$B$3),IF($D$3="(todos)",TRUE,'ORDENES'!$AH411=$D$3),IF($F$3="(todos)",TRUE,'ORDENES'!$Z411=$F$3),IF($H$3="(todos)",TRUE,'ORDENES'!$Y411=$H$3),'ORDENES'!$AF411=TRUE,'ORDENES'!$A411&lt;&gt;""),1,0)</f>
        <v/>
      </c>
      <c r="L415" s="5">
        <f>IF(K415=1,IFERROR(MATCH('ORDENES'!$S411,lista_dias,0),9)*1000000000+IFERROR(MATCH('ORDENES'!$AH411,lista_turnos,0),9)*10000000+IFERROR(MATCH('ORDENES'!$AG411,'TECNICOS'!$B$4:$B$19,0),99)*100000+408,9000000000000+408)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2">
        <f>IF(K415=1,'ORDENES'!$J411,"")</f>
        <v/>
      </c>
    </row>
    <row r="416">
      <c r="K416" s="5">
        <f>IF(AND(IF($B$3="(todos)",TRUE,'ORDENES'!$O412=$B$3),IF($D$3="(todos)",TRUE,'ORDENES'!$AH412=$D$3),IF($F$3="(todos)",TRUE,'ORDENES'!$Z412=$F$3),IF($H$3="(todos)",TRUE,'ORDENES'!$Y412=$H$3),'ORDENES'!$AF412=TRUE,'ORDENES'!$A412&lt;&gt;""),1,0)</f>
        <v/>
      </c>
      <c r="L416" s="5">
        <f>IF(K416=1,IFERROR(MATCH('ORDENES'!$S412,lista_dias,0),9)*1000000000+IFERROR(MATCH('ORDENES'!$AH412,lista_turnos,0),9)*10000000+IFERROR(MATCH('ORDENES'!$AG412,'TECNICOS'!$B$4:$B$19,0),99)*100000+409,9000000000000+409)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2">
        <f>IF(K416=1,'ORDENES'!$J412,"")</f>
        <v/>
      </c>
    </row>
    <row r="417">
      <c r="K417" s="5">
        <f>IF(AND(IF($B$3="(todos)",TRUE,'ORDENES'!$O413=$B$3),IF($D$3="(todos)",TRUE,'ORDENES'!$AH413=$D$3),IF($F$3="(todos)",TRUE,'ORDENES'!$Z413=$F$3),IF($H$3="(todos)",TRUE,'ORDENES'!$Y413=$H$3),'ORDENES'!$AF413=TRUE,'ORDENES'!$A413&lt;&gt;""),1,0)</f>
        <v/>
      </c>
      <c r="L417" s="5">
        <f>IF(K417=1,IFERROR(MATCH('ORDENES'!$S413,lista_dias,0),9)*1000000000+IFERROR(MATCH('ORDENES'!$AH413,lista_turnos,0),9)*10000000+IFERROR(MATCH('ORDENES'!$AG413,'TECNICOS'!$B$4:$B$19,0),99)*100000+410,9000000000000+410)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2">
        <f>IF(K417=1,'ORDENES'!$J413,"")</f>
        <v/>
      </c>
    </row>
    <row r="418">
      <c r="K418" s="5">
        <f>IF(AND(IF($B$3="(todos)",TRUE,'ORDENES'!$O414=$B$3),IF($D$3="(todos)",TRUE,'ORDENES'!$AH414=$D$3),IF($F$3="(todos)",TRUE,'ORDENES'!$Z414=$F$3),IF($H$3="(todos)",TRUE,'ORDENES'!$Y414=$H$3),'ORDENES'!$AF414=TRUE,'ORDENES'!$A414&lt;&gt;""),1,0)</f>
        <v/>
      </c>
      <c r="L418" s="5">
        <f>IF(K418=1,IFERROR(MATCH('ORDENES'!$S414,lista_dias,0),9)*1000000000+IFERROR(MATCH('ORDENES'!$AH414,lista_turnos,0),9)*10000000+IFERROR(MATCH('ORDENES'!$AG414,'TECNICOS'!$B$4:$B$19,0),99)*100000+411,9000000000000+411)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2">
        <f>IF(K418=1,'ORDENES'!$J414,"")</f>
        <v/>
      </c>
    </row>
    <row r="419">
      <c r="K419" s="5">
        <f>IF(AND(IF($B$3="(todos)",TRUE,'ORDENES'!$O415=$B$3),IF($D$3="(todos)",TRUE,'ORDENES'!$AH415=$D$3),IF($F$3="(todos)",TRUE,'ORDENES'!$Z415=$F$3),IF($H$3="(todos)",TRUE,'ORDENES'!$Y415=$H$3),'ORDENES'!$AF415=TRUE,'ORDENES'!$A415&lt;&gt;""),1,0)</f>
        <v/>
      </c>
      <c r="L419" s="5">
        <f>IF(K419=1,IFERROR(MATCH('ORDENES'!$S415,lista_dias,0),9)*1000000000+IFERROR(MATCH('ORDENES'!$AH415,lista_turnos,0),9)*10000000+IFERROR(MATCH('ORDENES'!$AG415,'TECNICOS'!$B$4:$B$19,0),99)*100000+412,9000000000000+412)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2">
        <f>IF(K419=1,'ORDENES'!$J415,"")</f>
        <v/>
      </c>
    </row>
    <row r="420">
      <c r="K420" s="5">
        <f>IF(AND(IF($B$3="(todos)",TRUE,'ORDENES'!$O416=$B$3),IF($D$3="(todos)",TRUE,'ORDENES'!$AH416=$D$3),IF($F$3="(todos)",TRUE,'ORDENES'!$Z416=$F$3),IF($H$3="(todos)",TRUE,'ORDENES'!$Y416=$H$3),'ORDENES'!$AF416=TRUE,'ORDENES'!$A416&lt;&gt;""),1,0)</f>
        <v/>
      </c>
      <c r="L420" s="5">
        <f>IF(K420=1,IFERROR(MATCH('ORDENES'!$S416,lista_dias,0),9)*1000000000+IFERROR(MATCH('ORDENES'!$AH416,lista_turnos,0),9)*10000000+IFERROR(MATCH('ORDENES'!$AG416,'TECNICOS'!$B$4:$B$19,0),99)*100000+413,9000000000000+413)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2">
        <f>IF(K420=1,'ORDENES'!$J416,"")</f>
        <v/>
      </c>
    </row>
    <row r="421">
      <c r="K421" s="5">
        <f>IF(AND(IF($B$3="(todos)",TRUE,'ORDENES'!$O417=$B$3),IF($D$3="(todos)",TRUE,'ORDENES'!$AH417=$D$3),IF($F$3="(todos)",TRUE,'ORDENES'!$Z417=$F$3),IF($H$3="(todos)",TRUE,'ORDENES'!$Y417=$H$3),'ORDENES'!$AF417=TRUE,'ORDENES'!$A417&lt;&gt;""),1,0)</f>
        <v/>
      </c>
      <c r="L421" s="5">
        <f>IF(K421=1,IFERROR(MATCH('ORDENES'!$S417,lista_dias,0),9)*1000000000+IFERROR(MATCH('ORDENES'!$AH417,lista_turnos,0),9)*10000000+IFERROR(MATCH('ORDENES'!$AG417,'TECNICOS'!$B$4:$B$19,0),99)*100000+414,9000000000000+414)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2">
        <f>IF(K421=1,'ORDENES'!$J417,"")</f>
        <v/>
      </c>
    </row>
    <row r="422">
      <c r="K422" s="5">
        <f>IF(AND(IF($B$3="(todos)",TRUE,'ORDENES'!$O418=$B$3),IF($D$3="(todos)",TRUE,'ORDENES'!$AH418=$D$3),IF($F$3="(todos)",TRUE,'ORDENES'!$Z418=$F$3),IF($H$3="(todos)",TRUE,'ORDENES'!$Y418=$H$3),'ORDENES'!$AF418=TRUE,'ORDENES'!$A418&lt;&gt;""),1,0)</f>
        <v/>
      </c>
      <c r="L422" s="5">
        <f>IF(K422=1,IFERROR(MATCH('ORDENES'!$S418,lista_dias,0),9)*1000000000+IFERROR(MATCH('ORDENES'!$AH418,lista_turnos,0),9)*10000000+IFERROR(MATCH('ORDENES'!$AG418,'TECNICOS'!$B$4:$B$19,0),99)*100000+415,9000000000000+415)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2">
        <f>IF(K422=1,'ORDENES'!$J418,"")</f>
        <v/>
      </c>
    </row>
    <row r="423">
      <c r="K423" s="5">
        <f>IF(AND(IF($B$3="(todos)",TRUE,'ORDENES'!$O419=$B$3),IF($D$3="(todos)",TRUE,'ORDENES'!$AH419=$D$3),IF($F$3="(todos)",TRUE,'ORDENES'!$Z419=$F$3),IF($H$3="(todos)",TRUE,'ORDENES'!$Y419=$H$3),'ORDENES'!$AF419=TRUE,'ORDENES'!$A419&lt;&gt;""),1,0)</f>
        <v/>
      </c>
      <c r="L423" s="5">
        <f>IF(K423=1,IFERROR(MATCH('ORDENES'!$S419,lista_dias,0),9)*1000000000+IFERROR(MATCH('ORDENES'!$AH419,lista_turnos,0),9)*10000000+IFERROR(MATCH('ORDENES'!$AG419,'TECNICOS'!$B$4:$B$19,0),99)*100000+416,9000000000000+416)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2">
        <f>IF(K423=1,'ORDENES'!$J419,"")</f>
        <v/>
      </c>
    </row>
    <row r="424">
      <c r="K424" s="5">
        <f>IF(AND(IF($B$3="(todos)",TRUE,'ORDENES'!$O420=$B$3),IF($D$3="(todos)",TRUE,'ORDENES'!$AH420=$D$3),IF($F$3="(todos)",TRUE,'ORDENES'!$Z420=$F$3),IF($H$3="(todos)",TRUE,'ORDENES'!$Y420=$H$3),'ORDENES'!$AF420=TRUE,'ORDENES'!$A420&lt;&gt;""),1,0)</f>
        <v/>
      </c>
      <c r="L424" s="5">
        <f>IF(K424=1,IFERROR(MATCH('ORDENES'!$S420,lista_dias,0),9)*1000000000+IFERROR(MATCH('ORDENES'!$AH420,lista_turnos,0),9)*10000000+IFERROR(MATCH('ORDENES'!$AG420,'TECNICOS'!$B$4:$B$19,0),99)*100000+417,9000000000000+417)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2">
        <f>IF(K424=1,'ORDENES'!$J420,"")</f>
        <v/>
      </c>
    </row>
    <row r="425">
      <c r="K425" s="5">
        <f>IF(AND(IF($B$3="(todos)",TRUE,'ORDENES'!$O421=$B$3),IF($D$3="(todos)",TRUE,'ORDENES'!$AH421=$D$3),IF($F$3="(todos)",TRUE,'ORDENES'!$Z421=$F$3),IF($H$3="(todos)",TRUE,'ORDENES'!$Y421=$H$3),'ORDENES'!$AF421=TRUE,'ORDENES'!$A421&lt;&gt;""),1,0)</f>
        <v/>
      </c>
      <c r="L425" s="5">
        <f>IF(K425=1,IFERROR(MATCH('ORDENES'!$S421,lista_dias,0),9)*1000000000+IFERROR(MATCH('ORDENES'!$AH421,lista_turnos,0),9)*10000000+IFERROR(MATCH('ORDENES'!$AG421,'TECNICOS'!$B$4:$B$19,0),99)*100000+418,9000000000000+418)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2">
        <f>IF(K425=1,'ORDENES'!$J421,"")</f>
        <v/>
      </c>
    </row>
    <row r="426">
      <c r="K426" s="5">
        <f>IF(AND(IF($B$3="(todos)",TRUE,'ORDENES'!$O422=$B$3),IF($D$3="(todos)",TRUE,'ORDENES'!$AH422=$D$3),IF($F$3="(todos)",TRUE,'ORDENES'!$Z422=$F$3),IF($H$3="(todos)",TRUE,'ORDENES'!$Y422=$H$3),'ORDENES'!$AF422=TRUE,'ORDENES'!$A422&lt;&gt;""),1,0)</f>
        <v/>
      </c>
      <c r="L426" s="5">
        <f>IF(K426=1,IFERROR(MATCH('ORDENES'!$S422,lista_dias,0),9)*1000000000+IFERROR(MATCH('ORDENES'!$AH422,lista_turnos,0),9)*10000000+IFERROR(MATCH('ORDENES'!$AG422,'TECNICOS'!$B$4:$B$19,0),99)*100000+419,9000000000000+419)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2">
        <f>IF(K426=1,'ORDENES'!$J422,"")</f>
        <v/>
      </c>
    </row>
    <row r="427">
      <c r="K427" s="5">
        <f>IF(AND(IF($B$3="(todos)",TRUE,'ORDENES'!$O423=$B$3),IF($D$3="(todos)",TRUE,'ORDENES'!$AH423=$D$3),IF($F$3="(todos)",TRUE,'ORDENES'!$Z423=$F$3),IF($H$3="(todos)",TRUE,'ORDENES'!$Y423=$H$3),'ORDENES'!$AF423=TRUE,'ORDENES'!$A423&lt;&gt;""),1,0)</f>
        <v/>
      </c>
      <c r="L427" s="5">
        <f>IF(K427=1,IFERROR(MATCH('ORDENES'!$S423,lista_dias,0),9)*1000000000+IFERROR(MATCH('ORDENES'!$AH423,lista_turnos,0),9)*10000000+IFERROR(MATCH('ORDENES'!$AG423,'TECNICOS'!$B$4:$B$19,0),99)*100000+420,9000000000000+420)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2">
        <f>IF(K427=1,'ORDENES'!$J423,"")</f>
        <v/>
      </c>
    </row>
    <row r="428">
      <c r="K428" s="5">
        <f>IF(AND(IF($B$3="(todos)",TRUE,'ORDENES'!$O424=$B$3),IF($D$3="(todos)",TRUE,'ORDENES'!$AH424=$D$3),IF($F$3="(todos)",TRUE,'ORDENES'!$Z424=$F$3),IF($H$3="(todos)",TRUE,'ORDENES'!$Y424=$H$3),'ORDENES'!$AF424=TRUE,'ORDENES'!$A424&lt;&gt;""),1,0)</f>
        <v/>
      </c>
      <c r="L428" s="5">
        <f>IF(K428=1,IFERROR(MATCH('ORDENES'!$S424,lista_dias,0),9)*1000000000+IFERROR(MATCH('ORDENES'!$AH424,lista_turnos,0),9)*10000000+IFERROR(MATCH('ORDENES'!$AG424,'TECNICOS'!$B$4:$B$19,0),99)*100000+421,9000000000000+421)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2">
        <f>IF(K428=1,'ORDENES'!$J424,"")</f>
        <v/>
      </c>
    </row>
    <row r="429">
      <c r="K429" s="5">
        <f>IF(AND(IF($B$3="(todos)",TRUE,'ORDENES'!$O425=$B$3),IF($D$3="(todos)",TRUE,'ORDENES'!$AH425=$D$3),IF($F$3="(todos)",TRUE,'ORDENES'!$Z425=$F$3),IF($H$3="(todos)",TRUE,'ORDENES'!$Y425=$H$3),'ORDENES'!$AF425=TRUE,'ORDENES'!$A425&lt;&gt;""),1,0)</f>
        <v/>
      </c>
      <c r="L429" s="5">
        <f>IF(K429=1,IFERROR(MATCH('ORDENES'!$S425,lista_dias,0),9)*1000000000+IFERROR(MATCH('ORDENES'!$AH425,lista_turnos,0),9)*10000000+IFERROR(MATCH('ORDENES'!$AG425,'TECNICOS'!$B$4:$B$19,0),99)*100000+422,9000000000000+422)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2">
        <f>IF(K429=1,'ORDENES'!$J425,"")</f>
        <v/>
      </c>
    </row>
    <row r="430">
      <c r="K430" s="5">
        <f>IF(AND(IF($B$3="(todos)",TRUE,'ORDENES'!$O426=$B$3),IF($D$3="(todos)",TRUE,'ORDENES'!$AH426=$D$3),IF($F$3="(todos)",TRUE,'ORDENES'!$Z426=$F$3),IF($H$3="(todos)",TRUE,'ORDENES'!$Y426=$H$3),'ORDENES'!$AF426=TRUE,'ORDENES'!$A426&lt;&gt;""),1,0)</f>
        <v/>
      </c>
      <c r="L430" s="5">
        <f>IF(K430=1,IFERROR(MATCH('ORDENES'!$S426,lista_dias,0),9)*1000000000+IFERROR(MATCH('ORDENES'!$AH426,lista_turnos,0),9)*10000000+IFERROR(MATCH('ORDENES'!$AG426,'TECNICOS'!$B$4:$B$19,0),99)*100000+423,9000000000000+423)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2">
        <f>IF(K430=1,'ORDENES'!$J426,"")</f>
        <v/>
      </c>
    </row>
    <row r="431">
      <c r="K431" s="5">
        <f>IF(AND(IF($B$3="(todos)",TRUE,'ORDENES'!$O427=$B$3),IF($D$3="(todos)",TRUE,'ORDENES'!$AH427=$D$3),IF($F$3="(todos)",TRUE,'ORDENES'!$Z427=$F$3),IF($H$3="(todos)",TRUE,'ORDENES'!$Y427=$H$3),'ORDENES'!$AF427=TRUE,'ORDENES'!$A427&lt;&gt;""),1,0)</f>
        <v/>
      </c>
      <c r="L431" s="5">
        <f>IF(K431=1,IFERROR(MATCH('ORDENES'!$S427,lista_dias,0),9)*1000000000+IFERROR(MATCH('ORDENES'!$AH427,lista_turnos,0),9)*10000000+IFERROR(MATCH('ORDENES'!$AG427,'TECNICOS'!$B$4:$B$19,0),99)*100000+424,9000000000000+424)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2">
        <f>IF(K431=1,'ORDENES'!$J427,"")</f>
        <v/>
      </c>
    </row>
    <row r="432">
      <c r="K432" s="5">
        <f>IF(AND(IF($B$3="(todos)",TRUE,'ORDENES'!$O428=$B$3),IF($D$3="(todos)",TRUE,'ORDENES'!$AH428=$D$3),IF($F$3="(todos)",TRUE,'ORDENES'!$Z428=$F$3),IF($H$3="(todos)",TRUE,'ORDENES'!$Y428=$H$3),'ORDENES'!$AF428=TRUE,'ORDENES'!$A428&lt;&gt;""),1,0)</f>
        <v/>
      </c>
      <c r="L432" s="5">
        <f>IF(K432=1,IFERROR(MATCH('ORDENES'!$S428,lista_dias,0),9)*1000000000+IFERROR(MATCH('ORDENES'!$AH428,lista_turnos,0),9)*10000000+IFERROR(MATCH('ORDENES'!$AG428,'TECNICOS'!$B$4:$B$19,0),99)*100000+425,9000000000000+425)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2">
        <f>IF(K432=1,'ORDENES'!$J428,"")</f>
        <v/>
      </c>
    </row>
    <row r="433">
      <c r="K433" s="5">
        <f>IF(AND(IF($B$3="(todos)",TRUE,'ORDENES'!$O429=$B$3),IF($D$3="(todos)",TRUE,'ORDENES'!$AH429=$D$3),IF($F$3="(todos)",TRUE,'ORDENES'!$Z429=$F$3),IF($H$3="(todos)",TRUE,'ORDENES'!$Y429=$H$3),'ORDENES'!$AF429=TRUE,'ORDENES'!$A429&lt;&gt;""),1,0)</f>
        <v/>
      </c>
      <c r="L433" s="5">
        <f>IF(K433=1,IFERROR(MATCH('ORDENES'!$S429,lista_dias,0),9)*1000000000+IFERROR(MATCH('ORDENES'!$AH429,lista_turnos,0),9)*10000000+IFERROR(MATCH('ORDENES'!$AG429,'TECNICOS'!$B$4:$B$19,0),99)*100000+426,9000000000000+426)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2">
        <f>IF(K433=1,'ORDENES'!$J429,"")</f>
        <v/>
      </c>
    </row>
    <row r="434">
      <c r="K434" s="5">
        <f>IF(AND(IF($B$3="(todos)",TRUE,'ORDENES'!$O430=$B$3),IF($D$3="(todos)",TRUE,'ORDENES'!$AH430=$D$3),IF($F$3="(todos)",TRUE,'ORDENES'!$Z430=$F$3),IF($H$3="(todos)",TRUE,'ORDENES'!$Y430=$H$3),'ORDENES'!$AF430=TRUE,'ORDENES'!$A430&lt;&gt;""),1,0)</f>
        <v/>
      </c>
      <c r="L434" s="5">
        <f>IF(K434=1,IFERROR(MATCH('ORDENES'!$S430,lista_dias,0),9)*1000000000+IFERROR(MATCH('ORDENES'!$AH430,lista_turnos,0),9)*10000000+IFERROR(MATCH('ORDENES'!$AG430,'TECNICOS'!$B$4:$B$19,0),99)*100000+427,9000000000000+427)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2">
        <f>IF(K434=1,'ORDENES'!$J430,"")</f>
        <v/>
      </c>
    </row>
    <row r="435">
      <c r="K435" s="5">
        <f>IF(AND(IF($B$3="(todos)",TRUE,'ORDENES'!$O431=$B$3),IF($D$3="(todos)",TRUE,'ORDENES'!$AH431=$D$3),IF($F$3="(todos)",TRUE,'ORDENES'!$Z431=$F$3),IF($H$3="(todos)",TRUE,'ORDENES'!$Y431=$H$3),'ORDENES'!$AF431=TRUE,'ORDENES'!$A431&lt;&gt;""),1,0)</f>
        <v/>
      </c>
      <c r="L435" s="5">
        <f>IF(K435=1,IFERROR(MATCH('ORDENES'!$S431,lista_dias,0),9)*1000000000+IFERROR(MATCH('ORDENES'!$AH431,lista_turnos,0),9)*10000000+IFERROR(MATCH('ORDENES'!$AG431,'TECNICOS'!$B$4:$B$19,0),99)*100000+428,9000000000000+428)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2">
        <f>IF(K435=1,'ORDENES'!$J431,"")</f>
        <v/>
      </c>
    </row>
    <row r="436">
      <c r="K436" s="5">
        <f>IF(AND(IF($B$3="(todos)",TRUE,'ORDENES'!$O432=$B$3),IF($D$3="(todos)",TRUE,'ORDENES'!$AH432=$D$3),IF($F$3="(todos)",TRUE,'ORDENES'!$Z432=$F$3),IF($H$3="(todos)",TRUE,'ORDENES'!$Y432=$H$3),'ORDENES'!$AF432=TRUE,'ORDENES'!$A432&lt;&gt;""),1,0)</f>
        <v/>
      </c>
      <c r="L436" s="5">
        <f>IF(K436=1,IFERROR(MATCH('ORDENES'!$S432,lista_dias,0),9)*1000000000+IFERROR(MATCH('ORDENES'!$AH432,lista_turnos,0),9)*10000000+IFERROR(MATCH('ORDENES'!$AG432,'TECNICOS'!$B$4:$B$19,0),99)*100000+429,9000000000000+429)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2">
        <f>IF(K436=1,'ORDENES'!$J432,"")</f>
        <v/>
      </c>
    </row>
    <row r="437">
      <c r="K437" s="5">
        <f>IF(AND(IF($B$3="(todos)",TRUE,'ORDENES'!$O433=$B$3),IF($D$3="(todos)",TRUE,'ORDENES'!$AH433=$D$3),IF($F$3="(todos)",TRUE,'ORDENES'!$Z433=$F$3),IF($H$3="(todos)",TRUE,'ORDENES'!$Y433=$H$3),'ORDENES'!$AF433=TRUE,'ORDENES'!$A433&lt;&gt;""),1,0)</f>
        <v/>
      </c>
      <c r="L437" s="5">
        <f>IF(K437=1,IFERROR(MATCH('ORDENES'!$S433,lista_dias,0),9)*1000000000+IFERROR(MATCH('ORDENES'!$AH433,lista_turnos,0),9)*10000000+IFERROR(MATCH('ORDENES'!$AG433,'TECNICOS'!$B$4:$B$19,0),99)*100000+430,9000000000000+430)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2">
        <f>IF(K437=1,'ORDENES'!$J433,"")</f>
        <v/>
      </c>
    </row>
    <row r="438">
      <c r="K438" s="5">
        <f>IF(AND(IF($B$3="(todos)",TRUE,'ORDENES'!$O434=$B$3),IF($D$3="(todos)",TRUE,'ORDENES'!$AH434=$D$3),IF($F$3="(todos)",TRUE,'ORDENES'!$Z434=$F$3),IF($H$3="(todos)",TRUE,'ORDENES'!$Y434=$H$3),'ORDENES'!$AF434=TRUE,'ORDENES'!$A434&lt;&gt;""),1,0)</f>
        <v/>
      </c>
      <c r="L438" s="5">
        <f>IF(K438=1,IFERROR(MATCH('ORDENES'!$S434,lista_dias,0),9)*1000000000+IFERROR(MATCH('ORDENES'!$AH434,lista_turnos,0),9)*10000000+IFERROR(MATCH('ORDENES'!$AG434,'TECNICOS'!$B$4:$B$19,0),99)*100000+431,9000000000000+431)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2">
        <f>IF(K438=1,'ORDENES'!$J434,"")</f>
        <v/>
      </c>
    </row>
    <row r="439">
      <c r="K439" s="5">
        <f>IF(AND(IF($B$3="(todos)",TRUE,'ORDENES'!$O435=$B$3),IF($D$3="(todos)",TRUE,'ORDENES'!$AH435=$D$3),IF($F$3="(todos)",TRUE,'ORDENES'!$Z435=$F$3),IF($H$3="(todos)",TRUE,'ORDENES'!$Y435=$H$3),'ORDENES'!$AF435=TRUE,'ORDENES'!$A435&lt;&gt;""),1,0)</f>
        <v/>
      </c>
      <c r="L439" s="5">
        <f>IF(K439=1,IFERROR(MATCH('ORDENES'!$S435,lista_dias,0),9)*1000000000+IFERROR(MATCH('ORDENES'!$AH435,lista_turnos,0),9)*10000000+IFERROR(MATCH('ORDENES'!$AG435,'TECNICOS'!$B$4:$B$19,0),99)*100000+432,9000000000000+432)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2">
        <f>IF(K439=1,'ORDENES'!$J435,"")</f>
        <v/>
      </c>
    </row>
    <row r="440">
      <c r="K440" s="5">
        <f>IF(AND(IF($B$3="(todos)",TRUE,'ORDENES'!$O436=$B$3),IF($D$3="(todos)",TRUE,'ORDENES'!$AH436=$D$3),IF($F$3="(todos)",TRUE,'ORDENES'!$Z436=$F$3),IF($H$3="(todos)",TRUE,'ORDENES'!$Y436=$H$3),'ORDENES'!$AF436=TRUE,'ORDENES'!$A436&lt;&gt;""),1,0)</f>
        <v/>
      </c>
      <c r="L440" s="5">
        <f>IF(K440=1,IFERROR(MATCH('ORDENES'!$S436,lista_dias,0),9)*1000000000+IFERROR(MATCH('ORDENES'!$AH436,lista_turnos,0),9)*10000000+IFERROR(MATCH('ORDENES'!$AG436,'TECNICOS'!$B$4:$B$19,0),99)*100000+433,9000000000000+433)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2">
        <f>IF(K440=1,'ORDENES'!$J436,"")</f>
        <v/>
      </c>
    </row>
    <row r="441">
      <c r="K441" s="5">
        <f>IF(AND(IF($B$3="(todos)",TRUE,'ORDENES'!$O437=$B$3),IF($D$3="(todos)",TRUE,'ORDENES'!$AH437=$D$3),IF($F$3="(todos)",TRUE,'ORDENES'!$Z437=$F$3),IF($H$3="(todos)",TRUE,'ORDENES'!$Y437=$H$3),'ORDENES'!$AF437=TRUE,'ORDENES'!$A437&lt;&gt;""),1,0)</f>
        <v/>
      </c>
      <c r="L441" s="5">
        <f>IF(K441=1,IFERROR(MATCH('ORDENES'!$S437,lista_dias,0),9)*1000000000+IFERROR(MATCH('ORDENES'!$AH437,lista_turnos,0),9)*10000000+IFERROR(MATCH('ORDENES'!$AG437,'TECNICOS'!$B$4:$B$19,0),99)*100000+434,9000000000000+434)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2">
        <f>IF(K441=1,'ORDENES'!$J437,"")</f>
        <v/>
      </c>
    </row>
    <row r="442">
      <c r="K442" s="5">
        <f>IF(AND(IF($B$3="(todos)",TRUE,'ORDENES'!$O438=$B$3),IF($D$3="(todos)",TRUE,'ORDENES'!$AH438=$D$3),IF($F$3="(todos)",TRUE,'ORDENES'!$Z438=$F$3),IF($H$3="(todos)",TRUE,'ORDENES'!$Y438=$H$3),'ORDENES'!$AF438=TRUE,'ORDENES'!$A438&lt;&gt;""),1,0)</f>
        <v/>
      </c>
      <c r="L442" s="5">
        <f>IF(K442=1,IFERROR(MATCH('ORDENES'!$S438,lista_dias,0),9)*1000000000+IFERROR(MATCH('ORDENES'!$AH438,lista_turnos,0),9)*10000000+IFERROR(MATCH('ORDENES'!$AG438,'TECNICOS'!$B$4:$B$19,0),99)*100000+435,9000000000000+435)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2">
        <f>IF(K442=1,'ORDENES'!$J438,"")</f>
        <v/>
      </c>
    </row>
    <row r="443">
      <c r="K443" s="5">
        <f>IF(AND(IF($B$3="(todos)",TRUE,'ORDENES'!$O439=$B$3),IF($D$3="(todos)",TRUE,'ORDENES'!$AH439=$D$3),IF($F$3="(todos)",TRUE,'ORDENES'!$Z439=$F$3),IF($H$3="(todos)",TRUE,'ORDENES'!$Y439=$H$3),'ORDENES'!$AF439=TRUE,'ORDENES'!$A439&lt;&gt;""),1,0)</f>
        <v/>
      </c>
      <c r="L443" s="5">
        <f>IF(K443=1,IFERROR(MATCH('ORDENES'!$S439,lista_dias,0),9)*1000000000+IFERROR(MATCH('ORDENES'!$AH439,lista_turnos,0),9)*10000000+IFERROR(MATCH('ORDENES'!$AG439,'TECNICOS'!$B$4:$B$19,0),99)*100000+436,9000000000000+436)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2">
        <f>IF(K443=1,'ORDENES'!$J439,"")</f>
        <v/>
      </c>
    </row>
    <row r="444">
      <c r="K444" s="5">
        <f>IF(AND(IF($B$3="(todos)",TRUE,'ORDENES'!$O440=$B$3),IF($D$3="(todos)",TRUE,'ORDENES'!$AH440=$D$3),IF($F$3="(todos)",TRUE,'ORDENES'!$Z440=$F$3),IF($H$3="(todos)",TRUE,'ORDENES'!$Y440=$H$3),'ORDENES'!$AF440=TRUE,'ORDENES'!$A440&lt;&gt;""),1,0)</f>
        <v/>
      </c>
      <c r="L444" s="5">
        <f>IF(K444=1,IFERROR(MATCH('ORDENES'!$S440,lista_dias,0),9)*1000000000+IFERROR(MATCH('ORDENES'!$AH440,lista_turnos,0),9)*10000000+IFERROR(MATCH('ORDENES'!$AG440,'TECNICOS'!$B$4:$B$19,0),99)*100000+437,9000000000000+437)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2">
        <f>IF(K444=1,'ORDENES'!$J440,"")</f>
        <v/>
      </c>
    </row>
    <row r="445">
      <c r="K445" s="5">
        <f>IF(AND(IF($B$3="(todos)",TRUE,'ORDENES'!$O441=$B$3),IF($D$3="(todos)",TRUE,'ORDENES'!$AH441=$D$3),IF($F$3="(todos)",TRUE,'ORDENES'!$Z441=$F$3),IF($H$3="(todos)",TRUE,'ORDENES'!$Y441=$H$3),'ORDENES'!$AF441=TRUE,'ORDENES'!$A441&lt;&gt;""),1,0)</f>
        <v/>
      </c>
      <c r="L445" s="5">
        <f>IF(K445=1,IFERROR(MATCH('ORDENES'!$S441,lista_dias,0),9)*1000000000+IFERROR(MATCH('ORDENES'!$AH441,lista_turnos,0),9)*10000000+IFERROR(MATCH('ORDENES'!$AG441,'TECNICOS'!$B$4:$B$19,0),99)*100000+438,9000000000000+438)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2">
        <f>IF(K445=1,'ORDENES'!$J441,"")</f>
        <v/>
      </c>
    </row>
    <row r="446">
      <c r="K446" s="5">
        <f>IF(AND(IF($B$3="(todos)",TRUE,'ORDENES'!$O442=$B$3),IF($D$3="(todos)",TRUE,'ORDENES'!$AH442=$D$3),IF($F$3="(todos)",TRUE,'ORDENES'!$Z442=$F$3),IF($H$3="(todos)",TRUE,'ORDENES'!$Y442=$H$3),'ORDENES'!$AF442=TRUE,'ORDENES'!$A442&lt;&gt;""),1,0)</f>
        <v/>
      </c>
      <c r="L446" s="5">
        <f>IF(K446=1,IFERROR(MATCH('ORDENES'!$S442,lista_dias,0),9)*1000000000+IFERROR(MATCH('ORDENES'!$AH442,lista_turnos,0),9)*10000000+IFERROR(MATCH('ORDENES'!$AG442,'TECNICOS'!$B$4:$B$19,0),99)*100000+439,9000000000000+439)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2">
        <f>IF(K446=1,'ORDENES'!$J442,"")</f>
        <v/>
      </c>
    </row>
    <row r="447">
      <c r="K447" s="5">
        <f>IF(AND(IF($B$3="(todos)",TRUE,'ORDENES'!$O443=$B$3),IF($D$3="(todos)",TRUE,'ORDENES'!$AH443=$D$3),IF($F$3="(todos)",TRUE,'ORDENES'!$Z443=$F$3),IF($H$3="(todos)",TRUE,'ORDENES'!$Y443=$H$3),'ORDENES'!$AF443=TRUE,'ORDENES'!$A443&lt;&gt;""),1,0)</f>
        <v/>
      </c>
      <c r="L447" s="5">
        <f>IF(K447=1,IFERROR(MATCH('ORDENES'!$S443,lista_dias,0),9)*1000000000+IFERROR(MATCH('ORDENES'!$AH443,lista_turnos,0),9)*10000000+IFERROR(MATCH('ORDENES'!$AG443,'TECNICOS'!$B$4:$B$19,0),99)*100000+440,9000000000000+440)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2">
        <f>IF(K447=1,'ORDENES'!$J443,"")</f>
        <v/>
      </c>
    </row>
    <row r="448">
      <c r="K448" s="5">
        <f>IF(AND(IF($B$3="(todos)",TRUE,'ORDENES'!$O444=$B$3),IF($D$3="(todos)",TRUE,'ORDENES'!$AH444=$D$3),IF($F$3="(todos)",TRUE,'ORDENES'!$Z444=$F$3),IF($H$3="(todos)",TRUE,'ORDENES'!$Y444=$H$3),'ORDENES'!$AF444=TRUE,'ORDENES'!$A444&lt;&gt;""),1,0)</f>
        <v/>
      </c>
      <c r="L448" s="5">
        <f>IF(K448=1,IFERROR(MATCH('ORDENES'!$S444,lista_dias,0),9)*1000000000+IFERROR(MATCH('ORDENES'!$AH444,lista_turnos,0),9)*10000000+IFERROR(MATCH('ORDENES'!$AG444,'TECNICOS'!$B$4:$B$19,0),99)*100000+441,9000000000000+441)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2">
        <f>IF(K448=1,'ORDENES'!$J444,"")</f>
        <v/>
      </c>
    </row>
    <row r="449">
      <c r="K449" s="5">
        <f>IF(AND(IF($B$3="(todos)",TRUE,'ORDENES'!$O445=$B$3),IF($D$3="(todos)",TRUE,'ORDENES'!$AH445=$D$3),IF($F$3="(todos)",TRUE,'ORDENES'!$Z445=$F$3),IF($H$3="(todos)",TRUE,'ORDENES'!$Y445=$H$3),'ORDENES'!$AF445=TRUE,'ORDENES'!$A445&lt;&gt;""),1,0)</f>
        <v/>
      </c>
      <c r="L449" s="5">
        <f>IF(K449=1,IFERROR(MATCH('ORDENES'!$S445,lista_dias,0),9)*1000000000+IFERROR(MATCH('ORDENES'!$AH445,lista_turnos,0),9)*10000000+IFERROR(MATCH('ORDENES'!$AG445,'TECNICOS'!$B$4:$B$19,0),99)*100000+442,9000000000000+442)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2">
        <f>IF(K449=1,'ORDENES'!$J445,"")</f>
        <v/>
      </c>
    </row>
    <row r="450">
      <c r="K450" s="5">
        <f>IF(AND(IF($B$3="(todos)",TRUE,'ORDENES'!$O446=$B$3),IF($D$3="(todos)",TRUE,'ORDENES'!$AH446=$D$3),IF($F$3="(todos)",TRUE,'ORDENES'!$Z446=$F$3),IF($H$3="(todos)",TRUE,'ORDENES'!$Y446=$H$3),'ORDENES'!$AF446=TRUE,'ORDENES'!$A446&lt;&gt;""),1,0)</f>
        <v/>
      </c>
      <c r="L450" s="5">
        <f>IF(K450=1,IFERROR(MATCH('ORDENES'!$S446,lista_dias,0),9)*1000000000+IFERROR(MATCH('ORDENES'!$AH446,lista_turnos,0),9)*10000000+IFERROR(MATCH('ORDENES'!$AG446,'TECNICOS'!$B$4:$B$19,0),99)*100000+443,9000000000000+443)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2">
        <f>IF(K450=1,'ORDENES'!$J446,"")</f>
        <v/>
      </c>
    </row>
    <row r="451">
      <c r="K451" s="5">
        <f>IF(AND(IF($B$3="(todos)",TRUE,'ORDENES'!$O447=$B$3),IF($D$3="(todos)",TRUE,'ORDENES'!$AH447=$D$3),IF($F$3="(todos)",TRUE,'ORDENES'!$Z447=$F$3),IF($H$3="(todos)",TRUE,'ORDENES'!$Y447=$H$3),'ORDENES'!$AF447=TRUE,'ORDENES'!$A447&lt;&gt;""),1,0)</f>
        <v/>
      </c>
      <c r="L451" s="5">
        <f>IF(K451=1,IFERROR(MATCH('ORDENES'!$S447,lista_dias,0),9)*1000000000+IFERROR(MATCH('ORDENES'!$AH447,lista_turnos,0),9)*10000000+IFERROR(MATCH('ORDENES'!$AG447,'TECNICOS'!$B$4:$B$19,0),99)*100000+444,9000000000000+444)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2">
        <f>IF(K451=1,'ORDENES'!$J447,"")</f>
        <v/>
      </c>
    </row>
    <row r="452">
      <c r="K452" s="5">
        <f>IF(AND(IF($B$3="(todos)",TRUE,'ORDENES'!$O448=$B$3),IF($D$3="(todos)",TRUE,'ORDENES'!$AH448=$D$3),IF($F$3="(todos)",TRUE,'ORDENES'!$Z448=$F$3),IF($H$3="(todos)",TRUE,'ORDENES'!$Y448=$H$3),'ORDENES'!$AF448=TRUE,'ORDENES'!$A448&lt;&gt;""),1,0)</f>
        <v/>
      </c>
      <c r="L452" s="5">
        <f>IF(K452=1,IFERROR(MATCH('ORDENES'!$S448,lista_dias,0),9)*1000000000+IFERROR(MATCH('ORDENES'!$AH448,lista_turnos,0),9)*10000000+IFERROR(MATCH('ORDENES'!$AG448,'TECNICOS'!$B$4:$B$19,0),99)*100000+445,9000000000000+445)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2">
        <f>IF(K452=1,'ORDENES'!$J448,"")</f>
        <v/>
      </c>
    </row>
    <row r="453">
      <c r="K453" s="5">
        <f>IF(AND(IF($B$3="(todos)",TRUE,'ORDENES'!$O449=$B$3),IF($D$3="(todos)",TRUE,'ORDENES'!$AH449=$D$3),IF($F$3="(todos)",TRUE,'ORDENES'!$Z449=$F$3),IF($H$3="(todos)",TRUE,'ORDENES'!$Y449=$H$3),'ORDENES'!$AF449=TRUE,'ORDENES'!$A449&lt;&gt;""),1,0)</f>
        <v/>
      </c>
      <c r="L453" s="5">
        <f>IF(K453=1,IFERROR(MATCH('ORDENES'!$S449,lista_dias,0),9)*1000000000+IFERROR(MATCH('ORDENES'!$AH449,lista_turnos,0),9)*10000000+IFERROR(MATCH('ORDENES'!$AG449,'TECNICOS'!$B$4:$B$19,0),99)*100000+446,9000000000000+446)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2">
        <f>IF(K453=1,'ORDENES'!$J449,"")</f>
        <v/>
      </c>
    </row>
    <row r="454">
      <c r="K454" s="5">
        <f>IF(AND(IF($B$3="(todos)",TRUE,'ORDENES'!$O450=$B$3),IF($D$3="(todos)",TRUE,'ORDENES'!$AH450=$D$3),IF($F$3="(todos)",TRUE,'ORDENES'!$Z450=$F$3),IF($H$3="(todos)",TRUE,'ORDENES'!$Y450=$H$3),'ORDENES'!$AF450=TRUE,'ORDENES'!$A450&lt;&gt;""),1,0)</f>
        <v/>
      </c>
      <c r="L454" s="5">
        <f>IF(K454=1,IFERROR(MATCH('ORDENES'!$S450,lista_dias,0),9)*1000000000+IFERROR(MATCH('ORDENES'!$AH450,lista_turnos,0),9)*10000000+IFERROR(MATCH('ORDENES'!$AG450,'TECNICOS'!$B$4:$B$19,0),99)*100000+447,9000000000000+447)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2">
        <f>IF(K454=1,'ORDENES'!$J450,"")</f>
        <v/>
      </c>
    </row>
    <row r="455">
      <c r="K455" s="5">
        <f>IF(AND(IF($B$3="(todos)",TRUE,'ORDENES'!$O451=$B$3),IF($D$3="(todos)",TRUE,'ORDENES'!$AH451=$D$3),IF($F$3="(todos)",TRUE,'ORDENES'!$Z451=$F$3),IF($H$3="(todos)",TRUE,'ORDENES'!$Y451=$H$3),'ORDENES'!$AF451=TRUE,'ORDENES'!$A451&lt;&gt;""),1,0)</f>
        <v/>
      </c>
      <c r="L455" s="5">
        <f>IF(K455=1,IFERROR(MATCH('ORDENES'!$S451,lista_dias,0),9)*1000000000+IFERROR(MATCH('ORDENES'!$AH451,lista_turnos,0),9)*10000000+IFERROR(MATCH('ORDENES'!$AG451,'TECNICOS'!$B$4:$B$19,0),99)*100000+448,9000000000000+448)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2">
        <f>IF(K455=1,'ORDENES'!$J451,"")</f>
        <v/>
      </c>
    </row>
    <row r="456">
      <c r="K456" s="5">
        <f>IF(AND(IF($B$3="(todos)",TRUE,'ORDENES'!$O452=$B$3),IF($D$3="(todos)",TRUE,'ORDENES'!$AH452=$D$3),IF($F$3="(todos)",TRUE,'ORDENES'!$Z452=$F$3),IF($H$3="(todos)",TRUE,'ORDENES'!$Y452=$H$3),'ORDENES'!$AF452=TRUE,'ORDENES'!$A452&lt;&gt;""),1,0)</f>
        <v/>
      </c>
      <c r="L456" s="5">
        <f>IF(K456=1,IFERROR(MATCH('ORDENES'!$S452,lista_dias,0),9)*1000000000+IFERROR(MATCH('ORDENES'!$AH452,lista_turnos,0),9)*10000000+IFERROR(MATCH('ORDENES'!$AG452,'TECNICOS'!$B$4:$B$19,0),99)*100000+449,9000000000000+449)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2">
        <f>IF(K456=1,'ORDENES'!$J452,"")</f>
        <v/>
      </c>
    </row>
    <row r="457">
      <c r="K457" s="5">
        <f>IF(AND(IF($B$3="(todos)",TRUE,'ORDENES'!$O453=$B$3),IF($D$3="(todos)",TRUE,'ORDENES'!$AH453=$D$3),IF($F$3="(todos)",TRUE,'ORDENES'!$Z453=$F$3),IF($H$3="(todos)",TRUE,'ORDENES'!$Y453=$H$3),'ORDENES'!$AF453=TRUE,'ORDENES'!$A453&lt;&gt;""),1,0)</f>
        <v/>
      </c>
      <c r="L457" s="5">
        <f>IF(K457=1,IFERROR(MATCH('ORDENES'!$S453,lista_dias,0),9)*1000000000+IFERROR(MATCH('ORDENES'!$AH453,lista_turnos,0),9)*10000000+IFERROR(MATCH('ORDENES'!$AG453,'TECNICOS'!$B$4:$B$19,0),99)*100000+450,9000000000000+450)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2">
        <f>IF(K457=1,'ORDENES'!$J453,"")</f>
        <v/>
      </c>
    </row>
    <row r="458">
      <c r="K458" s="5">
        <f>IF(AND(IF($B$3="(todos)",TRUE,'ORDENES'!$O454=$B$3),IF($D$3="(todos)",TRUE,'ORDENES'!$AH454=$D$3),IF($F$3="(todos)",TRUE,'ORDENES'!$Z454=$F$3),IF($H$3="(todos)",TRUE,'ORDENES'!$Y454=$H$3),'ORDENES'!$AF454=TRUE,'ORDENES'!$A454&lt;&gt;""),1,0)</f>
        <v/>
      </c>
      <c r="L458" s="5">
        <f>IF(K458=1,IFERROR(MATCH('ORDENES'!$S454,lista_dias,0),9)*1000000000+IFERROR(MATCH('ORDENES'!$AH454,lista_turnos,0),9)*10000000+IFERROR(MATCH('ORDENES'!$AG454,'TECNICOS'!$B$4:$B$19,0),99)*100000+451,9000000000000+451)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2">
        <f>IF(K458=1,'ORDENES'!$J454,"")</f>
        <v/>
      </c>
    </row>
    <row r="459">
      <c r="K459" s="5">
        <f>IF(AND(IF($B$3="(todos)",TRUE,'ORDENES'!$O455=$B$3),IF($D$3="(todos)",TRUE,'ORDENES'!$AH455=$D$3),IF($F$3="(todos)",TRUE,'ORDENES'!$Z455=$F$3),IF($H$3="(todos)",TRUE,'ORDENES'!$Y455=$H$3),'ORDENES'!$AF455=TRUE,'ORDENES'!$A455&lt;&gt;""),1,0)</f>
        <v/>
      </c>
      <c r="L459" s="5">
        <f>IF(K459=1,IFERROR(MATCH('ORDENES'!$S455,lista_dias,0),9)*1000000000+IFERROR(MATCH('ORDENES'!$AH455,lista_turnos,0),9)*10000000+IFERROR(MATCH('ORDENES'!$AG455,'TECNICOS'!$B$4:$B$19,0),99)*100000+452,9000000000000+452)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2">
        <f>IF(K459=1,'ORDENES'!$J455,"")</f>
        <v/>
      </c>
    </row>
    <row r="460">
      <c r="K460" s="5">
        <f>IF(AND(IF($B$3="(todos)",TRUE,'ORDENES'!$O456=$B$3),IF($D$3="(todos)",TRUE,'ORDENES'!$AH456=$D$3),IF($F$3="(todos)",TRUE,'ORDENES'!$Z456=$F$3),IF($H$3="(todos)",TRUE,'ORDENES'!$Y456=$H$3),'ORDENES'!$AF456=TRUE,'ORDENES'!$A456&lt;&gt;""),1,0)</f>
        <v/>
      </c>
      <c r="L460" s="5">
        <f>IF(K460=1,IFERROR(MATCH('ORDENES'!$S456,lista_dias,0),9)*1000000000+IFERROR(MATCH('ORDENES'!$AH456,lista_turnos,0),9)*10000000+IFERROR(MATCH('ORDENES'!$AG456,'TECNICOS'!$B$4:$B$19,0),99)*100000+453,9000000000000+453)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2">
        <f>IF(K460=1,'ORDENES'!$J456,"")</f>
        <v/>
      </c>
    </row>
    <row r="461">
      <c r="K461" s="5">
        <f>IF(AND(IF($B$3="(todos)",TRUE,'ORDENES'!$O457=$B$3),IF($D$3="(todos)",TRUE,'ORDENES'!$AH457=$D$3),IF($F$3="(todos)",TRUE,'ORDENES'!$Z457=$F$3),IF($H$3="(todos)",TRUE,'ORDENES'!$Y457=$H$3),'ORDENES'!$AF457=TRUE,'ORDENES'!$A457&lt;&gt;""),1,0)</f>
        <v/>
      </c>
      <c r="L461" s="5">
        <f>IF(K461=1,IFERROR(MATCH('ORDENES'!$S457,lista_dias,0),9)*1000000000+IFERROR(MATCH('ORDENES'!$AH457,lista_turnos,0),9)*10000000+IFERROR(MATCH('ORDENES'!$AG457,'TECNICOS'!$B$4:$B$19,0),99)*100000+454,9000000000000+454)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2">
        <f>IF(K461=1,'ORDENES'!$J457,"")</f>
        <v/>
      </c>
    </row>
    <row r="462">
      <c r="K462" s="5">
        <f>IF(AND(IF($B$3="(todos)",TRUE,'ORDENES'!$O458=$B$3),IF($D$3="(todos)",TRUE,'ORDENES'!$AH458=$D$3),IF($F$3="(todos)",TRUE,'ORDENES'!$Z458=$F$3),IF($H$3="(todos)",TRUE,'ORDENES'!$Y458=$H$3),'ORDENES'!$AF458=TRUE,'ORDENES'!$A458&lt;&gt;""),1,0)</f>
        <v/>
      </c>
      <c r="L462" s="5">
        <f>IF(K462=1,IFERROR(MATCH('ORDENES'!$S458,lista_dias,0),9)*1000000000+IFERROR(MATCH('ORDENES'!$AH458,lista_turnos,0),9)*10000000+IFERROR(MATCH('ORDENES'!$AG458,'TECNICOS'!$B$4:$B$19,0),99)*100000+455,9000000000000+455)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2">
        <f>IF(K462=1,'ORDENES'!$J458,"")</f>
        <v/>
      </c>
    </row>
    <row r="463">
      <c r="K463" s="5">
        <f>IF(AND(IF($B$3="(todos)",TRUE,'ORDENES'!$O459=$B$3),IF($D$3="(todos)",TRUE,'ORDENES'!$AH459=$D$3),IF($F$3="(todos)",TRUE,'ORDENES'!$Z459=$F$3),IF($H$3="(todos)",TRUE,'ORDENES'!$Y459=$H$3),'ORDENES'!$AF459=TRUE,'ORDENES'!$A459&lt;&gt;""),1,0)</f>
        <v/>
      </c>
      <c r="L463" s="5">
        <f>IF(K463=1,IFERROR(MATCH('ORDENES'!$S459,lista_dias,0),9)*1000000000+IFERROR(MATCH('ORDENES'!$AH459,lista_turnos,0),9)*10000000+IFERROR(MATCH('ORDENES'!$AG459,'TECNICOS'!$B$4:$B$19,0),99)*100000+456,9000000000000+456)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2">
        <f>IF(K463=1,'ORDENES'!$J459,"")</f>
        <v/>
      </c>
    </row>
    <row r="464">
      <c r="K464" s="5">
        <f>IF(AND(IF($B$3="(todos)",TRUE,'ORDENES'!$O460=$B$3),IF($D$3="(todos)",TRUE,'ORDENES'!$AH460=$D$3),IF($F$3="(todos)",TRUE,'ORDENES'!$Z460=$F$3),IF($H$3="(todos)",TRUE,'ORDENES'!$Y460=$H$3),'ORDENES'!$AF460=TRUE,'ORDENES'!$A460&lt;&gt;""),1,0)</f>
        <v/>
      </c>
      <c r="L464" s="5">
        <f>IF(K464=1,IFERROR(MATCH('ORDENES'!$S460,lista_dias,0),9)*1000000000+IFERROR(MATCH('ORDENES'!$AH460,lista_turnos,0),9)*10000000+IFERROR(MATCH('ORDENES'!$AG460,'TECNICOS'!$B$4:$B$19,0),99)*100000+457,9000000000000+457)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2">
        <f>IF(K464=1,'ORDENES'!$J460,"")</f>
        <v/>
      </c>
    </row>
    <row r="465">
      <c r="K465" s="5">
        <f>IF(AND(IF($B$3="(todos)",TRUE,'ORDENES'!$O461=$B$3),IF($D$3="(todos)",TRUE,'ORDENES'!$AH461=$D$3),IF($F$3="(todos)",TRUE,'ORDENES'!$Z461=$F$3),IF($H$3="(todos)",TRUE,'ORDENES'!$Y461=$H$3),'ORDENES'!$AF461=TRUE,'ORDENES'!$A461&lt;&gt;""),1,0)</f>
        <v/>
      </c>
      <c r="L465" s="5">
        <f>IF(K465=1,IFERROR(MATCH('ORDENES'!$S461,lista_dias,0),9)*1000000000+IFERROR(MATCH('ORDENES'!$AH461,lista_turnos,0),9)*10000000+IFERROR(MATCH('ORDENES'!$AG461,'TECNICOS'!$B$4:$B$19,0),99)*100000+458,9000000000000+458)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2">
        <f>IF(K465=1,'ORDENES'!$J461,"")</f>
        <v/>
      </c>
    </row>
    <row r="466">
      <c r="K466" s="5">
        <f>IF(AND(IF($B$3="(todos)",TRUE,'ORDENES'!$O462=$B$3),IF($D$3="(todos)",TRUE,'ORDENES'!$AH462=$D$3),IF($F$3="(todos)",TRUE,'ORDENES'!$Z462=$F$3),IF($H$3="(todos)",TRUE,'ORDENES'!$Y462=$H$3),'ORDENES'!$AF462=TRUE,'ORDENES'!$A462&lt;&gt;""),1,0)</f>
        <v/>
      </c>
      <c r="L466" s="5">
        <f>IF(K466=1,IFERROR(MATCH('ORDENES'!$S462,lista_dias,0),9)*1000000000+IFERROR(MATCH('ORDENES'!$AH462,lista_turnos,0),9)*10000000+IFERROR(MATCH('ORDENES'!$AG462,'TECNICOS'!$B$4:$B$19,0),99)*100000+459,9000000000000+459)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2">
        <f>IF(K466=1,'ORDENES'!$J462,"")</f>
        <v/>
      </c>
    </row>
    <row r="467">
      <c r="K467" s="5">
        <f>IF(AND(IF($B$3="(todos)",TRUE,'ORDENES'!$O463=$B$3),IF($D$3="(todos)",TRUE,'ORDENES'!$AH463=$D$3),IF($F$3="(todos)",TRUE,'ORDENES'!$Z463=$F$3),IF($H$3="(todos)",TRUE,'ORDENES'!$Y463=$H$3),'ORDENES'!$AF463=TRUE,'ORDENES'!$A463&lt;&gt;""),1,0)</f>
        <v/>
      </c>
      <c r="L467" s="5">
        <f>IF(K467=1,IFERROR(MATCH('ORDENES'!$S463,lista_dias,0),9)*1000000000+IFERROR(MATCH('ORDENES'!$AH463,lista_turnos,0),9)*10000000+IFERROR(MATCH('ORDENES'!$AG463,'TECNICOS'!$B$4:$B$19,0),99)*100000+460,9000000000000+460)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2">
        <f>IF(K467=1,'ORDENES'!$J463,"")</f>
        <v/>
      </c>
    </row>
    <row r="468">
      <c r="K468" s="5">
        <f>IF(AND(IF($B$3="(todos)",TRUE,'ORDENES'!$O464=$B$3),IF($D$3="(todos)",TRUE,'ORDENES'!$AH464=$D$3),IF($F$3="(todos)",TRUE,'ORDENES'!$Z464=$F$3),IF($H$3="(todos)",TRUE,'ORDENES'!$Y464=$H$3),'ORDENES'!$AF464=TRUE,'ORDENES'!$A464&lt;&gt;""),1,0)</f>
        <v/>
      </c>
      <c r="L468" s="5">
        <f>IF(K468=1,IFERROR(MATCH('ORDENES'!$S464,lista_dias,0),9)*1000000000+IFERROR(MATCH('ORDENES'!$AH464,lista_turnos,0),9)*10000000+IFERROR(MATCH('ORDENES'!$AG464,'TECNICOS'!$B$4:$B$19,0),99)*100000+461,9000000000000+461)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2">
        <f>IF(K468=1,'ORDENES'!$J464,"")</f>
        <v/>
      </c>
    </row>
    <row r="469">
      <c r="K469" s="5">
        <f>IF(AND(IF($B$3="(todos)",TRUE,'ORDENES'!$O465=$B$3),IF($D$3="(todos)",TRUE,'ORDENES'!$AH465=$D$3),IF($F$3="(todos)",TRUE,'ORDENES'!$Z465=$F$3),IF($H$3="(todos)",TRUE,'ORDENES'!$Y465=$H$3),'ORDENES'!$AF465=TRUE,'ORDENES'!$A465&lt;&gt;""),1,0)</f>
        <v/>
      </c>
      <c r="L469" s="5">
        <f>IF(K469=1,IFERROR(MATCH('ORDENES'!$S465,lista_dias,0),9)*1000000000+IFERROR(MATCH('ORDENES'!$AH465,lista_turnos,0),9)*10000000+IFERROR(MATCH('ORDENES'!$AG465,'TECNICOS'!$B$4:$B$19,0),99)*100000+462,9000000000000+462)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2">
        <f>IF(K469=1,'ORDENES'!$J465,"")</f>
        <v/>
      </c>
    </row>
    <row r="470">
      <c r="K470" s="5">
        <f>IF(AND(IF($B$3="(todos)",TRUE,'ORDENES'!$O466=$B$3),IF($D$3="(todos)",TRUE,'ORDENES'!$AH466=$D$3),IF($F$3="(todos)",TRUE,'ORDENES'!$Z466=$F$3),IF($H$3="(todos)",TRUE,'ORDENES'!$Y466=$H$3),'ORDENES'!$AF466=TRUE,'ORDENES'!$A466&lt;&gt;""),1,0)</f>
        <v/>
      </c>
      <c r="L470" s="5">
        <f>IF(K470=1,IFERROR(MATCH('ORDENES'!$S466,lista_dias,0),9)*1000000000+IFERROR(MATCH('ORDENES'!$AH466,lista_turnos,0),9)*10000000+IFERROR(MATCH('ORDENES'!$AG466,'TECNICOS'!$B$4:$B$19,0),99)*100000+463,9000000000000+463)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2">
        <f>IF(K470=1,'ORDENES'!$J466,"")</f>
        <v/>
      </c>
    </row>
    <row r="471">
      <c r="K471" s="5">
        <f>IF(AND(IF($B$3="(todos)",TRUE,'ORDENES'!$O467=$B$3),IF($D$3="(todos)",TRUE,'ORDENES'!$AH467=$D$3),IF($F$3="(todos)",TRUE,'ORDENES'!$Z467=$F$3),IF($H$3="(todos)",TRUE,'ORDENES'!$Y467=$H$3),'ORDENES'!$AF467=TRUE,'ORDENES'!$A467&lt;&gt;""),1,0)</f>
        <v/>
      </c>
      <c r="L471" s="5">
        <f>IF(K471=1,IFERROR(MATCH('ORDENES'!$S467,lista_dias,0),9)*1000000000+IFERROR(MATCH('ORDENES'!$AH467,lista_turnos,0),9)*10000000+IFERROR(MATCH('ORDENES'!$AG467,'TECNICOS'!$B$4:$B$19,0),99)*100000+464,9000000000000+464)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2">
        <f>IF(K471=1,'ORDENES'!$J467,"")</f>
        <v/>
      </c>
    </row>
    <row r="472">
      <c r="K472" s="5">
        <f>IF(AND(IF($B$3="(todos)",TRUE,'ORDENES'!$O468=$B$3),IF($D$3="(todos)",TRUE,'ORDENES'!$AH468=$D$3),IF($F$3="(todos)",TRUE,'ORDENES'!$Z468=$F$3),IF($H$3="(todos)",TRUE,'ORDENES'!$Y468=$H$3),'ORDENES'!$AF468=TRUE,'ORDENES'!$A468&lt;&gt;""),1,0)</f>
        <v/>
      </c>
      <c r="L472" s="5">
        <f>IF(K472=1,IFERROR(MATCH('ORDENES'!$S468,lista_dias,0),9)*1000000000+IFERROR(MATCH('ORDENES'!$AH468,lista_turnos,0),9)*10000000+IFERROR(MATCH('ORDENES'!$AG468,'TECNICOS'!$B$4:$B$19,0),99)*100000+465,9000000000000+465)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2">
        <f>IF(K472=1,'ORDENES'!$J468,"")</f>
        <v/>
      </c>
    </row>
    <row r="473">
      <c r="K473" s="5">
        <f>IF(AND(IF($B$3="(todos)",TRUE,'ORDENES'!$O469=$B$3),IF($D$3="(todos)",TRUE,'ORDENES'!$AH469=$D$3),IF($F$3="(todos)",TRUE,'ORDENES'!$Z469=$F$3),IF($H$3="(todos)",TRUE,'ORDENES'!$Y469=$H$3),'ORDENES'!$AF469=TRUE,'ORDENES'!$A469&lt;&gt;""),1,0)</f>
        <v/>
      </c>
      <c r="L473" s="5">
        <f>IF(K473=1,IFERROR(MATCH('ORDENES'!$S469,lista_dias,0),9)*1000000000+IFERROR(MATCH('ORDENES'!$AH469,lista_turnos,0),9)*10000000+IFERROR(MATCH('ORDENES'!$AG469,'TECNICOS'!$B$4:$B$19,0),99)*100000+466,9000000000000+466)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2">
        <f>IF(K473=1,'ORDENES'!$J469,"")</f>
        <v/>
      </c>
    </row>
    <row r="474">
      <c r="K474" s="5">
        <f>IF(AND(IF($B$3="(todos)",TRUE,'ORDENES'!$O470=$B$3),IF($D$3="(todos)",TRUE,'ORDENES'!$AH470=$D$3),IF($F$3="(todos)",TRUE,'ORDENES'!$Z470=$F$3),IF($H$3="(todos)",TRUE,'ORDENES'!$Y470=$H$3),'ORDENES'!$AF470=TRUE,'ORDENES'!$A470&lt;&gt;""),1,0)</f>
        <v/>
      </c>
      <c r="L474" s="5">
        <f>IF(K474=1,IFERROR(MATCH('ORDENES'!$S470,lista_dias,0),9)*1000000000+IFERROR(MATCH('ORDENES'!$AH470,lista_turnos,0),9)*10000000+IFERROR(MATCH('ORDENES'!$AG470,'TECNICOS'!$B$4:$B$19,0),99)*100000+467,9000000000000+467)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2">
        <f>IF(K474=1,'ORDENES'!$J470,"")</f>
        <v/>
      </c>
    </row>
    <row r="475">
      <c r="K475" s="5">
        <f>IF(AND(IF($B$3="(todos)",TRUE,'ORDENES'!$O471=$B$3),IF($D$3="(todos)",TRUE,'ORDENES'!$AH471=$D$3),IF($F$3="(todos)",TRUE,'ORDENES'!$Z471=$F$3),IF($H$3="(todos)",TRUE,'ORDENES'!$Y471=$H$3),'ORDENES'!$AF471=TRUE,'ORDENES'!$A471&lt;&gt;""),1,0)</f>
        <v/>
      </c>
      <c r="L475" s="5">
        <f>IF(K475=1,IFERROR(MATCH('ORDENES'!$S471,lista_dias,0),9)*1000000000+IFERROR(MATCH('ORDENES'!$AH471,lista_turnos,0),9)*10000000+IFERROR(MATCH('ORDENES'!$AG471,'TECNICOS'!$B$4:$B$19,0),99)*100000+468,9000000000000+468)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2">
        <f>IF(K475=1,'ORDENES'!$J471,"")</f>
        <v/>
      </c>
    </row>
    <row r="476">
      <c r="K476" s="5">
        <f>IF(AND(IF($B$3="(todos)",TRUE,'ORDENES'!$O472=$B$3),IF($D$3="(todos)",TRUE,'ORDENES'!$AH472=$D$3),IF($F$3="(todos)",TRUE,'ORDENES'!$Z472=$F$3),IF($H$3="(todos)",TRUE,'ORDENES'!$Y472=$H$3),'ORDENES'!$AF472=TRUE,'ORDENES'!$A472&lt;&gt;""),1,0)</f>
        <v/>
      </c>
      <c r="L476" s="5">
        <f>IF(K476=1,IFERROR(MATCH('ORDENES'!$S472,lista_dias,0),9)*1000000000+IFERROR(MATCH('ORDENES'!$AH472,lista_turnos,0),9)*10000000+IFERROR(MATCH('ORDENES'!$AG472,'TECNICOS'!$B$4:$B$19,0),99)*100000+469,9000000000000+469)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2">
        <f>IF(K476=1,'ORDENES'!$J472,"")</f>
        <v/>
      </c>
    </row>
    <row r="477">
      <c r="K477" s="5">
        <f>IF(AND(IF($B$3="(todos)",TRUE,'ORDENES'!$O473=$B$3),IF($D$3="(todos)",TRUE,'ORDENES'!$AH473=$D$3),IF($F$3="(todos)",TRUE,'ORDENES'!$Z473=$F$3),IF($H$3="(todos)",TRUE,'ORDENES'!$Y473=$H$3),'ORDENES'!$AF473=TRUE,'ORDENES'!$A473&lt;&gt;""),1,0)</f>
        <v/>
      </c>
      <c r="L477" s="5">
        <f>IF(K477=1,IFERROR(MATCH('ORDENES'!$S473,lista_dias,0),9)*1000000000+IFERROR(MATCH('ORDENES'!$AH473,lista_turnos,0),9)*10000000+IFERROR(MATCH('ORDENES'!$AG473,'TECNICOS'!$B$4:$B$19,0),99)*100000+470,9000000000000+470)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2">
        <f>IF(K477=1,'ORDENES'!$J473,"")</f>
        <v/>
      </c>
    </row>
    <row r="478">
      <c r="K478" s="5">
        <f>IF(AND(IF($B$3="(todos)",TRUE,'ORDENES'!$O474=$B$3),IF($D$3="(todos)",TRUE,'ORDENES'!$AH474=$D$3),IF($F$3="(todos)",TRUE,'ORDENES'!$Z474=$F$3),IF($H$3="(todos)",TRUE,'ORDENES'!$Y474=$H$3),'ORDENES'!$AF474=TRUE,'ORDENES'!$A474&lt;&gt;""),1,0)</f>
        <v/>
      </c>
      <c r="L478" s="5">
        <f>IF(K478=1,IFERROR(MATCH('ORDENES'!$S474,lista_dias,0),9)*1000000000+IFERROR(MATCH('ORDENES'!$AH474,lista_turnos,0),9)*10000000+IFERROR(MATCH('ORDENES'!$AG474,'TECNICOS'!$B$4:$B$19,0),99)*100000+471,9000000000000+471)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2">
        <f>IF(K478=1,'ORDENES'!$J474,"")</f>
        <v/>
      </c>
    </row>
    <row r="479">
      <c r="K479" s="5">
        <f>IF(AND(IF($B$3="(todos)",TRUE,'ORDENES'!$O475=$B$3),IF($D$3="(todos)",TRUE,'ORDENES'!$AH475=$D$3),IF($F$3="(todos)",TRUE,'ORDENES'!$Z475=$F$3),IF($H$3="(todos)",TRUE,'ORDENES'!$Y475=$H$3),'ORDENES'!$AF475=TRUE,'ORDENES'!$A475&lt;&gt;""),1,0)</f>
        <v/>
      </c>
      <c r="L479" s="5">
        <f>IF(K479=1,IFERROR(MATCH('ORDENES'!$S475,lista_dias,0),9)*1000000000+IFERROR(MATCH('ORDENES'!$AH475,lista_turnos,0),9)*10000000+IFERROR(MATCH('ORDENES'!$AG475,'TECNICOS'!$B$4:$B$19,0),99)*100000+472,9000000000000+472)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2">
        <f>IF(K479=1,'ORDENES'!$J475,"")</f>
        <v/>
      </c>
    </row>
    <row r="480">
      <c r="K480" s="5">
        <f>IF(AND(IF($B$3="(todos)",TRUE,'ORDENES'!$O476=$B$3),IF($D$3="(todos)",TRUE,'ORDENES'!$AH476=$D$3),IF($F$3="(todos)",TRUE,'ORDENES'!$Z476=$F$3),IF($H$3="(todos)",TRUE,'ORDENES'!$Y476=$H$3),'ORDENES'!$AF476=TRUE,'ORDENES'!$A476&lt;&gt;""),1,0)</f>
        <v/>
      </c>
      <c r="L480" s="5">
        <f>IF(K480=1,IFERROR(MATCH('ORDENES'!$S476,lista_dias,0),9)*1000000000+IFERROR(MATCH('ORDENES'!$AH476,lista_turnos,0),9)*10000000+IFERROR(MATCH('ORDENES'!$AG476,'TECNICOS'!$B$4:$B$19,0),99)*100000+473,9000000000000+473)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2">
        <f>IF(K480=1,'ORDENES'!$J476,"")</f>
        <v/>
      </c>
    </row>
    <row r="481">
      <c r="K481" s="5">
        <f>IF(AND(IF($B$3="(todos)",TRUE,'ORDENES'!$O477=$B$3),IF($D$3="(todos)",TRUE,'ORDENES'!$AH477=$D$3),IF($F$3="(todos)",TRUE,'ORDENES'!$Z477=$F$3),IF($H$3="(todos)",TRUE,'ORDENES'!$Y477=$H$3),'ORDENES'!$AF477=TRUE,'ORDENES'!$A477&lt;&gt;""),1,0)</f>
        <v/>
      </c>
      <c r="L481" s="5">
        <f>IF(K481=1,IFERROR(MATCH('ORDENES'!$S477,lista_dias,0),9)*1000000000+IFERROR(MATCH('ORDENES'!$AH477,lista_turnos,0),9)*10000000+IFERROR(MATCH('ORDENES'!$AG477,'TECNICOS'!$B$4:$B$19,0),99)*100000+474,9000000000000+474)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2">
        <f>IF(K481=1,'ORDENES'!$J477,"")</f>
        <v/>
      </c>
    </row>
    <row r="482">
      <c r="K482" s="5">
        <f>IF(AND(IF($B$3="(todos)",TRUE,'ORDENES'!$O478=$B$3),IF($D$3="(todos)",TRUE,'ORDENES'!$AH478=$D$3),IF($F$3="(todos)",TRUE,'ORDENES'!$Z478=$F$3),IF($H$3="(todos)",TRUE,'ORDENES'!$Y478=$H$3),'ORDENES'!$AF478=TRUE,'ORDENES'!$A478&lt;&gt;""),1,0)</f>
        <v/>
      </c>
      <c r="L482" s="5">
        <f>IF(K482=1,IFERROR(MATCH('ORDENES'!$S478,lista_dias,0),9)*1000000000+IFERROR(MATCH('ORDENES'!$AH478,lista_turnos,0),9)*10000000+IFERROR(MATCH('ORDENES'!$AG478,'TECNICOS'!$B$4:$B$19,0),99)*100000+475,9000000000000+475)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2">
        <f>IF(K482=1,'ORDENES'!$J478,"")</f>
        <v/>
      </c>
    </row>
    <row r="483">
      <c r="K483" s="5">
        <f>IF(AND(IF($B$3="(todos)",TRUE,'ORDENES'!$O479=$B$3),IF($D$3="(todos)",TRUE,'ORDENES'!$AH479=$D$3),IF($F$3="(todos)",TRUE,'ORDENES'!$Z479=$F$3),IF($H$3="(todos)",TRUE,'ORDENES'!$Y479=$H$3),'ORDENES'!$AF479=TRUE,'ORDENES'!$A479&lt;&gt;""),1,0)</f>
        <v/>
      </c>
      <c r="L483" s="5">
        <f>IF(K483=1,IFERROR(MATCH('ORDENES'!$S479,lista_dias,0),9)*1000000000+IFERROR(MATCH('ORDENES'!$AH479,lista_turnos,0),9)*10000000+IFERROR(MATCH('ORDENES'!$AG479,'TECNICOS'!$B$4:$B$19,0),99)*100000+476,9000000000000+476)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2">
        <f>IF(K483=1,'ORDENES'!$J479,"")</f>
        <v/>
      </c>
    </row>
    <row r="484">
      <c r="K484" s="5">
        <f>IF(AND(IF($B$3="(todos)",TRUE,'ORDENES'!$O480=$B$3),IF($D$3="(todos)",TRUE,'ORDENES'!$AH480=$D$3),IF($F$3="(todos)",TRUE,'ORDENES'!$Z480=$F$3),IF($H$3="(todos)",TRUE,'ORDENES'!$Y480=$H$3),'ORDENES'!$AF480=TRUE,'ORDENES'!$A480&lt;&gt;""),1,0)</f>
        <v/>
      </c>
      <c r="L484" s="5">
        <f>IF(K484=1,IFERROR(MATCH('ORDENES'!$S480,lista_dias,0),9)*1000000000+IFERROR(MATCH('ORDENES'!$AH480,lista_turnos,0),9)*10000000+IFERROR(MATCH('ORDENES'!$AG480,'TECNICOS'!$B$4:$B$19,0),99)*100000+477,9000000000000+477)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2">
        <f>IF(K484=1,'ORDENES'!$J480,"")</f>
        <v/>
      </c>
    </row>
    <row r="485">
      <c r="K485" s="5">
        <f>IF(AND(IF($B$3="(todos)",TRUE,'ORDENES'!$O481=$B$3),IF($D$3="(todos)",TRUE,'ORDENES'!$AH481=$D$3),IF($F$3="(todos)",TRUE,'ORDENES'!$Z481=$F$3),IF($H$3="(todos)",TRUE,'ORDENES'!$Y481=$H$3),'ORDENES'!$AF481=TRUE,'ORDENES'!$A481&lt;&gt;""),1,0)</f>
        <v/>
      </c>
      <c r="L485" s="5">
        <f>IF(K485=1,IFERROR(MATCH('ORDENES'!$S481,lista_dias,0),9)*1000000000+IFERROR(MATCH('ORDENES'!$AH481,lista_turnos,0),9)*10000000+IFERROR(MATCH('ORDENES'!$AG481,'TECNICOS'!$B$4:$B$19,0),99)*100000+478,9000000000000+478)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2">
        <f>IF(K485=1,'ORDENES'!$J481,"")</f>
        <v/>
      </c>
    </row>
    <row r="486">
      <c r="K486" s="5">
        <f>IF(AND(IF($B$3="(todos)",TRUE,'ORDENES'!$O482=$B$3),IF($D$3="(todos)",TRUE,'ORDENES'!$AH482=$D$3),IF($F$3="(todos)",TRUE,'ORDENES'!$Z482=$F$3),IF($H$3="(todos)",TRUE,'ORDENES'!$Y482=$H$3),'ORDENES'!$AF482=TRUE,'ORDENES'!$A482&lt;&gt;""),1,0)</f>
        <v/>
      </c>
      <c r="L486" s="5">
        <f>IF(K486=1,IFERROR(MATCH('ORDENES'!$S482,lista_dias,0),9)*1000000000+IFERROR(MATCH('ORDENES'!$AH482,lista_turnos,0),9)*10000000+IFERROR(MATCH('ORDENES'!$AG482,'TECNICOS'!$B$4:$B$19,0),99)*100000+479,9000000000000+479)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2">
        <f>IF(K486=1,'ORDENES'!$J482,"")</f>
        <v/>
      </c>
    </row>
    <row r="487">
      <c r="K487" s="5">
        <f>IF(AND(IF($B$3="(todos)",TRUE,'ORDENES'!$O483=$B$3),IF($D$3="(todos)",TRUE,'ORDENES'!$AH483=$D$3),IF($F$3="(todos)",TRUE,'ORDENES'!$Z483=$F$3),IF($H$3="(todos)",TRUE,'ORDENES'!$Y483=$H$3),'ORDENES'!$AF483=TRUE,'ORDENES'!$A483&lt;&gt;""),1,0)</f>
        <v/>
      </c>
      <c r="L487" s="5">
        <f>IF(K487=1,IFERROR(MATCH('ORDENES'!$S483,lista_dias,0),9)*1000000000+IFERROR(MATCH('ORDENES'!$AH483,lista_turnos,0),9)*10000000+IFERROR(MATCH('ORDENES'!$AG483,'TECNICOS'!$B$4:$B$19,0),99)*100000+480,9000000000000+480)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2">
        <f>IF(K487=1,'ORDENES'!$J483,"")</f>
        <v/>
      </c>
    </row>
    <row r="488">
      <c r="K488" s="5">
        <f>IF(AND(IF($B$3="(todos)",TRUE,'ORDENES'!$O484=$B$3),IF($D$3="(todos)",TRUE,'ORDENES'!$AH484=$D$3),IF($F$3="(todos)",TRUE,'ORDENES'!$Z484=$F$3),IF($H$3="(todos)",TRUE,'ORDENES'!$Y484=$H$3),'ORDENES'!$AF484=TRUE,'ORDENES'!$A484&lt;&gt;""),1,0)</f>
        <v/>
      </c>
      <c r="L488" s="5">
        <f>IF(K488=1,IFERROR(MATCH('ORDENES'!$S484,lista_dias,0),9)*1000000000+IFERROR(MATCH('ORDENES'!$AH484,lista_turnos,0),9)*10000000+IFERROR(MATCH('ORDENES'!$AG484,'TECNICOS'!$B$4:$B$19,0),99)*100000+481,9000000000000+481)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2">
        <f>IF(K488=1,'ORDENES'!$J484,"")</f>
        <v/>
      </c>
    </row>
    <row r="489">
      <c r="K489" s="5">
        <f>IF(AND(IF($B$3="(todos)",TRUE,'ORDENES'!$O485=$B$3),IF($D$3="(todos)",TRUE,'ORDENES'!$AH485=$D$3),IF($F$3="(todos)",TRUE,'ORDENES'!$Z485=$F$3),IF($H$3="(todos)",TRUE,'ORDENES'!$Y485=$H$3),'ORDENES'!$AF485=TRUE,'ORDENES'!$A485&lt;&gt;""),1,0)</f>
        <v/>
      </c>
      <c r="L489" s="5">
        <f>IF(K489=1,IFERROR(MATCH('ORDENES'!$S485,lista_dias,0),9)*1000000000+IFERROR(MATCH('ORDENES'!$AH485,lista_turnos,0),9)*10000000+IFERROR(MATCH('ORDENES'!$AG485,'TECNICOS'!$B$4:$B$19,0),99)*100000+482,9000000000000+482)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2">
        <f>IF(K489=1,'ORDENES'!$J485,"")</f>
        <v/>
      </c>
    </row>
    <row r="490">
      <c r="K490" s="5">
        <f>IF(AND(IF($B$3="(todos)",TRUE,'ORDENES'!$O486=$B$3),IF($D$3="(todos)",TRUE,'ORDENES'!$AH486=$D$3),IF($F$3="(todos)",TRUE,'ORDENES'!$Z486=$F$3),IF($H$3="(todos)",TRUE,'ORDENES'!$Y486=$H$3),'ORDENES'!$AF486=TRUE,'ORDENES'!$A486&lt;&gt;""),1,0)</f>
        <v/>
      </c>
      <c r="L490" s="5">
        <f>IF(K490=1,IFERROR(MATCH('ORDENES'!$S486,lista_dias,0),9)*1000000000+IFERROR(MATCH('ORDENES'!$AH486,lista_turnos,0),9)*10000000+IFERROR(MATCH('ORDENES'!$AG486,'TECNICOS'!$B$4:$B$19,0),99)*100000+483,9000000000000+483)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2">
        <f>IF(K490=1,'ORDENES'!$J486,"")</f>
        <v/>
      </c>
    </row>
    <row r="491">
      <c r="K491" s="5">
        <f>IF(AND(IF($B$3="(todos)",TRUE,'ORDENES'!$O487=$B$3),IF($D$3="(todos)",TRUE,'ORDENES'!$AH487=$D$3),IF($F$3="(todos)",TRUE,'ORDENES'!$Z487=$F$3),IF($H$3="(todos)",TRUE,'ORDENES'!$Y487=$H$3),'ORDENES'!$AF487=TRUE,'ORDENES'!$A487&lt;&gt;""),1,0)</f>
        <v/>
      </c>
      <c r="L491" s="5">
        <f>IF(K491=1,IFERROR(MATCH('ORDENES'!$S487,lista_dias,0),9)*1000000000+IFERROR(MATCH('ORDENES'!$AH487,lista_turnos,0),9)*10000000+IFERROR(MATCH('ORDENES'!$AG487,'TECNICOS'!$B$4:$B$19,0),99)*100000+484,9000000000000+484)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2">
        <f>IF(K491=1,'ORDENES'!$J487,"")</f>
        <v/>
      </c>
    </row>
    <row r="492">
      <c r="K492" s="5">
        <f>IF(AND(IF($B$3="(todos)",TRUE,'ORDENES'!$O488=$B$3),IF($D$3="(todos)",TRUE,'ORDENES'!$AH488=$D$3),IF($F$3="(todos)",TRUE,'ORDENES'!$Z488=$F$3),IF($H$3="(todos)",TRUE,'ORDENES'!$Y488=$H$3),'ORDENES'!$AF488=TRUE,'ORDENES'!$A488&lt;&gt;""),1,0)</f>
        <v/>
      </c>
      <c r="L492" s="5">
        <f>IF(K492=1,IFERROR(MATCH('ORDENES'!$S488,lista_dias,0),9)*1000000000+IFERROR(MATCH('ORDENES'!$AH488,lista_turnos,0),9)*10000000+IFERROR(MATCH('ORDENES'!$AG488,'TECNICOS'!$B$4:$B$19,0),99)*100000+485,9000000000000+485)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2">
        <f>IF(K492=1,'ORDENES'!$J488,"")</f>
        <v/>
      </c>
    </row>
    <row r="493">
      <c r="K493" s="5">
        <f>IF(AND(IF($B$3="(todos)",TRUE,'ORDENES'!$O489=$B$3),IF($D$3="(todos)",TRUE,'ORDENES'!$AH489=$D$3),IF($F$3="(todos)",TRUE,'ORDENES'!$Z489=$F$3),IF($H$3="(todos)",TRUE,'ORDENES'!$Y489=$H$3),'ORDENES'!$AF489=TRUE,'ORDENES'!$A489&lt;&gt;""),1,0)</f>
        <v/>
      </c>
      <c r="L493" s="5">
        <f>IF(K493=1,IFERROR(MATCH('ORDENES'!$S489,lista_dias,0),9)*1000000000+IFERROR(MATCH('ORDENES'!$AH489,lista_turnos,0),9)*10000000+IFERROR(MATCH('ORDENES'!$AG489,'TECNICOS'!$B$4:$B$19,0),99)*100000+486,9000000000000+486)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2">
        <f>IF(K493=1,'ORDENES'!$J489,"")</f>
        <v/>
      </c>
    </row>
    <row r="494">
      <c r="K494" s="5">
        <f>IF(AND(IF($B$3="(todos)",TRUE,'ORDENES'!$O490=$B$3),IF($D$3="(todos)",TRUE,'ORDENES'!$AH490=$D$3),IF($F$3="(todos)",TRUE,'ORDENES'!$Z490=$F$3),IF($H$3="(todos)",TRUE,'ORDENES'!$Y490=$H$3),'ORDENES'!$AF490=TRUE,'ORDENES'!$A490&lt;&gt;""),1,0)</f>
        <v/>
      </c>
      <c r="L494" s="5">
        <f>IF(K494=1,IFERROR(MATCH('ORDENES'!$S490,lista_dias,0),9)*1000000000+IFERROR(MATCH('ORDENES'!$AH490,lista_turnos,0),9)*10000000+IFERROR(MATCH('ORDENES'!$AG490,'TECNICOS'!$B$4:$B$19,0),99)*100000+487,9000000000000+487)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2">
        <f>IF(K494=1,'ORDENES'!$J490,"")</f>
        <v/>
      </c>
    </row>
    <row r="495">
      <c r="K495" s="5">
        <f>IF(AND(IF($B$3="(todos)",TRUE,'ORDENES'!$O491=$B$3),IF($D$3="(todos)",TRUE,'ORDENES'!$AH491=$D$3),IF($F$3="(todos)",TRUE,'ORDENES'!$Z491=$F$3),IF($H$3="(todos)",TRUE,'ORDENES'!$Y491=$H$3),'ORDENES'!$AF491=TRUE,'ORDENES'!$A491&lt;&gt;""),1,0)</f>
        <v/>
      </c>
      <c r="L495" s="5">
        <f>IF(K495=1,IFERROR(MATCH('ORDENES'!$S491,lista_dias,0),9)*1000000000+IFERROR(MATCH('ORDENES'!$AH491,lista_turnos,0),9)*10000000+IFERROR(MATCH('ORDENES'!$AG491,'TECNICOS'!$B$4:$B$19,0),99)*100000+488,9000000000000+488)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2">
        <f>IF(K495=1,'ORDENES'!$J491,"")</f>
        <v/>
      </c>
    </row>
    <row r="496">
      <c r="K496" s="5">
        <f>IF(AND(IF($B$3="(todos)",TRUE,'ORDENES'!$O492=$B$3),IF($D$3="(todos)",TRUE,'ORDENES'!$AH492=$D$3),IF($F$3="(todos)",TRUE,'ORDENES'!$Z492=$F$3),IF($H$3="(todos)",TRUE,'ORDENES'!$Y492=$H$3),'ORDENES'!$AF492=TRUE,'ORDENES'!$A492&lt;&gt;""),1,0)</f>
        <v/>
      </c>
      <c r="L496" s="5">
        <f>IF(K496=1,IFERROR(MATCH('ORDENES'!$S492,lista_dias,0),9)*1000000000+IFERROR(MATCH('ORDENES'!$AH492,lista_turnos,0),9)*10000000+IFERROR(MATCH('ORDENES'!$AG492,'TECNICOS'!$B$4:$B$19,0),99)*100000+489,9000000000000+489)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2">
        <f>IF(K496=1,'ORDENES'!$J492,"")</f>
        <v/>
      </c>
    </row>
    <row r="497">
      <c r="K497" s="5">
        <f>IF(AND(IF($B$3="(todos)",TRUE,'ORDENES'!$O493=$B$3),IF($D$3="(todos)",TRUE,'ORDENES'!$AH493=$D$3),IF($F$3="(todos)",TRUE,'ORDENES'!$Z493=$F$3),IF($H$3="(todos)",TRUE,'ORDENES'!$Y493=$H$3),'ORDENES'!$AF493=TRUE,'ORDENES'!$A493&lt;&gt;""),1,0)</f>
        <v/>
      </c>
      <c r="L497" s="5">
        <f>IF(K497=1,IFERROR(MATCH('ORDENES'!$S493,lista_dias,0),9)*1000000000+IFERROR(MATCH('ORDENES'!$AH493,lista_turnos,0),9)*10000000+IFERROR(MATCH('ORDENES'!$AG493,'TECNICOS'!$B$4:$B$19,0),99)*100000+490,9000000000000+490)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2">
        <f>IF(K497=1,'ORDENES'!$J493,"")</f>
        <v/>
      </c>
    </row>
    <row r="498">
      <c r="K498" s="5">
        <f>IF(AND(IF($B$3="(todos)",TRUE,'ORDENES'!$O494=$B$3),IF($D$3="(todos)",TRUE,'ORDENES'!$AH494=$D$3),IF($F$3="(todos)",TRUE,'ORDENES'!$Z494=$F$3),IF($H$3="(todos)",TRUE,'ORDENES'!$Y494=$H$3),'ORDENES'!$AF494=TRUE,'ORDENES'!$A494&lt;&gt;""),1,0)</f>
        <v/>
      </c>
      <c r="L498" s="5">
        <f>IF(K498=1,IFERROR(MATCH('ORDENES'!$S494,lista_dias,0),9)*1000000000+IFERROR(MATCH('ORDENES'!$AH494,lista_turnos,0),9)*10000000+IFERROR(MATCH('ORDENES'!$AG494,'TECNICOS'!$B$4:$B$19,0),99)*100000+491,9000000000000+491)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2">
        <f>IF(K498=1,'ORDENES'!$J494,"")</f>
        <v/>
      </c>
    </row>
    <row r="499">
      <c r="K499" s="5">
        <f>IF(AND(IF($B$3="(todos)",TRUE,'ORDENES'!$O495=$B$3),IF($D$3="(todos)",TRUE,'ORDENES'!$AH495=$D$3),IF($F$3="(todos)",TRUE,'ORDENES'!$Z495=$F$3),IF($H$3="(todos)",TRUE,'ORDENES'!$Y495=$H$3),'ORDENES'!$AF495=TRUE,'ORDENES'!$A495&lt;&gt;""),1,0)</f>
        <v/>
      </c>
      <c r="L499" s="5">
        <f>IF(K499=1,IFERROR(MATCH('ORDENES'!$S495,lista_dias,0),9)*1000000000+IFERROR(MATCH('ORDENES'!$AH495,lista_turnos,0),9)*10000000+IFERROR(MATCH('ORDENES'!$AG495,'TECNICOS'!$B$4:$B$19,0),99)*100000+492,9000000000000+492)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2">
        <f>IF(K499=1,'ORDENES'!$J495,"")</f>
        <v/>
      </c>
    </row>
    <row r="500">
      <c r="K500" s="5">
        <f>IF(AND(IF($B$3="(todos)",TRUE,'ORDENES'!$O496=$B$3),IF($D$3="(todos)",TRUE,'ORDENES'!$AH496=$D$3),IF($F$3="(todos)",TRUE,'ORDENES'!$Z496=$F$3),IF($H$3="(todos)",TRUE,'ORDENES'!$Y496=$H$3),'ORDENES'!$AF496=TRUE,'ORDENES'!$A496&lt;&gt;""),1,0)</f>
        <v/>
      </c>
      <c r="L500" s="5">
        <f>IF(K500=1,IFERROR(MATCH('ORDENES'!$S496,lista_dias,0),9)*1000000000+IFERROR(MATCH('ORDENES'!$AH496,lista_turnos,0),9)*10000000+IFERROR(MATCH('ORDENES'!$AG496,'TECNICOS'!$B$4:$B$19,0),99)*100000+493,9000000000000+493)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2">
        <f>IF(K500=1,'ORDENES'!$J496,"")</f>
        <v/>
      </c>
    </row>
    <row r="501">
      <c r="K501" s="5">
        <f>IF(AND(IF($B$3="(todos)",TRUE,'ORDENES'!$O497=$B$3),IF($D$3="(todos)",TRUE,'ORDENES'!$AH497=$D$3),IF($F$3="(todos)",TRUE,'ORDENES'!$Z497=$F$3),IF($H$3="(todos)",TRUE,'ORDENES'!$Y497=$H$3),'ORDENES'!$AF497=TRUE,'ORDENES'!$A497&lt;&gt;""),1,0)</f>
        <v/>
      </c>
      <c r="L501" s="5">
        <f>IF(K501=1,IFERROR(MATCH('ORDENES'!$S497,lista_dias,0),9)*1000000000+IFERROR(MATCH('ORDENES'!$AH497,lista_turnos,0),9)*10000000+IFERROR(MATCH('ORDENES'!$AG497,'TECNICOS'!$B$4:$B$19,0),99)*100000+494,9000000000000+494)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2">
        <f>IF(K501=1,'ORDENES'!$J497,"")</f>
        <v/>
      </c>
    </row>
    <row r="502">
      <c r="K502" s="5">
        <f>IF(AND(IF($B$3="(todos)",TRUE,'ORDENES'!$O498=$B$3),IF($D$3="(todos)",TRUE,'ORDENES'!$AH498=$D$3),IF($F$3="(todos)",TRUE,'ORDENES'!$Z498=$F$3),IF($H$3="(todos)",TRUE,'ORDENES'!$Y498=$H$3),'ORDENES'!$AF498=TRUE,'ORDENES'!$A498&lt;&gt;""),1,0)</f>
        <v/>
      </c>
      <c r="L502" s="5">
        <f>IF(K502=1,IFERROR(MATCH('ORDENES'!$S498,lista_dias,0),9)*1000000000+IFERROR(MATCH('ORDENES'!$AH498,lista_turnos,0),9)*10000000+IFERROR(MATCH('ORDENES'!$AG498,'TECNICOS'!$B$4:$B$19,0),99)*100000+495,9000000000000+495)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2">
        <f>IF(K502=1,'ORDENES'!$J498,"")</f>
        <v/>
      </c>
    </row>
    <row r="503">
      <c r="K503" s="5">
        <f>IF(AND(IF($B$3="(todos)",TRUE,'ORDENES'!$O499=$B$3),IF($D$3="(todos)",TRUE,'ORDENES'!$AH499=$D$3),IF($F$3="(todos)",TRUE,'ORDENES'!$Z499=$F$3),IF($H$3="(todos)",TRUE,'ORDENES'!$Y499=$H$3),'ORDENES'!$AF499=TRUE,'ORDENES'!$A499&lt;&gt;""),1,0)</f>
        <v/>
      </c>
      <c r="L503" s="5">
        <f>IF(K503=1,IFERROR(MATCH('ORDENES'!$S499,lista_dias,0),9)*1000000000+IFERROR(MATCH('ORDENES'!$AH499,lista_turnos,0),9)*10000000+IFERROR(MATCH('ORDENES'!$AG499,'TECNICOS'!$B$4:$B$19,0),99)*100000+496,9000000000000+496)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2">
        <f>IF(K503=1,'ORDENES'!$J499,"")</f>
        <v/>
      </c>
    </row>
    <row r="504">
      <c r="K504" s="5">
        <f>IF(AND(IF($B$3="(todos)",TRUE,'ORDENES'!$O500=$B$3),IF($D$3="(todos)",TRUE,'ORDENES'!$AH500=$D$3),IF($F$3="(todos)",TRUE,'ORDENES'!$Z500=$F$3),IF($H$3="(todos)",TRUE,'ORDENES'!$Y500=$H$3),'ORDENES'!$AF500=TRUE,'ORDENES'!$A500&lt;&gt;""),1,0)</f>
        <v/>
      </c>
      <c r="L504" s="5">
        <f>IF(K504=1,IFERROR(MATCH('ORDENES'!$S500,lista_dias,0),9)*1000000000+IFERROR(MATCH('ORDENES'!$AH500,lista_turnos,0),9)*10000000+IFERROR(MATCH('ORDENES'!$AG500,'TECNICOS'!$B$4:$B$19,0),99)*100000+497,9000000000000+497)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2">
        <f>IF(K504=1,'ORDENES'!$J500,"")</f>
        <v/>
      </c>
    </row>
    <row r="505">
      <c r="K505" s="5">
        <f>IF(AND(IF($B$3="(todos)",TRUE,'ORDENES'!$O501=$B$3),IF($D$3="(todos)",TRUE,'ORDENES'!$AH501=$D$3),IF($F$3="(todos)",TRUE,'ORDENES'!$Z501=$F$3),IF($H$3="(todos)",TRUE,'ORDENES'!$Y501=$H$3),'ORDENES'!$AF501=TRUE,'ORDENES'!$A501&lt;&gt;""),1,0)</f>
        <v/>
      </c>
      <c r="L505" s="5">
        <f>IF(K505=1,IFERROR(MATCH('ORDENES'!$S501,lista_dias,0),9)*1000000000+IFERROR(MATCH('ORDENES'!$AH501,lista_turnos,0),9)*10000000+IFERROR(MATCH('ORDENES'!$AG501,'TECNICOS'!$B$4:$B$19,0),99)*100000+498,9000000000000+498)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2">
        <f>IF(K505=1,'ORDENES'!$J501,"")</f>
        <v/>
      </c>
    </row>
    <row r="506">
      <c r="K506" s="5">
        <f>IF(AND(IF($B$3="(todos)",TRUE,'ORDENES'!$O502=$B$3),IF($D$3="(todos)",TRUE,'ORDENES'!$AH502=$D$3),IF($F$3="(todos)",TRUE,'ORDENES'!$Z502=$F$3),IF($H$3="(todos)",TRUE,'ORDENES'!$Y502=$H$3),'ORDENES'!$AF502=TRUE,'ORDENES'!$A502&lt;&gt;""),1,0)</f>
        <v/>
      </c>
      <c r="L506" s="5">
        <f>IF(K506=1,IFERROR(MATCH('ORDENES'!$S502,lista_dias,0),9)*1000000000+IFERROR(MATCH('ORDENES'!$AH502,lista_turnos,0),9)*10000000+IFERROR(MATCH('ORDENES'!$AG502,'TECNICOS'!$B$4:$B$19,0),99)*100000+499,9000000000000+499)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2">
        <f>IF(K506=1,'ORDENES'!$J502,"")</f>
        <v/>
      </c>
    </row>
    <row r="507">
      <c r="K507" s="5">
        <f>IF(AND(IF($B$3="(todos)",TRUE,'ORDENES'!$O503=$B$3),IF($D$3="(todos)",TRUE,'ORDENES'!$AH503=$D$3),IF($F$3="(todos)",TRUE,'ORDENES'!$Z503=$F$3),IF($H$3="(todos)",TRUE,'ORDENES'!$Y503=$H$3),'ORDENES'!$AF503=TRUE,'ORDENES'!$A503&lt;&gt;""),1,0)</f>
        <v/>
      </c>
      <c r="L507" s="5">
        <f>IF(K507=1,IFERROR(MATCH('ORDENES'!$S503,lista_dias,0),9)*1000000000+IFERROR(MATCH('ORDENES'!$AH503,lista_turnos,0),9)*10000000+IFERROR(MATCH('ORDENES'!$AG503,'TECNICOS'!$B$4:$B$19,0),99)*100000+500,9000000000000+500)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2">
        <f>IF(K507=1,'ORDENES'!$J503,"")</f>
        <v/>
      </c>
    </row>
    <row r="508">
      <c r="K508" s="5">
        <f>IF(AND(IF($B$3="(todos)",TRUE,'ORDENES'!$O504=$B$3),IF($D$3="(todos)",TRUE,'ORDENES'!$AH504=$D$3),IF($F$3="(todos)",TRUE,'ORDENES'!$Z504=$F$3),IF($H$3="(todos)",TRUE,'ORDENES'!$Y504=$H$3),'ORDENES'!$AF504=TRUE,'ORDENES'!$A504&lt;&gt;""),1,0)</f>
        <v/>
      </c>
      <c r="L508" s="5">
        <f>IF(K508=1,IFERROR(MATCH('ORDENES'!$S504,lista_dias,0),9)*1000000000+IFERROR(MATCH('ORDENES'!$AH504,lista_turnos,0),9)*10000000+IFERROR(MATCH('ORDENES'!$AG504,'TECNICOS'!$B$4:$B$19,0),99)*100000+501,9000000000000+501)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2">
        <f>IF(K508=1,'ORDENES'!$J504,"")</f>
        <v/>
      </c>
    </row>
    <row r="509">
      <c r="K509" s="5">
        <f>IF(AND(IF($B$3="(todos)",TRUE,'ORDENES'!$O505=$B$3),IF($D$3="(todos)",TRUE,'ORDENES'!$AH505=$D$3),IF($F$3="(todos)",TRUE,'ORDENES'!$Z505=$F$3),IF($H$3="(todos)",TRUE,'ORDENES'!$Y505=$H$3),'ORDENES'!$AF505=TRUE,'ORDENES'!$A505&lt;&gt;""),1,0)</f>
        <v/>
      </c>
      <c r="L509" s="5">
        <f>IF(K509=1,IFERROR(MATCH('ORDENES'!$S505,lista_dias,0),9)*1000000000+IFERROR(MATCH('ORDENES'!$AH505,lista_turnos,0),9)*10000000+IFERROR(MATCH('ORDENES'!$AG505,'TECNICOS'!$B$4:$B$19,0),99)*100000+502,9000000000000+502)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2">
        <f>IF(K509=1,'ORDENES'!$J505,"")</f>
        <v/>
      </c>
    </row>
    <row r="510">
      <c r="K510" s="5">
        <f>IF(AND(IF($B$3="(todos)",TRUE,'ORDENES'!$O506=$B$3),IF($D$3="(todos)",TRUE,'ORDENES'!$AH506=$D$3),IF($F$3="(todos)",TRUE,'ORDENES'!$Z506=$F$3),IF($H$3="(todos)",TRUE,'ORDENES'!$Y506=$H$3),'ORDENES'!$AF506=TRUE,'ORDENES'!$A506&lt;&gt;""),1,0)</f>
        <v/>
      </c>
      <c r="L510" s="5">
        <f>IF(K510=1,IFERROR(MATCH('ORDENES'!$S506,lista_dias,0),9)*1000000000+IFERROR(MATCH('ORDENES'!$AH506,lista_turnos,0),9)*10000000+IFERROR(MATCH('ORDENES'!$AG506,'TECNICOS'!$B$4:$B$19,0),99)*100000+503,9000000000000+503)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2">
        <f>IF(K510=1,'ORDENES'!$J506,"")</f>
        <v/>
      </c>
    </row>
    <row r="511">
      <c r="K511" s="5">
        <f>IF(AND(IF($B$3="(todos)",TRUE,'ORDENES'!$O507=$B$3),IF($D$3="(todos)",TRUE,'ORDENES'!$AH507=$D$3),IF($F$3="(todos)",TRUE,'ORDENES'!$Z507=$F$3),IF($H$3="(todos)",TRUE,'ORDENES'!$Y507=$H$3),'ORDENES'!$AF507=TRUE,'ORDENES'!$A507&lt;&gt;""),1,0)</f>
        <v/>
      </c>
      <c r="L511" s="5">
        <f>IF(K511=1,IFERROR(MATCH('ORDENES'!$S507,lista_dias,0),9)*1000000000+IFERROR(MATCH('ORDENES'!$AH507,lista_turnos,0),9)*10000000+IFERROR(MATCH('ORDENES'!$AG507,'TECNICOS'!$B$4:$B$19,0),99)*100000+504,9000000000000+504)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2">
        <f>IF(K511=1,'ORDENES'!$J507,"")</f>
        <v/>
      </c>
    </row>
    <row r="512">
      <c r="K512" s="5">
        <f>IF(AND(IF($B$3="(todos)",TRUE,'ORDENES'!$O508=$B$3),IF($D$3="(todos)",TRUE,'ORDENES'!$AH508=$D$3),IF($F$3="(todos)",TRUE,'ORDENES'!$Z508=$F$3),IF($H$3="(todos)",TRUE,'ORDENES'!$Y508=$H$3),'ORDENES'!$AF508=TRUE,'ORDENES'!$A508&lt;&gt;""),1,0)</f>
        <v/>
      </c>
      <c r="L512" s="5">
        <f>IF(K512=1,IFERROR(MATCH('ORDENES'!$S508,lista_dias,0),9)*1000000000+IFERROR(MATCH('ORDENES'!$AH508,lista_turnos,0),9)*10000000+IFERROR(MATCH('ORDENES'!$AG508,'TECNICOS'!$B$4:$B$19,0),99)*100000+505,9000000000000+505)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2">
        <f>IF(K512=1,'ORDENES'!$J508,"")</f>
        <v/>
      </c>
    </row>
    <row r="513">
      <c r="K513" s="5">
        <f>IF(AND(IF($B$3="(todos)",TRUE,'ORDENES'!$O509=$B$3),IF($D$3="(todos)",TRUE,'ORDENES'!$AH509=$D$3),IF($F$3="(todos)",TRUE,'ORDENES'!$Z509=$F$3),IF($H$3="(todos)",TRUE,'ORDENES'!$Y509=$H$3),'ORDENES'!$AF509=TRUE,'ORDENES'!$A509&lt;&gt;""),1,0)</f>
        <v/>
      </c>
      <c r="L513" s="5">
        <f>IF(K513=1,IFERROR(MATCH('ORDENES'!$S509,lista_dias,0),9)*1000000000+IFERROR(MATCH('ORDENES'!$AH509,lista_turnos,0),9)*10000000+IFERROR(MATCH('ORDENES'!$AG509,'TECNICOS'!$B$4:$B$19,0),99)*100000+506,9000000000000+506)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2">
        <f>IF(K513=1,'ORDENES'!$J509,"")</f>
        <v/>
      </c>
    </row>
    <row r="514">
      <c r="K514" s="5">
        <f>IF(AND(IF($B$3="(todos)",TRUE,'ORDENES'!$O510=$B$3),IF($D$3="(todos)",TRUE,'ORDENES'!$AH510=$D$3),IF($F$3="(todos)",TRUE,'ORDENES'!$Z510=$F$3),IF($H$3="(todos)",TRUE,'ORDENES'!$Y510=$H$3),'ORDENES'!$AF510=TRUE,'ORDENES'!$A510&lt;&gt;""),1,0)</f>
        <v/>
      </c>
      <c r="L514" s="5">
        <f>IF(K514=1,IFERROR(MATCH('ORDENES'!$S510,lista_dias,0),9)*1000000000+IFERROR(MATCH('ORDENES'!$AH510,lista_turnos,0),9)*10000000+IFERROR(MATCH('ORDENES'!$AG510,'TECNICOS'!$B$4:$B$19,0),99)*100000+507,9000000000000+507)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2">
        <f>IF(K514=1,'ORDENES'!$J510,"")</f>
        <v/>
      </c>
    </row>
    <row r="515">
      <c r="K515" s="5">
        <f>IF(AND(IF($B$3="(todos)",TRUE,'ORDENES'!$O511=$B$3),IF($D$3="(todos)",TRUE,'ORDENES'!$AH511=$D$3),IF($F$3="(todos)",TRUE,'ORDENES'!$Z511=$F$3),IF($H$3="(todos)",TRUE,'ORDENES'!$Y511=$H$3),'ORDENES'!$AF511=TRUE,'ORDENES'!$A511&lt;&gt;""),1,0)</f>
        <v/>
      </c>
      <c r="L515" s="5">
        <f>IF(K515=1,IFERROR(MATCH('ORDENES'!$S511,lista_dias,0),9)*1000000000+IFERROR(MATCH('ORDENES'!$AH511,lista_turnos,0),9)*10000000+IFERROR(MATCH('ORDENES'!$AG511,'TECNICOS'!$B$4:$B$19,0),99)*100000+508,9000000000000+508)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2">
        <f>IF(K515=1,'ORDENES'!$J511,"")</f>
        <v/>
      </c>
    </row>
    <row r="516">
      <c r="K516" s="5">
        <f>IF(AND(IF($B$3="(todos)",TRUE,'ORDENES'!$O512=$B$3),IF($D$3="(todos)",TRUE,'ORDENES'!$AH512=$D$3),IF($F$3="(todos)",TRUE,'ORDENES'!$Z512=$F$3),IF($H$3="(todos)",TRUE,'ORDENES'!$Y512=$H$3),'ORDENES'!$AF512=TRUE,'ORDENES'!$A512&lt;&gt;""),1,0)</f>
        <v/>
      </c>
      <c r="L516" s="5">
        <f>IF(K516=1,IFERROR(MATCH('ORDENES'!$S512,lista_dias,0),9)*1000000000+IFERROR(MATCH('ORDENES'!$AH512,lista_turnos,0),9)*10000000+IFERROR(MATCH('ORDENES'!$AG512,'TECNICOS'!$B$4:$B$19,0),99)*100000+509,9000000000000+509)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2">
        <f>IF(K516=1,'ORDENES'!$J512,"")</f>
        <v/>
      </c>
    </row>
    <row r="517">
      <c r="K517" s="5">
        <f>IF(AND(IF($B$3="(todos)",TRUE,'ORDENES'!$O513=$B$3),IF($D$3="(todos)",TRUE,'ORDENES'!$AH513=$D$3),IF($F$3="(todos)",TRUE,'ORDENES'!$Z513=$F$3),IF($H$3="(todos)",TRUE,'ORDENES'!$Y513=$H$3),'ORDENES'!$AF513=TRUE,'ORDENES'!$A513&lt;&gt;""),1,0)</f>
        <v/>
      </c>
      <c r="L517" s="5">
        <f>IF(K517=1,IFERROR(MATCH('ORDENES'!$S513,lista_dias,0),9)*1000000000+IFERROR(MATCH('ORDENES'!$AH513,lista_turnos,0),9)*10000000+IFERROR(MATCH('ORDENES'!$AG513,'TECNICOS'!$B$4:$B$19,0),99)*100000+510,9000000000000+510)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2">
        <f>IF(K517=1,'ORDENES'!$J513,"")</f>
        <v/>
      </c>
    </row>
    <row r="518">
      <c r="K518" s="5">
        <f>IF(AND(IF($B$3="(todos)",TRUE,'ORDENES'!$O514=$B$3),IF($D$3="(todos)",TRUE,'ORDENES'!$AH514=$D$3),IF($F$3="(todos)",TRUE,'ORDENES'!$Z514=$F$3),IF($H$3="(todos)",TRUE,'ORDENES'!$Y514=$H$3),'ORDENES'!$AF514=TRUE,'ORDENES'!$A514&lt;&gt;""),1,0)</f>
        <v/>
      </c>
      <c r="L518" s="5">
        <f>IF(K518=1,IFERROR(MATCH('ORDENES'!$S514,lista_dias,0),9)*1000000000+IFERROR(MATCH('ORDENES'!$AH514,lista_turnos,0),9)*10000000+IFERROR(MATCH('ORDENES'!$AG514,'TECNICOS'!$B$4:$B$19,0),99)*100000+511,9000000000000+511)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2">
        <f>IF(K518=1,'ORDENES'!$J514,"")</f>
        <v/>
      </c>
    </row>
    <row r="519">
      <c r="K519" s="5">
        <f>IF(AND(IF($B$3="(todos)",TRUE,'ORDENES'!$O515=$B$3),IF($D$3="(todos)",TRUE,'ORDENES'!$AH515=$D$3),IF($F$3="(todos)",TRUE,'ORDENES'!$Z515=$F$3),IF($H$3="(todos)",TRUE,'ORDENES'!$Y515=$H$3),'ORDENES'!$AF515=TRUE,'ORDENES'!$A515&lt;&gt;""),1,0)</f>
        <v/>
      </c>
      <c r="L519" s="5">
        <f>IF(K519=1,IFERROR(MATCH('ORDENES'!$S515,lista_dias,0),9)*1000000000+IFERROR(MATCH('ORDENES'!$AH515,lista_turnos,0),9)*10000000+IFERROR(MATCH('ORDENES'!$AG515,'TECNICOS'!$B$4:$B$19,0),99)*100000+512,9000000000000+512)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2">
        <f>IF(K519=1,'ORDENES'!$J515,"")</f>
        <v/>
      </c>
    </row>
    <row r="520">
      <c r="K520" s="5">
        <f>IF(AND(IF($B$3="(todos)",TRUE,'ORDENES'!$O516=$B$3),IF($D$3="(todos)",TRUE,'ORDENES'!$AH516=$D$3),IF($F$3="(todos)",TRUE,'ORDENES'!$Z516=$F$3),IF($H$3="(todos)",TRUE,'ORDENES'!$Y516=$H$3),'ORDENES'!$AF516=TRUE,'ORDENES'!$A516&lt;&gt;""),1,0)</f>
        <v/>
      </c>
      <c r="L520" s="5">
        <f>IF(K520=1,IFERROR(MATCH('ORDENES'!$S516,lista_dias,0),9)*1000000000+IFERROR(MATCH('ORDENES'!$AH516,lista_turnos,0),9)*10000000+IFERROR(MATCH('ORDENES'!$AG516,'TECNICOS'!$B$4:$B$19,0),99)*100000+513,9000000000000+513)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2">
        <f>IF(K520=1,'ORDENES'!$J516,"")</f>
        <v/>
      </c>
    </row>
    <row r="521">
      <c r="K521" s="5">
        <f>IF(AND(IF($B$3="(todos)",TRUE,'ORDENES'!$O517=$B$3),IF($D$3="(todos)",TRUE,'ORDENES'!$AH517=$D$3),IF($F$3="(todos)",TRUE,'ORDENES'!$Z517=$F$3),IF($H$3="(todos)",TRUE,'ORDENES'!$Y517=$H$3),'ORDENES'!$AF517=TRUE,'ORDENES'!$A517&lt;&gt;""),1,0)</f>
        <v/>
      </c>
      <c r="L521" s="5">
        <f>IF(K521=1,IFERROR(MATCH('ORDENES'!$S517,lista_dias,0),9)*1000000000+IFERROR(MATCH('ORDENES'!$AH517,lista_turnos,0),9)*10000000+IFERROR(MATCH('ORDENES'!$AG517,'TECNICOS'!$B$4:$B$19,0),99)*100000+514,9000000000000+514)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2">
        <f>IF(K521=1,'ORDENES'!$J517,"")</f>
        <v/>
      </c>
    </row>
    <row r="522">
      <c r="K522" s="5">
        <f>IF(AND(IF($B$3="(todos)",TRUE,'ORDENES'!$O518=$B$3),IF($D$3="(todos)",TRUE,'ORDENES'!$AH518=$D$3),IF($F$3="(todos)",TRUE,'ORDENES'!$Z518=$F$3),IF($H$3="(todos)",TRUE,'ORDENES'!$Y518=$H$3),'ORDENES'!$AF518=TRUE,'ORDENES'!$A518&lt;&gt;""),1,0)</f>
        <v/>
      </c>
      <c r="L522" s="5">
        <f>IF(K522=1,IFERROR(MATCH('ORDENES'!$S518,lista_dias,0),9)*1000000000+IFERROR(MATCH('ORDENES'!$AH518,lista_turnos,0),9)*10000000+IFERROR(MATCH('ORDENES'!$AG518,'TECNICOS'!$B$4:$B$19,0),99)*100000+515,9000000000000+515)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2">
        <f>IF(K522=1,'ORDENES'!$J518,"")</f>
        <v/>
      </c>
    </row>
    <row r="523">
      <c r="K523" s="5">
        <f>IF(AND(IF($B$3="(todos)",TRUE,'ORDENES'!$O519=$B$3),IF($D$3="(todos)",TRUE,'ORDENES'!$AH519=$D$3),IF($F$3="(todos)",TRUE,'ORDENES'!$Z519=$F$3),IF($H$3="(todos)",TRUE,'ORDENES'!$Y519=$H$3),'ORDENES'!$AF519=TRUE,'ORDENES'!$A519&lt;&gt;""),1,0)</f>
        <v/>
      </c>
      <c r="L523" s="5">
        <f>IF(K523=1,IFERROR(MATCH('ORDENES'!$S519,lista_dias,0),9)*1000000000+IFERROR(MATCH('ORDENES'!$AH519,lista_turnos,0),9)*10000000+IFERROR(MATCH('ORDENES'!$AG519,'TECNICOS'!$B$4:$B$19,0),99)*100000+516,9000000000000+516)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2">
        <f>IF(K523=1,'ORDENES'!$J519,"")</f>
        <v/>
      </c>
    </row>
    <row r="524">
      <c r="K524" s="5">
        <f>IF(AND(IF($B$3="(todos)",TRUE,'ORDENES'!$O520=$B$3),IF($D$3="(todos)",TRUE,'ORDENES'!$AH520=$D$3),IF($F$3="(todos)",TRUE,'ORDENES'!$Z520=$F$3),IF($H$3="(todos)",TRUE,'ORDENES'!$Y520=$H$3),'ORDENES'!$AF520=TRUE,'ORDENES'!$A520&lt;&gt;""),1,0)</f>
        <v/>
      </c>
      <c r="L524" s="5">
        <f>IF(K524=1,IFERROR(MATCH('ORDENES'!$S520,lista_dias,0),9)*1000000000+IFERROR(MATCH('ORDENES'!$AH520,lista_turnos,0),9)*10000000+IFERROR(MATCH('ORDENES'!$AG520,'TECNICOS'!$B$4:$B$19,0),99)*100000+517,9000000000000+517)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2">
        <f>IF(K524=1,'ORDENES'!$J520,"")</f>
        <v/>
      </c>
    </row>
    <row r="525">
      <c r="K525" s="5">
        <f>IF(AND(IF($B$3="(todos)",TRUE,'ORDENES'!$O521=$B$3),IF($D$3="(todos)",TRUE,'ORDENES'!$AH521=$D$3),IF($F$3="(todos)",TRUE,'ORDENES'!$Z521=$F$3),IF($H$3="(todos)",TRUE,'ORDENES'!$Y521=$H$3),'ORDENES'!$AF521=TRUE,'ORDENES'!$A521&lt;&gt;""),1,0)</f>
        <v/>
      </c>
      <c r="L525" s="5">
        <f>IF(K525=1,IFERROR(MATCH('ORDENES'!$S521,lista_dias,0),9)*1000000000+IFERROR(MATCH('ORDENES'!$AH521,lista_turnos,0),9)*10000000+IFERROR(MATCH('ORDENES'!$AG521,'TECNICOS'!$B$4:$B$19,0),99)*100000+518,9000000000000+518)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2">
        <f>IF(K525=1,'ORDENES'!$J521,"")</f>
        <v/>
      </c>
    </row>
    <row r="526">
      <c r="K526" s="5">
        <f>IF(AND(IF($B$3="(todos)",TRUE,'ORDENES'!$O522=$B$3),IF($D$3="(todos)",TRUE,'ORDENES'!$AH522=$D$3),IF($F$3="(todos)",TRUE,'ORDENES'!$Z522=$F$3),IF($H$3="(todos)",TRUE,'ORDENES'!$Y522=$H$3),'ORDENES'!$AF522=TRUE,'ORDENES'!$A522&lt;&gt;""),1,0)</f>
        <v/>
      </c>
      <c r="L526" s="5">
        <f>IF(K526=1,IFERROR(MATCH('ORDENES'!$S522,lista_dias,0),9)*1000000000+IFERROR(MATCH('ORDENES'!$AH522,lista_turnos,0),9)*10000000+IFERROR(MATCH('ORDENES'!$AG522,'TECNICOS'!$B$4:$B$19,0),99)*100000+519,9000000000000+519)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2">
        <f>IF(K526=1,'ORDENES'!$J522,"")</f>
        <v/>
      </c>
    </row>
    <row r="527">
      <c r="K527" s="5">
        <f>IF(AND(IF($B$3="(todos)",TRUE,'ORDENES'!$O523=$B$3),IF($D$3="(todos)",TRUE,'ORDENES'!$AH523=$D$3),IF($F$3="(todos)",TRUE,'ORDENES'!$Z523=$F$3),IF($H$3="(todos)",TRUE,'ORDENES'!$Y523=$H$3),'ORDENES'!$AF523=TRUE,'ORDENES'!$A523&lt;&gt;""),1,0)</f>
        <v/>
      </c>
      <c r="L527" s="5">
        <f>IF(K527=1,IFERROR(MATCH('ORDENES'!$S523,lista_dias,0),9)*1000000000+IFERROR(MATCH('ORDENES'!$AH523,lista_turnos,0),9)*10000000+IFERROR(MATCH('ORDENES'!$AG523,'TECNICOS'!$B$4:$B$19,0),99)*100000+520,9000000000000+520)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2">
        <f>IF(K527=1,'ORDENES'!$J523,"")</f>
        <v/>
      </c>
    </row>
    <row r="528">
      <c r="K528" s="5">
        <f>IF(AND(IF($B$3="(todos)",TRUE,'ORDENES'!$O524=$B$3),IF($D$3="(todos)",TRUE,'ORDENES'!$AH524=$D$3),IF($F$3="(todos)",TRUE,'ORDENES'!$Z524=$F$3),IF($H$3="(todos)",TRUE,'ORDENES'!$Y524=$H$3),'ORDENES'!$AF524=TRUE,'ORDENES'!$A524&lt;&gt;""),1,0)</f>
        <v/>
      </c>
      <c r="L528" s="5">
        <f>IF(K528=1,IFERROR(MATCH('ORDENES'!$S524,lista_dias,0),9)*1000000000+IFERROR(MATCH('ORDENES'!$AH524,lista_turnos,0),9)*10000000+IFERROR(MATCH('ORDENES'!$AG524,'TECNICOS'!$B$4:$B$19,0),99)*100000+521,9000000000000+521)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2">
        <f>IF(K528=1,'ORDENES'!$J524,"")</f>
        <v/>
      </c>
    </row>
    <row r="529">
      <c r="K529" s="5">
        <f>IF(AND(IF($B$3="(todos)",TRUE,'ORDENES'!$O525=$B$3),IF($D$3="(todos)",TRUE,'ORDENES'!$AH525=$D$3),IF($F$3="(todos)",TRUE,'ORDENES'!$Z525=$F$3),IF($H$3="(todos)",TRUE,'ORDENES'!$Y525=$H$3),'ORDENES'!$AF525=TRUE,'ORDENES'!$A525&lt;&gt;""),1,0)</f>
        <v/>
      </c>
      <c r="L529" s="5">
        <f>IF(K529=1,IFERROR(MATCH('ORDENES'!$S525,lista_dias,0),9)*1000000000+IFERROR(MATCH('ORDENES'!$AH525,lista_turnos,0),9)*10000000+IFERROR(MATCH('ORDENES'!$AG525,'TECNICOS'!$B$4:$B$19,0),99)*100000+522,9000000000000+522)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2">
        <f>IF(K529=1,'ORDENES'!$J525,"")</f>
        <v/>
      </c>
    </row>
    <row r="530">
      <c r="K530" s="5">
        <f>IF(AND(IF($B$3="(todos)",TRUE,'ORDENES'!$O526=$B$3),IF($D$3="(todos)",TRUE,'ORDENES'!$AH526=$D$3),IF($F$3="(todos)",TRUE,'ORDENES'!$Z526=$F$3),IF($H$3="(todos)",TRUE,'ORDENES'!$Y526=$H$3),'ORDENES'!$AF526=TRUE,'ORDENES'!$A526&lt;&gt;""),1,0)</f>
        <v/>
      </c>
      <c r="L530" s="5">
        <f>IF(K530=1,IFERROR(MATCH('ORDENES'!$S526,lista_dias,0),9)*1000000000+IFERROR(MATCH('ORDENES'!$AH526,lista_turnos,0),9)*10000000+IFERROR(MATCH('ORDENES'!$AG526,'TECNICOS'!$B$4:$B$19,0),99)*100000+523,9000000000000+523)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2">
        <f>IF(K530=1,'ORDENES'!$J526,"")</f>
        <v/>
      </c>
    </row>
    <row r="531">
      <c r="K531" s="5">
        <f>IF(AND(IF($B$3="(todos)",TRUE,'ORDENES'!$O527=$B$3),IF($D$3="(todos)",TRUE,'ORDENES'!$AH527=$D$3),IF($F$3="(todos)",TRUE,'ORDENES'!$Z527=$F$3),IF($H$3="(todos)",TRUE,'ORDENES'!$Y527=$H$3),'ORDENES'!$AF527=TRUE,'ORDENES'!$A527&lt;&gt;""),1,0)</f>
        <v/>
      </c>
      <c r="L531" s="5">
        <f>IF(K531=1,IFERROR(MATCH('ORDENES'!$S527,lista_dias,0),9)*1000000000+IFERROR(MATCH('ORDENES'!$AH527,lista_turnos,0),9)*10000000+IFERROR(MATCH('ORDENES'!$AG527,'TECNICOS'!$B$4:$B$19,0),99)*100000+524,9000000000000+524)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2">
        <f>IF(K531=1,'ORDENES'!$J527,"")</f>
        <v/>
      </c>
    </row>
    <row r="532">
      <c r="K532" s="5">
        <f>IF(AND(IF($B$3="(todos)",TRUE,'ORDENES'!$O528=$B$3),IF($D$3="(todos)",TRUE,'ORDENES'!$AH528=$D$3),IF($F$3="(todos)",TRUE,'ORDENES'!$Z528=$F$3),IF($H$3="(todos)",TRUE,'ORDENES'!$Y528=$H$3),'ORDENES'!$AF528=TRUE,'ORDENES'!$A528&lt;&gt;""),1,0)</f>
        <v/>
      </c>
      <c r="L532" s="5">
        <f>IF(K532=1,IFERROR(MATCH('ORDENES'!$S528,lista_dias,0),9)*1000000000+IFERROR(MATCH('ORDENES'!$AH528,lista_turnos,0),9)*10000000+IFERROR(MATCH('ORDENES'!$AG528,'TECNICOS'!$B$4:$B$19,0),99)*100000+525,9000000000000+525)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2">
        <f>IF(K532=1,'ORDENES'!$J528,"")</f>
        <v/>
      </c>
    </row>
    <row r="533">
      <c r="K533" s="5">
        <f>IF(AND(IF($B$3="(todos)",TRUE,'ORDENES'!$O529=$B$3),IF($D$3="(todos)",TRUE,'ORDENES'!$AH529=$D$3),IF($F$3="(todos)",TRUE,'ORDENES'!$Z529=$F$3),IF($H$3="(todos)",TRUE,'ORDENES'!$Y529=$H$3),'ORDENES'!$AF529=TRUE,'ORDENES'!$A529&lt;&gt;""),1,0)</f>
        <v/>
      </c>
      <c r="L533" s="5">
        <f>IF(K533=1,IFERROR(MATCH('ORDENES'!$S529,lista_dias,0),9)*1000000000+IFERROR(MATCH('ORDENES'!$AH529,lista_turnos,0),9)*10000000+IFERROR(MATCH('ORDENES'!$AG529,'TECNICOS'!$B$4:$B$19,0),99)*100000+526,9000000000000+526)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2">
        <f>IF(K533=1,'ORDENES'!$J529,"")</f>
        <v/>
      </c>
    </row>
    <row r="534">
      <c r="K534" s="5">
        <f>IF(AND(IF($B$3="(todos)",TRUE,'ORDENES'!$O530=$B$3),IF($D$3="(todos)",TRUE,'ORDENES'!$AH530=$D$3),IF($F$3="(todos)",TRUE,'ORDENES'!$Z530=$F$3),IF($H$3="(todos)",TRUE,'ORDENES'!$Y530=$H$3),'ORDENES'!$AF530=TRUE,'ORDENES'!$A530&lt;&gt;""),1,0)</f>
        <v/>
      </c>
      <c r="L534" s="5">
        <f>IF(K534=1,IFERROR(MATCH('ORDENES'!$S530,lista_dias,0),9)*1000000000+IFERROR(MATCH('ORDENES'!$AH530,lista_turnos,0),9)*10000000+IFERROR(MATCH('ORDENES'!$AG530,'TECNICOS'!$B$4:$B$19,0),99)*100000+527,9000000000000+527)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2">
        <f>IF(K534=1,'ORDENES'!$J530,"")</f>
        <v/>
      </c>
    </row>
    <row r="535">
      <c r="K535" s="5">
        <f>IF(AND(IF($B$3="(todos)",TRUE,'ORDENES'!$O531=$B$3),IF($D$3="(todos)",TRUE,'ORDENES'!$AH531=$D$3),IF($F$3="(todos)",TRUE,'ORDENES'!$Z531=$F$3),IF($H$3="(todos)",TRUE,'ORDENES'!$Y531=$H$3),'ORDENES'!$AF531=TRUE,'ORDENES'!$A531&lt;&gt;""),1,0)</f>
        <v/>
      </c>
      <c r="L535" s="5">
        <f>IF(K535=1,IFERROR(MATCH('ORDENES'!$S531,lista_dias,0),9)*1000000000+IFERROR(MATCH('ORDENES'!$AH531,lista_turnos,0),9)*10000000+IFERROR(MATCH('ORDENES'!$AG531,'TECNICOS'!$B$4:$B$19,0),99)*100000+528,9000000000000+528)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2">
        <f>IF(K535=1,'ORDENES'!$J531,"")</f>
        <v/>
      </c>
    </row>
    <row r="536">
      <c r="K536" s="5">
        <f>IF(AND(IF($B$3="(todos)",TRUE,'ORDENES'!$O532=$B$3),IF($D$3="(todos)",TRUE,'ORDENES'!$AH532=$D$3),IF($F$3="(todos)",TRUE,'ORDENES'!$Z532=$F$3),IF($H$3="(todos)",TRUE,'ORDENES'!$Y532=$H$3),'ORDENES'!$AF532=TRUE,'ORDENES'!$A532&lt;&gt;""),1,0)</f>
        <v/>
      </c>
      <c r="L536" s="5">
        <f>IF(K536=1,IFERROR(MATCH('ORDENES'!$S532,lista_dias,0),9)*1000000000+IFERROR(MATCH('ORDENES'!$AH532,lista_turnos,0),9)*10000000+IFERROR(MATCH('ORDENES'!$AG532,'TECNICOS'!$B$4:$B$19,0),99)*100000+529,9000000000000+529)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2">
        <f>IF(K536=1,'ORDENES'!$J532,"")</f>
        <v/>
      </c>
    </row>
    <row r="537">
      <c r="K537" s="5">
        <f>IF(AND(IF($B$3="(todos)",TRUE,'ORDENES'!$O533=$B$3),IF($D$3="(todos)",TRUE,'ORDENES'!$AH533=$D$3),IF($F$3="(todos)",TRUE,'ORDENES'!$Z533=$F$3),IF($H$3="(todos)",TRUE,'ORDENES'!$Y533=$H$3),'ORDENES'!$AF533=TRUE,'ORDENES'!$A533&lt;&gt;""),1,0)</f>
        <v/>
      </c>
      <c r="L537" s="5">
        <f>IF(K537=1,IFERROR(MATCH('ORDENES'!$S533,lista_dias,0),9)*1000000000+IFERROR(MATCH('ORDENES'!$AH533,lista_turnos,0),9)*10000000+IFERROR(MATCH('ORDENES'!$AG533,'TECNICOS'!$B$4:$B$19,0),99)*100000+530,9000000000000+530)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2">
        <f>IF(K537=1,'ORDENES'!$J533,"")</f>
        <v/>
      </c>
    </row>
    <row r="538">
      <c r="K538" s="5">
        <f>IF(AND(IF($B$3="(todos)",TRUE,'ORDENES'!$O534=$B$3),IF($D$3="(todos)",TRUE,'ORDENES'!$AH534=$D$3),IF($F$3="(todos)",TRUE,'ORDENES'!$Z534=$F$3),IF($H$3="(todos)",TRUE,'ORDENES'!$Y534=$H$3),'ORDENES'!$AF534=TRUE,'ORDENES'!$A534&lt;&gt;""),1,0)</f>
        <v/>
      </c>
      <c r="L538" s="5">
        <f>IF(K538=1,IFERROR(MATCH('ORDENES'!$S534,lista_dias,0),9)*1000000000+IFERROR(MATCH('ORDENES'!$AH534,lista_turnos,0),9)*10000000+IFERROR(MATCH('ORDENES'!$AG534,'TECNICOS'!$B$4:$B$19,0),99)*100000+531,9000000000000+531)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2">
        <f>IF(K538=1,'ORDENES'!$J534,"")</f>
        <v/>
      </c>
    </row>
    <row r="539">
      <c r="K539" s="5">
        <f>IF(AND(IF($B$3="(todos)",TRUE,'ORDENES'!$O535=$B$3),IF($D$3="(todos)",TRUE,'ORDENES'!$AH535=$D$3),IF($F$3="(todos)",TRUE,'ORDENES'!$Z535=$F$3),IF($H$3="(todos)",TRUE,'ORDENES'!$Y535=$H$3),'ORDENES'!$AF535=TRUE,'ORDENES'!$A535&lt;&gt;""),1,0)</f>
        <v/>
      </c>
      <c r="L539" s="5">
        <f>IF(K539=1,IFERROR(MATCH('ORDENES'!$S535,lista_dias,0),9)*1000000000+IFERROR(MATCH('ORDENES'!$AH535,lista_turnos,0),9)*10000000+IFERROR(MATCH('ORDENES'!$AG535,'TECNICOS'!$B$4:$B$19,0),99)*100000+532,9000000000000+532)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2">
        <f>IF(K539=1,'ORDENES'!$J535,"")</f>
        <v/>
      </c>
    </row>
    <row r="540">
      <c r="K540" s="5">
        <f>IF(AND(IF($B$3="(todos)",TRUE,'ORDENES'!$O536=$B$3),IF($D$3="(todos)",TRUE,'ORDENES'!$AH536=$D$3),IF($F$3="(todos)",TRUE,'ORDENES'!$Z536=$F$3),IF($H$3="(todos)",TRUE,'ORDENES'!$Y536=$H$3),'ORDENES'!$AF536=TRUE,'ORDENES'!$A536&lt;&gt;""),1,0)</f>
        <v/>
      </c>
      <c r="L540" s="5">
        <f>IF(K540=1,IFERROR(MATCH('ORDENES'!$S536,lista_dias,0),9)*1000000000+IFERROR(MATCH('ORDENES'!$AH536,lista_turnos,0),9)*10000000+IFERROR(MATCH('ORDENES'!$AG536,'TECNICOS'!$B$4:$B$19,0),99)*100000+533,9000000000000+533)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2">
        <f>IF(K540=1,'ORDENES'!$J536,"")</f>
        <v/>
      </c>
    </row>
    <row r="541">
      <c r="K541" s="5">
        <f>IF(AND(IF($B$3="(todos)",TRUE,'ORDENES'!$O537=$B$3),IF($D$3="(todos)",TRUE,'ORDENES'!$AH537=$D$3),IF($F$3="(todos)",TRUE,'ORDENES'!$Z537=$F$3),IF($H$3="(todos)",TRUE,'ORDENES'!$Y537=$H$3),'ORDENES'!$AF537=TRUE,'ORDENES'!$A537&lt;&gt;""),1,0)</f>
        <v/>
      </c>
      <c r="L541" s="5">
        <f>IF(K541=1,IFERROR(MATCH('ORDENES'!$S537,lista_dias,0),9)*1000000000+IFERROR(MATCH('ORDENES'!$AH537,lista_turnos,0),9)*10000000+IFERROR(MATCH('ORDENES'!$AG537,'TECNICOS'!$B$4:$B$19,0),99)*100000+534,9000000000000+534)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2">
        <f>IF(K541=1,'ORDENES'!$J537,"")</f>
        <v/>
      </c>
    </row>
    <row r="542">
      <c r="K542" s="5">
        <f>IF(AND(IF($B$3="(todos)",TRUE,'ORDENES'!$O538=$B$3),IF($D$3="(todos)",TRUE,'ORDENES'!$AH538=$D$3),IF($F$3="(todos)",TRUE,'ORDENES'!$Z538=$F$3),IF($H$3="(todos)",TRUE,'ORDENES'!$Y538=$H$3),'ORDENES'!$AF538=TRUE,'ORDENES'!$A538&lt;&gt;""),1,0)</f>
        <v/>
      </c>
      <c r="L542" s="5">
        <f>IF(K542=1,IFERROR(MATCH('ORDENES'!$S538,lista_dias,0),9)*1000000000+IFERROR(MATCH('ORDENES'!$AH538,lista_turnos,0),9)*10000000+IFERROR(MATCH('ORDENES'!$AG538,'TECNICOS'!$B$4:$B$19,0),99)*100000+535,9000000000000+535)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2">
        <f>IF(K542=1,'ORDENES'!$J538,"")</f>
        <v/>
      </c>
    </row>
    <row r="543">
      <c r="K543" s="5">
        <f>IF(AND(IF($B$3="(todos)",TRUE,'ORDENES'!$O539=$B$3),IF($D$3="(todos)",TRUE,'ORDENES'!$AH539=$D$3),IF($F$3="(todos)",TRUE,'ORDENES'!$Z539=$F$3),IF($H$3="(todos)",TRUE,'ORDENES'!$Y539=$H$3),'ORDENES'!$AF539=TRUE,'ORDENES'!$A539&lt;&gt;""),1,0)</f>
        <v/>
      </c>
      <c r="L543" s="5">
        <f>IF(K543=1,IFERROR(MATCH('ORDENES'!$S539,lista_dias,0),9)*1000000000+IFERROR(MATCH('ORDENES'!$AH539,lista_turnos,0),9)*10000000+IFERROR(MATCH('ORDENES'!$AG539,'TECNICOS'!$B$4:$B$19,0),99)*100000+536,9000000000000+536)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2">
        <f>IF(K543=1,'ORDENES'!$J539,"")</f>
        <v/>
      </c>
    </row>
    <row r="544">
      <c r="K544" s="5">
        <f>IF(AND(IF($B$3="(todos)",TRUE,'ORDENES'!$O540=$B$3),IF($D$3="(todos)",TRUE,'ORDENES'!$AH540=$D$3),IF($F$3="(todos)",TRUE,'ORDENES'!$Z540=$F$3),IF($H$3="(todos)",TRUE,'ORDENES'!$Y540=$H$3),'ORDENES'!$AF540=TRUE,'ORDENES'!$A540&lt;&gt;""),1,0)</f>
        <v/>
      </c>
      <c r="L544" s="5">
        <f>IF(K544=1,IFERROR(MATCH('ORDENES'!$S540,lista_dias,0),9)*1000000000+IFERROR(MATCH('ORDENES'!$AH540,lista_turnos,0),9)*10000000+IFERROR(MATCH('ORDENES'!$AG540,'TECNICOS'!$B$4:$B$19,0),99)*100000+537,9000000000000+537)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2">
        <f>IF(K544=1,'ORDENES'!$J540,"")</f>
        <v/>
      </c>
    </row>
    <row r="545">
      <c r="K545" s="5">
        <f>IF(AND(IF($B$3="(todos)",TRUE,'ORDENES'!$O541=$B$3),IF($D$3="(todos)",TRUE,'ORDENES'!$AH541=$D$3),IF($F$3="(todos)",TRUE,'ORDENES'!$Z541=$F$3),IF($H$3="(todos)",TRUE,'ORDENES'!$Y541=$H$3),'ORDENES'!$AF541=TRUE,'ORDENES'!$A541&lt;&gt;""),1,0)</f>
        <v/>
      </c>
      <c r="L545" s="5">
        <f>IF(K545=1,IFERROR(MATCH('ORDENES'!$S541,lista_dias,0),9)*1000000000+IFERROR(MATCH('ORDENES'!$AH541,lista_turnos,0),9)*10000000+IFERROR(MATCH('ORDENES'!$AG541,'TECNICOS'!$B$4:$B$19,0),99)*100000+538,9000000000000+538)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2">
        <f>IF(K545=1,'ORDENES'!$J541,"")</f>
        <v/>
      </c>
    </row>
    <row r="546">
      <c r="K546" s="5">
        <f>IF(AND(IF($B$3="(todos)",TRUE,'ORDENES'!$O542=$B$3),IF($D$3="(todos)",TRUE,'ORDENES'!$AH542=$D$3),IF($F$3="(todos)",TRUE,'ORDENES'!$Z542=$F$3),IF($H$3="(todos)",TRUE,'ORDENES'!$Y542=$H$3),'ORDENES'!$AF542=TRUE,'ORDENES'!$A542&lt;&gt;""),1,0)</f>
        <v/>
      </c>
      <c r="L546" s="5">
        <f>IF(K546=1,IFERROR(MATCH('ORDENES'!$S542,lista_dias,0),9)*1000000000+IFERROR(MATCH('ORDENES'!$AH542,lista_turnos,0),9)*10000000+IFERROR(MATCH('ORDENES'!$AG542,'TECNICOS'!$B$4:$B$19,0),99)*100000+539,9000000000000+539)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2">
        <f>IF(K546=1,'ORDENES'!$J542,"")</f>
        <v/>
      </c>
    </row>
    <row r="547">
      <c r="K547" s="5">
        <f>IF(AND(IF($B$3="(todos)",TRUE,'ORDENES'!$O543=$B$3),IF($D$3="(todos)",TRUE,'ORDENES'!$AH543=$D$3),IF($F$3="(todos)",TRUE,'ORDENES'!$Z543=$F$3),IF($H$3="(todos)",TRUE,'ORDENES'!$Y543=$H$3),'ORDENES'!$AF543=TRUE,'ORDENES'!$A543&lt;&gt;""),1,0)</f>
        <v/>
      </c>
      <c r="L547" s="5">
        <f>IF(K547=1,IFERROR(MATCH('ORDENES'!$S543,lista_dias,0),9)*1000000000+IFERROR(MATCH('ORDENES'!$AH543,lista_turnos,0),9)*10000000+IFERROR(MATCH('ORDENES'!$AG543,'TECNICOS'!$B$4:$B$19,0),99)*100000+540,9000000000000+540)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2">
        <f>IF(K547=1,'ORDENES'!$J543,"")</f>
        <v/>
      </c>
    </row>
    <row r="548">
      <c r="K548" s="5">
        <f>IF(AND(IF($B$3="(todos)",TRUE,'ORDENES'!$O544=$B$3),IF($D$3="(todos)",TRUE,'ORDENES'!$AH544=$D$3),IF($F$3="(todos)",TRUE,'ORDENES'!$Z544=$F$3),IF($H$3="(todos)",TRUE,'ORDENES'!$Y544=$H$3),'ORDENES'!$AF544=TRUE,'ORDENES'!$A544&lt;&gt;""),1,0)</f>
        <v/>
      </c>
      <c r="L548" s="5">
        <f>IF(K548=1,IFERROR(MATCH('ORDENES'!$S544,lista_dias,0),9)*1000000000+IFERROR(MATCH('ORDENES'!$AH544,lista_turnos,0),9)*10000000+IFERROR(MATCH('ORDENES'!$AG544,'TECNICOS'!$B$4:$B$19,0),99)*100000+541,9000000000000+541)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2">
        <f>IF(K548=1,'ORDENES'!$J544,"")</f>
        <v/>
      </c>
    </row>
    <row r="549">
      <c r="K549" s="5">
        <f>IF(AND(IF($B$3="(todos)",TRUE,'ORDENES'!$O545=$B$3),IF($D$3="(todos)",TRUE,'ORDENES'!$AH545=$D$3),IF($F$3="(todos)",TRUE,'ORDENES'!$Z545=$F$3),IF($H$3="(todos)",TRUE,'ORDENES'!$Y545=$H$3),'ORDENES'!$AF545=TRUE,'ORDENES'!$A545&lt;&gt;""),1,0)</f>
        <v/>
      </c>
      <c r="L549" s="5">
        <f>IF(K549=1,IFERROR(MATCH('ORDENES'!$S545,lista_dias,0),9)*1000000000+IFERROR(MATCH('ORDENES'!$AH545,lista_turnos,0),9)*10000000+IFERROR(MATCH('ORDENES'!$AG545,'TECNICOS'!$B$4:$B$19,0),99)*100000+542,9000000000000+542)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2">
        <f>IF(K549=1,'ORDENES'!$J545,"")</f>
        <v/>
      </c>
    </row>
    <row r="550">
      <c r="K550" s="5">
        <f>IF(AND(IF($B$3="(todos)",TRUE,'ORDENES'!$O546=$B$3),IF($D$3="(todos)",TRUE,'ORDENES'!$AH546=$D$3),IF($F$3="(todos)",TRUE,'ORDENES'!$Z546=$F$3),IF($H$3="(todos)",TRUE,'ORDENES'!$Y546=$H$3),'ORDENES'!$AF546=TRUE,'ORDENES'!$A546&lt;&gt;""),1,0)</f>
        <v/>
      </c>
      <c r="L550" s="5">
        <f>IF(K550=1,IFERROR(MATCH('ORDENES'!$S546,lista_dias,0),9)*1000000000+IFERROR(MATCH('ORDENES'!$AH546,lista_turnos,0),9)*10000000+IFERROR(MATCH('ORDENES'!$AG546,'TECNICOS'!$B$4:$B$19,0),99)*100000+543,9000000000000+543)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2">
        <f>IF(K550=1,'ORDENES'!$J546,"")</f>
        <v/>
      </c>
    </row>
    <row r="551">
      <c r="K551" s="5">
        <f>IF(AND(IF($B$3="(todos)",TRUE,'ORDENES'!$O547=$B$3),IF($D$3="(todos)",TRUE,'ORDENES'!$AH547=$D$3),IF($F$3="(todos)",TRUE,'ORDENES'!$Z547=$F$3),IF($H$3="(todos)",TRUE,'ORDENES'!$Y547=$H$3),'ORDENES'!$AF547=TRUE,'ORDENES'!$A547&lt;&gt;""),1,0)</f>
        <v/>
      </c>
      <c r="L551" s="5">
        <f>IF(K551=1,IFERROR(MATCH('ORDENES'!$S547,lista_dias,0),9)*1000000000+IFERROR(MATCH('ORDENES'!$AH547,lista_turnos,0),9)*10000000+IFERROR(MATCH('ORDENES'!$AG547,'TECNICOS'!$B$4:$B$19,0),99)*100000+544,9000000000000+544)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2">
        <f>IF(K551=1,'ORDENES'!$J547,"")</f>
        <v/>
      </c>
    </row>
    <row r="552">
      <c r="K552" s="5">
        <f>IF(AND(IF($B$3="(todos)",TRUE,'ORDENES'!$O548=$B$3),IF($D$3="(todos)",TRUE,'ORDENES'!$AH548=$D$3),IF($F$3="(todos)",TRUE,'ORDENES'!$Z548=$F$3),IF($H$3="(todos)",TRUE,'ORDENES'!$Y548=$H$3),'ORDENES'!$AF548=TRUE,'ORDENES'!$A548&lt;&gt;""),1,0)</f>
        <v/>
      </c>
      <c r="L552" s="5">
        <f>IF(K552=1,IFERROR(MATCH('ORDENES'!$S548,lista_dias,0),9)*1000000000+IFERROR(MATCH('ORDENES'!$AH548,lista_turnos,0),9)*10000000+IFERROR(MATCH('ORDENES'!$AG548,'TECNICOS'!$B$4:$B$19,0),99)*100000+545,9000000000000+545)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2">
        <f>IF(K552=1,'ORDENES'!$J548,"")</f>
        <v/>
      </c>
    </row>
    <row r="553">
      <c r="K553" s="5">
        <f>IF(AND(IF($B$3="(todos)",TRUE,'ORDENES'!$O549=$B$3),IF($D$3="(todos)",TRUE,'ORDENES'!$AH549=$D$3),IF($F$3="(todos)",TRUE,'ORDENES'!$Z549=$F$3),IF($H$3="(todos)",TRUE,'ORDENES'!$Y549=$H$3),'ORDENES'!$AF549=TRUE,'ORDENES'!$A549&lt;&gt;""),1,0)</f>
        <v/>
      </c>
      <c r="L553" s="5">
        <f>IF(K553=1,IFERROR(MATCH('ORDENES'!$S549,lista_dias,0),9)*1000000000+IFERROR(MATCH('ORDENES'!$AH549,lista_turnos,0),9)*10000000+IFERROR(MATCH('ORDENES'!$AG549,'TECNICOS'!$B$4:$B$19,0),99)*100000+546,9000000000000+546)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2">
        <f>IF(K553=1,'ORDENES'!$J549,"")</f>
        <v/>
      </c>
    </row>
    <row r="554">
      <c r="K554" s="5">
        <f>IF(AND(IF($B$3="(todos)",TRUE,'ORDENES'!$O550=$B$3),IF($D$3="(todos)",TRUE,'ORDENES'!$AH550=$D$3),IF($F$3="(todos)",TRUE,'ORDENES'!$Z550=$F$3),IF($H$3="(todos)",TRUE,'ORDENES'!$Y550=$H$3),'ORDENES'!$AF550=TRUE,'ORDENES'!$A550&lt;&gt;""),1,0)</f>
        <v/>
      </c>
      <c r="L554" s="5">
        <f>IF(K554=1,IFERROR(MATCH('ORDENES'!$S550,lista_dias,0),9)*1000000000+IFERROR(MATCH('ORDENES'!$AH550,lista_turnos,0),9)*10000000+IFERROR(MATCH('ORDENES'!$AG550,'TECNICOS'!$B$4:$B$19,0),99)*100000+547,9000000000000+547)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2">
        <f>IF(K554=1,'ORDENES'!$J550,"")</f>
        <v/>
      </c>
    </row>
    <row r="555">
      <c r="K555" s="5">
        <f>IF(AND(IF($B$3="(todos)",TRUE,'ORDENES'!$O551=$B$3),IF($D$3="(todos)",TRUE,'ORDENES'!$AH551=$D$3),IF($F$3="(todos)",TRUE,'ORDENES'!$Z551=$F$3),IF($H$3="(todos)",TRUE,'ORDENES'!$Y551=$H$3),'ORDENES'!$AF551=TRUE,'ORDENES'!$A551&lt;&gt;""),1,0)</f>
        <v/>
      </c>
      <c r="L555" s="5">
        <f>IF(K555=1,IFERROR(MATCH('ORDENES'!$S551,lista_dias,0),9)*1000000000+IFERROR(MATCH('ORDENES'!$AH551,lista_turnos,0),9)*10000000+IFERROR(MATCH('ORDENES'!$AG551,'TECNICOS'!$B$4:$B$19,0),99)*100000+548,9000000000000+548)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2">
        <f>IF(K555=1,'ORDENES'!$J551,"")</f>
        <v/>
      </c>
    </row>
    <row r="556">
      <c r="K556" s="5">
        <f>IF(AND(IF($B$3="(todos)",TRUE,'ORDENES'!$O552=$B$3),IF($D$3="(todos)",TRUE,'ORDENES'!$AH552=$D$3),IF($F$3="(todos)",TRUE,'ORDENES'!$Z552=$F$3),IF($H$3="(todos)",TRUE,'ORDENES'!$Y552=$H$3),'ORDENES'!$AF552=TRUE,'ORDENES'!$A552&lt;&gt;""),1,0)</f>
        <v/>
      </c>
      <c r="L556" s="5">
        <f>IF(K556=1,IFERROR(MATCH('ORDENES'!$S552,lista_dias,0),9)*1000000000+IFERROR(MATCH('ORDENES'!$AH552,lista_turnos,0),9)*10000000+IFERROR(MATCH('ORDENES'!$AG552,'TECNICOS'!$B$4:$B$19,0),99)*100000+549,9000000000000+549)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2">
        <f>IF(K556=1,'ORDENES'!$J552,"")</f>
        <v/>
      </c>
    </row>
    <row r="557">
      <c r="K557" s="5">
        <f>IF(AND(IF($B$3="(todos)",TRUE,'ORDENES'!$O553=$B$3),IF($D$3="(todos)",TRUE,'ORDENES'!$AH553=$D$3),IF($F$3="(todos)",TRUE,'ORDENES'!$Z553=$F$3),IF($H$3="(todos)",TRUE,'ORDENES'!$Y553=$H$3),'ORDENES'!$AF553=TRUE,'ORDENES'!$A553&lt;&gt;""),1,0)</f>
        <v/>
      </c>
      <c r="L557" s="5">
        <f>IF(K557=1,IFERROR(MATCH('ORDENES'!$S553,lista_dias,0),9)*1000000000+IFERROR(MATCH('ORDENES'!$AH553,lista_turnos,0),9)*10000000+IFERROR(MATCH('ORDENES'!$AG553,'TECNICOS'!$B$4:$B$19,0),99)*100000+550,9000000000000+550)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2">
        <f>IF(K557=1,'ORDENES'!$J553,"")</f>
        <v/>
      </c>
    </row>
    <row r="558">
      <c r="K558" s="5">
        <f>IF(AND(IF($B$3="(todos)",TRUE,'ORDENES'!$O554=$B$3),IF($D$3="(todos)",TRUE,'ORDENES'!$AH554=$D$3),IF($F$3="(todos)",TRUE,'ORDENES'!$Z554=$F$3),IF($H$3="(todos)",TRUE,'ORDENES'!$Y554=$H$3),'ORDENES'!$AF554=TRUE,'ORDENES'!$A554&lt;&gt;""),1,0)</f>
        <v/>
      </c>
      <c r="L558" s="5">
        <f>IF(K558=1,IFERROR(MATCH('ORDENES'!$S554,lista_dias,0),9)*1000000000+IFERROR(MATCH('ORDENES'!$AH554,lista_turnos,0),9)*10000000+IFERROR(MATCH('ORDENES'!$AG554,'TECNICOS'!$B$4:$B$19,0),99)*100000+551,9000000000000+551)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2">
        <f>IF(K558=1,'ORDENES'!$J554,"")</f>
        <v/>
      </c>
    </row>
    <row r="559">
      <c r="K559" s="5">
        <f>IF(AND(IF($B$3="(todos)",TRUE,'ORDENES'!$O555=$B$3),IF($D$3="(todos)",TRUE,'ORDENES'!$AH555=$D$3),IF($F$3="(todos)",TRUE,'ORDENES'!$Z555=$F$3),IF($H$3="(todos)",TRUE,'ORDENES'!$Y555=$H$3),'ORDENES'!$AF555=TRUE,'ORDENES'!$A555&lt;&gt;""),1,0)</f>
        <v/>
      </c>
      <c r="L559" s="5">
        <f>IF(K559=1,IFERROR(MATCH('ORDENES'!$S555,lista_dias,0),9)*1000000000+IFERROR(MATCH('ORDENES'!$AH555,lista_turnos,0),9)*10000000+IFERROR(MATCH('ORDENES'!$AG555,'TECNICOS'!$B$4:$B$19,0),99)*100000+552,9000000000000+552)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2">
        <f>IF(K559=1,'ORDENES'!$J555,"")</f>
        <v/>
      </c>
    </row>
    <row r="560">
      <c r="K560" s="5">
        <f>IF(AND(IF($B$3="(todos)",TRUE,'ORDENES'!$O556=$B$3),IF($D$3="(todos)",TRUE,'ORDENES'!$AH556=$D$3),IF($F$3="(todos)",TRUE,'ORDENES'!$Z556=$F$3),IF($H$3="(todos)",TRUE,'ORDENES'!$Y556=$H$3),'ORDENES'!$AF556=TRUE,'ORDENES'!$A556&lt;&gt;""),1,0)</f>
        <v/>
      </c>
      <c r="L560" s="5">
        <f>IF(K560=1,IFERROR(MATCH('ORDENES'!$S556,lista_dias,0),9)*1000000000+IFERROR(MATCH('ORDENES'!$AH556,lista_turnos,0),9)*10000000+IFERROR(MATCH('ORDENES'!$AG556,'TECNICOS'!$B$4:$B$19,0),99)*100000+553,9000000000000+553)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2">
        <f>IF(K560=1,'ORDENES'!$J556,"")</f>
        <v/>
      </c>
    </row>
    <row r="561">
      <c r="K561" s="5">
        <f>IF(AND(IF($B$3="(todos)",TRUE,'ORDENES'!$O557=$B$3),IF($D$3="(todos)",TRUE,'ORDENES'!$AH557=$D$3),IF($F$3="(todos)",TRUE,'ORDENES'!$Z557=$F$3),IF($H$3="(todos)",TRUE,'ORDENES'!$Y557=$H$3),'ORDENES'!$AF557=TRUE,'ORDENES'!$A557&lt;&gt;""),1,0)</f>
        <v/>
      </c>
      <c r="L561" s="5">
        <f>IF(K561=1,IFERROR(MATCH('ORDENES'!$S557,lista_dias,0),9)*1000000000+IFERROR(MATCH('ORDENES'!$AH557,lista_turnos,0),9)*10000000+IFERROR(MATCH('ORDENES'!$AG557,'TECNICOS'!$B$4:$B$19,0),99)*100000+554,9000000000000+554)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2">
        <f>IF(K561=1,'ORDENES'!$J557,"")</f>
        <v/>
      </c>
    </row>
    <row r="562">
      <c r="K562" s="5">
        <f>IF(AND(IF($B$3="(todos)",TRUE,'ORDENES'!$O558=$B$3),IF($D$3="(todos)",TRUE,'ORDENES'!$AH558=$D$3),IF($F$3="(todos)",TRUE,'ORDENES'!$Z558=$F$3),IF($H$3="(todos)",TRUE,'ORDENES'!$Y558=$H$3),'ORDENES'!$AF558=TRUE,'ORDENES'!$A558&lt;&gt;""),1,0)</f>
        <v/>
      </c>
      <c r="L562" s="5">
        <f>IF(K562=1,IFERROR(MATCH('ORDENES'!$S558,lista_dias,0),9)*1000000000+IFERROR(MATCH('ORDENES'!$AH558,lista_turnos,0),9)*10000000+IFERROR(MATCH('ORDENES'!$AG558,'TECNICOS'!$B$4:$B$19,0),99)*100000+555,9000000000000+555)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2">
        <f>IF(K562=1,'ORDENES'!$J558,"")</f>
        <v/>
      </c>
    </row>
    <row r="563">
      <c r="K563" s="5">
        <f>IF(AND(IF($B$3="(todos)",TRUE,'ORDENES'!$O559=$B$3),IF($D$3="(todos)",TRUE,'ORDENES'!$AH559=$D$3),IF($F$3="(todos)",TRUE,'ORDENES'!$Z559=$F$3),IF($H$3="(todos)",TRUE,'ORDENES'!$Y559=$H$3),'ORDENES'!$AF559=TRUE,'ORDENES'!$A559&lt;&gt;""),1,0)</f>
        <v/>
      </c>
      <c r="L563" s="5">
        <f>IF(K563=1,IFERROR(MATCH('ORDENES'!$S559,lista_dias,0),9)*1000000000+IFERROR(MATCH('ORDENES'!$AH559,lista_turnos,0),9)*10000000+IFERROR(MATCH('ORDENES'!$AG559,'TECNICOS'!$B$4:$B$19,0),99)*100000+556,9000000000000+556)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2">
        <f>IF(K563=1,'ORDENES'!$J559,"")</f>
        <v/>
      </c>
    </row>
    <row r="564">
      <c r="K564" s="5">
        <f>IF(AND(IF($B$3="(todos)",TRUE,'ORDENES'!$O560=$B$3),IF($D$3="(todos)",TRUE,'ORDENES'!$AH560=$D$3),IF($F$3="(todos)",TRUE,'ORDENES'!$Z560=$F$3),IF($H$3="(todos)",TRUE,'ORDENES'!$Y560=$H$3),'ORDENES'!$AF560=TRUE,'ORDENES'!$A560&lt;&gt;""),1,0)</f>
        <v/>
      </c>
      <c r="L564" s="5">
        <f>IF(K564=1,IFERROR(MATCH('ORDENES'!$S560,lista_dias,0),9)*1000000000+IFERROR(MATCH('ORDENES'!$AH560,lista_turnos,0),9)*10000000+IFERROR(MATCH('ORDENES'!$AG560,'TECNICOS'!$B$4:$B$19,0),99)*100000+557,9000000000000+557)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2">
        <f>IF(K564=1,'ORDENES'!$J560,"")</f>
        <v/>
      </c>
    </row>
    <row r="565">
      <c r="K565" s="5">
        <f>IF(AND(IF($B$3="(todos)",TRUE,'ORDENES'!$O561=$B$3),IF($D$3="(todos)",TRUE,'ORDENES'!$AH561=$D$3),IF($F$3="(todos)",TRUE,'ORDENES'!$Z561=$F$3),IF($H$3="(todos)",TRUE,'ORDENES'!$Y561=$H$3),'ORDENES'!$AF561=TRUE,'ORDENES'!$A561&lt;&gt;""),1,0)</f>
        <v/>
      </c>
      <c r="L565" s="5">
        <f>IF(K565=1,IFERROR(MATCH('ORDENES'!$S561,lista_dias,0),9)*1000000000+IFERROR(MATCH('ORDENES'!$AH561,lista_turnos,0),9)*10000000+IFERROR(MATCH('ORDENES'!$AG561,'TECNICOS'!$B$4:$B$19,0),99)*100000+558,9000000000000+558)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2">
        <f>IF(K565=1,'ORDENES'!$J561,"")</f>
        <v/>
      </c>
    </row>
    <row r="566">
      <c r="K566" s="5">
        <f>IF(AND(IF($B$3="(todos)",TRUE,'ORDENES'!$O562=$B$3),IF($D$3="(todos)",TRUE,'ORDENES'!$AH562=$D$3),IF($F$3="(todos)",TRUE,'ORDENES'!$Z562=$F$3),IF($H$3="(todos)",TRUE,'ORDENES'!$Y562=$H$3),'ORDENES'!$AF562=TRUE,'ORDENES'!$A562&lt;&gt;""),1,0)</f>
        <v/>
      </c>
      <c r="L566" s="5">
        <f>IF(K566=1,IFERROR(MATCH('ORDENES'!$S562,lista_dias,0),9)*1000000000+IFERROR(MATCH('ORDENES'!$AH562,lista_turnos,0),9)*10000000+IFERROR(MATCH('ORDENES'!$AG562,'TECNICOS'!$B$4:$B$19,0),99)*100000+559,9000000000000+559)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2">
        <f>IF(K566=1,'ORDENES'!$J562,"")</f>
        <v/>
      </c>
    </row>
    <row r="567">
      <c r="K567" s="5">
        <f>IF(AND(IF($B$3="(todos)",TRUE,'ORDENES'!$O563=$B$3),IF($D$3="(todos)",TRUE,'ORDENES'!$AH563=$D$3),IF($F$3="(todos)",TRUE,'ORDENES'!$Z563=$F$3),IF($H$3="(todos)",TRUE,'ORDENES'!$Y563=$H$3),'ORDENES'!$AF563=TRUE,'ORDENES'!$A563&lt;&gt;""),1,0)</f>
        <v/>
      </c>
      <c r="L567" s="5">
        <f>IF(K567=1,IFERROR(MATCH('ORDENES'!$S563,lista_dias,0),9)*1000000000+IFERROR(MATCH('ORDENES'!$AH563,lista_turnos,0),9)*10000000+IFERROR(MATCH('ORDENES'!$AG563,'TECNICOS'!$B$4:$B$19,0),99)*100000+560,9000000000000+560)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2">
        <f>IF(K567=1,'ORDENES'!$J563,"")</f>
        <v/>
      </c>
    </row>
    <row r="568">
      <c r="K568" s="5">
        <f>IF(AND(IF($B$3="(todos)",TRUE,'ORDENES'!$O564=$B$3),IF($D$3="(todos)",TRUE,'ORDENES'!$AH564=$D$3),IF($F$3="(todos)",TRUE,'ORDENES'!$Z564=$F$3),IF($H$3="(todos)",TRUE,'ORDENES'!$Y564=$H$3),'ORDENES'!$AF564=TRUE,'ORDENES'!$A564&lt;&gt;""),1,0)</f>
        <v/>
      </c>
      <c r="L568" s="5">
        <f>IF(K568=1,IFERROR(MATCH('ORDENES'!$S564,lista_dias,0),9)*1000000000+IFERROR(MATCH('ORDENES'!$AH564,lista_turnos,0),9)*10000000+IFERROR(MATCH('ORDENES'!$AG564,'TECNICOS'!$B$4:$B$19,0),99)*100000+561,9000000000000+561)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2">
        <f>IF(K568=1,'ORDENES'!$J564,"")</f>
        <v/>
      </c>
    </row>
    <row r="569">
      <c r="K569" s="5">
        <f>IF(AND(IF($B$3="(todos)",TRUE,'ORDENES'!$O565=$B$3),IF($D$3="(todos)",TRUE,'ORDENES'!$AH565=$D$3),IF($F$3="(todos)",TRUE,'ORDENES'!$Z565=$F$3),IF($H$3="(todos)",TRUE,'ORDENES'!$Y565=$H$3),'ORDENES'!$AF565=TRUE,'ORDENES'!$A565&lt;&gt;""),1,0)</f>
        <v/>
      </c>
      <c r="L569" s="5">
        <f>IF(K569=1,IFERROR(MATCH('ORDENES'!$S565,lista_dias,0),9)*1000000000+IFERROR(MATCH('ORDENES'!$AH565,lista_turnos,0),9)*10000000+IFERROR(MATCH('ORDENES'!$AG565,'TECNICOS'!$B$4:$B$19,0),99)*100000+562,9000000000000+562)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2">
        <f>IF(K569=1,'ORDENES'!$J565,"")</f>
        <v/>
      </c>
    </row>
    <row r="570">
      <c r="K570" s="5">
        <f>IF(AND(IF($B$3="(todos)",TRUE,'ORDENES'!$O566=$B$3),IF($D$3="(todos)",TRUE,'ORDENES'!$AH566=$D$3),IF($F$3="(todos)",TRUE,'ORDENES'!$Z566=$F$3),IF($H$3="(todos)",TRUE,'ORDENES'!$Y566=$H$3),'ORDENES'!$AF566=TRUE,'ORDENES'!$A566&lt;&gt;""),1,0)</f>
        <v/>
      </c>
      <c r="L570" s="5">
        <f>IF(K570=1,IFERROR(MATCH('ORDENES'!$S566,lista_dias,0),9)*1000000000+IFERROR(MATCH('ORDENES'!$AH566,lista_turnos,0),9)*10000000+IFERROR(MATCH('ORDENES'!$AG566,'TECNICOS'!$B$4:$B$19,0),99)*100000+563,9000000000000+563)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2">
        <f>IF(K570=1,'ORDENES'!$J566,"")</f>
        <v/>
      </c>
    </row>
    <row r="571">
      <c r="K571" s="5">
        <f>IF(AND(IF($B$3="(todos)",TRUE,'ORDENES'!$O567=$B$3),IF($D$3="(todos)",TRUE,'ORDENES'!$AH567=$D$3),IF($F$3="(todos)",TRUE,'ORDENES'!$Z567=$F$3),IF($H$3="(todos)",TRUE,'ORDENES'!$Y567=$H$3),'ORDENES'!$AF567=TRUE,'ORDENES'!$A567&lt;&gt;""),1,0)</f>
        <v/>
      </c>
      <c r="L571" s="5">
        <f>IF(K571=1,IFERROR(MATCH('ORDENES'!$S567,lista_dias,0),9)*1000000000+IFERROR(MATCH('ORDENES'!$AH567,lista_turnos,0),9)*10000000+IFERROR(MATCH('ORDENES'!$AG567,'TECNICOS'!$B$4:$B$19,0),99)*100000+564,9000000000000+564)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2">
        <f>IF(K571=1,'ORDENES'!$J567,"")</f>
        <v/>
      </c>
    </row>
    <row r="572">
      <c r="K572" s="5">
        <f>IF(AND(IF($B$3="(todos)",TRUE,'ORDENES'!$O568=$B$3),IF($D$3="(todos)",TRUE,'ORDENES'!$AH568=$D$3),IF($F$3="(todos)",TRUE,'ORDENES'!$Z568=$F$3),IF($H$3="(todos)",TRUE,'ORDENES'!$Y568=$H$3),'ORDENES'!$AF568=TRUE,'ORDENES'!$A568&lt;&gt;""),1,0)</f>
        <v/>
      </c>
      <c r="L572" s="5">
        <f>IF(K572=1,IFERROR(MATCH('ORDENES'!$S568,lista_dias,0),9)*1000000000+IFERROR(MATCH('ORDENES'!$AH568,lista_turnos,0),9)*10000000+IFERROR(MATCH('ORDENES'!$AG568,'TECNICOS'!$B$4:$B$19,0),99)*100000+565,9000000000000+565)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2">
        <f>IF(K572=1,'ORDENES'!$J568,"")</f>
        <v/>
      </c>
    </row>
    <row r="573">
      <c r="K573" s="5">
        <f>IF(AND(IF($B$3="(todos)",TRUE,'ORDENES'!$O569=$B$3),IF($D$3="(todos)",TRUE,'ORDENES'!$AH569=$D$3),IF($F$3="(todos)",TRUE,'ORDENES'!$Z569=$F$3),IF($H$3="(todos)",TRUE,'ORDENES'!$Y569=$H$3),'ORDENES'!$AF569=TRUE,'ORDENES'!$A569&lt;&gt;""),1,0)</f>
        <v/>
      </c>
      <c r="L573" s="5">
        <f>IF(K573=1,IFERROR(MATCH('ORDENES'!$S569,lista_dias,0),9)*1000000000+IFERROR(MATCH('ORDENES'!$AH569,lista_turnos,0),9)*10000000+IFERROR(MATCH('ORDENES'!$AG569,'TECNICOS'!$B$4:$B$19,0),99)*100000+566,9000000000000+566)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2">
        <f>IF(K573=1,'ORDENES'!$J569,"")</f>
        <v/>
      </c>
    </row>
    <row r="574">
      <c r="K574" s="5">
        <f>IF(AND(IF($B$3="(todos)",TRUE,'ORDENES'!$O570=$B$3),IF($D$3="(todos)",TRUE,'ORDENES'!$AH570=$D$3),IF($F$3="(todos)",TRUE,'ORDENES'!$Z570=$F$3),IF($H$3="(todos)",TRUE,'ORDENES'!$Y570=$H$3),'ORDENES'!$AF570=TRUE,'ORDENES'!$A570&lt;&gt;""),1,0)</f>
        <v/>
      </c>
      <c r="L574" s="5">
        <f>IF(K574=1,IFERROR(MATCH('ORDENES'!$S570,lista_dias,0),9)*1000000000+IFERROR(MATCH('ORDENES'!$AH570,lista_turnos,0),9)*10000000+IFERROR(MATCH('ORDENES'!$AG570,'TECNICOS'!$B$4:$B$19,0),99)*100000+567,9000000000000+567)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2">
        <f>IF(K574=1,'ORDENES'!$J570,"")</f>
        <v/>
      </c>
    </row>
    <row r="575">
      <c r="K575" s="5">
        <f>IF(AND(IF($B$3="(todos)",TRUE,'ORDENES'!$O571=$B$3),IF($D$3="(todos)",TRUE,'ORDENES'!$AH571=$D$3),IF($F$3="(todos)",TRUE,'ORDENES'!$Z571=$F$3),IF($H$3="(todos)",TRUE,'ORDENES'!$Y571=$H$3),'ORDENES'!$AF571=TRUE,'ORDENES'!$A571&lt;&gt;""),1,0)</f>
        <v/>
      </c>
      <c r="L575" s="5">
        <f>IF(K575=1,IFERROR(MATCH('ORDENES'!$S571,lista_dias,0),9)*1000000000+IFERROR(MATCH('ORDENES'!$AH571,lista_turnos,0),9)*10000000+IFERROR(MATCH('ORDENES'!$AG571,'TECNICOS'!$B$4:$B$19,0),99)*100000+568,9000000000000+568)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2">
        <f>IF(K575=1,'ORDENES'!$J571,"")</f>
        <v/>
      </c>
    </row>
    <row r="576">
      <c r="K576" s="5">
        <f>IF(AND(IF($B$3="(todos)",TRUE,'ORDENES'!$O572=$B$3),IF($D$3="(todos)",TRUE,'ORDENES'!$AH572=$D$3),IF($F$3="(todos)",TRUE,'ORDENES'!$Z572=$F$3),IF($H$3="(todos)",TRUE,'ORDENES'!$Y572=$H$3),'ORDENES'!$AF572=TRUE,'ORDENES'!$A572&lt;&gt;""),1,0)</f>
        <v/>
      </c>
      <c r="L576" s="5">
        <f>IF(K576=1,IFERROR(MATCH('ORDENES'!$S572,lista_dias,0),9)*1000000000+IFERROR(MATCH('ORDENES'!$AH572,lista_turnos,0),9)*10000000+IFERROR(MATCH('ORDENES'!$AG572,'TECNICOS'!$B$4:$B$19,0),99)*100000+569,9000000000000+569)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2">
        <f>IF(K576=1,'ORDENES'!$J572,"")</f>
        <v/>
      </c>
    </row>
    <row r="577">
      <c r="K577" s="5">
        <f>IF(AND(IF($B$3="(todos)",TRUE,'ORDENES'!$O573=$B$3),IF($D$3="(todos)",TRUE,'ORDENES'!$AH573=$D$3),IF($F$3="(todos)",TRUE,'ORDENES'!$Z573=$F$3),IF($H$3="(todos)",TRUE,'ORDENES'!$Y573=$H$3),'ORDENES'!$AF573=TRUE,'ORDENES'!$A573&lt;&gt;""),1,0)</f>
        <v/>
      </c>
      <c r="L577" s="5">
        <f>IF(K577=1,IFERROR(MATCH('ORDENES'!$S573,lista_dias,0),9)*1000000000+IFERROR(MATCH('ORDENES'!$AH573,lista_turnos,0),9)*10000000+IFERROR(MATCH('ORDENES'!$AG573,'TECNICOS'!$B$4:$B$19,0),99)*100000+570,9000000000000+570)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2">
        <f>IF(K577=1,'ORDENES'!$J573,"")</f>
        <v/>
      </c>
    </row>
    <row r="578">
      <c r="K578" s="5">
        <f>IF(AND(IF($B$3="(todos)",TRUE,'ORDENES'!$O574=$B$3),IF($D$3="(todos)",TRUE,'ORDENES'!$AH574=$D$3),IF($F$3="(todos)",TRUE,'ORDENES'!$Z574=$F$3),IF($H$3="(todos)",TRUE,'ORDENES'!$Y574=$H$3),'ORDENES'!$AF574=TRUE,'ORDENES'!$A574&lt;&gt;""),1,0)</f>
        <v/>
      </c>
      <c r="L578" s="5">
        <f>IF(K578=1,IFERROR(MATCH('ORDENES'!$S574,lista_dias,0),9)*1000000000+IFERROR(MATCH('ORDENES'!$AH574,lista_turnos,0),9)*10000000+IFERROR(MATCH('ORDENES'!$AG574,'TECNICOS'!$B$4:$B$19,0),99)*100000+571,9000000000000+571)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2">
        <f>IF(K578=1,'ORDENES'!$J574,"")</f>
        <v/>
      </c>
    </row>
    <row r="579">
      <c r="K579" s="5">
        <f>IF(AND(IF($B$3="(todos)",TRUE,'ORDENES'!$O575=$B$3),IF($D$3="(todos)",TRUE,'ORDENES'!$AH575=$D$3),IF($F$3="(todos)",TRUE,'ORDENES'!$Z575=$F$3),IF($H$3="(todos)",TRUE,'ORDENES'!$Y575=$H$3),'ORDENES'!$AF575=TRUE,'ORDENES'!$A575&lt;&gt;""),1,0)</f>
        <v/>
      </c>
      <c r="L579" s="5">
        <f>IF(K579=1,IFERROR(MATCH('ORDENES'!$S575,lista_dias,0),9)*1000000000+IFERROR(MATCH('ORDENES'!$AH575,lista_turnos,0),9)*10000000+IFERROR(MATCH('ORDENES'!$AG575,'TECNICOS'!$B$4:$B$19,0),99)*100000+572,9000000000000+572)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2">
        <f>IF(K579=1,'ORDENES'!$J575,"")</f>
        <v/>
      </c>
    </row>
    <row r="580">
      <c r="K580" s="5">
        <f>IF(AND(IF($B$3="(todos)",TRUE,'ORDENES'!$O576=$B$3),IF($D$3="(todos)",TRUE,'ORDENES'!$AH576=$D$3),IF($F$3="(todos)",TRUE,'ORDENES'!$Z576=$F$3),IF($H$3="(todos)",TRUE,'ORDENES'!$Y576=$H$3),'ORDENES'!$AF576=TRUE,'ORDENES'!$A576&lt;&gt;""),1,0)</f>
        <v/>
      </c>
      <c r="L580" s="5">
        <f>IF(K580=1,IFERROR(MATCH('ORDENES'!$S576,lista_dias,0),9)*1000000000+IFERROR(MATCH('ORDENES'!$AH576,lista_turnos,0),9)*10000000+IFERROR(MATCH('ORDENES'!$AG576,'TECNICOS'!$B$4:$B$19,0),99)*100000+573,9000000000000+573)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2">
        <f>IF(K580=1,'ORDENES'!$J576,"")</f>
        <v/>
      </c>
    </row>
    <row r="581">
      <c r="K581" s="5">
        <f>IF(AND(IF($B$3="(todos)",TRUE,'ORDENES'!$O577=$B$3),IF($D$3="(todos)",TRUE,'ORDENES'!$AH577=$D$3),IF($F$3="(todos)",TRUE,'ORDENES'!$Z577=$F$3),IF($H$3="(todos)",TRUE,'ORDENES'!$Y577=$H$3),'ORDENES'!$AF577=TRUE,'ORDENES'!$A577&lt;&gt;""),1,0)</f>
        <v/>
      </c>
      <c r="L581" s="5">
        <f>IF(K581=1,IFERROR(MATCH('ORDENES'!$S577,lista_dias,0),9)*1000000000+IFERROR(MATCH('ORDENES'!$AH577,lista_turnos,0),9)*10000000+IFERROR(MATCH('ORDENES'!$AG577,'TECNICOS'!$B$4:$B$19,0),99)*100000+574,9000000000000+574)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2">
        <f>IF(K581=1,'ORDENES'!$J577,"")</f>
        <v/>
      </c>
    </row>
    <row r="582">
      <c r="K582" s="5">
        <f>IF(AND(IF($B$3="(todos)",TRUE,'ORDENES'!$O578=$B$3),IF($D$3="(todos)",TRUE,'ORDENES'!$AH578=$D$3),IF($F$3="(todos)",TRUE,'ORDENES'!$Z578=$F$3),IF($H$3="(todos)",TRUE,'ORDENES'!$Y578=$H$3),'ORDENES'!$AF578=TRUE,'ORDENES'!$A578&lt;&gt;""),1,0)</f>
        <v/>
      </c>
      <c r="L582" s="5">
        <f>IF(K582=1,IFERROR(MATCH('ORDENES'!$S578,lista_dias,0),9)*1000000000+IFERROR(MATCH('ORDENES'!$AH578,lista_turnos,0),9)*10000000+IFERROR(MATCH('ORDENES'!$AG578,'TECNICOS'!$B$4:$B$19,0),99)*100000+575,9000000000000+575)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2">
        <f>IF(K582=1,'ORDENES'!$J578,"")</f>
        <v/>
      </c>
    </row>
    <row r="583">
      <c r="K583" s="5">
        <f>IF(AND(IF($B$3="(todos)",TRUE,'ORDENES'!$O579=$B$3),IF($D$3="(todos)",TRUE,'ORDENES'!$AH579=$D$3),IF($F$3="(todos)",TRUE,'ORDENES'!$Z579=$F$3),IF($H$3="(todos)",TRUE,'ORDENES'!$Y579=$H$3),'ORDENES'!$AF579=TRUE,'ORDENES'!$A579&lt;&gt;""),1,0)</f>
        <v/>
      </c>
      <c r="L583" s="5">
        <f>IF(K583=1,IFERROR(MATCH('ORDENES'!$S579,lista_dias,0),9)*1000000000+IFERROR(MATCH('ORDENES'!$AH579,lista_turnos,0),9)*10000000+IFERROR(MATCH('ORDENES'!$AG579,'TECNICOS'!$B$4:$B$19,0),99)*100000+576,9000000000000+576)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2">
        <f>IF(K583=1,'ORDENES'!$J579,"")</f>
        <v/>
      </c>
    </row>
    <row r="584">
      <c r="K584" s="5">
        <f>IF(AND(IF($B$3="(todos)",TRUE,'ORDENES'!$O580=$B$3),IF($D$3="(todos)",TRUE,'ORDENES'!$AH580=$D$3),IF($F$3="(todos)",TRUE,'ORDENES'!$Z580=$F$3),IF($H$3="(todos)",TRUE,'ORDENES'!$Y580=$H$3),'ORDENES'!$AF580=TRUE,'ORDENES'!$A580&lt;&gt;""),1,0)</f>
        <v/>
      </c>
      <c r="L584" s="5">
        <f>IF(K584=1,IFERROR(MATCH('ORDENES'!$S580,lista_dias,0),9)*1000000000+IFERROR(MATCH('ORDENES'!$AH580,lista_turnos,0),9)*10000000+IFERROR(MATCH('ORDENES'!$AG580,'TECNICOS'!$B$4:$B$19,0),99)*100000+577,9000000000000+577)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2">
        <f>IF(K584=1,'ORDENES'!$J580,"")</f>
        <v/>
      </c>
    </row>
    <row r="585">
      <c r="K585" s="5">
        <f>IF(AND(IF($B$3="(todos)",TRUE,'ORDENES'!$O581=$B$3),IF($D$3="(todos)",TRUE,'ORDENES'!$AH581=$D$3),IF($F$3="(todos)",TRUE,'ORDENES'!$Z581=$F$3),IF($H$3="(todos)",TRUE,'ORDENES'!$Y581=$H$3),'ORDENES'!$AF581=TRUE,'ORDENES'!$A581&lt;&gt;""),1,0)</f>
        <v/>
      </c>
      <c r="L585" s="5">
        <f>IF(K585=1,IFERROR(MATCH('ORDENES'!$S581,lista_dias,0),9)*1000000000+IFERROR(MATCH('ORDENES'!$AH581,lista_turnos,0),9)*10000000+IFERROR(MATCH('ORDENES'!$AG581,'TECNICOS'!$B$4:$B$19,0),99)*100000+578,9000000000000+578)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2">
        <f>IF(K585=1,'ORDENES'!$J581,"")</f>
        <v/>
      </c>
    </row>
    <row r="586">
      <c r="K586" s="5">
        <f>IF(AND(IF($B$3="(todos)",TRUE,'ORDENES'!$O582=$B$3),IF($D$3="(todos)",TRUE,'ORDENES'!$AH582=$D$3),IF($F$3="(todos)",TRUE,'ORDENES'!$Z582=$F$3),IF($H$3="(todos)",TRUE,'ORDENES'!$Y582=$H$3),'ORDENES'!$AF582=TRUE,'ORDENES'!$A582&lt;&gt;""),1,0)</f>
        <v/>
      </c>
      <c r="L586" s="5">
        <f>IF(K586=1,IFERROR(MATCH('ORDENES'!$S582,lista_dias,0),9)*1000000000+IFERROR(MATCH('ORDENES'!$AH582,lista_turnos,0),9)*10000000+IFERROR(MATCH('ORDENES'!$AG582,'TECNICOS'!$B$4:$B$19,0),99)*100000+579,9000000000000+579)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2">
        <f>IF(K586=1,'ORDENES'!$J582,"")</f>
        <v/>
      </c>
    </row>
    <row r="587">
      <c r="K587" s="5">
        <f>IF(AND(IF($B$3="(todos)",TRUE,'ORDENES'!$O583=$B$3),IF($D$3="(todos)",TRUE,'ORDENES'!$AH583=$D$3),IF($F$3="(todos)",TRUE,'ORDENES'!$Z583=$F$3),IF($H$3="(todos)",TRUE,'ORDENES'!$Y583=$H$3),'ORDENES'!$AF583=TRUE,'ORDENES'!$A583&lt;&gt;""),1,0)</f>
        <v/>
      </c>
      <c r="L587" s="5">
        <f>IF(K587=1,IFERROR(MATCH('ORDENES'!$S583,lista_dias,0),9)*1000000000+IFERROR(MATCH('ORDENES'!$AH583,lista_turnos,0),9)*10000000+IFERROR(MATCH('ORDENES'!$AG583,'TECNICOS'!$B$4:$B$19,0),99)*100000+580,9000000000000+580)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2">
        <f>IF(K587=1,'ORDENES'!$J583,"")</f>
        <v/>
      </c>
    </row>
    <row r="588">
      <c r="K588" s="5">
        <f>IF(AND(IF($B$3="(todos)",TRUE,'ORDENES'!$O584=$B$3),IF($D$3="(todos)",TRUE,'ORDENES'!$AH584=$D$3),IF($F$3="(todos)",TRUE,'ORDENES'!$Z584=$F$3),IF($H$3="(todos)",TRUE,'ORDENES'!$Y584=$H$3),'ORDENES'!$AF584=TRUE,'ORDENES'!$A584&lt;&gt;""),1,0)</f>
        <v/>
      </c>
      <c r="L588" s="5">
        <f>IF(K588=1,IFERROR(MATCH('ORDENES'!$S584,lista_dias,0),9)*1000000000+IFERROR(MATCH('ORDENES'!$AH584,lista_turnos,0),9)*10000000+IFERROR(MATCH('ORDENES'!$AG584,'TECNICOS'!$B$4:$B$19,0),99)*100000+581,9000000000000+581)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2">
        <f>IF(K588=1,'ORDENES'!$J584,"")</f>
        <v/>
      </c>
    </row>
    <row r="589">
      <c r="K589" s="5">
        <f>IF(AND(IF($B$3="(todos)",TRUE,'ORDENES'!$O585=$B$3),IF($D$3="(todos)",TRUE,'ORDENES'!$AH585=$D$3),IF($F$3="(todos)",TRUE,'ORDENES'!$Z585=$F$3),IF($H$3="(todos)",TRUE,'ORDENES'!$Y585=$H$3),'ORDENES'!$AF585=TRUE,'ORDENES'!$A585&lt;&gt;""),1,0)</f>
        <v/>
      </c>
      <c r="L589" s="5">
        <f>IF(K589=1,IFERROR(MATCH('ORDENES'!$S585,lista_dias,0),9)*1000000000+IFERROR(MATCH('ORDENES'!$AH585,lista_turnos,0),9)*10000000+IFERROR(MATCH('ORDENES'!$AG585,'TECNICOS'!$B$4:$B$19,0),99)*100000+582,9000000000000+582)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2">
        <f>IF(K589=1,'ORDENES'!$J585,"")</f>
        <v/>
      </c>
    </row>
    <row r="590">
      <c r="K590" s="5">
        <f>IF(AND(IF($B$3="(todos)",TRUE,'ORDENES'!$O586=$B$3),IF($D$3="(todos)",TRUE,'ORDENES'!$AH586=$D$3),IF($F$3="(todos)",TRUE,'ORDENES'!$Z586=$F$3),IF($H$3="(todos)",TRUE,'ORDENES'!$Y586=$H$3),'ORDENES'!$AF586=TRUE,'ORDENES'!$A586&lt;&gt;""),1,0)</f>
        <v/>
      </c>
      <c r="L590" s="5">
        <f>IF(K590=1,IFERROR(MATCH('ORDENES'!$S586,lista_dias,0),9)*1000000000+IFERROR(MATCH('ORDENES'!$AH586,lista_turnos,0),9)*10000000+IFERROR(MATCH('ORDENES'!$AG586,'TECNICOS'!$B$4:$B$19,0),99)*100000+583,9000000000000+583)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2">
        <f>IF(K590=1,'ORDENES'!$J586,"")</f>
        <v/>
      </c>
    </row>
    <row r="591">
      <c r="K591" s="5">
        <f>IF(AND(IF($B$3="(todos)",TRUE,'ORDENES'!$O587=$B$3),IF($D$3="(todos)",TRUE,'ORDENES'!$AH587=$D$3),IF($F$3="(todos)",TRUE,'ORDENES'!$Z587=$F$3),IF($H$3="(todos)",TRUE,'ORDENES'!$Y587=$H$3),'ORDENES'!$AF587=TRUE,'ORDENES'!$A587&lt;&gt;""),1,0)</f>
        <v/>
      </c>
      <c r="L591" s="5">
        <f>IF(K591=1,IFERROR(MATCH('ORDENES'!$S587,lista_dias,0),9)*1000000000+IFERROR(MATCH('ORDENES'!$AH587,lista_turnos,0),9)*10000000+IFERROR(MATCH('ORDENES'!$AG587,'TECNICOS'!$B$4:$B$19,0),99)*100000+584,9000000000000+584)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2">
        <f>IF(K591=1,'ORDENES'!$J587,"")</f>
        <v/>
      </c>
    </row>
    <row r="592">
      <c r="K592" s="5">
        <f>IF(AND(IF($B$3="(todos)",TRUE,'ORDENES'!$O588=$B$3),IF($D$3="(todos)",TRUE,'ORDENES'!$AH588=$D$3),IF($F$3="(todos)",TRUE,'ORDENES'!$Z588=$F$3),IF($H$3="(todos)",TRUE,'ORDENES'!$Y588=$H$3),'ORDENES'!$AF588=TRUE,'ORDENES'!$A588&lt;&gt;""),1,0)</f>
        <v/>
      </c>
      <c r="L592" s="5">
        <f>IF(K592=1,IFERROR(MATCH('ORDENES'!$S588,lista_dias,0),9)*1000000000+IFERROR(MATCH('ORDENES'!$AH588,lista_turnos,0),9)*10000000+IFERROR(MATCH('ORDENES'!$AG588,'TECNICOS'!$B$4:$B$19,0),99)*100000+585,9000000000000+585)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2">
        <f>IF(K592=1,'ORDENES'!$J588,"")</f>
        <v/>
      </c>
    </row>
    <row r="593">
      <c r="K593" s="5">
        <f>IF(AND(IF($B$3="(todos)",TRUE,'ORDENES'!$O589=$B$3),IF($D$3="(todos)",TRUE,'ORDENES'!$AH589=$D$3),IF($F$3="(todos)",TRUE,'ORDENES'!$Z589=$F$3),IF($H$3="(todos)",TRUE,'ORDENES'!$Y589=$H$3),'ORDENES'!$AF589=TRUE,'ORDENES'!$A589&lt;&gt;""),1,0)</f>
        <v/>
      </c>
      <c r="L593" s="5">
        <f>IF(K593=1,IFERROR(MATCH('ORDENES'!$S589,lista_dias,0),9)*1000000000+IFERROR(MATCH('ORDENES'!$AH589,lista_turnos,0),9)*10000000+IFERROR(MATCH('ORDENES'!$AG589,'TECNICOS'!$B$4:$B$19,0),99)*100000+586,9000000000000+586)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2">
        <f>IF(K593=1,'ORDENES'!$J589,"")</f>
        <v/>
      </c>
    </row>
    <row r="594">
      <c r="K594" s="5">
        <f>IF(AND(IF($B$3="(todos)",TRUE,'ORDENES'!$O590=$B$3),IF($D$3="(todos)",TRUE,'ORDENES'!$AH590=$D$3),IF($F$3="(todos)",TRUE,'ORDENES'!$Z590=$F$3),IF($H$3="(todos)",TRUE,'ORDENES'!$Y590=$H$3),'ORDENES'!$AF590=TRUE,'ORDENES'!$A590&lt;&gt;""),1,0)</f>
        <v/>
      </c>
      <c r="L594" s="5">
        <f>IF(K594=1,IFERROR(MATCH('ORDENES'!$S590,lista_dias,0),9)*1000000000+IFERROR(MATCH('ORDENES'!$AH590,lista_turnos,0),9)*10000000+IFERROR(MATCH('ORDENES'!$AG590,'TECNICOS'!$B$4:$B$19,0),99)*100000+587,9000000000000+587)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2">
        <f>IF(K594=1,'ORDENES'!$J590,"")</f>
        <v/>
      </c>
    </row>
    <row r="595">
      <c r="K595" s="5">
        <f>IF(AND(IF($B$3="(todos)",TRUE,'ORDENES'!$O591=$B$3),IF($D$3="(todos)",TRUE,'ORDENES'!$AH591=$D$3),IF($F$3="(todos)",TRUE,'ORDENES'!$Z591=$F$3),IF($H$3="(todos)",TRUE,'ORDENES'!$Y591=$H$3),'ORDENES'!$AF591=TRUE,'ORDENES'!$A591&lt;&gt;""),1,0)</f>
        <v/>
      </c>
      <c r="L595" s="5">
        <f>IF(K595=1,IFERROR(MATCH('ORDENES'!$S591,lista_dias,0),9)*1000000000+IFERROR(MATCH('ORDENES'!$AH591,lista_turnos,0),9)*10000000+IFERROR(MATCH('ORDENES'!$AG591,'TECNICOS'!$B$4:$B$19,0),99)*100000+588,9000000000000+588)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2">
        <f>IF(K595=1,'ORDENES'!$J591,"")</f>
        <v/>
      </c>
    </row>
    <row r="596">
      <c r="K596" s="5">
        <f>IF(AND(IF($B$3="(todos)",TRUE,'ORDENES'!$O592=$B$3),IF($D$3="(todos)",TRUE,'ORDENES'!$AH592=$D$3),IF($F$3="(todos)",TRUE,'ORDENES'!$Z592=$F$3),IF($H$3="(todos)",TRUE,'ORDENES'!$Y592=$H$3),'ORDENES'!$AF592=TRUE,'ORDENES'!$A592&lt;&gt;""),1,0)</f>
        <v/>
      </c>
      <c r="L596" s="5">
        <f>IF(K596=1,IFERROR(MATCH('ORDENES'!$S592,lista_dias,0),9)*1000000000+IFERROR(MATCH('ORDENES'!$AH592,lista_turnos,0),9)*10000000+IFERROR(MATCH('ORDENES'!$AG592,'TECNICOS'!$B$4:$B$19,0),99)*100000+589,9000000000000+589)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2">
        <f>IF(K596=1,'ORDENES'!$J592,"")</f>
        <v/>
      </c>
    </row>
    <row r="597">
      <c r="K597" s="5">
        <f>IF(AND(IF($B$3="(todos)",TRUE,'ORDENES'!$O593=$B$3),IF($D$3="(todos)",TRUE,'ORDENES'!$AH593=$D$3),IF($F$3="(todos)",TRUE,'ORDENES'!$Z593=$F$3),IF($H$3="(todos)",TRUE,'ORDENES'!$Y593=$H$3),'ORDENES'!$AF593=TRUE,'ORDENES'!$A593&lt;&gt;""),1,0)</f>
        <v/>
      </c>
      <c r="L597" s="5">
        <f>IF(K597=1,IFERROR(MATCH('ORDENES'!$S593,lista_dias,0),9)*1000000000+IFERROR(MATCH('ORDENES'!$AH593,lista_turnos,0),9)*10000000+IFERROR(MATCH('ORDENES'!$AG593,'TECNICOS'!$B$4:$B$19,0),99)*100000+590,9000000000000+590)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2">
        <f>IF(K597=1,'ORDENES'!$J593,"")</f>
        <v/>
      </c>
    </row>
    <row r="598">
      <c r="K598" s="5">
        <f>IF(AND(IF($B$3="(todos)",TRUE,'ORDENES'!$O594=$B$3),IF($D$3="(todos)",TRUE,'ORDENES'!$AH594=$D$3),IF($F$3="(todos)",TRUE,'ORDENES'!$Z594=$F$3),IF($H$3="(todos)",TRUE,'ORDENES'!$Y594=$H$3),'ORDENES'!$AF594=TRUE,'ORDENES'!$A594&lt;&gt;""),1,0)</f>
        <v/>
      </c>
      <c r="L598" s="5">
        <f>IF(K598=1,IFERROR(MATCH('ORDENES'!$S594,lista_dias,0),9)*1000000000+IFERROR(MATCH('ORDENES'!$AH594,lista_turnos,0),9)*10000000+IFERROR(MATCH('ORDENES'!$AG594,'TECNICOS'!$B$4:$B$19,0),99)*100000+591,9000000000000+591)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2">
        <f>IF(K598=1,'ORDENES'!$J594,"")</f>
        <v/>
      </c>
    </row>
    <row r="599">
      <c r="K599" s="5">
        <f>IF(AND(IF($B$3="(todos)",TRUE,'ORDENES'!$O595=$B$3),IF($D$3="(todos)",TRUE,'ORDENES'!$AH595=$D$3),IF($F$3="(todos)",TRUE,'ORDENES'!$Z595=$F$3),IF($H$3="(todos)",TRUE,'ORDENES'!$Y595=$H$3),'ORDENES'!$AF595=TRUE,'ORDENES'!$A595&lt;&gt;""),1,0)</f>
        <v/>
      </c>
      <c r="L599" s="5">
        <f>IF(K599=1,IFERROR(MATCH('ORDENES'!$S595,lista_dias,0),9)*1000000000+IFERROR(MATCH('ORDENES'!$AH595,lista_turnos,0),9)*10000000+IFERROR(MATCH('ORDENES'!$AG595,'TECNICOS'!$B$4:$B$19,0),99)*100000+592,9000000000000+592)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2">
        <f>IF(K599=1,'ORDENES'!$J595,"")</f>
        <v/>
      </c>
    </row>
    <row r="600">
      <c r="K600" s="5">
        <f>IF(AND(IF($B$3="(todos)",TRUE,'ORDENES'!$O596=$B$3),IF($D$3="(todos)",TRUE,'ORDENES'!$AH596=$D$3),IF($F$3="(todos)",TRUE,'ORDENES'!$Z596=$F$3),IF($H$3="(todos)",TRUE,'ORDENES'!$Y596=$H$3),'ORDENES'!$AF596=TRUE,'ORDENES'!$A596&lt;&gt;""),1,0)</f>
        <v/>
      </c>
      <c r="L600" s="5">
        <f>IF(K600=1,IFERROR(MATCH('ORDENES'!$S596,lista_dias,0),9)*1000000000+IFERROR(MATCH('ORDENES'!$AH596,lista_turnos,0),9)*10000000+IFERROR(MATCH('ORDENES'!$AG596,'TECNICOS'!$B$4:$B$19,0),99)*100000+593,9000000000000+593)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2">
        <f>IF(K600=1,'ORDENES'!$J596,"")</f>
        <v/>
      </c>
    </row>
    <row r="601">
      <c r="K601" s="5">
        <f>IF(AND(IF($B$3="(todos)",TRUE,'ORDENES'!$O597=$B$3),IF($D$3="(todos)",TRUE,'ORDENES'!$AH597=$D$3),IF($F$3="(todos)",TRUE,'ORDENES'!$Z597=$F$3),IF($H$3="(todos)",TRUE,'ORDENES'!$Y597=$H$3),'ORDENES'!$AF597=TRUE,'ORDENES'!$A597&lt;&gt;""),1,0)</f>
        <v/>
      </c>
      <c r="L601" s="5">
        <f>IF(K601=1,IFERROR(MATCH('ORDENES'!$S597,lista_dias,0),9)*1000000000+IFERROR(MATCH('ORDENES'!$AH597,lista_turnos,0),9)*10000000+IFERROR(MATCH('ORDENES'!$AG597,'TECNICOS'!$B$4:$B$19,0),99)*100000+594,9000000000000+594)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2">
        <f>IF(K601=1,'ORDENES'!$J597,"")</f>
        <v/>
      </c>
    </row>
    <row r="602">
      <c r="K602" s="5">
        <f>IF(AND(IF($B$3="(todos)",TRUE,'ORDENES'!$O598=$B$3),IF($D$3="(todos)",TRUE,'ORDENES'!$AH598=$D$3),IF($F$3="(todos)",TRUE,'ORDENES'!$Z598=$F$3),IF($H$3="(todos)",TRUE,'ORDENES'!$Y598=$H$3),'ORDENES'!$AF598=TRUE,'ORDENES'!$A598&lt;&gt;""),1,0)</f>
        <v/>
      </c>
      <c r="L602" s="5">
        <f>IF(K602=1,IFERROR(MATCH('ORDENES'!$S598,lista_dias,0),9)*1000000000+IFERROR(MATCH('ORDENES'!$AH598,lista_turnos,0),9)*10000000+IFERROR(MATCH('ORDENES'!$AG598,'TECNICOS'!$B$4:$B$19,0),99)*100000+595,9000000000000+595)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2">
        <f>IF(K602=1,'ORDENES'!$J598,"")</f>
        <v/>
      </c>
    </row>
    <row r="603">
      <c r="K603" s="5">
        <f>IF(AND(IF($B$3="(todos)",TRUE,'ORDENES'!$O599=$B$3),IF($D$3="(todos)",TRUE,'ORDENES'!$AH599=$D$3),IF($F$3="(todos)",TRUE,'ORDENES'!$Z599=$F$3),IF($H$3="(todos)",TRUE,'ORDENES'!$Y599=$H$3),'ORDENES'!$AF599=TRUE,'ORDENES'!$A599&lt;&gt;""),1,0)</f>
        <v/>
      </c>
      <c r="L603" s="5">
        <f>IF(K603=1,IFERROR(MATCH('ORDENES'!$S599,lista_dias,0),9)*1000000000+IFERROR(MATCH('ORDENES'!$AH599,lista_turnos,0),9)*10000000+IFERROR(MATCH('ORDENES'!$AG599,'TECNICOS'!$B$4:$B$19,0),99)*100000+596,9000000000000+596)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2">
        <f>IF(K603=1,'ORDENES'!$J599,"")</f>
        <v/>
      </c>
    </row>
    <row r="604">
      <c r="K604" s="5">
        <f>IF(AND(IF($B$3="(todos)",TRUE,'ORDENES'!$O600=$B$3),IF($D$3="(todos)",TRUE,'ORDENES'!$AH600=$D$3),IF($F$3="(todos)",TRUE,'ORDENES'!$Z600=$F$3),IF($H$3="(todos)",TRUE,'ORDENES'!$Y600=$H$3),'ORDENES'!$AF600=TRUE,'ORDENES'!$A600&lt;&gt;""),1,0)</f>
        <v/>
      </c>
      <c r="L604" s="5">
        <f>IF(K604=1,IFERROR(MATCH('ORDENES'!$S600,lista_dias,0),9)*1000000000+IFERROR(MATCH('ORDENES'!$AH600,lista_turnos,0),9)*10000000+IFERROR(MATCH('ORDENES'!$AG600,'TECNICOS'!$B$4:$B$19,0),99)*100000+597,9000000000000+597)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2">
        <f>IF(K604=1,'ORDENES'!$J600,"")</f>
        <v/>
      </c>
    </row>
    <row r="605">
      <c r="K605" s="5">
        <f>IF(AND(IF($B$3="(todos)",TRUE,'ORDENES'!$O601=$B$3),IF($D$3="(todos)",TRUE,'ORDENES'!$AH601=$D$3),IF($F$3="(todos)",TRUE,'ORDENES'!$Z601=$F$3),IF($H$3="(todos)",TRUE,'ORDENES'!$Y601=$H$3),'ORDENES'!$AF601=TRUE,'ORDENES'!$A601&lt;&gt;""),1,0)</f>
        <v/>
      </c>
      <c r="L605" s="5">
        <f>IF(K605=1,IFERROR(MATCH('ORDENES'!$S601,lista_dias,0),9)*1000000000+IFERROR(MATCH('ORDENES'!$AH601,lista_turnos,0),9)*10000000+IFERROR(MATCH('ORDENES'!$AG601,'TECNICOS'!$B$4:$B$19,0),99)*100000+598,9000000000000+598)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2">
        <f>IF(K605=1,'ORDENES'!$J601,"")</f>
        <v/>
      </c>
    </row>
    <row r="606">
      <c r="K606" s="5">
        <f>IF(AND(IF($B$3="(todos)",TRUE,'ORDENES'!$O602=$B$3),IF($D$3="(todos)",TRUE,'ORDENES'!$AH602=$D$3),IF($F$3="(todos)",TRUE,'ORDENES'!$Z602=$F$3),IF($H$3="(todos)",TRUE,'ORDENES'!$Y602=$H$3),'ORDENES'!$AF602=TRUE,'ORDENES'!$A602&lt;&gt;""),1,0)</f>
        <v/>
      </c>
      <c r="L606" s="5">
        <f>IF(K606=1,IFERROR(MATCH('ORDENES'!$S602,lista_dias,0),9)*1000000000+IFERROR(MATCH('ORDENES'!$AH602,lista_turnos,0),9)*10000000+IFERROR(MATCH('ORDENES'!$AG602,'TECNICOS'!$B$4:$B$19,0),99)*100000+599,9000000000000+599)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2">
        <f>IF(K606=1,'ORDENES'!$J602,"")</f>
        <v/>
      </c>
    </row>
    <row r="607">
      <c r="K607" s="5">
        <f>IF(AND(IF($B$3="(todos)",TRUE,'ORDENES'!$O603=$B$3),IF($D$3="(todos)",TRUE,'ORDENES'!$AH603=$D$3),IF($F$3="(todos)",TRUE,'ORDENES'!$Z603=$F$3),IF($H$3="(todos)",TRUE,'ORDENES'!$Y603=$H$3),'ORDENES'!$AF603=TRUE,'ORDENES'!$A603&lt;&gt;""),1,0)</f>
        <v/>
      </c>
      <c r="L607" s="5">
        <f>IF(K607=1,IFERROR(MATCH('ORDENES'!$S603,lista_dias,0),9)*1000000000+IFERROR(MATCH('ORDENES'!$AH603,lista_turnos,0),9)*10000000+IFERROR(MATCH('ORDENES'!$AG603,'TECNICOS'!$B$4:$B$19,0),99)*100000+600,9000000000000+600)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2">
        <f>IF(K607=1,'ORDENES'!$J603,"")</f>
        <v/>
      </c>
    </row>
    <row r="608">
      <c r="K608" s="5">
        <f>IF(AND(IF($B$3="(todos)",TRUE,'ORDENES'!$O604=$B$3),IF($D$3="(todos)",TRUE,'ORDENES'!$AH604=$D$3),IF($F$3="(todos)",TRUE,'ORDENES'!$Z604=$F$3),IF($H$3="(todos)",TRUE,'ORDENES'!$Y604=$H$3),'ORDENES'!$AF604=TRUE,'ORDENES'!$A604&lt;&gt;""),1,0)</f>
        <v/>
      </c>
      <c r="L608" s="5">
        <f>IF(K608=1,IFERROR(MATCH('ORDENES'!$S604,lista_dias,0),9)*1000000000+IFERROR(MATCH('ORDENES'!$AH604,lista_turnos,0),9)*10000000+IFERROR(MATCH('ORDENES'!$AG604,'TECNICOS'!$B$4:$B$19,0),99)*100000+601,9000000000000+601)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2">
        <f>IF(K608=1,'ORDENES'!$J604,"")</f>
        <v/>
      </c>
    </row>
    <row r="609">
      <c r="K609" s="5">
        <f>IF(AND(IF($B$3="(todos)",TRUE,'ORDENES'!$O605=$B$3),IF($D$3="(todos)",TRUE,'ORDENES'!$AH605=$D$3),IF($F$3="(todos)",TRUE,'ORDENES'!$Z605=$F$3),IF($H$3="(todos)",TRUE,'ORDENES'!$Y605=$H$3),'ORDENES'!$AF605=TRUE,'ORDENES'!$A605&lt;&gt;""),1,0)</f>
        <v/>
      </c>
      <c r="L609" s="5">
        <f>IF(K609=1,IFERROR(MATCH('ORDENES'!$S605,lista_dias,0),9)*1000000000+IFERROR(MATCH('ORDENES'!$AH605,lista_turnos,0),9)*10000000+IFERROR(MATCH('ORDENES'!$AG605,'TECNICOS'!$B$4:$B$19,0),99)*100000+602,9000000000000+602)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2">
        <f>IF(K609=1,'ORDENES'!$J605,"")</f>
        <v/>
      </c>
    </row>
    <row r="610">
      <c r="K610" s="5">
        <f>IF(AND(IF($B$3="(todos)",TRUE,'ORDENES'!$O606=$B$3),IF($D$3="(todos)",TRUE,'ORDENES'!$AH606=$D$3),IF($F$3="(todos)",TRUE,'ORDENES'!$Z606=$F$3),IF($H$3="(todos)",TRUE,'ORDENES'!$Y606=$H$3),'ORDENES'!$AF606=TRUE,'ORDENES'!$A606&lt;&gt;""),1,0)</f>
        <v/>
      </c>
      <c r="L610" s="5">
        <f>IF(K610=1,IFERROR(MATCH('ORDENES'!$S606,lista_dias,0),9)*1000000000+IFERROR(MATCH('ORDENES'!$AH606,lista_turnos,0),9)*10000000+IFERROR(MATCH('ORDENES'!$AG606,'TECNICOS'!$B$4:$B$19,0),99)*100000+603,9000000000000+603)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2">
        <f>IF(K610=1,'ORDENES'!$J606,"")</f>
        <v/>
      </c>
    </row>
    <row r="611">
      <c r="K611" s="5">
        <f>IF(AND(IF($B$3="(todos)",TRUE,'ORDENES'!$O607=$B$3),IF($D$3="(todos)",TRUE,'ORDENES'!$AH607=$D$3),IF($F$3="(todos)",TRUE,'ORDENES'!$Z607=$F$3),IF($H$3="(todos)",TRUE,'ORDENES'!$Y607=$H$3),'ORDENES'!$AF607=TRUE,'ORDENES'!$A607&lt;&gt;""),1,0)</f>
        <v/>
      </c>
      <c r="L611" s="5">
        <f>IF(K611=1,IFERROR(MATCH('ORDENES'!$S607,lista_dias,0),9)*1000000000+IFERROR(MATCH('ORDENES'!$AH607,lista_turnos,0),9)*10000000+IFERROR(MATCH('ORDENES'!$AG607,'TECNICOS'!$B$4:$B$19,0),99)*100000+604,9000000000000+604)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2">
        <f>IF(K611=1,'ORDENES'!$J607,"")</f>
        <v/>
      </c>
    </row>
    <row r="612">
      <c r="K612" s="5">
        <f>IF(AND(IF($B$3="(todos)",TRUE,'ORDENES'!$O608=$B$3),IF($D$3="(todos)",TRUE,'ORDENES'!$AH608=$D$3),IF($F$3="(todos)",TRUE,'ORDENES'!$Z608=$F$3),IF($H$3="(todos)",TRUE,'ORDENES'!$Y608=$H$3),'ORDENES'!$AF608=TRUE,'ORDENES'!$A608&lt;&gt;""),1,0)</f>
        <v/>
      </c>
      <c r="L612" s="5">
        <f>IF(K612=1,IFERROR(MATCH('ORDENES'!$S608,lista_dias,0),9)*1000000000+IFERROR(MATCH('ORDENES'!$AH608,lista_turnos,0),9)*10000000+IFERROR(MATCH('ORDENES'!$AG608,'TECNICOS'!$B$4:$B$19,0),99)*100000+605,9000000000000+605)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2">
        <f>IF(K612=1,'ORDENES'!$J608,"")</f>
        <v/>
      </c>
    </row>
    <row r="613">
      <c r="K613" s="5">
        <f>IF(AND(IF($B$3="(todos)",TRUE,'ORDENES'!$O609=$B$3),IF($D$3="(todos)",TRUE,'ORDENES'!$AH609=$D$3),IF($F$3="(todos)",TRUE,'ORDENES'!$Z609=$F$3),IF($H$3="(todos)",TRUE,'ORDENES'!$Y609=$H$3),'ORDENES'!$AF609=TRUE,'ORDENES'!$A609&lt;&gt;""),1,0)</f>
        <v/>
      </c>
      <c r="L613" s="5">
        <f>IF(K613=1,IFERROR(MATCH('ORDENES'!$S609,lista_dias,0),9)*1000000000+IFERROR(MATCH('ORDENES'!$AH609,lista_turnos,0),9)*10000000+IFERROR(MATCH('ORDENES'!$AG609,'TECNICOS'!$B$4:$B$19,0),99)*100000+606,9000000000000+606)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2">
        <f>IF(K613=1,'ORDENES'!$J609,"")</f>
        <v/>
      </c>
    </row>
    <row r="614">
      <c r="K614" s="5">
        <f>IF(AND(IF($B$3="(todos)",TRUE,'ORDENES'!$O610=$B$3),IF($D$3="(todos)",TRUE,'ORDENES'!$AH610=$D$3),IF($F$3="(todos)",TRUE,'ORDENES'!$Z610=$F$3),IF($H$3="(todos)",TRUE,'ORDENES'!$Y610=$H$3),'ORDENES'!$AF610=TRUE,'ORDENES'!$A610&lt;&gt;""),1,0)</f>
        <v/>
      </c>
      <c r="L614" s="5">
        <f>IF(K614=1,IFERROR(MATCH('ORDENES'!$S610,lista_dias,0),9)*1000000000+IFERROR(MATCH('ORDENES'!$AH610,lista_turnos,0),9)*10000000+IFERROR(MATCH('ORDENES'!$AG610,'TECNICOS'!$B$4:$B$19,0),99)*100000+607,9000000000000+607)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2">
        <f>IF(K614=1,'ORDENES'!$J610,"")</f>
        <v/>
      </c>
    </row>
    <row r="615">
      <c r="K615" s="5">
        <f>IF(AND(IF($B$3="(todos)",TRUE,'ORDENES'!$O611=$B$3),IF($D$3="(todos)",TRUE,'ORDENES'!$AH611=$D$3),IF($F$3="(todos)",TRUE,'ORDENES'!$Z611=$F$3),IF($H$3="(todos)",TRUE,'ORDENES'!$Y611=$H$3),'ORDENES'!$AF611=TRUE,'ORDENES'!$A611&lt;&gt;""),1,0)</f>
        <v/>
      </c>
      <c r="L615" s="5">
        <f>IF(K615=1,IFERROR(MATCH('ORDENES'!$S611,lista_dias,0),9)*1000000000+IFERROR(MATCH('ORDENES'!$AH611,lista_turnos,0),9)*10000000+IFERROR(MATCH('ORDENES'!$AG611,'TECNICOS'!$B$4:$B$19,0),99)*100000+608,9000000000000+608)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2">
        <f>IF(K615=1,'ORDENES'!$J611,"")</f>
        <v/>
      </c>
    </row>
    <row r="616">
      <c r="K616" s="5">
        <f>IF(AND(IF($B$3="(todos)",TRUE,'ORDENES'!$O612=$B$3),IF($D$3="(todos)",TRUE,'ORDENES'!$AH612=$D$3),IF($F$3="(todos)",TRUE,'ORDENES'!$Z612=$F$3),IF($H$3="(todos)",TRUE,'ORDENES'!$Y612=$H$3),'ORDENES'!$AF612=TRUE,'ORDENES'!$A612&lt;&gt;""),1,0)</f>
        <v/>
      </c>
      <c r="L616" s="5">
        <f>IF(K616=1,IFERROR(MATCH('ORDENES'!$S612,lista_dias,0),9)*1000000000+IFERROR(MATCH('ORDENES'!$AH612,lista_turnos,0),9)*10000000+IFERROR(MATCH('ORDENES'!$AG612,'TECNICOS'!$B$4:$B$19,0),99)*100000+609,9000000000000+609)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2">
        <f>IF(K616=1,'ORDENES'!$J612,"")</f>
        <v/>
      </c>
    </row>
    <row r="617">
      <c r="K617" s="5">
        <f>IF(AND(IF($B$3="(todos)",TRUE,'ORDENES'!$O613=$B$3),IF($D$3="(todos)",TRUE,'ORDENES'!$AH613=$D$3),IF($F$3="(todos)",TRUE,'ORDENES'!$Z613=$F$3),IF($H$3="(todos)",TRUE,'ORDENES'!$Y613=$H$3),'ORDENES'!$AF613=TRUE,'ORDENES'!$A613&lt;&gt;""),1,0)</f>
        <v/>
      </c>
      <c r="L617" s="5">
        <f>IF(K617=1,IFERROR(MATCH('ORDENES'!$S613,lista_dias,0),9)*1000000000+IFERROR(MATCH('ORDENES'!$AH613,lista_turnos,0),9)*10000000+IFERROR(MATCH('ORDENES'!$AG613,'TECNICOS'!$B$4:$B$19,0),99)*100000+610,9000000000000+610)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2">
        <f>IF(K617=1,'ORDENES'!$J613,"")</f>
        <v/>
      </c>
    </row>
    <row r="618">
      <c r="K618" s="5">
        <f>IF(AND(IF($B$3="(todos)",TRUE,'ORDENES'!$O614=$B$3),IF($D$3="(todos)",TRUE,'ORDENES'!$AH614=$D$3),IF($F$3="(todos)",TRUE,'ORDENES'!$Z614=$F$3),IF($H$3="(todos)",TRUE,'ORDENES'!$Y614=$H$3),'ORDENES'!$AF614=TRUE,'ORDENES'!$A614&lt;&gt;""),1,0)</f>
        <v/>
      </c>
      <c r="L618" s="5">
        <f>IF(K618=1,IFERROR(MATCH('ORDENES'!$S614,lista_dias,0),9)*1000000000+IFERROR(MATCH('ORDENES'!$AH614,lista_turnos,0),9)*10000000+IFERROR(MATCH('ORDENES'!$AG614,'TECNICOS'!$B$4:$B$19,0),99)*100000+611,9000000000000+611)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2">
        <f>IF(K618=1,'ORDENES'!$J614,"")</f>
        <v/>
      </c>
    </row>
    <row r="619">
      <c r="K619" s="5">
        <f>IF(AND(IF($B$3="(todos)",TRUE,'ORDENES'!$O615=$B$3),IF($D$3="(todos)",TRUE,'ORDENES'!$AH615=$D$3),IF($F$3="(todos)",TRUE,'ORDENES'!$Z615=$F$3),IF($H$3="(todos)",TRUE,'ORDENES'!$Y615=$H$3),'ORDENES'!$AF615=TRUE,'ORDENES'!$A615&lt;&gt;""),1,0)</f>
        <v/>
      </c>
      <c r="L619" s="5">
        <f>IF(K619=1,IFERROR(MATCH('ORDENES'!$S615,lista_dias,0),9)*1000000000+IFERROR(MATCH('ORDENES'!$AH615,lista_turnos,0),9)*10000000+IFERROR(MATCH('ORDENES'!$AG615,'TECNICOS'!$B$4:$B$19,0),99)*100000+612,9000000000000+612)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2">
        <f>IF(K619=1,'ORDENES'!$J615,"")</f>
        <v/>
      </c>
    </row>
    <row r="620">
      <c r="K620" s="5">
        <f>IF(AND(IF($B$3="(todos)",TRUE,'ORDENES'!$O616=$B$3),IF($D$3="(todos)",TRUE,'ORDENES'!$AH616=$D$3),IF($F$3="(todos)",TRUE,'ORDENES'!$Z616=$F$3),IF($H$3="(todos)",TRUE,'ORDENES'!$Y616=$H$3),'ORDENES'!$AF616=TRUE,'ORDENES'!$A616&lt;&gt;""),1,0)</f>
        <v/>
      </c>
      <c r="L620" s="5">
        <f>IF(K620=1,IFERROR(MATCH('ORDENES'!$S616,lista_dias,0),9)*1000000000+IFERROR(MATCH('ORDENES'!$AH616,lista_turnos,0),9)*10000000+IFERROR(MATCH('ORDENES'!$AG616,'TECNICOS'!$B$4:$B$19,0),99)*100000+613,9000000000000+613)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2">
        <f>IF(K620=1,'ORDENES'!$J616,"")</f>
        <v/>
      </c>
    </row>
    <row r="621">
      <c r="K621" s="5">
        <f>IF(AND(IF($B$3="(todos)",TRUE,'ORDENES'!$O617=$B$3),IF($D$3="(todos)",TRUE,'ORDENES'!$AH617=$D$3),IF($F$3="(todos)",TRUE,'ORDENES'!$Z617=$F$3),IF($H$3="(todos)",TRUE,'ORDENES'!$Y617=$H$3),'ORDENES'!$AF617=TRUE,'ORDENES'!$A617&lt;&gt;""),1,0)</f>
        <v/>
      </c>
      <c r="L621" s="5">
        <f>IF(K621=1,IFERROR(MATCH('ORDENES'!$S617,lista_dias,0),9)*1000000000+IFERROR(MATCH('ORDENES'!$AH617,lista_turnos,0),9)*10000000+IFERROR(MATCH('ORDENES'!$AG617,'TECNICOS'!$B$4:$B$19,0),99)*100000+614,9000000000000+614)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2">
        <f>IF(K621=1,'ORDENES'!$J617,"")</f>
        <v/>
      </c>
    </row>
    <row r="622">
      <c r="K622" s="5">
        <f>IF(AND(IF($B$3="(todos)",TRUE,'ORDENES'!$O618=$B$3),IF($D$3="(todos)",TRUE,'ORDENES'!$AH618=$D$3),IF($F$3="(todos)",TRUE,'ORDENES'!$Z618=$F$3),IF($H$3="(todos)",TRUE,'ORDENES'!$Y618=$H$3),'ORDENES'!$AF618=TRUE,'ORDENES'!$A618&lt;&gt;""),1,0)</f>
        <v/>
      </c>
      <c r="L622" s="5">
        <f>IF(K622=1,IFERROR(MATCH('ORDENES'!$S618,lista_dias,0),9)*1000000000+IFERROR(MATCH('ORDENES'!$AH618,lista_turnos,0),9)*10000000+IFERROR(MATCH('ORDENES'!$AG618,'TECNICOS'!$B$4:$B$19,0),99)*100000+615,9000000000000+615)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2">
        <f>IF(K622=1,'ORDENES'!$J618,"")</f>
        <v/>
      </c>
    </row>
    <row r="623">
      <c r="K623" s="5">
        <f>IF(AND(IF($B$3="(todos)",TRUE,'ORDENES'!$O619=$B$3),IF($D$3="(todos)",TRUE,'ORDENES'!$AH619=$D$3),IF($F$3="(todos)",TRUE,'ORDENES'!$Z619=$F$3),IF($H$3="(todos)",TRUE,'ORDENES'!$Y619=$H$3),'ORDENES'!$AF619=TRUE,'ORDENES'!$A619&lt;&gt;""),1,0)</f>
        <v/>
      </c>
      <c r="L623" s="5">
        <f>IF(K623=1,IFERROR(MATCH('ORDENES'!$S619,lista_dias,0),9)*1000000000+IFERROR(MATCH('ORDENES'!$AH619,lista_turnos,0),9)*10000000+IFERROR(MATCH('ORDENES'!$AG619,'TECNICOS'!$B$4:$B$19,0),99)*100000+616,9000000000000+616)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2">
        <f>IF(K623=1,'ORDENES'!$J619,"")</f>
        <v/>
      </c>
    </row>
    <row r="624">
      <c r="K624" s="5">
        <f>IF(AND(IF($B$3="(todos)",TRUE,'ORDENES'!$O620=$B$3),IF($D$3="(todos)",TRUE,'ORDENES'!$AH620=$D$3),IF($F$3="(todos)",TRUE,'ORDENES'!$Z620=$F$3),IF($H$3="(todos)",TRUE,'ORDENES'!$Y620=$H$3),'ORDENES'!$AF620=TRUE,'ORDENES'!$A620&lt;&gt;""),1,0)</f>
        <v/>
      </c>
      <c r="L624" s="5">
        <f>IF(K624=1,IFERROR(MATCH('ORDENES'!$S620,lista_dias,0),9)*1000000000+IFERROR(MATCH('ORDENES'!$AH620,lista_turnos,0),9)*10000000+IFERROR(MATCH('ORDENES'!$AG620,'TECNICOS'!$B$4:$B$19,0),99)*100000+617,9000000000000+617)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2">
        <f>IF(K624=1,'ORDENES'!$J620,"")</f>
        <v/>
      </c>
    </row>
    <row r="625">
      <c r="K625" s="5">
        <f>IF(AND(IF($B$3="(todos)",TRUE,'ORDENES'!$O621=$B$3),IF($D$3="(todos)",TRUE,'ORDENES'!$AH621=$D$3),IF($F$3="(todos)",TRUE,'ORDENES'!$Z621=$F$3),IF($H$3="(todos)",TRUE,'ORDENES'!$Y621=$H$3),'ORDENES'!$AF621=TRUE,'ORDENES'!$A621&lt;&gt;""),1,0)</f>
        <v/>
      </c>
      <c r="L625" s="5">
        <f>IF(K625=1,IFERROR(MATCH('ORDENES'!$S621,lista_dias,0),9)*1000000000+IFERROR(MATCH('ORDENES'!$AH621,lista_turnos,0),9)*10000000+IFERROR(MATCH('ORDENES'!$AG621,'TECNICOS'!$B$4:$B$19,0),99)*100000+618,9000000000000+618)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2">
        <f>IF(K625=1,'ORDENES'!$J621,"")</f>
        <v/>
      </c>
    </row>
    <row r="626">
      <c r="K626" s="5">
        <f>IF(AND(IF($B$3="(todos)",TRUE,'ORDENES'!$O622=$B$3),IF($D$3="(todos)",TRUE,'ORDENES'!$AH622=$D$3),IF($F$3="(todos)",TRUE,'ORDENES'!$Z622=$F$3),IF($H$3="(todos)",TRUE,'ORDENES'!$Y622=$H$3),'ORDENES'!$AF622=TRUE,'ORDENES'!$A622&lt;&gt;""),1,0)</f>
        <v/>
      </c>
      <c r="L626" s="5">
        <f>IF(K626=1,IFERROR(MATCH('ORDENES'!$S622,lista_dias,0),9)*1000000000+IFERROR(MATCH('ORDENES'!$AH622,lista_turnos,0),9)*10000000+IFERROR(MATCH('ORDENES'!$AG622,'TECNICOS'!$B$4:$B$19,0),99)*100000+619,9000000000000+619)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2">
        <f>IF(K626=1,'ORDENES'!$J622,"")</f>
        <v/>
      </c>
    </row>
    <row r="627">
      <c r="K627" s="5">
        <f>IF(AND(IF($B$3="(todos)",TRUE,'ORDENES'!$O623=$B$3),IF($D$3="(todos)",TRUE,'ORDENES'!$AH623=$D$3),IF($F$3="(todos)",TRUE,'ORDENES'!$Z623=$F$3),IF($H$3="(todos)",TRUE,'ORDENES'!$Y623=$H$3),'ORDENES'!$AF623=TRUE,'ORDENES'!$A623&lt;&gt;""),1,0)</f>
        <v/>
      </c>
      <c r="L627" s="5">
        <f>IF(K627=1,IFERROR(MATCH('ORDENES'!$S623,lista_dias,0),9)*1000000000+IFERROR(MATCH('ORDENES'!$AH623,lista_turnos,0),9)*10000000+IFERROR(MATCH('ORDENES'!$AG623,'TECNICOS'!$B$4:$B$19,0),99)*100000+620,9000000000000+620)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2">
        <f>IF(K627=1,'ORDENES'!$J623,"")</f>
        <v/>
      </c>
    </row>
    <row r="628">
      <c r="K628" s="5">
        <f>IF(AND(IF($B$3="(todos)",TRUE,'ORDENES'!$O624=$B$3),IF($D$3="(todos)",TRUE,'ORDENES'!$AH624=$D$3),IF($F$3="(todos)",TRUE,'ORDENES'!$Z624=$F$3),IF($H$3="(todos)",TRUE,'ORDENES'!$Y624=$H$3),'ORDENES'!$AF624=TRUE,'ORDENES'!$A624&lt;&gt;""),1,0)</f>
        <v/>
      </c>
      <c r="L628" s="5">
        <f>IF(K628=1,IFERROR(MATCH('ORDENES'!$S624,lista_dias,0),9)*1000000000+IFERROR(MATCH('ORDENES'!$AH624,lista_turnos,0),9)*10000000+IFERROR(MATCH('ORDENES'!$AG624,'TECNICOS'!$B$4:$B$19,0),99)*100000+621,9000000000000+621)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2">
        <f>IF(K628=1,'ORDENES'!$J624,"")</f>
        <v/>
      </c>
    </row>
    <row r="629">
      <c r="K629" s="5">
        <f>IF(AND(IF($B$3="(todos)",TRUE,'ORDENES'!$O625=$B$3),IF($D$3="(todos)",TRUE,'ORDENES'!$AH625=$D$3),IF($F$3="(todos)",TRUE,'ORDENES'!$Z625=$F$3),IF($H$3="(todos)",TRUE,'ORDENES'!$Y625=$H$3),'ORDENES'!$AF625=TRUE,'ORDENES'!$A625&lt;&gt;""),1,0)</f>
        <v/>
      </c>
      <c r="L629" s="5">
        <f>IF(K629=1,IFERROR(MATCH('ORDENES'!$S625,lista_dias,0),9)*1000000000+IFERROR(MATCH('ORDENES'!$AH625,lista_turnos,0),9)*10000000+IFERROR(MATCH('ORDENES'!$AG625,'TECNICOS'!$B$4:$B$19,0),99)*100000+622,9000000000000+622)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2">
        <f>IF(K629=1,'ORDENES'!$J625,"")</f>
        <v/>
      </c>
    </row>
    <row r="630">
      <c r="K630" s="5">
        <f>IF(AND(IF($B$3="(todos)",TRUE,'ORDENES'!$O626=$B$3),IF($D$3="(todos)",TRUE,'ORDENES'!$AH626=$D$3),IF($F$3="(todos)",TRUE,'ORDENES'!$Z626=$F$3),IF($H$3="(todos)",TRUE,'ORDENES'!$Y626=$H$3),'ORDENES'!$AF626=TRUE,'ORDENES'!$A626&lt;&gt;""),1,0)</f>
        <v/>
      </c>
      <c r="L630" s="5">
        <f>IF(K630=1,IFERROR(MATCH('ORDENES'!$S626,lista_dias,0),9)*1000000000+IFERROR(MATCH('ORDENES'!$AH626,lista_turnos,0),9)*10000000+IFERROR(MATCH('ORDENES'!$AG626,'TECNICOS'!$B$4:$B$19,0),99)*100000+623,9000000000000+623)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2">
        <f>IF(K630=1,'ORDENES'!$J626,"")</f>
        <v/>
      </c>
    </row>
    <row r="631">
      <c r="K631" s="5">
        <f>IF(AND(IF($B$3="(todos)",TRUE,'ORDENES'!$O627=$B$3),IF($D$3="(todos)",TRUE,'ORDENES'!$AH627=$D$3),IF($F$3="(todos)",TRUE,'ORDENES'!$Z627=$F$3),IF($H$3="(todos)",TRUE,'ORDENES'!$Y627=$H$3),'ORDENES'!$AF627=TRUE,'ORDENES'!$A627&lt;&gt;""),1,0)</f>
        <v/>
      </c>
      <c r="L631" s="5">
        <f>IF(K631=1,IFERROR(MATCH('ORDENES'!$S627,lista_dias,0),9)*1000000000+IFERROR(MATCH('ORDENES'!$AH627,lista_turnos,0),9)*10000000+IFERROR(MATCH('ORDENES'!$AG627,'TECNICOS'!$B$4:$B$19,0),99)*100000+624,9000000000000+624)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2">
        <f>IF(K631=1,'ORDENES'!$J627,"")</f>
        <v/>
      </c>
    </row>
    <row r="632">
      <c r="K632" s="5">
        <f>IF(AND(IF($B$3="(todos)",TRUE,'ORDENES'!$O628=$B$3),IF($D$3="(todos)",TRUE,'ORDENES'!$AH628=$D$3),IF($F$3="(todos)",TRUE,'ORDENES'!$Z628=$F$3),IF($H$3="(todos)",TRUE,'ORDENES'!$Y628=$H$3),'ORDENES'!$AF628=TRUE,'ORDENES'!$A628&lt;&gt;""),1,0)</f>
        <v/>
      </c>
      <c r="L632" s="5">
        <f>IF(K632=1,IFERROR(MATCH('ORDENES'!$S628,lista_dias,0),9)*1000000000+IFERROR(MATCH('ORDENES'!$AH628,lista_turnos,0),9)*10000000+IFERROR(MATCH('ORDENES'!$AG628,'TECNICOS'!$B$4:$B$19,0),99)*100000+625,9000000000000+625)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2">
        <f>IF(K632=1,'ORDENES'!$J628,"")</f>
        <v/>
      </c>
    </row>
    <row r="633">
      <c r="K633" s="5">
        <f>IF(AND(IF($B$3="(todos)",TRUE,'ORDENES'!$O629=$B$3),IF($D$3="(todos)",TRUE,'ORDENES'!$AH629=$D$3),IF($F$3="(todos)",TRUE,'ORDENES'!$Z629=$F$3),IF($H$3="(todos)",TRUE,'ORDENES'!$Y629=$H$3),'ORDENES'!$AF629=TRUE,'ORDENES'!$A629&lt;&gt;""),1,0)</f>
        <v/>
      </c>
      <c r="L633" s="5">
        <f>IF(K633=1,IFERROR(MATCH('ORDENES'!$S629,lista_dias,0),9)*1000000000+IFERROR(MATCH('ORDENES'!$AH629,lista_turnos,0),9)*10000000+IFERROR(MATCH('ORDENES'!$AG629,'TECNICOS'!$B$4:$B$19,0),99)*100000+626,9000000000000+626)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2">
        <f>IF(K633=1,'ORDENES'!$J629,"")</f>
        <v/>
      </c>
    </row>
    <row r="634">
      <c r="K634" s="5">
        <f>IF(AND(IF($B$3="(todos)",TRUE,'ORDENES'!$O630=$B$3),IF($D$3="(todos)",TRUE,'ORDENES'!$AH630=$D$3),IF($F$3="(todos)",TRUE,'ORDENES'!$Z630=$F$3),IF($H$3="(todos)",TRUE,'ORDENES'!$Y630=$H$3),'ORDENES'!$AF630=TRUE,'ORDENES'!$A630&lt;&gt;""),1,0)</f>
        <v/>
      </c>
      <c r="L634" s="5">
        <f>IF(K634=1,IFERROR(MATCH('ORDENES'!$S630,lista_dias,0),9)*1000000000+IFERROR(MATCH('ORDENES'!$AH630,lista_turnos,0),9)*10000000+IFERROR(MATCH('ORDENES'!$AG630,'TECNICOS'!$B$4:$B$19,0),99)*100000+627,9000000000000+627)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2">
        <f>IF(K634=1,'ORDENES'!$J630,"")</f>
        <v/>
      </c>
    </row>
    <row r="635">
      <c r="K635" s="5">
        <f>IF(AND(IF($B$3="(todos)",TRUE,'ORDENES'!$O631=$B$3),IF($D$3="(todos)",TRUE,'ORDENES'!$AH631=$D$3),IF($F$3="(todos)",TRUE,'ORDENES'!$Z631=$F$3),IF($H$3="(todos)",TRUE,'ORDENES'!$Y631=$H$3),'ORDENES'!$AF631=TRUE,'ORDENES'!$A631&lt;&gt;""),1,0)</f>
        <v/>
      </c>
      <c r="L635" s="5">
        <f>IF(K635=1,IFERROR(MATCH('ORDENES'!$S631,lista_dias,0),9)*1000000000+IFERROR(MATCH('ORDENES'!$AH631,lista_turnos,0),9)*10000000+IFERROR(MATCH('ORDENES'!$AG631,'TECNICOS'!$B$4:$B$19,0),99)*100000+628,9000000000000+628)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2">
        <f>IF(K635=1,'ORDENES'!$J631,"")</f>
        <v/>
      </c>
    </row>
    <row r="636">
      <c r="K636" s="5">
        <f>IF(AND(IF($B$3="(todos)",TRUE,'ORDENES'!$O632=$B$3),IF($D$3="(todos)",TRUE,'ORDENES'!$AH632=$D$3),IF($F$3="(todos)",TRUE,'ORDENES'!$Z632=$F$3),IF($H$3="(todos)",TRUE,'ORDENES'!$Y632=$H$3),'ORDENES'!$AF632=TRUE,'ORDENES'!$A632&lt;&gt;""),1,0)</f>
        <v/>
      </c>
      <c r="L636" s="5">
        <f>IF(K636=1,IFERROR(MATCH('ORDENES'!$S632,lista_dias,0),9)*1000000000+IFERROR(MATCH('ORDENES'!$AH632,lista_turnos,0),9)*10000000+IFERROR(MATCH('ORDENES'!$AG632,'TECNICOS'!$B$4:$B$19,0),99)*100000+629,9000000000000+629)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2">
        <f>IF(K636=1,'ORDENES'!$J632,"")</f>
        <v/>
      </c>
    </row>
    <row r="637">
      <c r="K637" s="5">
        <f>IF(AND(IF($B$3="(todos)",TRUE,'ORDENES'!$O633=$B$3),IF($D$3="(todos)",TRUE,'ORDENES'!$AH633=$D$3),IF($F$3="(todos)",TRUE,'ORDENES'!$Z633=$F$3),IF($H$3="(todos)",TRUE,'ORDENES'!$Y633=$H$3),'ORDENES'!$AF633=TRUE,'ORDENES'!$A633&lt;&gt;""),1,0)</f>
        <v/>
      </c>
      <c r="L637" s="5">
        <f>IF(K637=1,IFERROR(MATCH('ORDENES'!$S633,lista_dias,0),9)*1000000000+IFERROR(MATCH('ORDENES'!$AH633,lista_turnos,0),9)*10000000+IFERROR(MATCH('ORDENES'!$AG633,'TECNICOS'!$B$4:$B$19,0),99)*100000+630,9000000000000+630)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2">
        <f>IF(K637=1,'ORDENES'!$J633,"")</f>
        <v/>
      </c>
    </row>
    <row r="638">
      <c r="K638" s="5">
        <f>IF(AND(IF($B$3="(todos)",TRUE,'ORDENES'!$O634=$B$3),IF($D$3="(todos)",TRUE,'ORDENES'!$AH634=$D$3),IF($F$3="(todos)",TRUE,'ORDENES'!$Z634=$F$3),IF($H$3="(todos)",TRUE,'ORDENES'!$Y634=$H$3),'ORDENES'!$AF634=TRUE,'ORDENES'!$A634&lt;&gt;""),1,0)</f>
        <v/>
      </c>
      <c r="L638" s="5">
        <f>IF(K638=1,IFERROR(MATCH('ORDENES'!$S634,lista_dias,0),9)*1000000000+IFERROR(MATCH('ORDENES'!$AH634,lista_turnos,0),9)*10000000+IFERROR(MATCH('ORDENES'!$AG634,'TECNICOS'!$B$4:$B$19,0),99)*100000+631,9000000000000+631)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2">
        <f>IF(K638=1,'ORDENES'!$J634,"")</f>
        <v/>
      </c>
    </row>
    <row r="639">
      <c r="K639" s="5">
        <f>IF(AND(IF($B$3="(todos)",TRUE,'ORDENES'!$O635=$B$3),IF($D$3="(todos)",TRUE,'ORDENES'!$AH635=$D$3),IF($F$3="(todos)",TRUE,'ORDENES'!$Z635=$F$3),IF($H$3="(todos)",TRUE,'ORDENES'!$Y635=$H$3),'ORDENES'!$AF635=TRUE,'ORDENES'!$A635&lt;&gt;""),1,0)</f>
        <v/>
      </c>
      <c r="L639" s="5">
        <f>IF(K639=1,IFERROR(MATCH('ORDENES'!$S635,lista_dias,0),9)*1000000000+IFERROR(MATCH('ORDENES'!$AH635,lista_turnos,0),9)*10000000+IFERROR(MATCH('ORDENES'!$AG635,'TECNICOS'!$B$4:$B$19,0),99)*100000+632,9000000000000+632)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2">
        <f>IF(K639=1,'ORDENES'!$J635,"")</f>
        <v/>
      </c>
    </row>
    <row r="640">
      <c r="K640" s="5">
        <f>IF(AND(IF($B$3="(todos)",TRUE,'ORDENES'!$O636=$B$3),IF($D$3="(todos)",TRUE,'ORDENES'!$AH636=$D$3),IF($F$3="(todos)",TRUE,'ORDENES'!$Z636=$F$3),IF($H$3="(todos)",TRUE,'ORDENES'!$Y636=$H$3),'ORDENES'!$AF636=TRUE,'ORDENES'!$A636&lt;&gt;""),1,0)</f>
        <v/>
      </c>
      <c r="L640" s="5">
        <f>IF(K640=1,IFERROR(MATCH('ORDENES'!$S636,lista_dias,0),9)*1000000000+IFERROR(MATCH('ORDENES'!$AH636,lista_turnos,0),9)*10000000+IFERROR(MATCH('ORDENES'!$AG636,'TECNICOS'!$B$4:$B$19,0),99)*100000+633,9000000000000+633)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2">
        <f>IF(K640=1,'ORDENES'!$J636,"")</f>
        <v/>
      </c>
    </row>
    <row r="641">
      <c r="K641" s="5">
        <f>IF(AND(IF($B$3="(todos)",TRUE,'ORDENES'!$O637=$B$3),IF($D$3="(todos)",TRUE,'ORDENES'!$AH637=$D$3),IF($F$3="(todos)",TRUE,'ORDENES'!$Z637=$F$3),IF($H$3="(todos)",TRUE,'ORDENES'!$Y637=$H$3),'ORDENES'!$AF637=TRUE,'ORDENES'!$A637&lt;&gt;""),1,0)</f>
        <v/>
      </c>
      <c r="L641" s="5">
        <f>IF(K641=1,IFERROR(MATCH('ORDENES'!$S637,lista_dias,0),9)*1000000000+IFERROR(MATCH('ORDENES'!$AH637,lista_turnos,0),9)*10000000+IFERROR(MATCH('ORDENES'!$AG637,'TECNICOS'!$B$4:$B$19,0),99)*100000+634,9000000000000+634)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2">
        <f>IF(K641=1,'ORDENES'!$J637,"")</f>
        <v/>
      </c>
    </row>
    <row r="642">
      <c r="K642" s="5">
        <f>IF(AND(IF($B$3="(todos)",TRUE,'ORDENES'!$O638=$B$3),IF($D$3="(todos)",TRUE,'ORDENES'!$AH638=$D$3),IF($F$3="(todos)",TRUE,'ORDENES'!$Z638=$F$3),IF($H$3="(todos)",TRUE,'ORDENES'!$Y638=$H$3),'ORDENES'!$AF638=TRUE,'ORDENES'!$A638&lt;&gt;""),1,0)</f>
        <v/>
      </c>
      <c r="L642" s="5">
        <f>IF(K642=1,IFERROR(MATCH('ORDENES'!$S638,lista_dias,0),9)*1000000000+IFERROR(MATCH('ORDENES'!$AH638,lista_turnos,0),9)*10000000+IFERROR(MATCH('ORDENES'!$AG638,'TECNICOS'!$B$4:$B$19,0),99)*100000+635,9000000000000+635)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2">
        <f>IF(K642=1,'ORDENES'!$J638,"")</f>
        <v/>
      </c>
    </row>
    <row r="643">
      <c r="K643" s="5">
        <f>IF(AND(IF($B$3="(todos)",TRUE,'ORDENES'!$O639=$B$3),IF($D$3="(todos)",TRUE,'ORDENES'!$AH639=$D$3),IF($F$3="(todos)",TRUE,'ORDENES'!$Z639=$F$3),IF($H$3="(todos)",TRUE,'ORDENES'!$Y639=$H$3),'ORDENES'!$AF639=TRUE,'ORDENES'!$A639&lt;&gt;""),1,0)</f>
        <v/>
      </c>
      <c r="L643" s="5">
        <f>IF(K643=1,IFERROR(MATCH('ORDENES'!$S639,lista_dias,0),9)*1000000000+IFERROR(MATCH('ORDENES'!$AH639,lista_turnos,0),9)*10000000+IFERROR(MATCH('ORDENES'!$AG639,'TECNICOS'!$B$4:$B$19,0),99)*100000+636,9000000000000+636)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2">
        <f>IF(K643=1,'ORDENES'!$J639,"")</f>
        <v/>
      </c>
    </row>
    <row r="644">
      <c r="K644" s="5">
        <f>IF(AND(IF($B$3="(todos)",TRUE,'ORDENES'!$O640=$B$3),IF($D$3="(todos)",TRUE,'ORDENES'!$AH640=$D$3),IF($F$3="(todos)",TRUE,'ORDENES'!$Z640=$F$3),IF($H$3="(todos)",TRUE,'ORDENES'!$Y640=$H$3),'ORDENES'!$AF640=TRUE,'ORDENES'!$A640&lt;&gt;""),1,0)</f>
        <v/>
      </c>
      <c r="L644" s="5">
        <f>IF(K644=1,IFERROR(MATCH('ORDENES'!$S640,lista_dias,0),9)*1000000000+IFERROR(MATCH('ORDENES'!$AH640,lista_turnos,0),9)*10000000+IFERROR(MATCH('ORDENES'!$AG640,'TECNICOS'!$B$4:$B$19,0),99)*100000+637,9000000000000+637)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2">
        <f>IF(K644=1,'ORDENES'!$J640,"")</f>
        <v/>
      </c>
    </row>
    <row r="645">
      <c r="K645" s="5">
        <f>IF(AND(IF($B$3="(todos)",TRUE,'ORDENES'!$O641=$B$3),IF($D$3="(todos)",TRUE,'ORDENES'!$AH641=$D$3),IF($F$3="(todos)",TRUE,'ORDENES'!$Z641=$F$3),IF($H$3="(todos)",TRUE,'ORDENES'!$Y641=$H$3),'ORDENES'!$AF641=TRUE,'ORDENES'!$A641&lt;&gt;""),1,0)</f>
        <v/>
      </c>
      <c r="L645" s="5">
        <f>IF(K645=1,IFERROR(MATCH('ORDENES'!$S641,lista_dias,0),9)*1000000000+IFERROR(MATCH('ORDENES'!$AH641,lista_turnos,0),9)*10000000+IFERROR(MATCH('ORDENES'!$AG641,'TECNICOS'!$B$4:$B$19,0),99)*100000+638,9000000000000+638)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2">
        <f>IF(K645=1,'ORDENES'!$J641,"")</f>
        <v/>
      </c>
    </row>
    <row r="646">
      <c r="K646" s="5">
        <f>IF(AND(IF($B$3="(todos)",TRUE,'ORDENES'!$O642=$B$3),IF($D$3="(todos)",TRUE,'ORDENES'!$AH642=$D$3),IF($F$3="(todos)",TRUE,'ORDENES'!$Z642=$F$3),IF($H$3="(todos)",TRUE,'ORDENES'!$Y642=$H$3),'ORDENES'!$AF642=TRUE,'ORDENES'!$A642&lt;&gt;""),1,0)</f>
        <v/>
      </c>
      <c r="L646" s="5">
        <f>IF(K646=1,IFERROR(MATCH('ORDENES'!$S642,lista_dias,0),9)*1000000000+IFERROR(MATCH('ORDENES'!$AH642,lista_turnos,0),9)*10000000+IFERROR(MATCH('ORDENES'!$AG642,'TECNICOS'!$B$4:$B$19,0),99)*100000+639,9000000000000+639)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2">
        <f>IF(K646=1,'ORDENES'!$J642,"")</f>
        <v/>
      </c>
    </row>
    <row r="647">
      <c r="K647" s="5">
        <f>IF(AND(IF($B$3="(todos)",TRUE,'ORDENES'!$O643=$B$3),IF($D$3="(todos)",TRUE,'ORDENES'!$AH643=$D$3),IF($F$3="(todos)",TRUE,'ORDENES'!$Z643=$F$3),IF($H$3="(todos)",TRUE,'ORDENES'!$Y643=$H$3),'ORDENES'!$AF643=TRUE,'ORDENES'!$A643&lt;&gt;""),1,0)</f>
        <v/>
      </c>
      <c r="L647" s="5">
        <f>IF(K647=1,IFERROR(MATCH('ORDENES'!$S643,lista_dias,0),9)*1000000000+IFERROR(MATCH('ORDENES'!$AH643,lista_turnos,0),9)*10000000+IFERROR(MATCH('ORDENES'!$AG643,'TECNICOS'!$B$4:$B$19,0),99)*100000+640,9000000000000+640)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2">
        <f>IF(K647=1,'ORDENES'!$J643,"")</f>
        <v/>
      </c>
    </row>
    <row r="648">
      <c r="K648" s="5">
        <f>IF(AND(IF($B$3="(todos)",TRUE,'ORDENES'!$O644=$B$3),IF($D$3="(todos)",TRUE,'ORDENES'!$AH644=$D$3),IF($F$3="(todos)",TRUE,'ORDENES'!$Z644=$F$3),IF($H$3="(todos)",TRUE,'ORDENES'!$Y644=$H$3),'ORDENES'!$AF644=TRUE,'ORDENES'!$A644&lt;&gt;""),1,0)</f>
        <v/>
      </c>
      <c r="L648" s="5">
        <f>IF(K648=1,IFERROR(MATCH('ORDENES'!$S644,lista_dias,0),9)*1000000000+IFERROR(MATCH('ORDENES'!$AH644,lista_turnos,0),9)*10000000+IFERROR(MATCH('ORDENES'!$AG644,'TECNICOS'!$B$4:$B$19,0),99)*100000+641,9000000000000+641)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2">
        <f>IF(K648=1,'ORDENES'!$J644,"")</f>
        <v/>
      </c>
    </row>
    <row r="649">
      <c r="K649" s="5">
        <f>IF(AND(IF($B$3="(todos)",TRUE,'ORDENES'!$O645=$B$3),IF($D$3="(todos)",TRUE,'ORDENES'!$AH645=$D$3),IF($F$3="(todos)",TRUE,'ORDENES'!$Z645=$F$3),IF($H$3="(todos)",TRUE,'ORDENES'!$Y645=$H$3),'ORDENES'!$AF645=TRUE,'ORDENES'!$A645&lt;&gt;""),1,0)</f>
        <v/>
      </c>
      <c r="L649" s="5">
        <f>IF(K649=1,IFERROR(MATCH('ORDENES'!$S645,lista_dias,0),9)*1000000000+IFERROR(MATCH('ORDENES'!$AH645,lista_turnos,0),9)*10000000+IFERROR(MATCH('ORDENES'!$AG645,'TECNICOS'!$B$4:$B$19,0),99)*100000+642,9000000000000+642)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2">
        <f>IF(K649=1,'ORDENES'!$J645,"")</f>
        <v/>
      </c>
    </row>
    <row r="650">
      <c r="K650" s="5">
        <f>IF(AND(IF($B$3="(todos)",TRUE,'ORDENES'!$O646=$B$3),IF($D$3="(todos)",TRUE,'ORDENES'!$AH646=$D$3),IF($F$3="(todos)",TRUE,'ORDENES'!$Z646=$F$3),IF($H$3="(todos)",TRUE,'ORDENES'!$Y646=$H$3),'ORDENES'!$AF646=TRUE,'ORDENES'!$A646&lt;&gt;""),1,0)</f>
        <v/>
      </c>
      <c r="L650" s="5">
        <f>IF(K650=1,IFERROR(MATCH('ORDENES'!$S646,lista_dias,0),9)*1000000000+IFERROR(MATCH('ORDENES'!$AH646,lista_turnos,0),9)*10000000+IFERROR(MATCH('ORDENES'!$AG646,'TECNICOS'!$B$4:$B$19,0),99)*100000+643,9000000000000+643)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2">
        <f>IF(K650=1,'ORDENES'!$J646,"")</f>
        <v/>
      </c>
    </row>
    <row r="651">
      <c r="K651" s="5">
        <f>IF(AND(IF($B$3="(todos)",TRUE,'ORDENES'!$O647=$B$3),IF($D$3="(todos)",TRUE,'ORDENES'!$AH647=$D$3),IF($F$3="(todos)",TRUE,'ORDENES'!$Z647=$F$3),IF($H$3="(todos)",TRUE,'ORDENES'!$Y647=$H$3),'ORDENES'!$AF647=TRUE,'ORDENES'!$A647&lt;&gt;""),1,0)</f>
        <v/>
      </c>
      <c r="L651" s="5">
        <f>IF(K651=1,IFERROR(MATCH('ORDENES'!$S647,lista_dias,0),9)*1000000000+IFERROR(MATCH('ORDENES'!$AH647,lista_turnos,0),9)*10000000+IFERROR(MATCH('ORDENES'!$AG647,'TECNICOS'!$B$4:$B$19,0),99)*100000+644,9000000000000+644)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2">
        <f>IF(K651=1,'ORDENES'!$J647,"")</f>
        <v/>
      </c>
    </row>
    <row r="652">
      <c r="K652" s="5">
        <f>IF(AND(IF($B$3="(todos)",TRUE,'ORDENES'!$O648=$B$3),IF($D$3="(todos)",TRUE,'ORDENES'!$AH648=$D$3),IF($F$3="(todos)",TRUE,'ORDENES'!$Z648=$F$3),IF($H$3="(todos)",TRUE,'ORDENES'!$Y648=$H$3),'ORDENES'!$AF648=TRUE,'ORDENES'!$A648&lt;&gt;""),1,0)</f>
        <v/>
      </c>
      <c r="L652" s="5">
        <f>IF(K652=1,IFERROR(MATCH('ORDENES'!$S648,lista_dias,0),9)*1000000000+IFERROR(MATCH('ORDENES'!$AH648,lista_turnos,0),9)*10000000+IFERROR(MATCH('ORDENES'!$AG648,'TECNICOS'!$B$4:$B$19,0),99)*100000+645,9000000000000+645)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2">
        <f>IF(K652=1,'ORDENES'!$J648,"")</f>
        <v/>
      </c>
    </row>
    <row r="653">
      <c r="K653" s="5">
        <f>IF(AND(IF($B$3="(todos)",TRUE,'ORDENES'!$O649=$B$3),IF($D$3="(todos)",TRUE,'ORDENES'!$AH649=$D$3),IF($F$3="(todos)",TRUE,'ORDENES'!$Z649=$F$3),IF($H$3="(todos)",TRUE,'ORDENES'!$Y649=$H$3),'ORDENES'!$AF649=TRUE,'ORDENES'!$A649&lt;&gt;""),1,0)</f>
        <v/>
      </c>
      <c r="L653" s="5">
        <f>IF(K653=1,IFERROR(MATCH('ORDENES'!$S649,lista_dias,0),9)*1000000000+IFERROR(MATCH('ORDENES'!$AH649,lista_turnos,0),9)*10000000+IFERROR(MATCH('ORDENES'!$AG649,'TECNICOS'!$B$4:$B$19,0),99)*100000+646,9000000000000+646)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2">
        <f>IF(K653=1,'ORDENES'!$J649,"")</f>
        <v/>
      </c>
    </row>
    <row r="654">
      <c r="K654" s="5">
        <f>IF(AND(IF($B$3="(todos)",TRUE,'ORDENES'!$O650=$B$3),IF($D$3="(todos)",TRUE,'ORDENES'!$AH650=$D$3),IF($F$3="(todos)",TRUE,'ORDENES'!$Z650=$F$3),IF($H$3="(todos)",TRUE,'ORDENES'!$Y650=$H$3),'ORDENES'!$AF650=TRUE,'ORDENES'!$A650&lt;&gt;""),1,0)</f>
        <v/>
      </c>
      <c r="L654" s="5">
        <f>IF(K654=1,IFERROR(MATCH('ORDENES'!$S650,lista_dias,0),9)*1000000000+IFERROR(MATCH('ORDENES'!$AH650,lista_turnos,0),9)*10000000+IFERROR(MATCH('ORDENES'!$AG650,'TECNICOS'!$B$4:$B$19,0),99)*100000+647,9000000000000+647)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2">
        <f>IF(K654=1,'ORDENES'!$J650,"")</f>
        <v/>
      </c>
    </row>
    <row r="655">
      <c r="K655" s="5">
        <f>IF(AND(IF($B$3="(todos)",TRUE,'ORDENES'!$O651=$B$3),IF($D$3="(todos)",TRUE,'ORDENES'!$AH651=$D$3),IF($F$3="(todos)",TRUE,'ORDENES'!$Z651=$F$3),IF($H$3="(todos)",TRUE,'ORDENES'!$Y651=$H$3),'ORDENES'!$AF651=TRUE,'ORDENES'!$A651&lt;&gt;""),1,0)</f>
        <v/>
      </c>
      <c r="L655" s="5">
        <f>IF(K655=1,IFERROR(MATCH('ORDENES'!$S651,lista_dias,0),9)*1000000000+IFERROR(MATCH('ORDENES'!$AH651,lista_turnos,0),9)*10000000+IFERROR(MATCH('ORDENES'!$AG651,'TECNICOS'!$B$4:$B$19,0),99)*100000+648,9000000000000+648)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2">
        <f>IF(K655=1,'ORDENES'!$J651,"")</f>
        <v/>
      </c>
    </row>
    <row r="656">
      <c r="K656" s="5">
        <f>IF(AND(IF($B$3="(todos)",TRUE,'ORDENES'!$O652=$B$3),IF($D$3="(todos)",TRUE,'ORDENES'!$AH652=$D$3),IF($F$3="(todos)",TRUE,'ORDENES'!$Z652=$F$3),IF($H$3="(todos)",TRUE,'ORDENES'!$Y652=$H$3),'ORDENES'!$AF652=TRUE,'ORDENES'!$A652&lt;&gt;""),1,0)</f>
        <v/>
      </c>
      <c r="L656" s="5">
        <f>IF(K656=1,IFERROR(MATCH('ORDENES'!$S652,lista_dias,0),9)*1000000000+IFERROR(MATCH('ORDENES'!$AH652,lista_turnos,0),9)*10000000+IFERROR(MATCH('ORDENES'!$AG652,'TECNICOS'!$B$4:$B$19,0),99)*100000+649,9000000000000+649)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2">
        <f>IF(K656=1,'ORDENES'!$J652,"")</f>
        <v/>
      </c>
    </row>
    <row r="657">
      <c r="K657" s="5">
        <f>IF(AND(IF($B$3="(todos)",TRUE,'ORDENES'!$O653=$B$3),IF($D$3="(todos)",TRUE,'ORDENES'!$AH653=$D$3),IF($F$3="(todos)",TRUE,'ORDENES'!$Z653=$F$3),IF($H$3="(todos)",TRUE,'ORDENES'!$Y653=$H$3),'ORDENES'!$AF653=TRUE,'ORDENES'!$A653&lt;&gt;""),1,0)</f>
        <v/>
      </c>
      <c r="L657" s="5">
        <f>IF(K657=1,IFERROR(MATCH('ORDENES'!$S653,lista_dias,0),9)*1000000000+IFERROR(MATCH('ORDENES'!$AH653,lista_turnos,0),9)*10000000+IFERROR(MATCH('ORDENES'!$AG653,'TECNICOS'!$B$4:$B$19,0),99)*100000+650,9000000000000+650)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2">
        <f>IF(K657=1,'ORDENES'!$J653,"")</f>
        <v/>
      </c>
    </row>
    <row r="658">
      <c r="K658" s="5">
        <f>IF(AND(IF($B$3="(todos)",TRUE,'ORDENES'!$O654=$B$3),IF($D$3="(todos)",TRUE,'ORDENES'!$AH654=$D$3),IF($F$3="(todos)",TRUE,'ORDENES'!$Z654=$F$3),IF($H$3="(todos)",TRUE,'ORDENES'!$Y654=$H$3),'ORDENES'!$AF654=TRUE,'ORDENES'!$A654&lt;&gt;""),1,0)</f>
        <v/>
      </c>
      <c r="L658" s="5">
        <f>IF(K658=1,IFERROR(MATCH('ORDENES'!$S654,lista_dias,0),9)*1000000000+IFERROR(MATCH('ORDENES'!$AH654,lista_turnos,0),9)*10000000+IFERROR(MATCH('ORDENES'!$AG654,'TECNICOS'!$B$4:$B$19,0),99)*100000+651,9000000000000+651)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2">
        <f>IF(K658=1,'ORDENES'!$J654,"")</f>
        <v/>
      </c>
    </row>
    <row r="659">
      <c r="K659" s="5">
        <f>IF(AND(IF($B$3="(todos)",TRUE,'ORDENES'!$O655=$B$3),IF($D$3="(todos)",TRUE,'ORDENES'!$AH655=$D$3),IF($F$3="(todos)",TRUE,'ORDENES'!$Z655=$F$3),IF($H$3="(todos)",TRUE,'ORDENES'!$Y655=$H$3),'ORDENES'!$AF655=TRUE,'ORDENES'!$A655&lt;&gt;""),1,0)</f>
        <v/>
      </c>
      <c r="L659" s="5">
        <f>IF(K659=1,IFERROR(MATCH('ORDENES'!$S655,lista_dias,0),9)*1000000000+IFERROR(MATCH('ORDENES'!$AH655,lista_turnos,0),9)*10000000+IFERROR(MATCH('ORDENES'!$AG655,'TECNICOS'!$B$4:$B$19,0),99)*100000+652,9000000000000+652)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2">
        <f>IF(K659=1,'ORDENES'!$J655,"")</f>
        <v/>
      </c>
    </row>
    <row r="660">
      <c r="K660" s="5">
        <f>IF(AND(IF($B$3="(todos)",TRUE,'ORDENES'!$O656=$B$3),IF($D$3="(todos)",TRUE,'ORDENES'!$AH656=$D$3),IF($F$3="(todos)",TRUE,'ORDENES'!$Z656=$F$3),IF($H$3="(todos)",TRUE,'ORDENES'!$Y656=$H$3),'ORDENES'!$AF656=TRUE,'ORDENES'!$A656&lt;&gt;""),1,0)</f>
        <v/>
      </c>
      <c r="L660" s="5">
        <f>IF(K660=1,IFERROR(MATCH('ORDENES'!$S656,lista_dias,0),9)*1000000000+IFERROR(MATCH('ORDENES'!$AH656,lista_turnos,0),9)*10000000+IFERROR(MATCH('ORDENES'!$AG656,'TECNICOS'!$B$4:$B$19,0),99)*100000+653,9000000000000+653)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2">
        <f>IF(K660=1,'ORDENES'!$J656,"")</f>
        <v/>
      </c>
    </row>
    <row r="661">
      <c r="K661" s="5">
        <f>IF(AND(IF($B$3="(todos)",TRUE,'ORDENES'!$O657=$B$3),IF($D$3="(todos)",TRUE,'ORDENES'!$AH657=$D$3),IF($F$3="(todos)",TRUE,'ORDENES'!$Z657=$F$3),IF($H$3="(todos)",TRUE,'ORDENES'!$Y657=$H$3),'ORDENES'!$AF657=TRUE,'ORDENES'!$A657&lt;&gt;""),1,0)</f>
        <v/>
      </c>
      <c r="L661" s="5">
        <f>IF(K661=1,IFERROR(MATCH('ORDENES'!$S657,lista_dias,0),9)*1000000000+IFERROR(MATCH('ORDENES'!$AH657,lista_turnos,0),9)*10000000+IFERROR(MATCH('ORDENES'!$AG657,'TECNICOS'!$B$4:$B$19,0),99)*100000+654,9000000000000+654)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2">
        <f>IF(K661=1,'ORDENES'!$J657,"")</f>
        <v/>
      </c>
    </row>
    <row r="662">
      <c r="K662" s="5">
        <f>IF(AND(IF($B$3="(todos)",TRUE,'ORDENES'!$O658=$B$3),IF($D$3="(todos)",TRUE,'ORDENES'!$AH658=$D$3),IF($F$3="(todos)",TRUE,'ORDENES'!$Z658=$F$3),IF($H$3="(todos)",TRUE,'ORDENES'!$Y658=$H$3),'ORDENES'!$AF658=TRUE,'ORDENES'!$A658&lt;&gt;""),1,0)</f>
        <v/>
      </c>
      <c r="L662" s="5">
        <f>IF(K662=1,IFERROR(MATCH('ORDENES'!$S658,lista_dias,0),9)*1000000000+IFERROR(MATCH('ORDENES'!$AH658,lista_turnos,0),9)*10000000+IFERROR(MATCH('ORDENES'!$AG658,'TECNICOS'!$B$4:$B$19,0),99)*100000+655,9000000000000+655)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2">
        <f>IF(K662=1,'ORDENES'!$J658,"")</f>
        <v/>
      </c>
    </row>
    <row r="663">
      <c r="K663" s="5">
        <f>IF(AND(IF($B$3="(todos)",TRUE,'ORDENES'!$O659=$B$3),IF($D$3="(todos)",TRUE,'ORDENES'!$AH659=$D$3),IF($F$3="(todos)",TRUE,'ORDENES'!$Z659=$F$3),IF($H$3="(todos)",TRUE,'ORDENES'!$Y659=$H$3),'ORDENES'!$AF659=TRUE,'ORDENES'!$A659&lt;&gt;""),1,0)</f>
        <v/>
      </c>
      <c r="L663" s="5">
        <f>IF(K663=1,IFERROR(MATCH('ORDENES'!$S659,lista_dias,0),9)*1000000000+IFERROR(MATCH('ORDENES'!$AH659,lista_turnos,0),9)*10000000+IFERROR(MATCH('ORDENES'!$AG659,'TECNICOS'!$B$4:$B$19,0),99)*100000+656,9000000000000+656)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2">
        <f>IF(K663=1,'ORDENES'!$J659,"")</f>
        <v/>
      </c>
    </row>
    <row r="664">
      <c r="K664" s="5">
        <f>IF(AND(IF($B$3="(todos)",TRUE,'ORDENES'!$O660=$B$3),IF($D$3="(todos)",TRUE,'ORDENES'!$AH660=$D$3),IF($F$3="(todos)",TRUE,'ORDENES'!$Z660=$F$3),IF($H$3="(todos)",TRUE,'ORDENES'!$Y660=$H$3),'ORDENES'!$AF660=TRUE,'ORDENES'!$A660&lt;&gt;""),1,0)</f>
        <v/>
      </c>
      <c r="L664" s="5">
        <f>IF(K664=1,IFERROR(MATCH('ORDENES'!$S660,lista_dias,0),9)*1000000000+IFERROR(MATCH('ORDENES'!$AH660,lista_turnos,0),9)*10000000+IFERROR(MATCH('ORDENES'!$AG660,'TECNICOS'!$B$4:$B$19,0),99)*100000+657,9000000000000+657)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2">
        <f>IF(K664=1,'ORDENES'!$J660,"")</f>
        <v/>
      </c>
    </row>
    <row r="665">
      <c r="K665" s="5">
        <f>IF(AND(IF($B$3="(todos)",TRUE,'ORDENES'!$O661=$B$3),IF($D$3="(todos)",TRUE,'ORDENES'!$AH661=$D$3),IF($F$3="(todos)",TRUE,'ORDENES'!$Z661=$F$3),IF($H$3="(todos)",TRUE,'ORDENES'!$Y661=$H$3),'ORDENES'!$AF661=TRUE,'ORDENES'!$A661&lt;&gt;""),1,0)</f>
        <v/>
      </c>
      <c r="L665" s="5">
        <f>IF(K665=1,IFERROR(MATCH('ORDENES'!$S661,lista_dias,0),9)*1000000000+IFERROR(MATCH('ORDENES'!$AH661,lista_turnos,0),9)*10000000+IFERROR(MATCH('ORDENES'!$AG661,'TECNICOS'!$B$4:$B$19,0),99)*100000+658,9000000000000+658)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2">
        <f>IF(K665=1,'ORDENES'!$J661,"")</f>
        <v/>
      </c>
    </row>
    <row r="666">
      <c r="K666" s="5">
        <f>IF(AND(IF($B$3="(todos)",TRUE,'ORDENES'!$O662=$B$3),IF($D$3="(todos)",TRUE,'ORDENES'!$AH662=$D$3),IF($F$3="(todos)",TRUE,'ORDENES'!$Z662=$F$3),IF($H$3="(todos)",TRUE,'ORDENES'!$Y662=$H$3),'ORDENES'!$AF662=TRUE,'ORDENES'!$A662&lt;&gt;""),1,0)</f>
        <v/>
      </c>
      <c r="L666" s="5">
        <f>IF(K666=1,IFERROR(MATCH('ORDENES'!$S662,lista_dias,0),9)*1000000000+IFERROR(MATCH('ORDENES'!$AH662,lista_turnos,0),9)*10000000+IFERROR(MATCH('ORDENES'!$AG662,'TECNICOS'!$B$4:$B$19,0),99)*100000+659,9000000000000+659)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2">
        <f>IF(K666=1,'ORDENES'!$J662,"")</f>
        <v/>
      </c>
    </row>
    <row r="667">
      <c r="K667" s="5">
        <f>IF(AND(IF($B$3="(todos)",TRUE,'ORDENES'!$O663=$B$3),IF($D$3="(todos)",TRUE,'ORDENES'!$AH663=$D$3),IF($F$3="(todos)",TRUE,'ORDENES'!$Z663=$F$3),IF($H$3="(todos)",TRUE,'ORDENES'!$Y663=$H$3),'ORDENES'!$AF663=TRUE,'ORDENES'!$A663&lt;&gt;""),1,0)</f>
        <v/>
      </c>
      <c r="L667" s="5">
        <f>IF(K667=1,IFERROR(MATCH('ORDENES'!$S663,lista_dias,0),9)*1000000000+IFERROR(MATCH('ORDENES'!$AH663,lista_turnos,0),9)*10000000+IFERROR(MATCH('ORDENES'!$AG663,'TECNICOS'!$B$4:$B$19,0),99)*100000+660,9000000000000+660)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2">
        <f>IF(K667=1,'ORDENES'!$J663,"")</f>
        <v/>
      </c>
    </row>
    <row r="668">
      <c r="K668" s="5">
        <f>IF(AND(IF($B$3="(todos)",TRUE,'ORDENES'!$O664=$B$3),IF($D$3="(todos)",TRUE,'ORDENES'!$AH664=$D$3),IF($F$3="(todos)",TRUE,'ORDENES'!$Z664=$F$3),IF($H$3="(todos)",TRUE,'ORDENES'!$Y664=$H$3),'ORDENES'!$AF664=TRUE,'ORDENES'!$A664&lt;&gt;""),1,0)</f>
        <v/>
      </c>
      <c r="L668" s="5">
        <f>IF(K668=1,IFERROR(MATCH('ORDENES'!$S664,lista_dias,0),9)*1000000000+IFERROR(MATCH('ORDENES'!$AH664,lista_turnos,0),9)*10000000+IFERROR(MATCH('ORDENES'!$AG664,'TECNICOS'!$B$4:$B$19,0),99)*100000+661,9000000000000+661)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2">
        <f>IF(K668=1,'ORDENES'!$J664,"")</f>
        <v/>
      </c>
    </row>
    <row r="669">
      <c r="K669" s="5">
        <f>IF(AND(IF($B$3="(todos)",TRUE,'ORDENES'!$O665=$B$3),IF($D$3="(todos)",TRUE,'ORDENES'!$AH665=$D$3),IF($F$3="(todos)",TRUE,'ORDENES'!$Z665=$F$3),IF($H$3="(todos)",TRUE,'ORDENES'!$Y665=$H$3),'ORDENES'!$AF665=TRUE,'ORDENES'!$A665&lt;&gt;""),1,0)</f>
        <v/>
      </c>
      <c r="L669" s="5">
        <f>IF(K669=1,IFERROR(MATCH('ORDENES'!$S665,lista_dias,0),9)*1000000000+IFERROR(MATCH('ORDENES'!$AH665,lista_turnos,0),9)*10000000+IFERROR(MATCH('ORDENES'!$AG665,'TECNICOS'!$B$4:$B$19,0),99)*100000+662,9000000000000+662)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2">
        <f>IF(K669=1,'ORDENES'!$J665,"")</f>
        <v/>
      </c>
    </row>
    <row r="670">
      <c r="K670" s="5">
        <f>IF(AND(IF($B$3="(todos)",TRUE,'ORDENES'!$O666=$B$3),IF($D$3="(todos)",TRUE,'ORDENES'!$AH666=$D$3),IF($F$3="(todos)",TRUE,'ORDENES'!$Z666=$F$3),IF($H$3="(todos)",TRUE,'ORDENES'!$Y666=$H$3),'ORDENES'!$AF666=TRUE,'ORDENES'!$A666&lt;&gt;""),1,0)</f>
        <v/>
      </c>
      <c r="L670" s="5">
        <f>IF(K670=1,IFERROR(MATCH('ORDENES'!$S666,lista_dias,0),9)*1000000000+IFERROR(MATCH('ORDENES'!$AH666,lista_turnos,0),9)*10000000+IFERROR(MATCH('ORDENES'!$AG666,'TECNICOS'!$B$4:$B$19,0),99)*100000+663,9000000000000+663)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2">
        <f>IF(K670=1,'ORDENES'!$J666,"")</f>
        <v/>
      </c>
    </row>
    <row r="671">
      <c r="K671" s="5">
        <f>IF(AND(IF($B$3="(todos)",TRUE,'ORDENES'!$O667=$B$3),IF($D$3="(todos)",TRUE,'ORDENES'!$AH667=$D$3),IF($F$3="(todos)",TRUE,'ORDENES'!$Z667=$F$3),IF($H$3="(todos)",TRUE,'ORDENES'!$Y667=$H$3),'ORDENES'!$AF667=TRUE,'ORDENES'!$A667&lt;&gt;""),1,0)</f>
        <v/>
      </c>
      <c r="L671" s="5">
        <f>IF(K671=1,IFERROR(MATCH('ORDENES'!$S667,lista_dias,0),9)*1000000000+IFERROR(MATCH('ORDENES'!$AH667,lista_turnos,0),9)*10000000+IFERROR(MATCH('ORDENES'!$AG667,'TECNICOS'!$B$4:$B$19,0),99)*100000+664,9000000000000+664)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2">
        <f>IF(K671=1,'ORDENES'!$J667,"")</f>
        <v/>
      </c>
    </row>
    <row r="672">
      <c r="K672" s="5">
        <f>IF(AND(IF($B$3="(todos)",TRUE,'ORDENES'!$O668=$B$3),IF($D$3="(todos)",TRUE,'ORDENES'!$AH668=$D$3),IF($F$3="(todos)",TRUE,'ORDENES'!$Z668=$F$3),IF($H$3="(todos)",TRUE,'ORDENES'!$Y668=$H$3),'ORDENES'!$AF668=TRUE,'ORDENES'!$A668&lt;&gt;""),1,0)</f>
        <v/>
      </c>
      <c r="L672" s="5">
        <f>IF(K672=1,IFERROR(MATCH('ORDENES'!$S668,lista_dias,0),9)*1000000000+IFERROR(MATCH('ORDENES'!$AH668,lista_turnos,0),9)*10000000+IFERROR(MATCH('ORDENES'!$AG668,'TECNICOS'!$B$4:$B$19,0),99)*100000+665,9000000000000+665)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2">
        <f>IF(K672=1,'ORDENES'!$J668,"")</f>
        <v/>
      </c>
    </row>
    <row r="673">
      <c r="K673" s="5">
        <f>IF(AND(IF($B$3="(todos)",TRUE,'ORDENES'!$O669=$B$3),IF($D$3="(todos)",TRUE,'ORDENES'!$AH669=$D$3),IF($F$3="(todos)",TRUE,'ORDENES'!$Z669=$F$3),IF($H$3="(todos)",TRUE,'ORDENES'!$Y669=$H$3),'ORDENES'!$AF669=TRUE,'ORDENES'!$A669&lt;&gt;""),1,0)</f>
        <v/>
      </c>
      <c r="L673" s="5">
        <f>IF(K673=1,IFERROR(MATCH('ORDENES'!$S669,lista_dias,0),9)*1000000000+IFERROR(MATCH('ORDENES'!$AH669,lista_turnos,0),9)*10000000+IFERROR(MATCH('ORDENES'!$AG669,'TECNICOS'!$B$4:$B$19,0),99)*100000+666,9000000000000+666)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2">
        <f>IF(K673=1,'ORDENES'!$J669,"")</f>
        <v/>
      </c>
    </row>
    <row r="674">
      <c r="K674" s="5">
        <f>IF(AND(IF($B$3="(todos)",TRUE,'ORDENES'!$O670=$B$3),IF($D$3="(todos)",TRUE,'ORDENES'!$AH670=$D$3),IF($F$3="(todos)",TRUE,'ORDENES'!$Z670=$F$3),IF($H$3="(todos)",TRUE,'ORDENES'!$Y670=$H$3),'ORDENES'!$AF670=TRUE,'ORDENES'!$A670&lt;&gt;""),1,0)</f>
        <v/>
      </c>
      <c r="L674" s="5">
        <f>IF(K674=1,IFERROR(MATCH('ORDENES'!$S670,lista_dias,0),9)*1000000000+IFERROR(MATCH('ORDENES'!$AH670,lista_turnos,0),9)*10000000+IFERROR(MATCH('ORDENES'!$AG670,'TECNICOS'!$B$4:$B$19,0),99)*100000+667,9000000000000+667)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2">
        <f>IF(K674=1,'ORDENES'!$J670,"")</f>
        <v/>
      </c>
    </row>
    <row r="675">
      <c r="K675" s="5">
        <f>IF(AND(IF($B$3="(todos)",TRUE,'ORDENES'!$O671=$B$3),IF($D$3="(todos)",TRUE,'ORDENES'!$AH671=$D$3),IF($F$3="(todos)",TRUE,'ORDENES'!$Z671=$F$3),IF($H$3="(todos)",TRUE,'ORDENES'!$Y671=$H$3),'ORDENES'!$AF671=TRUE,'ORDENES'!$A671&lt;&gt;""),1,0)</f>
        <v/>
      </c>
      <c r="L675" s="5">
        <f>IF(K675=1,IFERROR(MATCH('ORDENES'!$S671,lista_dias,0),9)*1000000000+IFERROR(MATCH('ORDENES'!$AH671,lista_turnos,0),9)*10000000+IFERROR(MATCH('ORDENES'!$AG671,'TECNICOS'!$B$4:$B$19,0),99)*100000+668,9000000000000+668)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2">
        <f>IF(K675=1,'ORDENES'!$J671,"")</f>
        <v/>
      </c>
    </row>
    <row r="676">
      <c r="K676" s="5">
        <f>IF(AND(IF($B$3="(todos)",TRUE,'ORDENES'!$O672=$B$3),IF($D$3="(todos)",TRUE,'ORDENES'!$AH672=$D$3),IF($F$3="(todos)",TRUE,'ORDENES'!$Z672=$F$3),IF($H$3="(todos)",TRUE,'ORDENES'!$Y672=$H$3),'ORDENES'!$AF672=TRUE,'ORDENES'!$A672&lt;&gt;""),1,0)</f>
        <v/>
      </c>
      <c r="L676" s="5">
        <f>IF(K676=1,IFERROR(MATCH('ORDENES'!$S672,lista_dias,0),9)*1000000000+IFERROR(MATCH('ORDENES'!$AH672,lista_turnos,0),9)*10000000+IFERROR(MATCH('ORDENES'!$AG672,'TECNICOS'!$B$4:$B$19,0),99)*100000+669,9000000000000+669)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2">
        <f>IF(K676=1,'ORDENES'!$J672,"")</f>
        <v/>
      </c>
    </row>
    <row r="677">
      <c r="K677" s="5">
        <f>IF(AND(IF($B$3="(todos)",TRUE,'ORDENES'!$O673=$B$3),IF($D$3="(todos)",TRUE,'ORDENES'!$AH673=$D$3),IF($F$3="(todos)",TRUE,'ORDENES'!$Z673=$F$3),IF($H$3="(todos)",TRUE,'ORDENES'!$Y673=$H$3),'ORDENES'!$AF673=TRUE,'ORDENES'!$A673&lt;&gt;""),1,0)</f>
        <v/>
      </c>
      <c r="L677" s="5">
        <f>IF(K677=1,IFERROR(MATCH('ORDENES'!$S673,lista_dias,0),9)*1000000000+IFERROR(MATCH('ORDENES'!$AH673,lista_turnos,0),9)*10000000+IFERROR(MATCH('ORDENES'!$AG673,'TECNICOS'!$B$4:$B$19,0),99)*100000+670,9000000000000+670)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2">
        <f>IF(K677=1,'ORDENES'!$J673,"")</f>
        <v/>
      </c>
    </row>
    <row r="678">
      <c r="K678" s="5">
        <f>IF(AND(IF($B$3="(todos)",TRUE,'ORDENES'!$O674=$B$3),IF($D$3="(todos)",TRUE,'ORDENES'!$AH674=$D$3),IF($F$3="(todos)",TRUE,'ORDENES'!$Z674=$F$3),IF($H$3="(todos)",TRUE,'ORDENES'!$Y674=$H$3),'ORDENES'!$AF674=TRUE,'ORDENES'!$A674&lt;&gt;""),1,0)</f>
        <v/>
      </c>
      <c r="L678" s="5">
        <f>IF(K678=1,IFERROR(MATCH('ORDENES'!$S674,lista_dias,0),9)*1000000000+IFERROR(MATCH('ORDENES'!$AH674,lista_turnos,0),9)*10000000+IFERROR(MATCH('ORDENES'!$AG674,'TECNICOS'!$B$4:$B$19,0),99)*100000+671,9000000000000+671)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2">
        <f>IF(K678=1,'ORDENES'!$J674,"")</f>
        <v/>
      </c>
    </row>
    <row r="679">
      <c r="K679" s="5">
        <f>IF(AND(IF($B$3="(todos)",TRUE,'ORDENES'!$O675=$B$3),IF($D$3="(todos)",TRUE,'ORDENES'!$AH675=$D$3),IF($F$3="(todos)",TRUE,'ORDENES'!$Z675=$F$3),IF($H$3="(todos)",TRUE,'ORDENES'!$Y675=$H$3),'ORDENES'!$AF675=TRUE,'ORDENES'!$A675&lt;&gt;""),1,0)</f>
        <v/>
      </c>
      <c r="L679" s="5">
        <f>IF(K679=1,IFERROR(MATCH('ORDENES'!$S675,lista_dias,0),9)*1000000000+IFERROR(MATCH('ORDENES'!$AH675,lista_turnos,0),9)*10000000+IFERROR(MATCH('ORDENES'!$AG675,'TECNICOS'!$B$4:$B$19,0),99)*100000+672,9000000000000+672)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2">
        <f>IF(K679=1,'ORDENES'!$J675,"")</f>
        <v/>
      </c>
    </row>
    <row r="680">
      <c r="K680" s="5">
        <f>IF(AND(IF($B$3="(todos)",TRUE,'ORDENES'!$O676=$B$3),IF($D$3="(todos)",TRUE,'ORDENES'!$AH676=$D$3),IF($F$3="(todos)",TRUE,'ORDENES'!$Z676=$F$3),IF($H$3="(todos)",TRUE,'ORDENES'!$Y676=$H$3),'ORDENES'!$AF676=TRUE,'ORDENES'!$A676&lt;&gt;""),1,0)</f>
        <v/>
      </c>
      <c r="L680" s="5">
        <f>IF(K680=1,IFERROR(MATCH('ORDENES'!$S676,lista_dias,0),9)*1000000000+IFERROR(MATCH('ORDENES'!$AH676,lista_turnos,0),9)*10000000+IFERROR(MATCH('ORDENES'!$AG676,'TECNICOS'!$B$4:$B$19,0),99)*100000+673,9000000000000+673)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2">
        <f>IF(K680=1,'ORDENES'!$J676,"")</f>
        <v/>
      </c>
    </row>
    <row r="681">
      <c r="K681" s="5">
        <f>IF(AND(IF($B$3="(todos)",TRUE,'ORDENES'!$O677=$B$3),IF($D$3="(todos)",TRUE,'ORDENES'!$AH677=$D$3),IF($F$3="(todos)",TRUE,'ORDENES'!$Z677=$F$3),IF($H$3="(todos)",TRUE,'ORDENES'!$Y677=$H$3),'ORDENES'!$AF677=TRUE,'ORDENES'!$A677&lt;&gt;""),1,0)</f>
        <v/>
      </c>
      <c r="L681" s="5">
        <f>IF(K681=1,IFERROR(MATCH('ORDENES'!$S677,lista_dias,0),9)*1000000000+IFERROR(MATCH('ORDENES'!$AH677,lista_turnos,0),9)*10000000+IFERROR(MATCH('ORDENES'!$AG677,'TECNICOS'!$B$4:$B$19,0),99)*100000+674,9000000000000+674)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2">
        <f>IF(K681=1,'ORDENES'!$J677,"")</f>
        <v/>
      </c>
    </row>
    <row r="682">
      <c r="K682" s="5">
        <f>IF(AND(IF($B$3="(todos)",TRUE,'ORDENES'!$O678=$B$3),IF($D$3="(todos)",TRUE,'ORDENES'!$AH678=$D$3),IF($F$3="(todos)",TRUE,'ORDENES'!$Z678=$F$3),IF($H$3="(todos)",TRUE,'ORDENES'!$Y678=$H$3),'ORDENES'!$AF678=TRUE,'ORDENES'!$A678&lt;&gt;""),1,0)</f>
        <v/>
      </c>
      <c r="L682" s="5">
        <f>IF(K682=1,IFERROR(MATCH('ORDENES'!$S678,lista_dias,0),9)*1000000000+IFERROR(MATCH('ORDENES'!$AH678,lista_turnos,0),9)*10000000+IFERROR(MATCH('ORDENES'!$AG678,'TECNICOS'!$B$4:$B$19,0),99)*100000+675,9000000000000+675)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2">
        <f>IF(K682=1,'ORDENES'!$J678,"")</f>
        <v/>
      </c>
    </row>
    <row r="683">
      <c r="K683" s="5">
        <f>IF(AND(IF($B$3="(todos)",TRUE,'ORDENES'!$O679=$B$3),IF($D$3="(todos)",TRUE,'ORDENES'!$AH679=$D$3),IF($F$3="(todos)",TRUE,'ORDENES'!$Z679=$F$3),IF($H$3="(todos)",TRUE,'ORDENES'!$Y679=$H$3),'ORDENES'!$AF679=TRUE,'ORDENES'!$A679&lt;&gt;""),1,0)</f>
        <v/>
      </c>
      <c r="L683" s="5">
        <f>IF(K683=1,IFERROR(MATCH('ORDENES'!$S679,lista_dias,0),9)*1000000000+IFERROR(MATCH('ORDENES'!$AH679,lista_turnos,0),9)*10000000+IFERROR(MATCH('ORDENES'!$AG679,'TECNICOS'!$B$4:$B$19,0),99)*100000+676,9000000000000+676)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2">
        <f>IF(K683=1,'ORDENES'!$J679,"")</f>
        <v/>
      </c>
    </row>
    <row r="684">
      <c r="K684" s="5">
        <f>IF(AND(IF($B$3="(todos)",TRUE,'ORDENES'!$O680=$B$3),IF($D$3="(todos)",TRUE,'ORDENES'!$AH680=$D$3),IF($F$3="(todos)",TRUE,'ORDENES'!$Z680=$F$3),IF($H$3="(todos)",TRUE,'ORDENES'!$Y680=$H$3),'ORDENES'!$AF680=TRUE,'ORDENES'!$A680&lt;&gt;""),1,0)</f>
        <v/>
      </c>
      <c r="L684" s="5">
        <f>IF(K684=1,IFERROR(MATCH('ORDENES'!$S680,lista_dias,0),9)*1000000000+IFERROR(MATCH('ORDENES'!$AH680,lista_turnos,0),9)*10000000+IFERROR(MATCH('ORDENES'!$AG680,'TECNICOS'!$B$4:$B$19,0),99)*100000+677,9000000000000+677)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2">
        <f>IF(K684=1,'ORDENES'!$J680,"")</f>
        <v/>
      </c>
    </row>
    <row r="685">
      <c r="K685" s="5">
        <f>IF(AND(IF($B$3="(todos)",TRUE,'ORDENES'!$O681=$B$3),IF($D$3="(todos)",TRUE,'ORDENES'!$AH681=$D$3),IF($F$3="(todos)",TRUE,'ORDENES'!$Z681=$F$3),IF($H$3="(todos)",TRUE,'ORDENES'!$Y681=$H$3),'ORDENES'!$AF681=TRUE,'ORDENES'!$A681&lt;&gt;""),1,0)</f>
        <v/>
      </c>
      <c r="L685" s="5">
        <f>IF(K685=1,IFERROR(MATCH('ORDENES'!$S681,lista_dias,0),9)*1000000000+IFERROR(MATCH('ORDENES'!$AH681,lista_turnos,0),9)*10000000+IFERROR(MATCH('ORDENES'!$AG681,'TECNICOS'!$B$4:$B$19,0),99)*100000+678,9000000000000+678)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2">
        <f>IF(K685=1,'ORDENES'!$J681,"")</f>
        <v/>
      </c>
    </row>
    <row r="686">
      <c r="K686" s="5">
        <f>IF(AND(IF($B$3="(todos)",TRUE,'ORDENES'!$O682=$B$3),IF($D$3="(todos)",TRUE,'ORDENES'!$AH682=$D$3),IF($F$3="(todos)",TRUE,'ORDENES'!$Z682=$F$3),IF($H$3="(todos)",TRUE,'ORDENES'!$Y682=$H$3),'ORDENES'!$AF682=TRUE,'ORDENES'!$A682&lt;&gt;""),1,0)</f>
        <v/>
      </c>
      <c r="L686" s="5">
        <f>IF(K686=1,IFERROR(MATCH('ORDENES'!$S682,lista_dias,0),9)*1000000000+IFERROR(MATCH('ORDENES'!$AH682,lista_turnos,0),9)*10000000+IFERROR(MATCH('ORDENES'!$AG682,'TECNICOS'!$B$4:$B$19,0),99)*100000+679,9000000000000+679)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2">
        <f>IF(K686=1,'ORDENES'!$J682,"")</f>
        <v/>
      </c>
    </row>
    <row r="687">
      <c r="K687" s="5">
        <f>IF(AND(IF($B$3="(todos)",TRUE,'ORDENES'!$O683=$B$3),IF($D$3="(todos)",TRUE,'ORDENES'!$AH683=$D$3),IF($F$3="(todos)",TRUE,'ORDENES'!$Z683=$F$3),IF($H$3="(todos)",TRUE,'ORDENES'!$Y683=$H$3),'ORDENES'!$AF683=TRUE,'ORDENES'!$A683&lt;&gt;""),1,0)</f>
        <v/>
      </c>
      <c r="L687" s="5">
        <f>IF(K687=1,IFERROR(MATCH('ORDENES'!$S683,lista_dias,0),9)*1000000000+IFERROR(MATCH('ORDENES'!$AH683,lista_turnos,0),9)*10000000+IFERROR(MATCH('ORDENES'!$AG683,'TECNICOS'!$B$4:$B$19,0),99)*100000+680,9000000000000+680)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2">
        <f>IF(K687=1,'ORDENES'!$J683,"")</f>
        <v/>
      </c>
    </row>
    <row r="688">
      <c r="K688" s="5">
        <f>IF(AND(IF($B$3="(todos)",TRUE,'ORDENES'!$O684=$B$3),IF($D$3="(todos)",TRUE,'ORDENES'!$AH684=$D$3),IF($F$3="(todos)",TRUE,'ORDENES'!$Z684=$F$3),IF($H$3="(todos)",TRUE,'ORDENES'!$Y684=$H$3),'ORDENES'!$AF684=TRUE,'ORDENES'!$A684&lt;&gt;""),1,0)</f>
        <v/>
      </c>
      <c r="L688" s="5">
        <f>IF(K688=1,IFERROR(MATCH('ORDENES'!$S684,lista_dias,0),9)*1000000000+IFERROR(MATCH('ORDENES'!$AH684,lista_turnos,0),9)*10000000+IFERROR(MATCH('ORDENES'!$AG684,'TECNICOS'!$B$4:$B$19,0),99)*100000+681,9000000000000+681)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2">
        <f>IF(K688=1,'ORDENES'!$J684,"")</f>
        <v/>
      </c>
    </row>
    <row r="689">
      <c r="K689" s="5">
        <f>IF(AND(IF($B$3="(todos)",TRUE,'ORDENES'!$O685=$B$3),IF($D$3="(todos)",TRUE,'ORDENES'!$AH685=$D$3),IF($F$3="(todos)",TRUE,'ORDENES'!$Z685=$F$3),IF($H$3="(todos)",TRUE,'ORDENES'!$Y685=$H$3),'ORDENES'!$AF685=TRUE,'ORDENES'!$A685&lt;&gt;""),1,0)</f>
        <v/>
      </c>
      <c r="L689" s="5">
        <f>IF(K689=1,IFERROR(MATCH('ORDENES'!$S685,lista_dias,0),9)*1000000000+IFERROR(MATCH('ORDENES'!$AH685,lista_turnos,0),9)*10000000+IFERROR(MATCH('ORDENES'!$AG685,'TECNICOS'!$B$4:$B$19,0),99)*100000+682,9000000000000+682)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2">
        <f>IF(K689=1,'ORDENES'!$J685,"")</f>
        <v/>
      </c>
    </row>
    <row r="690">
      <c r="K690" s="5">
        <f>IF(AND(IF($B$3="(todos)",TRUE,'ORDENES'!$O686=$B$3),IF($D$3="(todos)",TRUE,'ORDENES'!$AH686=$D$3),IF($F$3="(todos)",TRUE,'ORDENES'!$Z686=$F$3),IF($H$3="(todos)",TRUE,'ORDENES'!$Y686=$H$3),'ORDENES'!$AF686=TRUE,'ORDENES'!$A686&lt;&gt;""),1,0)</f>
        <v/>
      </c>
      <c r="L690" s="5">
        <f>IF(K690=1,IFERROR(MATCH('ORDENES'!$S686,lista_dias,0),9)*1000000000+IFERROR(MATCH('ORDENES'!$AH686,lista_turnos,0),9)*10000000+IFERROR(MATCH('ORDENES'!$AG686,'TECNICOS'!$B$4:$B$19,0),99)*100000+683,9000000000000+683)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2">
        <f>IF(K690=1,'ORDENES'!$J686,"")</f>
        <v/>
      </c>
    </row>
    <row r="691">
      <c r="K691" s="5">
        <f>IF(AND(IF($B$3="(todos)",TRUE,'ORDENES'!$O687=$B$3),IF($D$3="(todos)",TRUE,'ORDENES'!$AH687=$D$3),IF($F$3="(todos)",TRUE,'ORDENES'!$Z687=$F$3),IF($H$3="(todos)",TRUE,'ORDENES'!$Y687=$H$3),'ORDENES'!$AF687=TRUE,'ORDENES'!$A687&lt;&gt;""),1,0)</f>
        <v/>
      </c>
      <c r="L691" s="5">
        <f>IF(K691=1,IFERROR(MATCH('ORDENES'!$S687,lista_dias,0),9)*1000000000+IFERROR(MATCH('ORDENES'!$AH687,lista_turnos,0),9)*10000000+IFERROR(MATCH('ORDENES'!$AG687,'TECNICOS'!$B$4:$B$19,0),99)*100000+684,9000000000000+684)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2">
        <f>IF(K691=1,'ORDENES'!$J687,"")</f>
        <v/>
      </c>
    </row>
    <row r="692">
      <c r="K692" s="5">
        <f>IF(AND(IF($B$3="(todos)",TRUE,'ORDENES'!$O688=$B$3),IF($D$3="(todos)",TRUE,'ORDENES'!$AH688=$D$3),IF($F$3="(todos)",TRUE,'ORDENES'!$Z688=$F$3),IF($H$3="(todos)",TRUE,'ORDENES'!$Y688=$H$3),'ORDENES'!$AF688=TRUE,'ORDENES'!$A688&lt;&gt;""),1,0)</f>
        <v/>
      </c>
      <c r="L692" s="5">
        <f>IF(K692=1,IFERROR(MATCH('ORDENES'!$S688,lista_dias,0),9)*1000000000+IFERROR(MATCH('ORDENES'!$AH688,lista_turnos,0),9)*10000000+IFERROR(MATCH('ORDENES'!$AG688,'TECNICOS'!$B$4:$B$19,0),99)*100000+685,9000000000000+685)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2">
        <f>IF(K692=1,'ORDENES'!$J688,"")</f>
        <v/>
      </c>
    </row>
    <row r="693">
      <c r="K693" s="5">
        <f>IF(AND(IF($B$3="(todos)",TRUE,'ORDENES'!$O689=$B$3),IF($D$3="(todos)",TRUE,'ORDENES'!$AH689=$D$3),IF($F$3="(todos)",TRUE,'ORDENES'!$Z689=$F$3),IF($H$3="(todos)",TRUE,'ORDENES'!$Y689=$H$3),'ORDENES'!$AF689=TRUE,'ORDENES'!$A689&lt;&gt;""),1,0)</f>
        <v/>
      </c>
      <c r="L693" s="5">
        <f>IF(K693=1,IFERROR(MATCH('ORDENES'!$S689,lista_dias,0),9)*1000000000+IFERROR(MATCH('ORDENES'!$AH689,lista_turnos,0),9)*10000000+IFERROR(MATCH('ORDENES'!$AG689,'TECNICOS'!$B$4:$B$19,0),99)*100000+686,9000000000000+686)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2">
        <f>IF(K693=1,'ORDENES'!$J689,"")</f>
        <v/>
      </c>
    </row>
    <row r="694">
      <c r="K694" s="5">
        <f>IF(AND(IF($B$3="(todos)",TRUE,'ORDENES'!$O690=$B$3),IF($D$3="(todos)",TRUE,'ORDENES'!$AH690=$D$3),IF($F$3="(todos)",TRUE,'ORDENES'!$Z690=$F$3),IF($H$3="(todos)",TRUE,'ORDENES'!$Y690=$H$3),'ORDENES'!$AF690=TRUE,'ORDENES'!$A690&lt;&gt;""),1,0)</f>
        <v/>
      </c>
      <c r="L694" s="5">
        <f>IF(K694=1,IFERROR(MATCH('ORDENES'!$S690,lista_dias,0),9)*1000000000+IFERROR(MATCH('ORDENES'!$AH690,lista_turnos,0),9)*10000000+IFERROR(MATCH('ORDENES'!$AG690,'TECNICOS'!$B$4:$B$19,0),99)*100000+687,9000000000000+687)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2">
        <f>IF(K694=1,'ORDENES'!$J690,"")</f>
        <v/>
      </c>
    </row>
    <row r="695">
      <c r="K695" s="5">
        <f>IF(AND(IF($B$3="(todos)",TRUE,'ORDENES'!$O691=$B$3),IF($D$3="(todos)",TRUE,'ORDENES'!$AH691=$D$3),IF($F$3="(todos)",TRUE,'ORDENES'!$Z691=$F$3),IF($H$3="(todos)",TRUE,'ORDENES'!$Y691=$H$3),'ORDENES'!$AF691=TRUE,'ORDENES'!$A691&lt;&gt;""),1,0)</f>
        <v/>
      </c>
      <c r="L695" s="5">
        <f>IF(K695=1,IFERROR(MATCH('ORDENES'!$S691,lista_dias,0),9)*1000000000+IFERROR(MATCH('ORDENES'!$AH691,lista_turnos,0),9)*10000000+IFERROR(MATCH('ORDENES'!$AG691,'TECNICOS'!$B$4:$B$19,0),99)*100000+688,9000000000000+688)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2">
        <f>IF(K695=1,'ORDENES'!$J691,"")</f>
        <v/>
      </c>
    </row>
    <row r="696">
      <c r="K696" s="5">
        <f>IF(AND(IF($B$3="(todos)",TRUE,'ORDENES'!$O692=$B$3),IF($D$3="(todos)",TRUE,'ORDENES'!$AH692=$D$3),IF($F$3="(todos)",TRUE,'ORDENES'!$Z692=$F$3),IF($H$3="(todos)",TRUE,'ORDENES'!$Y692=$H$3),'ORDENES'!$AF692=TRUE,'ORDENES'!$A692&lt;&gt;""),1,0)</f>
        <v/>
      </c>
      <c r="L696" s="5">
        <f>IF(K696=1,IFERROR(MATCH('ORDENES'!$S692,lista_dias,0),9)*1000000000+IFERROR(MATCH('ORDENES'!$AH692,lista_turnos,0),9)*10000000+IFERROR(MATCH('ORDENES'!$AG692,'TECNICOS'!$B$4:$B$19,0),99)*100000+689,9000000000000+689)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2">
        <f>IF(K696=1,'ORDENES'!$J692,"")</f>
        <v/>
      </c>
    </row>
    <row r="697">
      <c r="K697" s="5">
        <f>IF(AND(IF($B$3="(todos)",TRUE,'ORDENES'!$O693=$B$3),IF($D$3="(todos)",TRUE,'ORDENES'!$AH693=$D$3),IF($F$3="(todos)",TRUE,'ORDENES'!$Z693=$F$3),IF($H$3="(todos)",TRUE,'ORDENES'!$Y693=$H$3),'ORDENES'!$AF693=TRUE,'ORDENES'!$A693&lt;&gt;""),1,0)</f>
        <v/>
      </c>
      <c r="L697" s="5">
        <f>IF(K697=1,IFERROR(MATCH('ORDENES'!$S693,lista_dias,0),9)*1000000000+IFERROR(MATCH('ORDENES'!$AH693,lista_turnos,0),9)*10000000+IFERROR(MATCH('ORDENES'!$AG693,'TECNICOS'!$B$4:$B$19,0),99)*100000+690,9000000000000+690)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2">
        <f>IF(K697=1,'ORDENES'!$J693,"")</f>
        <v/>
      </c>
    </row>
    <row r="698">
      <c r="K698" s="5">
        <f>IF(AND(IF($B$3="(todos)",TRUE,'ORDENES'!$O694=$B$3),IF($D$3="(todos)",TRUE,'ORDENES'!$AH694=$D$3),IF($F$3="(todos)",TRUE,'ORDENES'!$Z694=$F$3),IF($H$3="(todos)",TRUE,'ORDENES'!$Y694=$H$3),'ORDENES'!$AF694=TRUE,'ORDENES'!$A694&lt;&gt;""),1,0)</f>
        <v/>
      </c>
      <c r="L698" s="5">
        <f>IF(K698=1,IFERROR(MATCH('ORDENES'!$S694,lista_dias,0),9)*1000000000+IFERROR(MATCH('ORDENES'!$AH694,lista_turnos,0),9)*10000000+IFERROR(MATCH('ORDENES'!$AG694,'TECNICOS'!$B$4:$B$19,0),99)*100000+691,9000000000000+691)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2">
        <f>IF(K698=1,'ORDENES'!$J694,"")</f>
        <v/>
      </c>
    </row>
    <row r="699">
      <c r="K699" s="5">
        <f>IF(AND(IF($B$3="(todos)",TRUE,'ORDENES'!$O695=$B$3),IF($D$3="(todos)",TRUE,'ORDENES'!$AH695=$D$3),IF($F$3="(todos)",TRUE,'ORDENES'!$Z695=$F$3),IF($H$3="(todos)",TRUE,'ORDENES'!$Y695=$H$3),'ORDENES'!$AF695=TRUE,'ORDENES'!$A695&lt;&gt;""),1,0)</f>
        <v/>
      </c>
      <c r="L699" s="5">
        <f>IF(K699=1,IFERROR(MATCH('ORDENES'!$S695,lista_dias,0),9)*1000000000+IFERROR(MATCH('ORDENES'!$AH695,lista_turnos,0),9)*10000000+IFERROR(MATCH('ORDENES'!$AG695,'TECNICOS'!$B$4:$B$19,0),99)*100000+692,9000000000000+692)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2">
        <f>IF(K699=1,'ORDENES'!$J695,"")</f>
        <v/>
      </c>
    </row>
    <row r="700">
      <c r="K700" s="5">
        <f>IF(AND(IF($B$3="(todos)",TRUE,'ORDENES'!$O696=$B$3),IF($D$3="(todos)",TRUE,'ORDENES'!$AH696=$D$3),IF($F$3="(todos)",TRUE,'ORDENES'!$Z696=$F$3),IF($H$3="(todos)",TRUE,'ORDENES'!$Y696=$H$3),'ORDENES'!$AF696=TRUE,'ORDENES'!$A696&lt;&gt;""),1,0)</f>
        <v/>
      </c>
      <c r="L700" s="5">
        <f>IF(K700=1,IFERROR(MATCH('ORDENES'!$S696,lista_dias,0),9)*1000000000+IFERROR(MATCH('ORDENES'!$AH696,lista_turnos,0),9)*10000000+IFERROR(MATCH('ORDENES'!$AG696,'TECNICOS'!$B$4:$B$19,0),99)*100000+693,9000000000000+693)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2">
        <f>IF(K700=1,'ORDENES'!$J696,"")</f>
        <v/>
      </c>
    </row>
    <row r="701">
      <c r="K701" s="5">
        <f>IF(AND(IF($B$3="(todos)",TRUE,'ORDENES'!$O697=$B$3),IF($D$3="(todos)",TRUE,'ORDENES'!$AH697=$D$3),IF($F$3="(todos)",TRUE,'ORDENES'!$Z697=$F$3),IF($H$3="(todos)",TRUE,'ORDENES'!$Y697=$H$3),'ORDENES'!$AF697=TRUE,'ORDENES'!$A697&lt;&gt;""),1,0)</f>
        <v/>
      </c>
      <c r="L701" s="5">
        <f>IF(K701=1,IFERROR(MATCH('ORDENES'!$S697,lista_dias,0),9)*1000000000+IFERROR(MATCH('ORDENES'!$AH697,lista_turnos,0),9)*10000000+IFERROR(MATCH('ORDENES'!$AG697,'TECNICOS'!$B$4:$B$19,0),99)*100000+694,9000000000000+694)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2">
        <f>IF(K701=1,'ORDENES'!$J697,"")</f>
        <v/>
      </c>
    </row>
    <row r="702">
      <c r="K702" s="5">
        <f>IF(AND(IF($B$3="(todos)",TRUE,'ORDENES'!$O698=$B$3),IF($D$3="(todos)",TRUE,'ORDENES'!$AH698=$D$3),IF($F$3="(todos)",TRUE,'ORDENES'!$Z698=$F$3),IF($H$3="(todos)",TRUE,'ORDENES'!$Y698=$H$3),'ORDENES'!$AF698=TRUE,'ORDENES'!$A698&lt;&gt;""),1,0)</f>
        <v/>
      </c>
      <c r="L702" s="5">
        <f>IF(K702=1,IFERROR(MATCH('ORDENES'!$S698,lista_dias,0),9)*1000000000+IFERROR(MATCH('ORDENES'!$AH698,lista_turnos,0),9)*10000000+IFERROR(MATCH('ORDENES'!$AG698,'TECNICOS'!$B$4:$B$19,0),99)*100000+695,9000000000000+695)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2">
        <f>IF(K702=1,'ORDENES'!$J698,"")</f>
        <v/>
      </c>
    </row>
    <row r="703">
      <c r="K703" s="5">
        <f>IF(AND(IF($B$3="(todos)",TRUE,'ORDENES'!$O699=$B$3),IF($D$3="(todos)",TRUE,'ORDENES'!$AH699=$D$3),IF($F$3="(todos)",TRUE,'ORDENES'!$Z699=$F$3),IF($H$3="(todos)",TRUE,'ORDENES'!$Y699=$H$3),'ORDENES'!$AF699=TRUE,'ORDENES'!$A699&lt;&gt;""),1,0)</f>
        <v/>
      </c>
      <c r="L703" s="5">
        <f>IF(K703=1,IFERROR(MATCH('ORDENES'!$S699,lista_dias,0),9)*1000000000+IFERROR(MATCH('ORDENES'!$AH699,lista_turnos,0),9)*10000000+IFERROR(MATCH('ORDENES'!$AG699,'TECNICOS'!$B$4:$B$19,0),99)*100000+696,9000000000000+696)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2">
        <f>IF(K703=1,'ORDENES'!$J699,"")</f>
        <v/>
      </c>
    </row>
    <row r="704">
      <c r="K704" s="5">
        <f>IF(AND(IF($B$3="(todos)",TRUE,'ORDENES'!$O700=$B$3),IF($D$3="(todos)",TRUE,'ORDENES'!$AH700=$D$3),IF($F$3="(todos)",TRUE,'ORDENES'!$Z700=$F$3),IF($H$3="(todos)",TRUE,'ORDENES'!$Y700=$H$3),'ORDENES'!$AF700=TRUE,'ORDENES'!$A700&lt;&gt;""),1,0)</f>
        <v/>
      </c>
      <c r="L704" s="5">
        <f>IF(K704=1,IFERROR(MATCH('ORDENES'!$S700,lista_dias,0),9)*1000000000+IFERROR(MATCH('ORDENES'!$AH700,lista_turnos,0),9)*10000000+IFERROR(MATCH('ORDENES'!$AG700,'TECNICOS'!$B$4:$B$19,0),99)*100000+697,9000000000000+697)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2">
        <f>IF(K704=1,'ORDENES'!$J700,"")</f>
        <v/>
      </c>
    </row>
    <row r="705">
      <c r="K705" s="5">
        <f>IF(AND(IF($B$3="(todos)",TRUE,'ORDENES'!$O701=$B$3),IF($D$3="(todos)",TRUE,'ORDENES'!$AH701=$D$3),IF($F$3="(todos)",TRUE,'ORDENES'!$Z701=$F$3),IF($H$3="(todos)",TRUE,'ORDENES'!$Y701=$H$3),'ORDENES'!$AF701=TRUE,'ORDENES'!$A701&lt;&gt;""),1,0)</f>
        <v/>
      </c>
      <c r="L705" s="5">
        <f>IF(K705=1,IFERROR(MATCH('ORDENES'!$S701,lista_dias,0),9)*1000000000+IFERROR(MATCH('ORDENES'!$AH701,lista_turnos,0),9)*10000000+IFERROR(MATCH('ORDENES'!$AG701,'TECNICOS'!$B$4:$B$19,0),99)*100000+698,9000000000000+698)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2">
        <f>IF(K705=1,'ORDENES'!$J701,"")</f>
        <v/>
      </c>
    </row>
    <row r="706">
      <c r="K706" s="5">
        <f>IF(AND(IF($B$3="(todos)",TRUE,'ORDENES'!$O702=$B$3),IF($D$3="(todos)",TRUE,'ORDENES'!$AH702=$D$3),IF($F$3="(todos)",TRUE,'ORDENES'!$Z702=$F$3),IF($H$3="(todos)",TRUE,'ORDENES'!$Y702=$H$3),'ORDENES'!$AF702=TRUE,'ORDENES'!$A702&lt;&gt;""),1,0)</f>
        <v/>
      </c>
      <c r="L706" s="5">
        <f>IF(K706=1,IFERROR(MATCH('ORDENES'!$S702,lista_dias,0),9)*1000000000+IFERROR(MATCH('ORDENES'!$AH702,lista_turnos,0),9)*10000000+IFERROR(MATCH('ORDENES'!$AG702,'TECNICOS'!$B$4:$B$19,0),99)*100000+699,9000000000000+699)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2">
        <f>IF(K706=1,'ORDENES'!$J702,"")</f>
        <v/>
      </c>
    </row>
    <row r="707">
      <c r="K707" s="5">
        <f>IF(AND(IF($B$3="(todos)",TRUE,'ORDENES'!$O703=$B$3),IF($D$3="(todos)",TRUE,'ORDENES'!$AH703=$D$3),IF($F$3="(todos)",TRUE,'ORDENES'!$Z703=$F$3),IF($H$3="(todos)",TRUE,'ORDENES'!$Y703=$H$3),'ORDENES'!$AF703=TRUE,'ORDENES'!$A703&lt;&gt;""),1,0)</f>
        <v/>
      </c>
      <c r="L707" s="5">
        <f>IF(K707=1,IFERROR(MATCH('ORDENES'!$S703,lista_dias,0),9)*1000000000+IFERROR(MATCH('ORDENES'!$AH703,lista_turnos,0),9)*10000000+IFERROR(MATCH('ORDENES'!$AG703,'TECNICOS'!$B$4:$B$19,0),99)*100000+700,9000000000000+700)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2">
        <f>IF(K707=1,'ORDENES'!$J703,"")</f>
        <v/>
      </c>
    </row>
    <row r="708">
      <c r="K708" s="5">
        <f>IF(AND(IF($B$3="(todos)",TRUE,'ORDENES'!$O704=$B$3),IF($D$3="(todos)",TRUE,'ORDENES'!$AH704=$D$3),IF($F$3="(todos)",TRUE,'ORDENES'!$Z704=$F$3),IF($H$3="(todos)",TRUE,'ORDENES'!$Y704=$H$3),'ORDENES'!$AF704=TRUE,'ORDENES'!$A704&lt;&gt;""),1,0)</f>
        <v/>
      </c>
      <c r="L708" s="5">
        <f>IF(K708=1,IFERROR(MATCH('ORDENES'!$S704,lista_dias,0),9)*1000000000+IFERROR(MATCH('ORDENES'!$AH704,lista_turnos,0),9)*10000000+IFERROR(MATCH('ORDENES'!$AG704,'TECNICOS'!$B$4:$B$19,0),99)*100000+701,9000000000000+701)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2">
        <f>IF(K708=1,'ORDENES'!$J704,"")</f>
        <v/>
      </c>
    </row>
    <row r="709">
      <c r="K709" s="5">
        <f>IF(AND(IF($B$3="(todos)",TRUE,'ORDENES'!$O705=$B$3),IF($D$3="(todos)",TRUE,'ORDENES'!$AH705=$D$3),IF($F$3="(todos)",TRUE,'ORDENES'!$Z705=$F$3),IF($H$3="(todos)",TRUE,'ORDENES'!$Y705=$H$3),'ORDENES'!$AF705=TRUE,'ORDENES'!$A705&lt;&gt;""),1,0)</f>
        <v/>
      </c>
      <c r="L709" s="5">
        <f>IF(K709=1,IFERROR(MATCH('ORDENES'!$S705,lista_dias,0),9)*1000000000+IFERROR(MATCH('ORDENES'!$AH705,lista_turnos,0),9)*10000000+IFERROR(MATCH('ORDENES'!$AG705,'TECNICOS'!$B$4:$B$19,0),99)*100000+702,9000000000000+702)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2">
        <f>IF(K709=1,'ORDENES'!$J705,"")</f>
        <v/>
      </c>
    </row>
    <row r="710">
      <c r="K710" s="5">
        <f>IF(AND(IF($B$3="(todos)",TRUE,'ORDENES'!$O706=$B$3),IF($D$3="(todos)",TRUE,'ORDENES'!$AH706=$D$3),IF($F$3="(todos)",TRUE,'ORDENES'!$Z706=$F$3),IF($H$3="(todos)",TRUE,'ORDENES'!$Y706=$H$3),'ORDENES'!$AF706=TRUE,'ORDENES'!$A706&lt;&gt;""),1,0)</f>
        <v/>
      </c>
      <c r="L710" s="5">
        <f>IF(K710=1,IFERROR(MATCH('ORDENES'!$S706,lista_dias,0),9)*1000000000+IFERROR(MATCH('ORDENES'!$AH706,lista_turnos,0),9)*10000000+IFERROR(MATCH('ORDENES'!$AG706,'TECNICOS'!$B$4:$B$19,0),99)*100000+703,9000000000000+703)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2">
        <f>IF(K710=1,'ORDENES'!$J706,"")</f>
        <v/>
      </c>
    </row>
    <row r="711">
      <c r="K711" s="5">
        <f>IF(AND(IF($B$3="(todos)",TRUE,'ORDENES'!$O707=$B$3),IF($D$3="(todos)",TRUE,'ORDENES'!$AH707=$D$3),IF($F$3="(todos)",TRUE,'ORDENES'!$Z707=$F$3),IF($H$3="(todos)",TRUE,'ORDENES'!$Y707=$H$3),'ORDENES'!$AF707=TRUE,'ORDENES'!$A707&lt;&gt;""),1,0)</f>
        <v/>
      </c>
      <c r="L711" s="5">
        <f>IF(K711=1,IFERROR(MATCH('ORDENES'!$S707,lista_dias,0),9)*1000000000+IFERROR(MATCH('ORDENES'!$AH707,lista_turnos,0),9)*10000000+IFERROR(MATCH('ORDENES'!$AG707,'TECNICOS'!$B$4:$B$19,0),99)*100000+704,9000000000000+704)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2">
        <f>IF(K711=1,'ORDENES'!$J707,"")</f>
        <v/>
      </c>
    </row>
    <row r="712">
      <c r="K712" s="5">
        <f>IF(AND(IF($B$3="(todos)",TRUE,'ORDENES'!$O708=$B$3),IF($D$3="(todos)",TRUE,'ORDENES'!$AH708=$D$3),IF($F$3="(todos)",TRUE,'ORDENES'!$Z708=$F$3),IF($H$3="(todos)",TRUE,'ORDENES'!$Y708=$H$3),'ORDENES'!$AF708=TRUE,'ORDENES'!$A708&lt;&gt;""),1,0)</f>
        <v/>
      </c>
      <c r="L712" s="5">
        <f>IF(K712=1,IFERROR(MATCH('ORDENES'!$S708,lista_dias,0),9)*1000000000+IFERROR(MATCH('ORDENES'!$AH708,lista_turnos,0),9)*10000000+IFERROR(MATCH('ORDENES'!$AG708,'TECNICOS'!$B$4:$B$19,0),99)*100000+705,9000000000000+705)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2">
        <f>IF(K712=1,'ORDENES'!$J708,"")</f>
        <v/>
      </c>
    </row>
    <row r="713">
      <c r="K713" s="5">
        <f>IF(AND(IF($B$3="(todos)",TRUE,'ORDENES'!$O709=$B$3),IF($D$3="(todos)",TRUE,'ORDENES'!$AH709=$D$3),IF($F$3="(todos)",TRUE,'ORDENES'!$Z709=$F$3),IF($H$3="(todos)",TRUE,'ORDENES'!$Y709=$H$3),'ORDENES'!$AF709=TRUE,'ORDENES'!$A709&lt;&gt;""),1,0)</f>
        <v/>
      </c>
      <c r="L713" s="5">
        <f>IF(K713=1,IFERROR(MATCH('ORDENES'!$S709,lista_dias,0),9)*1000000000+IFERROR(MATCH('ORDENES'!$AH709,lista_turnos,0),9)*10000000+IFERROR(MATCH('ORDENES'!$AG709,'TECNICOS'!$B$4:$B$19,0),99)*100000+706,9000000000000+706)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2">
        <f>IF(K713=1,'ORDENES'!$J709,"")</f>
        <v/>
      </c>
    </row>
    <row r="714">
      <c r="K714" s="5">
        <f>IF(AND(IF($B$3="(todos)",TRUE,'ORDENES'!$O710=$B$3),IF($D$3="(todos)",TRUE,'ORDENES'!$AH710=$D$3),IF($F$3="(todos)",TRUE,'ORDENES'!$Z710=$F$3),IF($H$3="(todos)",TRUE,'ORDENES'!$Y710=$H$3),'ORDENES'!$AF710=TRUE,'ORDENES'!$A710&lt;&gt;""),1,0)</f>
        <v/>
      </c>
      <c r="L714" s="5">
        <f>IF(K714=1,IFERROR(MATCH('ORDENES'!$S710,lista_dias,0),9)*1000000000+IFERROR(MATCH('ORDENES'!$AH710,lista_turnos,0),9)*10000000+IFERROR(MATCH('ORDENES'!$AG710,'TECNICOS'!$B$4:$B$19,0),99)*100000+707,9000000000000+707)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2">
        <f>IF(K714=1,'ORDENES'!$J710,"")</f>
        <v/>
      </c>
    </row>
    <row r="715">
      <c r="K715" s="5">
        <f>IF(AND(IF($B$3="(todos)",TRUE,'ORDENES'!$O711=$B$3),IF($D$3="(todos)",TRUE,'ORDENES'!$AH711=$D$3),IF($F$3="(todos)",TRUE,'ORDENES'!$Z711=$F$3),IF($H$3="(todos)",TRUE,'ORDENES'!$Y711=$H$3),'ORDENES'!$AF711=TRUE,'ORDENES'!$A711&lt;&gt;""),1,0)</f>
        <v/>
      </c>
      <c r="L715" s="5">
        <f>IF(K715=1,IFERROR(MATCH('ORDENES'!$S711,lista_dias,0),9)*1000000000+IFERROR(MATCH('ORDENES'!$AH711,lista_turnos,0),9)*10000000+IFERROR(MATCH('ORDENES'!$AG711,'TECNICOS'!$B$4:$B$19,0),99)*100000+708,9000000000000+708)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2">
        <f>IF(K715=1,'ORDENES'!$J711,"")</f>
        <v/>
      </c>
    </row>
    <row r="716">
      <c r="K716" s="5">
        <f>IF(AND(IF($B$3="(todos)",TRUE,'ORDENES'!$O712=$B$3),IF($D$3="(todos)",TRUE,'ORDENES'!$AH712=$D$3),IF($F$3="(todos)",TRUE,'ORDENES'!$Z712=$F$3),IF($H$3="(todos)",TRUE,'ORDENES'!$Y712=$H$3),'ORDENES'!$AF712=TRUE,'ORDENES'!$A712&lt;&gt;""),1,0)</f>
        <v/>
      </c>
      <c r="L716" s="5">
        <f>IF(K716=1,IFERROR(MATCH('ORDENES'!$S712,lista_dias,0),9)*1000000000+IFERROR(MATCH('ORDENES'!$AH712,lista_turnos,0),9)*10000000+IFERROR(MATCH('ORDENES'!$AG712,'TECNICOS'!$B$4:$B$19,0),99)*100000+709,9000000000000+709)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2">
        <f>IF(K716=1,'ORDENES'!$J712,"")</f>
        <v/>
      </c>
    </row>
    <row r="717">
      <c r="K717" s="5">
        <f>IF(AND(IF($B$3="(todos)",TRUE,'ORDENES'!$O713=$B$3),IF($D$3="(todos)",TRUE,'ORDENES'!$AH713=$D$3),IF($F$3="(todos)",TRUE,'ORDENES'!$Z713=$F$3),IF($H$3="(todos)",TRUE,'ORDENES'!$Y713=$H$3),'ORDENES'!$AF713=TRUE,'ORDENES'!$A713&lt;&gt;""),1,0)</f>
        <v/>
      </c>
      <c r="L717" s="5">
        <f>IF(K717=1,IFERROR(MATCH('ORDENES'!$S713,lista_dias,0),9)*1000000000+IFERROR(MATCH('ORDENES'!$AH713,lista_turnos,0),9)*10000000+IFERROR(MATCH('ORDENES'!$AG713,'TECNICOS'!$B$4:$B$19,0),99)*100000+710,9000000000000+710)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2">
        <f>IF(K717=1,'ORDENES'!$J713,"")</f>
        <v/>
      </c>
    </row>
    <row r="718">
      <c r="K718" s="5">
        <f>IF(AND(IF($B$3="(todos)",TRUE,'ORDENES'!$O714=$B$3),IF($D$3="(todos)",TRUE,'ORDENES'!$AH714=$D$3),IF($F$3="(todos)",TRUE,'ORDENES'!$Z714=$F$3),IF($H$3="(todos)",TRUE,'ORDENES'!$Y714=$H$3),'ORDENES'!$AF714=TRUE,'ORDENES'!$A714&lt;&gt;""),1,0)</f>
        <v/>
      </c>
      <c r="L718" s="5">
        <f>IF(K718=1,IFERROR(MATCH('ORDENES'!$S714,lista_dias,0),9)*1000000000+IFERROR(MATCH('ORDENES'!$AH714,lista_turnos,0),9)*10000000+IFERROR(MATCH('ORDENES'!$AG714,'TECNICOS'!$B$4:$B$19,0),99)*100000+711,9000000000000+711)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2">
        <f>IF(K718=1,'ORDENES'!$J714,"")</f>
        <v/>
      </c>
    </row>
    <row r="719">
      <c r="K719" s="5">
        <f>IF(AND(IF($B$3="(todos)",TRUE,'ORDENES'!$O715=$B$3),IF($D$3="(todos)",TRUE,'ORDENES'!$AH715=$D$3),IF($F$3="(todos)",TRUE,'ORDENES'!$Z715=$F$3),IF($H$3="(todos)",TRUE,'ORDENES'!$Y715=$H$3),'ORDENES'!$AF715=TRUE,'ORDENES'!$A715&lt;&gt;""),1,0)</f>
        <v/>
      </c>
      <c r="L719" s="5">
        <f>IF(K719=1,IFERROR(MATCH('ORDENES'!$S715,lista_dias,0),9)*1000000000+IFERROR(MATCH('ORDENES'!$AH715,lista_turnos,0),9)*10000000+IFERROR(MATCH('ORDENES'!$AG715,'TECNICOS'!$B$4:$B$19,0),99)*100000+712,9000000000000+712)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2">
        <f>IF(K719=1,'ORDENES'!$J715,"")</f>
        <v/>
      </c>
    </row>
    <row r="720">
      <c r="K720" s="5">
        <f>IF(AND(IF($B$3="(todos)",TRUE,'ORDENES'!$O716=$B$3),IF($D$3="(todos)",TRUE,'ORDENES'!$AH716=$D$3),IF($F$3="(todos)",TRUE,'ORDENES'!$Z716=$F$3),IF($H$3="(todos)",TRUE,'ORDENES'!$Y716=$H$3),'ORDENES'!$AF716=TRUE,'ORDENES'!$A716&lt;&gt;""),1,0)</f>
        <v/>
      </c>
      <c r="L720" s="5">
        <f>IF(K720=1,IFERROR(MATCH('ORDENES'!$S716,lista_dias,0),9)*1000000000+IFERROR(MATCH('ORDENES'!$AH716,lista_turnos,0),9)*10000000+IFERROR(MATCH('ORDENES'!$AG716,'TECNICOS'!$B$4:$B$19,0),99)*100000+713,9000000000000+713)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2">
        <f>IF(K720=1,'ORDENES'!$J716,"")</f>
        <v/>
      </c>
    </row>
    <row r="721">
      <c r="K721" s="5">
        <f>IF(AND(IF($B$3="(todos)",TRUE,'ORDENES'!$O717=$B$3),IF($D$3="(todos)",TRUE,'ORDENES'!$AH717=$D$3),IF($F$3="(todos)",TRUE,'ORDENES'!$Z717=$F$3),IF($H$3="(todos)",TRUE,'ORDENES'!$Y717=$H$3),'ORDENES'!$AF717=TRUE,'ORDENES'!$A717&lt;&gt;""),1,0)</f>
        <v/>
      </c>
      <c r="L721" s="5">
        <f>IF(K721=1,IFERROR(MATCH('ORDENES'!$S717,lista_dias,0),9)*1000000000+IFERROR(MATCH('ORDENES'!$AH717,lista_turnos,0),9)*10000000+IFERROR(MATCH('ORDENES'!$AG717,'TECNICOS'!$B$4:$B$19,0),99)*100000+714,9000000000000+714)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2">
        <f>IF(K721=1,'ORDENES'!$J717,"")</f>
        <v/>
      </c>
    </row>
    <row r="722">
      <c r="K722" s="5">
        <f>IF(AND(IF($B$3="(todos)",TRUE,'ORDENES'!$O718=$B$3),IF($D$3="(todos)",TRUE,'ORDENES'!$AH718=$D$3),IF($F$3="(todos)",TRUE,'ORDENES'!$Z718=$F$3),IF($H$3="(todos)",TRUE,'ORDENES'!$Y718=$H$3),'ORDENES'!$AF718=TRUE,'ORDENES'!$A718&lt;&gt;""),1,0)</f>
        <v/>
      </c>
      <c r="L722" s="5">
        <f>IF(K722=1,IFERROR(MATCH('ORDENES'!$S718,lista_dias,0),9)*1000000000+IFERROR(MATCH('ORDENES'!$AH718,lista_turnos,0),9)*10000000+IFERROR(MATCH('ORDENES'!$AG718,'TECNICOS'!$B$4:$B$19,0),99)*100000+715,9000000000000+715)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2">
        <f>IF(K722=1,'ORDENES'!$J718,"")</f>
        <v/>
      </c>
    </row>
    <row r="723">
      <c r="K723" s="5">
        <f>IF(AND(IF($B$3="(todos)",TRUE,'ORDENES'!$O719=$B$3),IF($D$3="(todos)",TRUE,'ORDENES'!$AH719=$D$3),IF($F$3="(todos)",TRUE,'ORDENES'!$Z719=$F$3),IF($H$3="(todos)",TRUE,'ORDENES'!$Y719=$H$3),'ORDENES'!$AF719=TRUE,'ORDENES'!$A719&lt;&gt;""),1,0)</f>
        <v/>
      </c>
      <c r="L723" s="5">
        <f>IF(K723=1,IFERROR(MATCH('ORDENES'!$S719,lista_dias,0),9)*1000000000+IFERROR(MATCH('ORDENES'!$AH719,lista_turnos,0),9)*10000000+IFERROR(MATCH('ORDENES'!$AG719,'TECNICOS'!$B$4:$B$19,0),99)*100000+716,9000000000000+716)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2">
        <f>IF(K723=1,'ORDENES'!$J719,"")</f>
        <v/>
      </c>
    </row>
    <row r="724">
      <c r="K724" s="5">
        <f>IF(AND(IF($B$3="(todos)",TRUE,'ORDENES'!$O720=$B$3),IF($D$3="(todos)",TRUE,'ORDENES'!$AH720=$D$3),IF($F$3="(todos)",TRUE,'ORDENES'!$Z720=$F$3),IF($H$3="(todos)",TRUE,'ORDENES'!$Y720=$H$3),'ORDENES'!$AF720=TRUE,'ORDENES'!$A720&lt;&gt;""),1,0)</f>
        <v/>
      </c>
      <c r="L724" s="5">
        <f>IF(K724=1,IFERROR(MATCH('ORDENES'!$S720,lista_dias,0),9)*1000000000+IFERROR(MATCH('ORDENES'!$AH720,lista_turnos,0),9)*10000000+IFERROR(MATCH('ORDENES'!$AG720,'TECNICOS'!$B$4:$B$19,0),99)*100000+717,9000000000000+717)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2">
        <f>IF(K724=1,'ORDENES'!$J720,"")</f>
        <v/>
      </c>
    </row>
    <row r="725">
      <c r="K725" s="5">
        <f>IF(AND(IF($B$3="(todos)",TRUE,'ORDENES'!$O721=$B$3),IF($D$3="(todos)",TRUE,'ORDENES'!$AH721=$D$3),IF($F$3="(todos)",TRUE,'ORDENES'!$Z721=$F$3),IF($H$3="(todos)",TRUE,'ORDENES'!$Y721=$H$3),'ORDENES'!$AF721=TRUE,'ORDENES'!$A721&lt;&gt;""),1,0)</f>
        <v/>
      </c>
      <c r="L725" s="5">
        <f>IF(K725=1,IFERROR(MATCH('ORDENES'!$S721,lista_dias,0),9)*1000000000+IFERROR(MATCH('ORDENES'!$AH721,lista_turnos,0),9)*10000000+IFERROR(MATCH('ORDENES'!$AG721,'TECNICOS'!$B$4:$B$19,0),99)*100000+718,9000000000000+718)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2">
        <f>IF(K725=1,'ORDENES'!$J721,"")</f>
        <v/>
      </c>
    </row>
    <row r="726">
      <c r="K726" s="5">
        <f>IF(AND(IF($B$3="(todos)",TRUE,'ORDENES'!$O722=$B$3),IF($D$3="(todos)",TRUE,'ORDENES'!$AH722=$D$3),IF($F$3="(todos)",TRUE,'ORDENES'!$Z722=$F$3),IF($H$3="(todos)",TRUE,'ORDENES'!$Y722=$H$3),'ORDENES'!$AF722=TRUE,'ORDENES'!$A722&lt;&gt;""),1,0)</f>
        <v/>
      </c>
      <c r="L726" s="5">
        <f>IF(K726=1,IFERROR(MATCH('ORDENES'!$S722,lista_dias,0),9)*1000000000+IFERROR(MATCH('ORDENES'!$AH722,lista_turnos,0),9)*10000000+IFERROR(MATCH('ORDENES'!$AG722,'TECNICOS'!$B$4:$B$19,0),99)*100000+719,9000000000000+719)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2">
        <f>IF(K726=1,'ORDENES'!$J722,"")</f>
        <v/>
      </c>
    </row>
    <row r="727">
      <c r="K727" s="5">
        <f>IF(AND(IF($B$3="(todos)",TRUE,'ORDENES'!$O723=$B$3),IF($D$3="(todos)",TRUE,'ORDENES'!$AH723=$D$3),IF($F$3="(todos)",TRUE,'ORDENES'!$Z723=$F$3),IF($H$3="(todos)",TRUE,'ORDENES'!$Y723=$H$3),'ORDENES'!$AF723=TRUE,'ORDENES'!$A723&lt;&gt;""),1,0)</f>
        <v/>
      </c>
      <c r="L727" s="5">
        <f>IF(K727=1,IFERROR(MATCH('ORDENES'!$S723,lista_dias,0),9)*1000000000+IFERROR(MATCH('ORDENES'!$AH723,lista_turnos,0),9)*10000000+IFERROR(MATCH('ORDENES'!$AG723,'TECNICOS'!$B$4:$B$19,0),99)*100000+720,9000000000000+720)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2">
        <f>IF(K727=1,'ORDENES'!$J723,"")</f>
        <v/>
      </c>
    </row>
    <row r="728">
      <c r="K728" s="5">
        <f>IF(AND(IF($B$3="(todos)",TRUE,'ORDENES'!$O724=$B$3),IF($D$3="(todos)",TRUE,'ORDENES'!$AH724=$D$3),IF($F$3="(todos)",TRUE,'ORDENES'!$Z724=$F$3),IF($H$3="(todos)",TRUE,'ORDENES'!$Y724=$H$3),'ORDENES'!$AF724=TRUE,'ORDENES'!$A724&lt;&gt;""),1,0)</f>
        <v/>
      </c>
      <c r="L728" s="5">
        <f>IF(K728=1,IFERROR(MATCH('ORDENES'!$S724,lista_dias,0),9)*1000000000+IFERROR(MATCH('ORDENES'!$AH724,lista_turnos,0),9)*10000000+IFERROR(MATCH('ORDENES'!$AG724,'TECNICOS'!$B$4:$B$19,0),99)*100000+721,9000000000000+721)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2">
        <f>IF(K728=1,'ORDENES'!$J724,"")</f>
        <v/>
      </c>
    </row>
    <row r="729">
      <c r="K729" s="5">
        <f>IF(AND(IF($B$3="(todos)",TRUE,'ORDENES'!$O725=$B$3),IF($D$3="(todos)",TRUE,'ORDENES'!$AH725=$D$3),IF($F$3="(todos)",TRUE,'ORDENES'!$Z725=$F$3),IF($H$3="(todos)",TRUE,'ORDENES'!$Y725=$H$3),'ORDENES'!$AF725=TRUE,'ORDENES'!$A725&lt;&gt;""),1,0)</f>
        <v/>
      </c>
      <c r="L729" s="5">
        <f>IF(K729=1,IFERROR(MATCH('ORDENES'!$S725,lista_dias,0),9)*1000000000+IFERROR(MATCH('ORDENES'!$AH725,lista_turnos,0),9)*10000000+IFERROR(MATCH('ORDENES'!$AG725,'TECNICOS'!$B$4:$B$19,0),99)*100000+722,9000000000000+722)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2">
        <f>IF(K729=1,'ORDENES'!$J725,"")</f>
        <v/>
      </c>
    </row>
    <row r="730">
      <c r="K730" s="5">
        <f>IF(AND(IF($B$3="(todos)",TRUE,'ORDENES'!$O726=$B$3),IF($D$3="(todos)",TRUE,'ORDENES'!$AH726=$D$3),IF($F$3="(todos)",TRUE,'ORDENES'!$Z726=$F$3),IF($H$3="(todos)",TRUE,'ORDENES'!$Y726=$H$3),'ORDENES'!$AF726=TRUE,'ORDENES'!$A726&lt;&gt;""),1,0)</f>
        <v/>
      </c>
      <c r="L730" s="5">
        <f>IF(K730=1,IFERROR(MATCH('ORDENES'!$S726,lista_dias,0),9)*1000000000+IFERROR(MATCH('ORDENES'!$AH726,lista_turnos,0),9)*10000000+IFERROR(MATCH('ORDENES'!$AG726,'TECNICOS'!$B$4:$B$19,0),99)*100000+723,9000000000000+723)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2">
        <f>IF(K730=1,'ORDENES'!$J726,"")</f>
        <v/>
      </c>
    </row>
    <row r="731">
      <c r="K731" s="5">
        <f>IF(AND(IF($B$3="(todos)",TRUE,'ORDENES'!$O727=$B$3),IF($D$3="(todos)",TRUE,'ORDENES'!$AH727=$D$3),IF($F$3="(todos)",TRUE,'ORDENES'!$Z727=$F$3),IF($H$3="(todos)",TRUE,'ORDENES'!$Y727=$H$3),'ORDENES'!$AF727=TRUE,'ORDENES'!$A727&lt;&gt;""),1,0)</f>
        <v/>
      </c>
      <c r="L731" s="5">
        <f>IF(K731=1,IFERROR(MATCH('ORDENES'!$S727,lista_dias,0),9)*1000000000+IFERROR(MATCH('ORDENES'!$AH727,lista_turnos,0),9)*10000000+IFERROR(MATCH('ORDENES'!$AG727,'TECNICOS'!$B$4:$B$19,0),99)*100000+724,9000000000000+724)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2">
        <f>IF(K731=1,'ORDENES'!$J727,"")</f>
        <v/>
      </c>
    </row>
    <row r="732">
      <c r="K732" s="5">
        <f>IF(AND(IF($B$3="(todos)",TRUE,'ORDENES'!$O728=$B$3),IF($D$3="(todos)",TRUE,'ORDENES'!$AH728=$D$3),IF($F$3="(todos)",TRUE,'ORDENES'!$Z728=$F$3),IF($H$3="(todos)",TRUE,'ORDENES'!$Y728=$H$3),'ORDENES'!$AF728=TRUE,'ORDENES'!$A728&lt;&gt;""),1,0)</f>
        <v/>
      </c>
      <c r="L732" s="5">
        <f>IF(K732=1,IFERROR(MATCH('ORDENES'!$S728,lista_dias,0),9)*1000000000+IFERROR(MATCH('ORDENES'!$AH728,lista_turnos,0),9)*10000000+IFERROR(MATCH('ORDENES'!$AG728,'TECNICOS'!$B$4:$B$19,0),99)*100000+725,9000000000000+725)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2">
        <f>IF(K732=1,'ORDENES'!$J728,"")</f>
        <v/>
      </c>
    </row>
    <row r="733">
      <c r="K733" s="5">
        <f>IF(AND(IF($B$3="(todos)",TRUE,'ORDENES'!$O729=$B$3),IF($D$3="(todos)",TRUE,'ORDENES'!$AH729=$D$3),IF($F$3="(todos)",TRUE,'ORDENES'!$Z729=$F$3),IF($H$3="(todos)",TRUE,'ORDENES'!$Y729=$H$3),'ORDENES'!$AF729=TRUE,'ORDENES'!$A729&lt;&gt;""),1,0)</f>
        <v/>
      </c>
      <c r="L733" s="5">
        <f>IF(K733=1,IFERROR(MATCH('ORDENES'!$S729,lista_dias,0),9)*1000000000+IFERROR(MATCH('ORDENES'!$AH729,lista_turnos,0),9)*10000000+IFERROR(MATCH('ORDENES'!$AG729,'TECNICOS'!$B$4:$B$19,0),99)*100000+726,9000000000000+726)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2">
        <f>IF(K733=1,'ORDENES'!$J729,"")</f>
        <v/>
      </c>
    </row>
    <row r="734">
      <c r="K734" s="5">
        <f>IF(AND(IF($B$3="(todos)",TRUE,'ORDENES'!$O730=$B$3),IF($D$3="(todos)",TRUE,'ORDENES'!$AH730=$D$3),IF($F$3="(todos)",TRUE,'ORDENES'!$Z730=$F$3),IF($H$3="(todos)",TRUE,'ORDENES'!$Y730=$H$3),'ORDENES'!$AF730=TRUE,'ORDENES'!$A730&lt;&gt;""),1,0)</f>
        <v/>
      </c>
      <c r="L734" s="5">
        <f>IF(K734=1,IFERROR(MATCH('ORDENES'!$S730,lista_dias,0),9)*1000000000+IFERROR(MATCH('ORDENES'!$AH730,lista_turnos,0),9)*10000000+IFERROR(MATCH('ORDENES'!$AG730,'TECNICOS'!$B$4:$B$19,0),99)*100000+727,9000000000000+727)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2">
        <f>IF(K734=1,'ORDENES'!$J730,"")</f>
        <v/>
      </c>
    </row>
    <row r="735">
      <c r="K735" s="5">
        <f>IF(AND(IF($B$3="(todos)",TRUE,'ORDENES'!$O731=$B$3),IF($D$3="(todos)",TRUE,'ORDENES'!$AH731=$D$3),IF($F$3="(todos)",TRUE,'ORDENES'!$Z731=$F$3),IF($H$3="(todos)",TRUE,'ORDENES'!$Y731=$H$3),'ORDENES'!$AF731=TRUE,'ORDENES'!$A731&lt;&gt;""),1,0)</f>
        <v/>
      </c>
      <c r="L735" s="5">
        <f>IF(K735=1,IFERROR(MATCH('ORDENES'!$S731,lista_dias,0),9)*1000000000+IFERROR(MATCH('ORDENES'!$AH731,lista_turnos,0),9)*10000000+IFERROR(MATCH('ORDENES'!$AG731,'TECNICOS'!$B$4:$B$19,0),99)*100000+728,9000000000000+728)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2">
        <f>IF(K735=1,'ORDENES'!$J731,"")</f>
        <v/>
      </c>
    </row>
    <row r="736">
      <c r="K736" s="5">
        <f>IF(AND(IF($B$3="(todos)",TRUE,'ORDENES'!$O732=$B$3),IF($D$3="(todos)",TRUE,'ORDENES'!$AH732=$D$3),IF($F$3="(todos)",TRUE,'ORDENES'!$Z732=$F$3),IF($H$3="(todos)",TRUE,'ORDENES'!$Y732=$H$3),'ORDENES'!$AF732=TRUE,'ORDENES'!$A732&lt;&gt;""),1,0)</f>
        <v/>
      </c>
      <c r="L736" s="5">
        <f>IF(K736=1,IFERROR(MATCH('ORDENES'!$S732,lista_dias,0),9)*1000000000+IFERROR(MATCH('ORDENES'!$AH732,lista_turnos,0),9)*10000000+IFERROR(MATCH('ORDENES'!$AG732,'TECNICOS'!$B$4:$B$19,0),99)*100000+729,9000000000000+729)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2">
        <f>IF(K736=1,'ORDENES'!$J732,"")</f>
        <v/>
      </c>
    </row>
    <row r="737">
      <c r="K737" s="5">
        <f>IF(AND(IF($B$3="(todos)",TRUE,'ORDENES'!$O733=$B$3),IF($D$3="(todos)",TRUE,'ORDENES'!$AH733=$D$3),IF($F$3="(todos)",TRUE,'ORDENES'!$Z733=$F$3),IF($H$3="(todos)",TRUE,'ORDENES'!$Y733=$H$3),'ORDENES'!$AF733=TRUE,'ORDENES'!$A733&lt;&gt;""),1,0)</f>
        <v/>
      </c>
      <c r="L737" s="5">
        <f>IF(K737=1,IFERROR(MATCH('ORDENES'!$S733,lista_dias,0),9)*1000000000+IFERROR(MATCH('ORDENES'!$AH733,lista_turnos,0),9)*10000000+IFERROR(MATCH('ORDENES'!$AG733,'TECNICOS'!$B$4:$B$19,0),99)*100000+730,9000000000000+730)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2">
        <f>IF(K737=1,'ORDENES'!$J733,"")</f>
        <v/>
      </c>
    </row>
    <row r="738">
      <c r="K738" s="5">
        <f>IF(AND(IF($B$3="(todos)",TRUE,'ORDENES'!$O734=$B$3),IF($D$3="(todos)",TRUE,'ORDENES'!$AH734=$D$3),IF($F$3="(todos)",TRUE,'ORDENES'!$Z734=$F$3),IF($H$3="(todos)",TRUE,'ORDENES'!$Y734=$H$3),'ORDENES'!$AF734=TRUE,'ORDENES'!$A734&lt;&gt;""),1,0)</f>
        <v/>
      </c>
      <c r="L738" s="5">
        <f>IF(K738=1,IFERROR(MATCH('ORDENES'!$S734,lista_dias,0),9)*1000000000+IFERROR(MATCH('ORDENES'!$AH734,lista_turnos,0),9)*10000000+IFERROR(MATCH('ORDENES'!$AG734,'TECNICOS'!$B$4:$B$19,0),99)*100000+731,9000000000000+731)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2">
        <f>IF(K738=1,'ORDENES'!$J734,"")</f>
        <v/>
      </c>
    </row>
    <row r="739">
      <c r="K739" s="5">
        <f>IF(AND(IF($B$3="(todos)",TRUE,'ORDENES'!$O735=$B$3),IF($D$3="(todos)",TRUE,'ORDENES'!$AH735=$D$3),IF($F$3="(todos)",TRUE,'ORDENES'!$Z735=$F$3),IF($H$3="(todos)",TRUE,'ORDENES'!$Y735=$H$3),'ORDENES'!$AF735=TRUE,'ORDENES'!$A735&lt;&gt;""),1,0)</f>
        <v/>
      </c>
      <c r="L739" s="5">
        <f>IF(K739=1,IFERROR(MATCH('ORDENES'!$S735,lista_dias,0),9)*1000000000+IFERROR(MATCH('ORDENES'!$AH735,lista_turnos,0),9)*10000000+IFERROR(MATCH('ORDENES'!$AG735,'TECNICOS'!$B$4:$B$19,0),99)*100000+732,9000000000000+732)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2">
        <f>IF(K739=1,'ORDENES'!$J735,"")</f>
        <v/>
      </c>
    </row>
    <row r="740">
      <c r="K740" s="5">
        <f>IF(AND(IF($B$3="(todos)",TRUE,'ORDENES'!$O736=$B$3),IF($D$3="(todos)",TRUE,'ORDENES'!$AH736=$D$3),IF($F$3="(todos)",TRUE,'ORDENES'!$Z736=$F$3),IF($H$3="(todos)",TRUE,'ORDENES'!$Y736=$H$3),'ORDENES'!$AF736=TRUE,'ORDENES'!$A736&lt;&gt;""),1,0)</f>
        <v/>
      </c>
      <c r="L740" s="5">
        <f>IF(K740=1,IFERROR(MATCH('ORDENES'!$S736,lista_dias,0),9)*1000000000+IFERROR(MATCH('ORDENES'!$AH736,lista_turnos,0),9)*10000000+IFERROR(MATCH('ORDENES'!$AG736,'TECNICOS'!$B$4:$B$19,0),99)*100000+733,9000000000000+733)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2">
        <f>IF(K740=1,'ORDENES'!$J736,"")</f>
        <v/>
      </c>
    </row>
    <row r="741">
      <c r="K741" s="5">
        <f>IF(AND(IF($B$3="(todos)",TRUE,'ORDENES'!$O737=$B$3),IF($D$3="(todos)",TRUE,'ORDENES'!$AH737=$D$3),IF($F$3="(todos)",TRUE,'ORDENES'!$Z737=$F$3),IF($H$3="(todos)",TRUE,'ORDENES'!$Y737=$H$3),'ORDENES'!$AF737=TRUE,'ORDENES'!$A737&lt;&gt;""),1,0)</f>
        <v/>
      </c>
      <c r="L741" s="5">
        <f>IF(K741=1,IFERROR(MATCH('ORDENES'!$S737,lista_dias,0),9)*1000000000+IFERROR(MATCH('ORDENES'!$AH737,lista_turnos,0),9)*10000000+IFERROR(MATCH('ORDENES'!$AG737,'TECNICOS'!$B$4:$B$19,0),99)*100000+734,9000000000000+734)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2">
        <f>IF(K741=1,'ORDENES'!$J737,"")</f>
        <v/>
      </c>
    </row>
    <row r="742">
      <c r="K742" s="5">
        <f>IF(AND(IF($B$3="(todos)",TRUE,'ORDENES'!$O738=$B$3),IF($D$3="(todos)",TRUE,'ORDENES'!$AH738=$D$3),IF($F$3="(todos)",TRUE,'ORDENES'!$Z738=$F$3),IF($H$3="(todos)",TRUE,'ORDENES'!$Y738=$H$3),'ORDENES'!$AF738=TRUE,'ORDENES'!$A738&lt;&gt;""),1,0)</f>
        <v/>
      </c>
      <c r="L742" s="5">
        <f>IF(K742=1,IFERROR(MATCH('ORDENES'!$S738,lista_dias,0),9)*1000000000+IFERROR(MATCH('ORDENES'!$AH738,lista_turnos,0),9)*10000000+IFERROR(MATCH('ORDENES'!$AG738,'TECNICOS'!$B$4:$B$19,0),99)*100000+735,9000000000000+735)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2">
        <f>IF(K742=1,'ORDENES'!$J738,"")</f>
        <v/>
      </c>
    </row>
    <row r="743">
      <c r="K743" s="5">
        <f>IF(AND(IF($B$3="(todos)",TRUE,'ORDENES'!$O739=$B$3),IF($D$3="(todos)",TRUE,'ORDENES'!$AH739=$D$3),IF($F$3="(todos)",TRUE,'ORDENES'!$Z739=$F$3),IF($H$3="(todos)",TRUE,'ORDENES'!$Y739=$H$3),'ORDENES'!$AF739=TRUE,'ORDENES'!$A739&lt;&gt;""),1,0)</f>
        <v/>
      </c>
      <c r="L743" s="5">
        <f>IF(K743=1,IFERROR(MATCH('ORDENES'!$S739,lista_dias,0),9)*1000000000+IFERROR(MATCH('ORDENES'!$AH739,lista_turnos,0),9)*10000000+IFERROR(MATCH('ORDENES'!$AG739,'TECNICOS'!$B$4:$B$19,0),99)*100000+736,9000000000000+736)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2">
        <f>IF(K743=1,'ORDENES'!$J739,"")</f>
        <v/>
      </c>
    </row>
    <row r="744">
      <c r="K744" s="5">
        <f>IF(AND(IF($B$3="(todos)",TRUE,'ORDENES'!$O740=$B$3),IF($D$3="(todos)",TRUE,'ORDENES'!$AH740=$D$3),IF($F$3="(todos)",TRUE,'ORDENES'!$Z740=$F$3),IF($H$3="(todos)",TRUE,'ORDENES'!$Y740=$H$3),'ORDENES'!$AF740=TRUE,'ORDENES'!$A740&lt;&gt;""),1,0)</f>
        <v/>
      </c>
      <c r="L744" s="5">
        <f>IF(K744=1,IFERROR(MATCH('ORDENES'!$S740,lista_dias,0),9)*1000000000+IFERROR(MATCH('ORDENES'!$AH740,lista_turnos,0),9)*10000000+IFERROR(MATCH('ORDENES'!$AG740,'TECNICOS'!$B$4:$B$19,0),99)*100000+737,9000000000000+737)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2">
        <f>IF(K744=1,'ORDENES'!$J740,"")</f>
        <v/>
      </c>
    </row>
    <row r="745">
      <c r="K745" s="5">
        <f>IF(AND(IF($B$3="(todos)",TRUE,'ORDENES'!$O741=$B$3),IF($D$3="(todos)",TRUE,'ORDENES'!$AH741=$D$3),IF($F$3="(todos)",TRUE,'ORDENES'!$Z741=$F$3),IF($H$3="(todos)",TRUE,'ORDENES'!$Y741=$H$3),'ORDENES'!$AF741=TRUE,'ORDENES'!$A741&lt;&gt;""),1,0)</f>
        <v/>
      </c>
      <c r="L745" s="5">
        <f>IF(K745=1,IFERROR(MATCH('ORDENES'!$S741,lista_dias,0),9)*1000000000+IFERROR(MATCH('ORDENES'!$AH741,lista_turnos,0),9)*10000000+IFERROR(MATCH('ORDENES'!$AG741,'TECNICOS'!$B$4:$B$19,0),99)*100000+738,9000000000000+738)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2">
        <f>IF(K745=1,'ORDENES'!$J741,"")</f>
        <v/>
      </c>
    </row>
    <row r="746">
      <c r="K746" s="5">
        <f>IF(AND(IF($B$3="(todos)",TRUE,'ORDENES'!$O742=$B$3),IF($D$3="(todos)",TRUE,'ORDENES'!$AH742=$D$3),IF($F$3="(todos)",TRUE,'ORDENES'!$Z742=$F$3),IF($H$3="(todos)",TRUE,'ORDENES'!$Y742=$H$3),'ORDENES'!$AF742=TRUE,'ORDENES'!$A742&lt;&gt;""),1,0)</f>
        <v/>
      </c>
      <c r="L746" s="5">
        <f>IF(K746=1,IFERROR(MATCH('ORDENES'!$S742,lista_dias,0),9)*1000000000+IFERROR(MATCH('ORDENES'!$AH742,lista_turnos,0),9)*10000000+IFERROR(MATCH('ORDENES'!$AG742,'TECNICOS'!$B$4:$B$19,0),99)*100000+739,9000000000000+739)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2">
        <f>IF(K746=1,'ORDENES'!$J742,"")</f>
        <v/>
      </c>
    </row>
    <row r="747">
      <c r="K747" s="5">
        <f>IF(AND(IF($B$3="(todos)",TRUE,'ORDENES'!$O743=$B$3),IF($D$3="(todos)",TRUE,'ORDENES'!$AH743=$D$3),IF($F$3="(todos)",TRUE,'ORDENES'!$Z743=$F$3),IF($H$3="(todos)",TRUE,'ORDENES'!$Y743=$H$3),'ORDENES'!$AF743=TRUE,'ORDENES'!$A743&lt;&gt;""),1,0)</f>
        <v/>
      </c>
      <c r="L747" s="5">
        <f>IF(K747=1,IFERROR(MATCH('ORDENES'!$S743,lista_dias,0),9)*1000000000+IFERROR(MATCH('ORDENES'!$AH743,lista_turnos,0),9)*10000000+IFERROR(MATCH('ORDENES'!$AG743,'TECNICOS'!$B$4:$B$19,0),99)*100000+740,9000000000000+740)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2">
        <f>IF(K747=1,'ORDENES'!$J743,"")</f>
        <v/>
      </c>
    </row>
    <row r="748">
      <c r="K748" s="5">
        <f>IF(AND(IF($B$3="(todos)",TRUE,'ORDENES'!$O744=$B$3),IF($D$3="(todos)",TRUE,'ORDENES'!$AH744=$D$3),IF($F$3="(todos)",TRUE,'ORDENES'!$Z744=$F$3),IF($H$3="(todos)",TRUE,'ORDENES'!$Y744=$H$3),'ORDENES'!$AF744=TRUE,'ORDENES'!$A744&lt;&gt;""),1,0)</f>
        <v/>
      </c>
      <c r="L748" s="5">
        <f>IF(K748=1,IFERROR(MATCH('ORDENES'!$S744,lista_dias,0),9)*1000000000+IFERROR(MATCH('ORDENES'!$AH744,lista_turnos,0),9)*10000000+IFERROR(MATCH('ORDENES'!$AG744,'TECNICOS'!$B$4:$B$19,0),99)*100000+741,9000000000000+741)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2">
        <f>IF(K748=1,'ORDENES'!$J744,"")</f>
        <v/>
      </c>
    </row>
    <row r="749">
      <c r="K749" s="5">
        <f>IF(AND(IF($B$3="(todos)",TRUE,'ORDENES'!$O745=$B$3),IF($D$3="(todos)",TRUE,'ORDENES'!$AH745=$D$3),IF($F$3="(todos)",TRUE,'ORDENES'!$Z745=$F$3),IF($H$3="(todos)",TRUE,'ORDENES'!$Y745=$H$3),'ORDENES'!$AF745=TRUE,'ORDENES'!$A745&lt;&gt;""),1,0)</f>
        <v/>
      </c>
      <c r="L749" s="5">
        <f>IF(K749=1,IFERROR(MATCH('ORDENES'!$S745,lista_dias,0),9)*1000000000+IFERROR(MATCH('ORDENES'!$AH745,lista_turnos,0),9)*10000000+IFERROR(MATCH('ORDENES'!$AG745,'TECNICOS'!$B$4:$B$19,0),99)*100000+742,9000000000000+742)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2">
        <f>IF(K749=1,'ORDENES'!$J745,"")</f>
        <v/>
      </c>
    </row>
    <row r="750">
      <c r="K750" s="5">
        <f>IF(AND(IF($B$3="(todos)",TRUE,'ORDENES'!$O746=$B$3),IF($D$3="(todos)",TRUE,'ORDENES'!$AH746=$D$3),IF($F$3="(todos)",TRUE,'ORDENES'!$Z746=$F$3),IF($H$3="(todos)",TRUE,'ORDENES'!$Y746=$H$3),'ORDENES'!$AF746=TRUE,'ORDENES'!$A746&lt;&gt;""),1,0)</f>
        <v/>
      </c>
      <c r="L750" s="5">
        <f>IF(K750=1,IFERROR(MATCH('ORDENES'!$S746,lista_dias,0),9)*1000000000+IFERROR(MATCH('ORDENES'!$AH746,lista_turnos,0),9)*10000000+IFERROR(MATCH('ORDENES'!$AG746,'TECNICOS'!$B$4:$B$19,0),99)*100000+743,9000000000000+743)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2">
        <f>IF(K750=1,'ORDENES'!$J746,"")</f>
        <v/>
      </c>
    </row>
    <row r="751">
      <c r="K751" s="5">
        <f>IF(AND(IF($B$3="(todos)",TRUE,'ORDENES'!$O747=$B$3),IF($D$3="(todos)",TRUE,'ORDENES'!$AH747=$D$3),IF($F$3="(todos)",TRUE,'ORDENES'!$Z747=$F$3),IF($H$3="(todos)",TRUE,'ORDENES'!$Y747=$H$3),'ORDENES'!$AF747=TRUE,'ORDENES'!$A747&lt;&gt;""),1,0)</f>
        <v/>
      </c>
      <c r="L751" s="5">
        <f>IF(K751=1,IFERROR(MATCH('ORDENES'!$S747,lista_dias,0),9)*1000000000+IFERROR(MATCH('ORDENES'!$AH747,lista_turnos,0),9)*10000000+IFERROR(MATCH('ORDENES'!$AG747,'TECNICOS'!$B$4:$B$19,0),99)*100000+744,9000000000000+744)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2">
        <f>IF(K751=1,'ORDENES'!$J747,"")</f>
        <v/>
      </c>
    </row>
    <row r="752">
      <c r="K752" s="5">
        <f>IF(AND(IF($B$3="(todos)",TRUE,'ORDENES'!$O748=$B$3),IF($D$3="(todos)",TRUE,'ORDENES'!$AH748=$D$3),IF($F$3="(todos)",TRUE,'ORDENES'!$Z748=$F$3),IF($H$3="(todos)",TRUE,'ORDENES'!$Y748=$H$3),'ORDENES'!$AF748=TRUE,'ORDENES'!$A748&lt;&gt;""),1,0)</f>
        <v/>
      </c>
      <c r="L752" s="5">
        <f>IF(K752=1,IFERROR(MATCH('ORDENES'!$S748,lista_dias,0),9)*1000000000+IFERROR(MATCH('ORDENES'!$AH748,lista_turnos,0),9)*10000000+IFERROR(MATCH('ORDENES'!$AG748,'TECNICOS'!$B$4:$B$19,0),99)*100000+745,9000000000000+745)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2">
        <f>IF(K752=1,'ORDENES'!$J748,"")</f>
        <v/>
      </c>
    </row>
    <row r="753">
      <c r="K753" s="5">
        <f>IF(AND(IF($B$3="(todos)",TRUE,'ORDENES'!$O749=$B$3),IF($D$3="(todos)",TRUE,'ORDENES'!$AH749=$D$3),IF($F$3="(todos)",TRUE,'ORDENES'!$Z749=$F$3),IF($H$3="(todos)",TRUE,'ORDENES'!$Y749=$H$3),'ORDENES'!$AF749=TRUE,'ORDENES'!$A749&lt;&gt;""),1,0)</f>
        <v/>
      </c>
      <c r="L753" s="5">
        <f>IF(K753=1,IFERROR(MATCH('ORDENES'!$S749,lista_dias,0),9)*1000000000+IFERROR(MATCH('ORDENES'!$AH749,lista_turnos,0),9)*10000000+IFERROR(MATCH('ORDENES'!$AG749,'TECNICOS'!$B$4:$B$19,0),99)*100000+746,9000000000000+746)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2">
        <f>IF(K753=1,'ORDENES'!$J749,"")</f>
        <v/>
      </c>
    </row>
    <row r="754">
      <c r="K754" s="5">
        <f>IF(AND(IF($B$3="(todos)",TRUE,'ORDENES'!$O750=$B$3),IF($D$3="(todos)",TRUE,'ORDENES'!$AH750=$D$3),IF($F$3="(todos)",TRUE,'ORDENES'!$Z750=$F$3),IF($H$3="(todos)",TRUE,'ORDENES'!$Y750=$H$3),'ORDENES'!$AF750=TRUE,'ORDENES'!$A750&lt;&gt;""),1,0)</f>
        <v/>
      </c>
      <c r="L754" s="5">
        <f>IF(K754=1,IFERROR(MATCH('ORDENES'!$S750,lista_dias,0),9)*1000000000+IFERROR(MATCH('ORDENES'!$AH750,lista_turnos,0),9)*10000000+IFERROR(MATCH('ORDENES'!$AG750,'TECNICOS'!$B$4:$B$19,0),99)*100000+747,9000000000000+747)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2">
        <f>IF(K754=1,'ORDENES'!$J750,"")</f>
        <v/>
      </c>
    </row>
    <row r="755">
      <c r="K755" s="5">
        <f>IF(AND(IF($B$3="(todos)",TRUE,'ORDENES'!$O751=$B$3),IF($D$3="(todos)",TRUE,'ORDENES'!$AH751=$D$3),IF($F$3="(todos)",TRUE,'ORDENES'!$Z751=$F$3),IF($H$3="(todos)",TRUE,'ORDENES'!$Y751=$H$3),'ORDENES'!$AF751=TRUE,'ORDENES'!$A751&lt;&gt;""),1,0)</f>
        <v/>
      </c>
      <c r="L755" s="5">
        <f>IF(K755=1,IFERROR(MATCH('ORDENES'!$S751,lista_dias,0),9)*1000000000+IFERROR(MATCH('ORDENES'!$AH751,lista_turnos,0),9)*10000000+IFERROR(MATCH('ORDENES'!$AG751,'TECNICOS'!$B$4:$B$19,0),99)*100000+748,9000000000000+748)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2">
        <f>IF(K755=1,'ORDENES'!$J751,"")</f>
        <v/>
      </c>
    </row>
    <row r="756">
      <c r="K756" s="5">
        <f>IF(AND(IF($B$3="(todos)",TRUE,'ORDENES'!$O752=$B$3),IF($D$3="(todos)",TRUE,'ORDENES'!$AH752=$D$3),IF($F$3="(todos)",TRUE,'ORDENES'!$Z752=$F$3),IF($H$3="(todos)",TRUE,'ORDENES'!$Y752=$H$3),'ORDENES'!$AF752=TRUE,'ORDENES'!$A752&lt;&gt;""),1,0)</f>
        <v/>
      </c>
      <c r="L756" s="5">
        <f>IF(K756=1,IFERROR(MATCH('ORDENES'!$S752,lista_dias,0),9)*1000000000+IFERROR(MATCH('ORDENES'!$AH752,lista_turnos,0),9)*10000000+IFERROR(MATCH('ORDENES'!$AG752,'TECNICOS'!$B$4:$B$19,0),99)*100000+749,9000000000000+749)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2">
        <f>IF(K756=1,'ORDENES'!$J752,"")</f>
        <v/>
      </c>
    </row>
    <row r="757">
      <c r="K757" s="5">
        <f>IF(AND(IF($B$3="(todos)",TRUE,'ORDENES'!$O753=$B$3),IF($D$3="(todos)",TRUE,'ORDENES'!$AH753=$D$3),IF($F$3="(todos)",TRUE,'ORDENES'!$Z753=$F$3),IF($H$3="(todos)",TRUE,'ORDENES'!$Y753=$H$3),'ORDENES'!$AF753=TRUE,'ORDENES'!$A753&lt;&gt;""),1,0)</f>
        <v/>
      </c>
      <c r="L757" s="5">
        <f>IF(K757=1,IFERROR(MATCH('ORDENES'!$S753,lista_dias,0),9)*1000000000+IFERROR(MATCH('ORDENES'!$AH753,lista_turnos,0),9)*10000000+IFERROR(MATCH('ORDENES'!$AG753,'TECNICOS'!$B$4:$B$19,0),99)*100000+750,9000000000000+750)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2">
        <f>IF(K757=1,'ORDENES'!$J753,"")</f>
        <v/>
      </c>
    </row>
    <row r="758">
      <c r="K758" s="5">
        <f>IF(AND(IF($B$3="(todos)",TRUE,'ORDENES'!$O754=$B$3),IF($D$3="(todos)",TRUE,'ORDENES'!$AH754=$D$3),IF($F$3="(todos)",TRUE,'ORDENES'!$Z754=$F$3),IF($H$3="(todos)",TRUE,'ORDENES'!$Y754=$H$3),'ORDENES'!$AF754=TRUE,'ORDENES'!$A754&lt;&gt;""),1,0)</f>
        <v/>
      </c>
      <c r="L758" s="5">
        <f>IF(K758=1,IFERROR(MATCH('ORDENES'!$S754,lista_dias,0),9)*1000000000+IFERROR(MATCH('ORDENES'!$AH754,lista_turnos,0),9)*10000000+IFERROR(MATCH('ORDENES'!$AG754,'TECNICOS'!$B$4:$B$19,0),99)*100000+751,9000000000000+751)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2">
        <f>IF(K758=1,'ORDENES'!$J754,"")</f>
        <v/>
      </c>
    </row>
    <row r="759">
      <c r="K759" s="5">
        <f>IF(AND(IF($B$3="(todos)",TRUE,'ORDENES'!$O755=$B$3),IF($D$3="(todos)",TRUE,'ORDENES'!$AH755=$D$3),IF($F$3="(todos)",TRUE,'ORDENES'!$Z755=$F$3),IF($H$3="(todos)",TRUE,'ORDENES'!$Y755=$H$3),'ORDENES'!$AF755=TRUE,'ORDENES'!$A755&lt;&gt;""),1,0)</f>
        <v/>
      </c>
      <c r="L759" s="5">
        <f>IF(K759=1,IFERROR(MATCH('ORDENES'!$S755,lista_dias,0),9)*1000000000+IFERROR(MATCH('ORDENES'!$AH755,lista_turnos,0),9)*10000000+IFERROR(MATCH('ORDENES'!$AG755,'TECNICOS'!$B$4:$B$19,0),99)*100000+752,9000000000000+752)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2">
        <f>IF(K759=1,'ORDENES'!$J755,"")</f>
        <v/>
      </c>
    </row>
    <row r="760">
      <c r="K760" s="5">
        <f>IF(AND(IF($B$3="(todos)",TRUE,'ORDENES'!$O756=$B$3),IF($D$3="(todos)",TRUE,'ORDENES'!$AH756=$D$3),IF($F$3="(todos)",TRUE,'ORDENES'!$Z756=$F$3),IF($H$3="(todos)",TRUE,'ORDENES'!$Y756=$H$3),'ORDENES'!$AF756=TRUE,'ORDENES'!$A756&lt;&gt;""),1,0)</f>
        <v/>
      </c>
      <c r="L760" s="5">
        <f>IF(K760=1,IFERROR(MATCH('ORDENES'!$S756,lista_dias,0),9)*1000000000+IFERROR(MATCH('ORDENES'!$AH756,lista_turnos,0),9)*10000000+IFERROR(MATCH('ORDENES'!$AG756,'TECNICOS'!$B$4:$B$19,0),99)*100000+753,9000000000000+753)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2">
        <f>IF(K760=1,'ORDENES'!$J756,"")</f>
        <v/>
      </c>
    </row>
    <row r="761">
      <c r="K761" s="5">
        <f>IF(AND(IF($B$3="(todos)",TRUE,'ORDENES'!$O757=$B$3),IF($D$3="(todos)",TRUE,'ORDENES'!$AH757=$D$3),IF($F$3="(todos)",TRUE,'ORDENES'!$Z757=$F$3),IF($H$3="(todos)",TRUE,'ORDENES'!$Y757=$H$3),'ORDENES'!$AF757=TRUE,'ORDENES'!$A757&lt;&gt;""),1,0)</f>
        <v/>
      </c>
      <c r="L761" s="5">
        <f>IF(K761=1,IFERROR(MATCH('ORDENES'!$S757,lista_dias,0),9)*1000000000+IFERROR(MATCH('ORDENES'!$AH757,lista_turnos,0),9)*10000000+IFERROR(MATCH('ORDENES'!$AG757,'TECNICOS'!$B$4:$B$19,0),99)*100000+754,9000000000000+754)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2">
        <f>IF(K761=1,'ORDENES'!$J757,"")</f>
        <v/>
      </c>
    </row>
    <row r="762">
      <c r="K762" s="5">
        <f>IF(AND(IF($B$3="(todos)",TRUE,'ORDENES'!$O758=$B$3),IF($D$3="(todos)",TRUE,'ORDENES'!$AH758=$D$3),IF($F$3="(todos)",TRUE,'ORDENES'!$Z758=$F$3),IF($H$3="(todos)",TRUE,'ORDENES'!$Y758=$H$3),'ORDENES'!$AF758=TRUE,'ORDENES'!$A758&lt;&gt;""),1,0)</f>
        <v/>
      </c>
      <c r="L762" s="5">
        <f>IF(K762=1,IFERROR(MATCH('ORDENES'!$S758,lista_dias,0),9)*1000000000+IFERROR(MATCH('ORDENES'!$AH758,lista_turnos,0),9)*10000000+IFERROR(MATCH('ORDENES'!$AG758,'TECNICOS'!$B$4:$B$19,0),99)*100000+755,9000000000000+755)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2">
        <f>IF(K762=1,'ORDENES'!$J758,"")</f>
        <v/>
      </c>
    </row>
    <row r="763">
      <c r="K763" s="5">
        <f>IF(AND(IF($B$3="(todos)",TRUE,'ORDENES'!$O759=$B$3),IF($D$3="(todos)",TRUE,'ORDENES'!$AH759=$D$3),IF($F$3="(todos)",TRUE,'ORDENES'!$Z759=$F$3),IF($H$3="(todos)",TRUE,'ORDENES'!$Y759=$H$3),'ORDENES'!$AF759=TRUE,'ORDENES'!$A759&lt;&gt;""),1,0)</f>
        <v/>
      </c>
      <c r="L763" s="5">
        <f>IF(K763=1,IFERROR(MATCH('ORDENES'!$S759,lista_dias,0),9)*1000000000+IFERROR(MATCH('ORDENES'!$AH759,lista_turnos,0),9)*10000000+IFERROR(MATCH('ORDENES'!$AG759,'TECNICOS'!$B$4:$B$19,0),99)*100000+756,9000000000000+756)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2">
        <f>IF(K763=1,'ORDENES'!$J759,"")</f>
        <v/>
      </c>
    </row>
    <row r="764">
      <c r="K764" s="5">
        <f>IF(AND(IF($B$3="(todos)",TRUE,'ORDENES'!$O760=$B$3),IF($D$3="(todos)",TRUE,'ORDENES'!$AH760=$D$3),IF($F$3="(todos)",TRUE,'ORDENES'!$Z760=$F$3),IF($H$3="(todos)",TRUE,'ORDENES'!$Y760=$H$3),'ORDENES'!$AF760=TRUE,'ORDENES'!$A760&lt;&gt;""),1,0)</f>
        <v/>
      </c>
      <c r="L764" s="5">
        <f>IF(K764=1,IFERROR(MATCH('ORDENES'!$S760,lista_dias,0),9)*1000000000+IFERROR(MATCH('ORDENES'!$AH760,lista_turnos,0),9)*10000000+IFERROR(MATCH('ORDENES'!$AG760,'TECNICOS'!$B$4:$B$19,0),99)*100000+757,9000000000000+757)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2">
        <f>IF(K764=1,'ORDENES'!$J760,"")</f>
        <v/>
      </c>
    </row>
    <row r="765">
      <c r="K765" s="5">
        <f>IF(AND(IF($B$3="(todos)",TRUE,'ORDENES'!$O761=$B$3),IF($D$3="(todos)",TRUE,'ORDENES'!$AH761=$D$3),IF($F$3="(todos)",TRUE,'ORDENES'!$Z761=$F$3),IF($H$3="(todos)",TRUE,'ORDENES'!$Y761=$H$3),'ORDENES'!$AF761=TRUE,'ORDENES'!$A761&lt;&gt;""),1,0)</f>
        <v/>
      </c>
      <c r="L765" s="5">
        <f>IF(K765=1,IFERROR(MATCH('ORDENES'!$S761,lista_dias,0),9)*1000000000+IFERROR(MATCH('ORDENES'!$AH761,lista_turnos,0),9)*10000000+IFERROR(MATCH('ORDENES'!$AG761,'TECNICOS'!$B$4:$B$19,0),99)*100000+758,9000000000000+758)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2">
        <f>IF(K765=1,'ORDENES'!$J761,"")</f>
        <v/>
      </c>
    </row>
    <row r="766">
      <c r="K766" s="5">
        <f>IF(AND(IF($B$3="(todos)",TRUE,'ORDENES'!$O762=$B$3),IF($D$3="(todos)",TRUE,'ORDENES'!$AH762=$D$3),IF($F$3="(todos)",TRUE,'ORDENES'!$Z762=$F$3),IF($H$3="(todos)",TRUE,'ORDENES'!$Y762=$H$3),'ORDENES'!$AF762=TRUE,'ORDENES'!$A762&lt;&gt;""),1,0)</f>
        <v/>
      </c>
      <c r="L766" s="5">
        <f>IF(K766=1,IFERROR(MATCH('ORDENES'!$S762,lista_dias,0),9)*1000000000+IFERROR(MATCH('ORDENES'!$AH762,lista_turnos,0),9)*10000000+IFERROR(MATCH('ORDENES'!$AG762,'TECNICOS'!$B$4:$B$19,0),99)*100000+759,9000000000000+759)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2">
        <f>IF(K766=1,'ORDENES'!$J762,"")</f>
        <v/>
      </c>
    </row>
    <row r="767">
      <c r="K767" s="5">
        <f>IF(AND(IF($B$3="(todos)",TRUE,'ORDENES'!$O763=$B$3),IF($D$3="(todos)",TRUE,'ORDENES'!$AH763=$D$3),IF($F$3="(todos)",TRUE,'ORDENES'!$Z763=$F$3),IF($H$3="(todos)",TRUE,'ORDENES'!$Y763=$H$3),'ORDENES'!$AF763=TRUE,'ORDENES'!$A763&lt;&gt;""),1,0)</f>
        <v/>
      </c>
      <c r="L767" s="5">
        <f>IF(K767=1,IFERROR(MATCH('ORDENES'!$S763,lista_dias,0),9)*1000000000+IFERROR(MATCH('ORDENES'!$AH763,lista_turnos,0),9)*10000000+IFERROR(MATCH('ORDENES'!$AG763,'TECNICOS'!$B$4:$B$19,0),99)*100000+760,9000000000000+760)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2">
        <f>IF(K767=1,'ORDENES'!$J763,"")</f>
        <v/>
      </c>
    </row>
    <row r="768">
      <c r="K768" s="5">
        <f>IF(AND(IF($B$3="(todos)",TRUE,'ORDENES'!$O764=$B$3),IF($D$3="(todos)",TRUE,'ORDENES'!$AH764=$D$3),IF($F$3="(todos)",TRUE,'ORDENES'!$Z764=$F$3),IF($H$3="(todos)",TRUE,'ORDENES'!$Y764=$H$3),'ORDENES'!$AF764=TRUE,'ORDENES'!$A764&lt;&gt;""),1,0)</f>
        <v/>
      </c>
      <c r="L768" s="5">
        <f>IF(K768=1,IFERROR(MATCH('ORDENES'!$S764,lista_dias,0),9)*1000000000+IFERROR(MATCH('ORDENES'!$AH764,lista_turnos,0),9)*10000000+IFERROR(MATCH('ORDENES'!$AG764,'TECNICOS'!$B$4:$B$19,0),99)*100000+761,9000000000000+761)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2">
        <f>IF(K768=1,'ORDENES'!$J764,"")</f>
        <v/>
      </c>
    </row>
    <row r="769">
      <c r="K769" s="5">
        <f>IF(AND(IF($B$3="(todos)",TRUE,'ORDENES'!$O765=$B$3),IF($D$3="(todos)",TRUE,'ORDENES'!$AH765=$D$3),IF($F$3="(todos)",TRUE,'ORDENES'!$Z765=$F$3),IF($H$3="(todos)",TRUE,'ORDENES'!$Y765=$H$3),'ORDENES'!$AF765=TRUE,'ORDENES'!$A765&lt;&gt;""),1,0)</f>
        <v/>
      </c>
      <c r="L769" s="5">
        <f>IF(K769=1,IFERROR(MATCH('ORDENES'!$S765,lista_dias,0),9)*1000000000+IFERROR(MATCH('ORDENES'!$AH765,lista_turnos,0),9)*10000000+IFERROR(MATCH('ORDENES'!$AG765,'TECNICOS'!$B$4:$B$19,0),99)*100000+762,9000000000000+762)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2">
        <f>IF(K769=1,'ORDENES'!$J765,"")</f>
        <v/>
      </c>
    </row>
    <row r="770">
      <c r="K770" s="5">
        <f>IF(AND(IF($B$3="(todos)",TRUE,'ORDENES'!$O766=$B$3),IF($D$3="(todos)",TRUE,'ORDENES'!$AH766=$D$3),IF($F$3="(todos)",TRUE,'ORDENES'!$Z766=$F$3),IF($H$3="(todos)",TRUE,'ORDENES'!$Y766=$H$3),'ORDENES'!$AF766=TRUE,'ORDENES'!$A766&lt;&gt;""),1,0)</f>
        <v/>
      </c>
      <c r="L770" s="5">
        <f>IF(K770=1,IFERROR(MATCH('ORDENES'!$S766,lista_dias,0),9)*1000000000+IFERROR(MATCH('ORDENES'!$AH766,lista_turnos,0),9)*10000000+IFERROR(MATCH('ORDENES'!$AG766,'TECNICOS'!$B$4:$B$19,0),99)*100000+763,9000000000000+763)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2">
        <f>IF(K770=1,'ORDENES'!$J766,"")</f>
        <v/>
      </c>
    </row>
    <row r="771">
      <c r="K771" s="5">
        <f>IF(AND(IF($B$3="(todos)",TRUE,'ORDENES'!$O767=$B$3),IF($D$3="(todos)",TRUE,'ORDENES'!$AH767=$D$3),IF($F$3="(todos)",TRUE,'ORDENES'!$Z767=$F$3),IF($H$3="(todos)",TRUE,'ORDENES'!$Y767=$H$3),'ORDENES'!$AF767=TRUE,'ORDENES'!$A767&lt;&gt;""),1,0)</f>
        <v/>
      </c>
      <c r="L771" s="5">
        <f>IF(K771=1,IFERROR(MATCH('ORDENES'!$S767,lista_dias,0),9)*1000000000+IFERROR(MATCH('ORDENES'!$AH767,lista_turnos,0),9)*10000000+IFERROR(MATCH('ORDENES'!$AG767,'TECNICOS'!$B$4:$B$19,0),99)*100000+764,9000000000000+764)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2">
        <f>IF(K771=1,'ORDENES'!$J767,"")</f>
        <v/>
      </c>
    </row>
    <row r="772">
      <c r="K772" s="5">
        <f>IF(AND(IF($B$3="(todos)",TRUE,'ORDENES'!$O768=$B$3),IF($D$3="(todos)",TRUE,'ORDENES'!$AH768=$D$3),IF($F$3="(todos)",TRUE,'ORDENES'!$Z768=$F$3),IF($H$3="(todos)",TRUE,'ORDENES'!$Y768=$H$3),'ORDENES'!$AF768=TRUE,'ORDENES'!$A768&lt;&gt;""),1,0)</f>
        <v/>
      </c>
      <c r="L772" s="5">
        <f>IF(K772=1,IFERROR(MATCH('ORDENES'!$S768,lista_dias,0),9)*1000000000+IFERROR(MATCH('ORDENES'!$AH768,lista_turnos,0),9)*10000000+IFERROR(MATCH('ORDENES'!$AG768,'TECNICOS'!$B$4:$B$19,0),99)*100000+765,9000000000000+765)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2">
        <f>IF(K772=1,'ORDENES'!$J768,"")</f>
        <v/>
      </c>
    </row>
    <row r="773">
      <c r="K773" s="5">
        <f>IF(AND(IF($B$3="(todos)",TRUE,'ORDENES'!$O769=$B$3),IF($D$3="(todos)",TRUE,'ORDENES'!$AH769=$D$3),IF($F$3="(todos)",TRUE,'ORDENES'!$Z769=$F$3),IF($H$3="(todos)",TRUE,'ORDENES'!$Y769=$H$3),'ORDENES'!$AF769=TRUE,'ORDENES'!$A769&lt;&gt;""),1,0)</f>
        <v/>
      </c>
      <c r="L773" s="5">
        <f>IF(K773=1,IFERROR(MATCH('ORDENES'!$S769,lista_dias,0),9)*1000000000+IFERROR(MATCH('ORDENES'!$AH769,lista_turnos,0),9)*10000000+IFERROR(MATCH('ORDENES'!$AG769,'TECNICOS'!$B$4:$B$19,0),99)*100000+766,9000000000000+766)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2">
        <f>IF(K773=1,'ORDENES'!$J769,"")</f>
        <v/>
      </c>
    </row>
    <row r="774">
      <c r="K774" s="5">
        <f>IF(AND(IF($B$3="(todos)",TRUE,'ORDENES'!$O770=$B$3),IF($D$3="(todos)",TRUE,'ORDENES'!$AH770=$D$3),IF($F$3="(todos)",TRUE,'ORDENES'!$Z770=$F$3),IF($H$3="(todos)",TRUE,'ORDENES'!$Y770=$H$3),'ORDENES'!$AF770=TRUE,'ORDENES'!$A770&lt;&gt;""),1,0)</f>
        <v/>
      </c>
      <c r="L774" s="5">
        <f>IF(K774=1,IFERROR(MATCH('ORDENES'!$S770,lista_dias,0),9)*1000000000+IFERROR(MATCH('ORDENES'!$AH770,lista_turnos,0),9)*10000000+IFERROR(MATCH('ORDENES'!$AG770,'TECNICOS'!$B$4:$B$19,0),99)*100000+767,9000000000000+767)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2">
        <f>IF(K774=1,'ORDENES'!$J770,"")</f>
        <v/>
      </c>
    </row>
    <row r="775">
      <c r="K775" s="5">
        <f>IF(AND(IF($B$3="(todos)",TRUE,'ORDENES'!$O771=$B$3),IF($D$3="(todos)",TRUE,'ORDENES'!$AH771=$D$3),IF($F$3="(todos)",TRUE,'ORDENES'!$Z771=$F$3),IF($H$3="(todos)",TRUE,'ORDENES'!$Y771=$H$3),'ORDENES'!$AF771=TRUE,'ORDENES'!$A771&lt;&gt;""),1,0)</f>
        <v/>
      </c>
      <c r="L775" s="5">
        <f>IF(K775=1,IFERROR(MATCH('ORDENES'!$S771,lista_dias,0),9)*1000000000+IFERROR(MATCH('ORDENES'!$AH771,lista_turnos,0),9)*10000000+IFERROR(MATCH('ORDENES'!$AG771,'TECNICOS'!$B$4:$B$19,0),99)*100000+768,9000000000000+768)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2">
        <f>IF(K775=1,'ORDENES'!$J771,"")</f>
        <v/>
      </c>
    </row>
    <row r="776">
      <c r="K776" s="5">
        <f>IF(AND(IF($B$3="(todos)",TRUE,'ORDENES'!$O772=$B$3),IF($D$3="(todos)",TRUE,'ORDENES'!$AH772=$D$3),IF($F$3="(todos)",TRUE,'ORDENES'!$Z772=$F$3),IF($H$3="(todos)",TRUE,'ORDENES'!$Y772=$H$3),'ORDENES'!$AF772=TRUE,'ORDENES'!$A772&lt;&gt;""),1,0)</f>
        <v/>
      </c>
      <c r="L776" s="5">
        <f>IF(K776=1,IFERROR(MATCH('ORDENES'!$S772,lista_dias,0),9)*1000000000+IFERROR(MATCH('ORDENES'!$AH772,lista_turnos,0),9)*10000000+IFERROR(MATCH('ORDENES'!$AG772,'TECNICOS'!$B$4:$B$19,0),99)*100000+769,9000000000000+769)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2">
        <f>IF(K776=1,'ORDENES'!$J772,"")</f>
        <v/>
      </c>
    </row>
    <row r="777">
      <c r="K777" s="5">
        <f>IF(AND(IF($B$3="(todos)",TRUE,'ORDENES'!$O773=$B$3),IF($D$3="(todos)",TRUE,'ORDENES'!$AH773=$D$3),IF($F$3="(todos)",TRUE,'ORDENES'!$Z773=$F$3),IF($H$3="(todos)",TRUE,'ORDENES'!$Y773=$H$3),'ORDENES'!$AF773=TRUE,'ORDENES'!$A773&lt;&gt;""),1,0)</f>
        <v/>
      </c>
      <c r="L777" s="5">
        <f>IF(K777=1,IFERROR(MATCH('ORDENES'!$S773,lista_dias,0),9)*1000000000+IFERROR(MATCH('ORDENES'!$AH773,lista_turnos,0),9)*10000000+IFERROR(MATCH('ORDENES'!$AG773,'TECNICOS'!$B$4:$B$19,0),99)*100000+770,9000000000000+770)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2">
        <f>IF(K777=1,'ORDENES'!$J773,"")</f>
        <v/>
      </c>
    </row>
    <row r="778">
      <c r="K778" s="5">
        <f>IF(AND(IF($B$3="(todos)",TRUE,'ORDENES'!$O774=$B$3),IF($D$3="(todos)",TRUE,'ORDENES'!$AH774=$D$3),IF($F$3="(todos)",TRUE,'ORDENES'!$Z774=$F$3),IF($H$3="(todos)",TRUE,'ORDENES'!$Y774=$H$3),'ORDENES'!$AF774=TRUE,'ORDENES'!$A774&lt;&gt;""),1,0)</f>
        <v/>
      </c>
      <c r="L778" s="5">
        <f>IF(K778=1,IFERROR(MATCH('ORDENES'!$S774,lista_dias,0),9)*1000000000+IFERROR(MATCH('ORDENES'!$AH774,lista_turnos,0),9)*10000000+IFERROR(MATCH('ORDENES'!$AG774,'TECNICOS'!$B$4:$B$19,0),99)*100000+771,9000000000000+771)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2">
        <f>IF(K778=1,'ORDENES'!$J774,"")</f>
        <v/>
      </c>
    </row>
    <row r="779">
      <c r="K779" s="5">
        <f>IF(AND(IF($B$3="(todos)",TRUE,'ORDENES'!$O775=$B$3),IF($D$3="(todos)",TRUE,'ORDENES'!$AH775=$D$3),IF($F$3="(todos)",TRUE,'ORDENES'!$Z775=$F$3),IF($H$3="(todos)",TRUE,'ORDENES'!$Y775=$H$3),'ORDENES'!$AF775=TRUE,'ORDENES'!$A775&lt;&gt;""),1,0)</f>
        <v/>
      </c>
      <c r="L779" s="5">
        <f>IF(K779=1,IFERROR(MATCH('ORDENES'!$S775,lista_dias,0),9)*1000000000+IFERROR(MATCH('ORDENES'!$AH775,lista_turnos,0),9)*10000000+IFERROR(MATCH('ORDENES'!$AG775,'TECNICOS'!$B$4:$B$19,0),99)*100000+772,9000000000000+772)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2">
        <f>IF(K779=1,'ORDENES'!$J775,"")</f>
        <v/>
      </c>
    </row>
    <row r="780">
      <c r="K780" s="5">
        <f>IF(AND(IF($B$3="(todos)",TRUE,'ORDENES'!$O776=$B$3),IF($D$3="(todos)",TRUE,'ORDENES'!$AH776=$D$3),IF($F$3="(todos)",TRUE,'ORDENES'!$Z776=$F$3),IF($H$3="(todos)",TRUE,'ORDENES'!$Y776=$H$3),'ORDENES'!$AF776=TRUE,'ORDENES'!$A776&lt;&gt;""),1,0)</f>
        <v/>
      </c>
      <c r="L780" s="5">
        <f>IF(K780=1,IFERROR(MATCH('ORDENES'!$S776,lista_dias,0),9)*1000000000+IFERROR(MATCH('ORDENES'!$AH776,lista_turnos,0),9)*10000000+IFERROR(MATCH('ORDENES'!$AG776,'TECNICOS'!$B$4:$B$19,0),99)*100000+773,9000000000000+773)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2">
        <f>IF(K780=1,'ORDENES'!$J776,"")</f>
        <v/>
      </c>
    </row>
    <row r="781">
      <c r="K781" s="5">
        <f>IF(AND(IF($B$3="(todos)",TRUE,'ORDENES'!$O777=$B$3),IF($D$3="(todos)",TRUE,'ORDENES'!$AH777=$D$3),IF($F$3="(todos)",TRUE,'ORDENES'!$Z777=$F$3),IF($H$3="(todos)",TRUE,'ORDENES'!$Y777=$H$3),'ORDENES'!$AF777=TRUE,'ORDENES'!$A777&lt;&gt;""),1,0)</f>
        <v/>
      </c>
      <c r="L781" s="5">
        <f>IF(K781=1,IFERROR(MATCH('ORDENES'!$S777,lista_dias,0),9)*1000000000+IFERROR(MATCH('ORDENES'!$AH777,lista_turnos,0),9)*10000000+IFERROR(MATCH('ORDENES'!$AG777,'TECNICOS'!$B$4:$B$19,0),99)*100000+774,9000000000000+774)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2">
        <f>IF(K781=1,'ORDENES'!$J777,"")</f>
        <v/>
      </c>
    </row>
    <row r="782">
      <c r="K782" s="5">
        <f>IF(AND(IF($B$3="(todos)",TRUE,'ORDENES'!$O778=$B$3),IF($D$3="(todos)",TRUE,'ORDENES'!$AH778=$D$3),IF($F$3="(todos)",TRUE,'ORDENES'!$Z778=$F$3),IF($H$3="(todos)",TRUE,'ORDENES'!$Y778=$H$3),'ORDENES'!$AF778=TRUE,'ORDENES'!$A778&lt;&gt;""),1,0)</f>
        <v/>
      </c>
      <c r="L782" s="5">
        <f>IF(K782=1,IFERROR(MATCH('ORDENES'!$S778,lista_dias,0),9)*1000000000+IFERROR(MATCH('ORDENES'!$AH778,lista_turnos,0),9)*10000000+IFERROR(MATCH('ORDENES'!$AG778,'TECNICOS'!$B$4:$B$19,0),99)*100000+775,9000000000000+775)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2">
        <f>IF(K782=1,'ORDENES'!$J778,"")</f>
        <v/>
      </c>
    </row>
    <row r="783">
      <c r="K783" s="5">
        <f>IF(AND(IF($B$3="(todos)",TRUE,'ORDENES'!$O779=$B$3),IF($D$3="(todos)",TRUE,'ORDENES'!$AH779=$D$3),IF($F$3="(todos)",TRUE,'ORDENES'!$Z779=$F$3),IF($H$3="(todos)",TRUE,'ORDENES'!$Y779=$H$3),'ORDENES'!$AF779=TRUE,'ORDENES'!$A779&lt;&gt;""),1,0)</f>
        <v/>
      </c>
      <c r="L783" s="5">
        <f>IF(K783=1,IFERROR(MATCH('ORDENES'!$S779,lista_dias,0),9)*1000000000+IFERROR(MATCH('ORDENES'!$AH779,lista_turnos,0),9)*10000000+IFERROR(MATCH('ORDENES'!$AG779,'TECNICOS'!$B$4:$B$19,0),99)*100000+776,9000000000000+776)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2">
        <f>IF(K783=1,'ORDENES'!$J779,"")</f>
        <v/>
      </c>
    </row>
    <row r="784">
      <c r="K784" s="5">
        <f>IF(AND(IF($B$3="(todos)",TRUE,'ORDENES'!$O780=$B$3),IF($D$3="(todos)",TRUE,'ORDENES'!$AH780=$D$3),IF($F$3="(todos)",TRUE,'ORDENES'!$Z780=$F$3),IF($H$3="(todos)",TRUE,'ORDENES'!$Y780=$H$3),'ORDENES'!$AF780=TRUE,'ORDENES'!$A780&lt;&gt;""),1,0)</f>
        <v/>
      </c>
      <c r="L784" s="5">
        <f>IF(K784=1,IFERROR(MATCH('ORDENES'!$S780,lista_dias,0),9)*1000000000+IFERROR(MATCH('ORDENES'!$AH780,lista_turnos,0),9)*10000000+IFERROR(MATCH('ORDENES'!$AG780,'TECNICOS'!$B$4:$B$19,0),99)*100000+777,9000000000000+777)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2">
        <f>IF(K784=1,'ORDENES'!$J780,"")</f>
        <v/>
      </c>
    </row>
    <row r="785">
      <c r="K785" s="5">
        <f>IF(AND(IF($B$3="(todos)",TRUE,'ORDENES'!$O781=$B$3),IF($D$3="(todos)",TRUE,'ORDENES'!$AH781=$D$3),IF($F$3="(todos)",TRUE,'ORDENES'!$Z781=$F$3),IF($H$3="(todos)",TRUE,'ORDENES'!$Y781=$H$3),'ORDENES'!$AF781=TRUE,'ORDENES'!$A781&lt;&gt;""),1,0)</f>
        <v/>
      </c>
      <c r="L785" s="5">
        <f>IF(K785=1,IFERROR(MATCH('ORDENES'!$S781,lista_dias,0),9)*1000000000+IFERROR(MATCH('ORDENES'!$AH781,lista_turnos,0),9)*10000000+IFERROR(MATCH('ORDENES'!$AG781,'TECNICOS'!$B$4:$B$19,0),99)*100000+778,9000000000000+778)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2">
        <f>IF(K785=1,'ORDENES'!$J781,"")</f>
        <v/>
      </c>
    </row>
    <row r="786">
      <c r="K786" s="5">
        <f>IF(AND(IF($B$3="(todos)",TRUE,'ORDENES'!$O782=$B$3),IF($D$3="(todos)",TRUE,'ORDENES'!$AH782=$D$3),IF($F$3="(todos)",TRUE,'ORDENES'!$Z782=$F$3),IF($H$3="(todos)",TRUE,'ORDENES'!$Y782=$H$3),'ORDENES'!$AF782=TRUE,'ORDENES'!$A782&lt;&gt;""),1,0)</f>
        <v/>
      </c>
      <c r="L786" s="5">
        <f>IF(K786=1,IFERROR(MATCH('ORDENES'!$S782,lista_dias,0),9)*1000000000+IFERROR(MATCH('ORDENES'!$AH782,lista_turnos,0),9)*10000000+IFERROR(MATCH('ORDENES'!$AG782,'TECNICOS'!$B$4:$B$19,0),99)*100000+779,9000000000000+779)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2">
        <f>IF(K786=1,'ORDENES'!$J782,"")</f>
        <v/>
      </c>
    </row>
    <row r="787">
      <c r="K787" s="5">
        <f>IF(AND(IF($B$3="(todos)",TRUE,'ORDENES'!$O783=$B$3),IF($D$3="(todos)",TRUE,'ORDENES'!$AH783=$D$3),IF($F$3="(todos)",TRUE,'ORDENES'!$Z783=$F$3),IF($H$3="(todos)",TRUE,'ORDENES'!$Y783=$H$3),'ORDENES'!$AF783=TRUE,'ORDENES'!$A783&lt;&gt;""),1,0)</f>
        <v/>
      </c>
      <c r="L787" s="5">
        <f>IF(K787=1,IFERROR(MATCH('ORDENES'!$S783,lista_dias,0),9)*1000000000+IFERROR(MATCH('ORDENES'!$AH783,lista_turnos,0),9)*10000000+IFERROR(MATCH('ORDENES'!$AG783,'TECNICOS'!$B$4:$B$19,0),99)*100000+780,9000000000000+780)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2">
        <f>IF(K787=1,'ORDENES'!$J783,"")</f>
        <v/>
      </c>
    </row>
    <row r="788">
      <c r="K788" s="5">
        <f>IF(AND(IF($B$3="(todos)",TRUE,'ORDENES'!$O784=$B$3),IF($D$3="(todos)",TRUE,'ORDENES'!$AH784=$D$3),IF($F$3="(todos)",TRUE,'ORDENES'!$Z784=$F$3),IF($H$3="(todos)",TRUE,'ORDENES'!$Y784=$H$3),'ORDENES'!$AF784=TRUE,'ORDENES'!$A784&lt;&gt;""),1,0)</f>
        <v/>
      </c>
      <c r="L788" s="5">
        <f>IF(K788=1,IFERROR(MATCH('ORDENES'!$S784,lista_dias,0),9)*1000000000+IFERROR(MATCH('ORDENES'!$AH784,lista_turnos,0),9)*10000000+IFERROR(MATCH('ORDENES'!$AG784,'TECNICOS'!$B$4:$B$19,0),99)*100000+781,9000000000000+781)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2">
        <f>IF(K788=1,'ORDENES'!$J784,"")</f>
        <v/>
      </c>
    </row>
    <row r="789">
      <c r="K789" s="5">
        <f>IF(AND(IF($B$3="(todos)",TRUE,'ORDENES'!$O785=$B$3),IF($D$3="(todos)",TRUE,'ORDENES'!$AH785=$D$3),IF($F$3="(todos)",TRUE,'ORDENES'!$Z785=$F$3),IF($H$3="(todos)",TRUE,'ORDENES'!$Y785=$H$3),'ORDENES'!$AF785=TRUE,'ORDENES'!$A785&lt;&gt;""),1,0)</f>
        <v/>
      </c>
      <c r="L789" s="5">
        <f>IF(K789=1,IFERROR(MATCH('ORDENES'!$S785,lista_dias,0),9)*1000000000+IFERROR(MATCH('ORDENES'!$AH785,lista_turnos,0),9)*10000000+IFERROR(MATCH('ORDENES'!$AG785,'TECNICOS'!$B$4:$B$19,0),99)*100000+782,9000000000000+782)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2">
        <f>IF(K789=1,'ORDENES'!$J785,"")</f>
        <v/>
      </c>
    </row>
    <row r="790">
      <c r="K790" s="5">
        <f>IF(AND(IF($B$3="(todos)",TRUE,'ORDENES'!$O786=$B$3),IF($D$3="(todos)",TRUE,'ORDENES'!$AH786=$D$3),IF($F$3="(todos)",TRUE,'ORDENES'!$Z786=$F$3),IF($H$3="(todos)",TRUE,'ORDENES'!$Y786=$H$3),'ORDENES'!$AF786=TRUE,'ORDENES'!$A786&lt;&gt;""),1,0)</f>
        <v/>
      </c>
      <c r="L790" s="5">
        <f>IF(K790=1,IFERROR(MATCH('ORDENES'!$S786,lista_dias,0),9)*1000000000+IFERROR(MATCH('ORDENES'!$AH786,lista_turnos,0),9)*10000000+IFERROR(MATCH('ORDENES'!$AG786,'TECNICOS'!$B$4:$B$19,0),99)*100000+783,9000000000000+783)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2">
        <f>IF(K790=1,'ORDENES'!$J786,"")</f>
        <v/>
      </c>
    </row>
    <row r="791">
      <c r="K791" s="5">
        <f>IF(AND(IF($B$3="(todos)",TRUE,'ORDENES'!$O787=$B$3),IF($D$3="(todos)",TRUE,'ORDENES'!$AH787=$D$3),IF($F$3="(todos)",TRUE,'ORDENES'!$Z787=$F$3),IF($H$3="(todos)",TRUE,'ORDENES'!$Y787=$H$3),'ORDENES'!$AF787=TRUE,'ORDENES'!$A787&lt;&gt;""),1,0)</f>
        <v/>
      </c>
      <c r="L791" s="5">
        <f>IF(K791=1,IFERROR(MATCH('ORDENES'!$S787,lista_dias,0),9)*1000000000+IFERROR(MATCH('ORDENES'!$AH787,lista_turnos,0),9)*10000000+IFERROR(MATCH('ORDENES'!$AG787,'TECNICOS'!$B$4:$B$19,0),99)*100000+784,9000000000000+784)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2">
        <f>IF(K791=1,'ORDENES'!$J787,"")</f>
        <v/>
      </c>
    </row>
    <row r="792">
      <c r="K792" s="5">
        <f>IF(AND(IF($B$3="(todos)",TRUE,'ORDENES'!$O788=$B$3),IF($D$3="(todos)",TRUE,'ORDENES'!$AH788=$D$3),IF($F$3="(todos)",TRUE,'ORDENES'!$Z788=$F$3),IF($H$3="(todos)",TRUE,'ORDENES'!$Y788=$H$3),'ORDENES'!$AF788=TRUE,'ORDENES'!$A788&lt;&gt;""),1,0)</f>
        <v/>
      </c>
      <c r="L792" s="5">
        <f>IF(K792=1,IFERROR(MATCH('ORDENES'!$S788,lista_dias,0),9)*1000000000+IFERROR(MATCH('ORDENES'!$AH788,lista_turnos,0),9)*10000000+IFERROR(MATCH('ORDENES'!$AG788,'TECNICOS'!$B$4:$B$19,0),99)*100000+785,9000000000000+785)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2">
        <f>IF(K792=1,'ORDENES'!$J788,"")</f>
        <v/>
      </c>
    </row>
    <row r="793">
      <c r="K793" s="5">
        <f>IF(AND(IF($B$3="(todos)",TRUE,'ORDENES'!$O789=$B$3),IF($D$3="(todos)",TRUE,'ORDENES'!$AH789=$D$3),IF($F$3="(todos)",TRUE,'ORDENES'!$Z789=$F$3),IF($H$3="(todos)",TRUE,'ORDENES'!$Y789=$H$3),'ORDENES'!$AF789=TRUE,'ORDENES'!$A789&lt;&gt;""),1,0)</f>
        <v/>
      </c>
      <c r="L793" s="5">
        <f>IF(K793=1,IFERROR(MATCH('ORDENES'!$S789,lista_dias,0),9)*1000000000+IFERROR(MATCH('ORDENES'!$AH789,lista_turnos,0),9)*10000000+IFERROR(MATCH('ORDENES'!$AG789,'TECNICOS'!$B$4:$B$19,0),99)*100000+786,9000000000000+786)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2">
        <f>IF(K793=1,'ORDENES'!$J789,"")</f>
        <v/>
      </c>
    </row>
    <row r="794">
      <c r="K794" s="5">
        <f>IF(AND(IF($B$3="(todos)",TRUE,'ORDENES'!$O790=$B$3),IF($D$3="(todos)",TRUE,'ORDENES'!$AH790=$D$3),IF($F$3="(todos)",TRUE,'ORDENES'!$Z790=$F$3),IF($H$3="(todos)",TRUE,'ORDENES'!$Y790=$H$3),'ORDENES'!$AF790=TRUE,'ORDENES'!$A790&lt;&gt;""),1,0)</f>
        <v/>
      </c>
      <c r="L794" s="5">
        <f>IF(K794=1,IFERROR(MATCH('ORDENES'!$S790,lista_dias,0),9)*1000000000+IFERROR(MATCH('ORDENES'!$AH790,lista_turnos,0),9)*10000000+IFERROR(MATCH('ORDENES'!$AG790,'TECNICOS'!$B$4:$B$19,0),99)*100000+787,9000000000000+787)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2">
        <f>IF(K794=1,'ORDENES'!$J790,"")</f>
        <v/>
      </c>
    </row>
    <row r="795">
      <c r="K795" s="5">
        <f>IF(AND(IF($B$3="(todos)",TRUE,'ORDENES'!$O791=$B$3),IF($D$3="(todos)",TRUE,'ORDENES'!$AH791=$D$3),IF($F$3="(todos)",TRUE,'ORDENES'!$Z791=$F$3),IF($H$3="(todos)",TRUE,'ORDENES'!$Y791=$H$3),'ORDENES'!$AF791=TRUE,'ORDENES'!$A791&lt;&gt;""),1,0)</f>
        <v/>
      </c>
      <c r="L795" s="5">
        <f>IF(K795=1,IFERROR(MATCH('ORDENES'!$S791,lista_dias,0),9)*1000000000+IFERROR(MATCH('ORDENES'!$AH791,lista_turnos,0),9)*10000000+IFERROR(MATCH('ORDENES'!$AG791,'TECNICOS'!$B$4:$B$19,0),99)*100000+788,9000000000000+788)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2">
        <f>IF(K795=1,'ORDENES'!$J791,"")</f>
        <v/>
      </c>
    </row>
    <row r="796">
      <c r="K796" s="5">
        <f>IF(AND(IF($B$3="(todos)",TRUE,'ORDENES'!$O792=$B$3),IF($D$3="(todos)",TRUE,'ORDENES'!$AH792=$D$3),IF($F$3="(todos)",TRUE,'ORDENES'!$Z792=$F$3),IF($H$3="(todos)",TRUE,'ORDENES'!$Y792=$H$3),'ORDENES'!$AF792=TRUE,'ORDENES'!$A792&lt;&gt;""),1,0)</f>
        <v/>
      </c>
      <c r="L796" s="5">
        <f>IF(K796=1,IFERROR(MATCH('ORDENES'!$S792,lista_dias,0),9)*1000000000+IFERROR(MATCH('ORDENES'!$AH792,lista_turnos,0),9)*10000000+IFERROR(MATCH('ORDENES'!$AG792,'TECNICOS'!$B$4:$B$19,0),99)*100000+789,9000000000000+789)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2">
        <f>IF(K796=1,'ORDENES'!$J792,"")</f>
        <v/>
      </c>
    </row>
    <row r="797">
      <c r="K797" s="5">
        <f>IF(AND(IF($B$3="(todos)",TRUE,'ORDENES'!$O793=$B$3),IF($D$3="(todos)",TRUE,'ORDENES'!$AH793=$D$3),IF($F$3="(todos)",TRUE,'ORDENES'!$Z793=$F$3),IF($H$3="(todos)",TRUE,'ORDENES'!$Y793=$H$3),'ORDENES'!$AF793=TRUE,'ORDENES'!$A793&lt;&gt;""),1,0)</f>
        <v/>
      </c>
      <c r="L797" s="5">
        <f>IF(K797=1,IFERROR(MATCH('ORDENES'!$S793,lista_dias,0),9)*1000000000+IFERROR(MATCH('ORDENES'!$AH793,lista_turnos,0),9)*10000000+IFERROR(MATCH('ORDENES'!$AG793,'TECNICOS'!$B$4:$B$19,0),99)*100000+790,9000000000000+790)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2">
        <f>IF(K797=1,'ORDENES'!$J793,"")</f>
        <v/>
      </c>
    </row>
    <row r="798">
      <c r="K798" s="5">
        <f>IF(AND(IF($B$3="(todos)",TRUE,'ORDENES'!$O794=$B$3),IF($D$3="(todos)",TRUE,'ORDENES'!$AH794=$D$3),IF($F$3="(todos)",TRUE,'ORDENES'!$Z794=$F$3),IF($H$3="(todos)",TRUE,'ORDENES'!$Y794=$H$3),'ORDENES'!$AF794=TRUE,'ORDENES'!$A794&lt;&gt;""),1,0)</f>
        <v/>
      </c>
      <c r="L798" s="5">
        <f>IF(K798=1,IFERROR(MATCH('ORDENES'!$S794,lista_dias,0),9)*1000000000+IFERROR(MATCH('ORDENES'!$AH794,lista_turnos,0),9)*10000000+IFERROR(MATCH('ORDENES'!$AG794,'TECNICOS'!$B$4:$B$19,0),99)*100000+791,9000000000000+791)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2">
        <f>IF(K798=1,'ORDENES'!$J794,"")</f>
        <v/>
      </c>
    </row>
    <row r="799">
      <c r="K799" s="5">
        <f>IF(AND(IF($B$3="(todos)",TRUE,'ORDENES'!$O795=$B$3),IF($D$3="(todos)",TRUE,'ORDENES'!$AH795=$D$3),IF($F$3="(todos)",TRUE,'ORDENES'!$Z795=$F$3),IF($H$3="(todos)",TRUE,'ORDENES'!$Y795=$H$3),'ORDENES'!$AF795=TRUE,'ORDENES'!$A795&lt;&gt;""),1,0)</f>
        <v/>
      </c>
      <c r="L799" s="5">
        <f>IF(K799=1,IFERROR(MATCH('ORDENES'!$S795,lista_dias,0),9)*1000000000+IFERROR(MATCH('ORDENES'!$AH795,lista_turnos,0),9)*10000000+IFERROR(MATCH('ORDENES'!$AG795,'TECNICOS'!$B$4:$B$19,0),99)*100000+792,9000000000000+792)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2">
        <f>IF(K799=1,'ORDENES'!$J795,"")</f>
        <v/>
      </c>
    </row>
    <row r="800">
      <c r="K800" s="5">
        <f>IF(AND(IF($B$3="(todos)",TRUE,'ORDENES'!$O796=$B$3),IF($D$3="(todos)",TRUE,'ORDENES'!$AH796=$D$3),IF($F$3="(todos)",TRUE,'ORDENES'!$Z796=$F$3),IF($H$3="(todos)",TRUE,'ORDENES'!$Y796=$H$3),'ORDENES'!$AF796=TRUE,'ORDENES'!$A796&lt;&gt;""),1,0)</f>
        <v/>
      </c>
      <c r="L800" s="5">
        <f>IF(K800=1,IFERROR(MATCH('ORDENES'!$S796,lista_dias,0),9)*1000000000+IFERROR(MATCH('ORDENES'!$AH796,lista_turnos,0),9)*10000000+IFERROR(MATCH('ORDENES'!$AG796,'TECNICOS'!$B$4:$B$19,0),99)*100000+793,9000000000000+793)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2">
        <f>IF(K800=1,'ORDENES'!$J796,"")</f>
        <v/>
      </c>
    </row>
    <row r="801">
      <c r="K801" s="5">
        <f>IF(AND(IF($B$3="(todos)",TRUE,'ORDENES'!$O797=$B$3),IF($D$3="(todos)",TRUE,'ORDENES'!$AH797=$D$3),IF($F$3="(todos)",TRUE,'ORDENES'!$Z797=$F$3),IF($H$3="(todos)",TRUE,'ORDENES'!$Y797=$H$3),'ORDENES'!$AF797=TRUE,'ORDENES'!$A797&lt;&gt;""),1,0)</f>
        <v/>
      </c>
      <c r="L801" s="5">
        <f>IF(K801=1,IFERROR(MATCH('ORDENES'!$S797,lista_dias,0),9)*1000000000+IFERROR(MATCH('ORDENES'!$AH797,lista_turnos,0),9)*10000000+IFERROR(MATCH('ORDENES'!$AG797,'TECNICOS'!$B$4:$B$19,0),99)*100000+794,9000000000000+794)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2">
        <f>IF(K801=1,'ORDENES'!$J797,"")</f>
        <v/>
      </c>
    </row>
    <row r="802">
      <c r="K802" s="5">
        <f>IF(AND(IF($B$3="(todos)",TRUE,'ORDENES'!$O798=$B$3),IF($D$3="(todos)",TRUE,'ORDENES'!$AH798=$D$3),IF($F$3="(todos)",TRUE,'ORDENES'!$Z798=$F$3),IF($H$3="(todos)",TRUE,'ORDENES'!$Y798=$H$3),'ORDENES'!$AF798=TRUE,'ORDENES'!$A798&lt;&gt;""),1,0)</f>
        <v/>
      </c>
      <c r="L802" s="5">
        <f>IF(K802=1,IFERROR(MATCH('ORDENES'!$S798,lista_dias,0),9)*1000000000+IFERROR(MATCH('ORDENES'!$AH798,lista_turnos,0),9)*10000000+IFERROR(MATCH('ORDENES'!$AG798,'TECNICOS'!$B$4:$B$19,0),99)*100000+795,9000000000000+795)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2">
        <f>IF(K802=1,'ORDENES'!$J798,"")</f>
        <v/>
      </c>
    </row>
    <row r="803">
      <c r="K803" s="5">
        <f>IF(AND(IF($B$3="(todos)",TRUE,'ORDENES'!$O799=$B$3),IF($D$3="(todos)",TRUE,'ORDENES'!$AH799=$D$3),IF($F$3="(todos)",TRUE,'ORDENES'!$Z799=$F$3),IF($H$3="(todos)",TRUE,'ORDENES'!$Y799=$H$3),'ORDENES'!$AF799=TRUE,'ORDENES'!$A799&lt;&gt;""),1,0)</f>
        <v/>
      </c>
      <c r="L803" s="5">
        <f>IF(K803=1,IFERROR(MATCH('ORDENES'!$S799,lista_dias,0),9)*1000000000+IFERROR(MATCH('ORDENES'!$AH799,lista_turnos,0),9)*10000000+IFERROR(MATCH('ORDENES'!$AG799,'TECNICOS'!$B$4:$B$19,0),99)*100000+796,9000000000000+796)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2">
        <f>IF(K803=1,'ORDENES'!$J799,"")</f>
        <v/>
      </c>
    </row>
    <row r="804">
      <c r="K804" s="5">
        <f>IF(AND(IF($B$3="(todos)",TRUE,'ORDENES'!$O800=$B$3),IF($D$3="(todos)",TRUE,'ORDENES'!$AH800=$D$3),IF($F$3="(todos)",TRUE,'ORDENES'!$Z800=$F$3),IF($H$3="(todos)",TRUE,'ORDENES'!$Y800=$H$3),'ORDENES'!$AF800=TRUE,'ORDENES'!$A800&lt;&gt;""),1,0)</f>
        <v/>
      </c>
      <c r="L804" s="5">
        <f>IF(K804=1,IFERROR(MATCH('ORDENES'!$S800,lista_dias,0),9)*1000000000+IFERROR(MATCH('ORDENES'!$AH800,lista_turnos,0),9)*10000000+IFERROR(MATCH('ORDENES'!$AG800,'TECNICOS'!$B$4:$B$19,0),99)*100000+797,9000000000000+797)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2">
        <f>IF(K804=1,'ORDENES'!$J800,"")</f>
        <v/>
      </c>
    </row>
    <row r="805">
      <c r="K805" s="5">
        <f>IF(AND(IF($B$3="(todos)",TRUE,'ORDENES'!$O801=$B$3),IF($D$3="(todos)",TRUE,'ORDENES'!$AH801=$D$3),IF($F$3="(todos)",TRUE,'ORDENES'!$Z801=$F$3),IF($H$3="(todos)",TRUE,'ORDENES'!$Y801=$H$3),'ORDENES'!$AF801=TRUE,'ORDENES'!$A801&lt;&gt;""),1,0)</f>
        <v/>
      </c>
      <c r="L805" s="5">
        <f>IF(K805=1,IFERROR(MATCH('ORDENES'!$S801,lista_dias,0),9)*1000000000+IFERROR(MATCH('ORDENES'!$AH801,lista_turnos,0),9)*10000000+IFERROR(MATCH('ORDENES'!$AG801,'TECNICOS'!$B$4:$B$19,0),99)*100000+798,9000000000000+798)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2">
        <f>IF(K805=1,'ORDENES'!$J801,"")</f>
        <v/>
      </c>
    </row>
    <row r="806">
      <c r="K806" s="5">
        <f>IF(AND(IF($B$3="(todos)",TRUE,'ORDENES'!$O802=$B$3),IF($D$3="(todos)",TRUE,'ORDENES'!$AH802=$D$3),IF($F$3="(todos)",TRUE,'ORDENES'!$Z802=$F$3),IF($H$3="(todos)",TRUE,'ORDENES'!$Y802=$H$3),'ORDENES'!$AF802=TRUE,'ORDENES'!$A802&lt;&gt;""),1,0)</f>
        <v/>
      </c>
      <c r="L806" s="5">
        <f>IF(K806=1,IFERROR(MATCH('ORDENES'!$S802,lista_dias,0),9)*1000000000+IFERROR(MATCH('ORDENES'!$AH802,lista_turnos,0),9)*10000000+IFERROR(MATCH('ORDENES'!$AG802,'TECNICOS'!$B$4:$B$19,0),99)*100000+799,9000000000000+799)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2">
        <f>IF(K806=1,'ORDENES'!$J802,"")</f>
        <v/>
      </c>
    </row>
    <row r="807">
      <c r="K807" s="5">
        <f>IF(AND(IF($B$3="(todos)",TRUE,'ORDENES'!$O803=$B$3),IF($D$3="(todos)",TRUE,'ORDENES'!$AH803=$D$3),IF($F$3="(todos)",TRUE,'ORDENES'!$Z803=$F$3),IF($H$3="(todos)",TRUE,'ORDENES'!$Y803=$H$3),'ORDENES'!$AF803=TRUE,'ORDENES'!$A803&lt;&gt;""),1,0)</f>
        <v/>
      </c>
      <c r="L807" s="5">
        <f>IF(K807=1,IFERROR(MATCH('ORDENES'!$S803,lista_dias,0),9)*1000000000+IFERROR(MATCH('ORDENES'!$AH803,lista_turnos,0),9)*10000000+IFERROR(MATCH('ORDENES'!$AG803,'TECNICOS'!$B$4:$B$19,0),99)*100000+800,9000000000000+800)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2">
        <f>IF(K807=1,'ORDENES'!$J803,"")</f>
        <v/>
      </c>
    </row>
    <row r="808">
      <c r="K808" s="5">
        <f>IF(AND(IF($B$3="(todos)",TRUE,'ORDENES'!$O804=$B$3),IF($D$3="(todos)",TRUE,'ORDENES'!$AH804=$D$3),IF($F$3="(todos)",TRUE,'ORDENES'!$Z804=$F$3),IF($H$3="(todos)",TRUE,'ORDENES'!$Y804=$H$3),'ORDENES'!$AF804=TRUE,'ORDENES'!$A804&lt;&gt;""),1,0)</f>
        <v/>
      </c>
      <c r="L808" s="5">
        <f>IF(K808=1,IFERROR(MATCH('ORDENES'!$S804,lista_dias,0),9)*1000000000+IFERROR(MATCH('ORDENES'!$AH804,lista_turnos,0),9)*10000000+IFERROR(MATCH('ORDENES'!$AG804,'TECNICOS'!$B$4:$B$19,0),99)*100000+801,9000000000000+801)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2">
        <f>IF(K808=1,'ORDENES'!$J804,"")</f>
        <v/>
      </c>
    </row>
    <row r="809">
      <c r="K809" s="5">
        <f>IF(AND(IF($B$3="(todos)",TRUE,'ORDENES'!$O805=$B$3),IF($D$3="(todos)",TRUE,'ORDENES'!$AH805=$D$3),IF($F$3="(todos)",TRUE,'ORDENES'!$Z805=$F$3),IF($H$3="(todos)",TRUE,'ORDENES'!$Y805=$H$3),'ORDENES'!$AF805=TRUE,'ORDENES'!$A805&lt;&gt;""),1,0)</f>
        <v/>
      </c>
      <c r="L809" s="5">
        <f>IF(K809=1,IFERROR(MATCH('ORDENES'!$S805,lista_dias,0),9)*1000000000+IFERROR(MATCH('ORDENES'!$AH805,lista_turnos,0),9)*10000000+IFERROR(MATCH('ORDENES'!$AG805,'TECNICOS'!$B$4:$B$19,0),99)*100000+802,9000000000000+802)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2">
        <f>IF(K809=1,'ORDENES'!$J805,"")</f>
        <v/>
      </c>
    </row>
    <row r="810">
      <c r="K810" s="5">
        <f>IF(AND(IF($B$3="(todos)",TRUE,'ORDENES'!$O806=$B$3),IF($D$3="(todos)",TRUE,'ORDENES'!$AH806=$D$3),IF($F$3="(todos)",TRUE,'ORDENES'!$Z806=$F$3),IF($H$3="(todos)",TRUE,'ORDENES'!$Y806=$H$3),'ORDENES'!$AF806=TRUE,'ORDENES'!$A806&lt;&gt;""),1,0)</f>
        <v/>
      </c>
      <c r="L810" s="5">
        <f>IF(K810=1,IFERROR(MATCH('ORDENES'!$S806,lista_dias,0),9)*1000000000+IFERROR(MATCH('ORDENES'!$AH806,lista_turnos,0),9)*10000000+IFERROR(MATCH('ORDENES'!$AG806,'TECNICOS'!$B$4:$B$19,0),99)*100000+803,9000000000000+803)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2">
        <f>IF(K810=1,'ORDENES'!$J806,"")</f>
        <v/>
      </c>
    </row>
    <row r="811">
      <c r="K811" s="5">
        <f>IF(AND(IF($B$3="(todos)",TRUE,'ORDENES'!$O807=$B$3),IF($D$3="(todos)",TRUE,'ORDENES'!$AH807=$D$3),IF($F$3="(todos)",TRUE,'ORDENES'!$Z807=$F$3),IF($H$3="(todos)",TRUE,'ORDENES'!$Y807=$H$3),'ORDENES'!$AF807=TRUE,'ORDENES'!$A807&lt;&gt;""),1,0)</f>
        <v/>
      </c>
      <c r="L811" s="5">
        <f>IF(K811=1,IFERROR(MATCH('ORDENES'!$S807,lista_dias,0),9)*1000000000+IFERROR(MATCH('ORDENES'!$AH807,lista_turnos,0),9)*10000000+IFERROR(MATCH('ORDENES'!$AG807,'TECNICOS'!$B$4:$B$19,0),99)*100000+804,9000000000000+804)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2">
        <f>IF(K811=1,'ORDENES'!$J807,"")</f>
        <v/>
      </c>
    </row>
    <row r="812">
      <c r="K812" s="5">
        <f>IF(AND(IF($B$3="(todos)",TRUE,'ORDENES'!$O808=$B$3),IF($D$3="(todos)",TRUE,'ORDENES'!$AH808=$D$3),IF($F$3="(todos)",TRUE,'ORDENES'!$Z808=$F$3),IF($H$3="(todos)",TRUE,'ORDENES'!$Y808=$H$3),'ORDENES'!$AF808=TRUE,'ORDENES'!$A808&lt;&gt;""),1,0)</f>
        <v/>
      </c>
      <c r="L812" s="5">
        <f>IF(K812=1,IFERROR(MATCH('ORDENES'!$S808,lista_dias,0),9)*1000000000+IFERROR(MATCH('ORDENES'!$AH808,lista_turnos,0),9)*10000000+IFERROR(MATCH('ORDENES'!$AG808,'TECNICOS'!$B$4:$B$19,0),99)*100000+805,9000000000000+805)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2">
        <f>IF(K812=1,'ORDENES'!$J808,"")</f>
        <v/>
      </c>
    </row>
    <row r="813">
      <c r="K813" s="5">
        <f>IF(AND(IF($B$3="(todos)",TRUE,'ORDENES'!$O809=$B$3),IF($D$3="(todos)",TRUE,'ORDENES'!$AH809=$D$3),IF($F$3="(todos)",TRUE,'ORDENES'!$Z809=$F$3),IF($H$3="(todos)",TRUE,'ORDENES'!$Y809=$H$3),'ORDENES'!$AF809=TRUE,'ORDENES'!$A809&lt;&gt;""),1,0)</f>
        <v/>
      </c>
      <c r="L813" s="5">
        <f>IF(K813=1,IFERROR(MATCH('ORDENES'!$S809,lista_dias,0),9)*1000000000+IFERROR(MATCH('ORDENES'!$AH809,lista_turnos,0),9)*10000000+IFERROR(MATCH('ORDENES'!$AG809,'TECNICOS'!$B$4:$B$19,0),99)*100000+806,9000000000000+806)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2">
        <f>IF(K813=1,'ORDENES'!$J809,"")</f>
        <v/>
      </c>
    </row>
    <row r="814">
      <c r="K814" s="5">
        <f>IF(AND(IF($B$3="(todos)",TRUE,'ORDENES'!$O810=$B$3),IF($D$3="(todos)",TRUE,'ORDENES'!$AH810=$D$3),IF($F$3="(todos)",TRUE,'ORDENES'!$Z810=$F$3),IF($H$3="(todos)",TRUE,'ORDENES'!$Y810=$H$3),'ORDENES'!$AF810=TRUE,'ORDENES'!$A810&lt;&gt;""),1,0)</f>
        <v/>
      </c>
      <c r="L814" s="5">
        <f>IF(K814=1,IFERROR(MATCH('ORDENES'!$S810,lista_dias,0),9)*1000000000+IFERROR(MATCH('ORDENES'!$AH810,lista_turnos,0),9)*10000000+IFERROR(MATCH('ORDENES'!$AG810,'TECNICOS'!$B$4:$B$19,0),99)*100000+807,9000000000000+807)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2">
        <f>IF(K814=1,'ORDENES'!$J810,"")</f>
        <v/>
      </c>
    </row>
    <row r="815">
      <c r="K815" s="5">
        <f>IF(AND(IF($B$3="(todos)",TRUE,'ORDENES'!$O811=$B$3),IF($D$3="(todos)",TRUE,'ORDENES'!$AH811=$D$3),IF($F$3="(todos)",TRUE,'ORDENES'!$Z811=$F$3),IF($H$3="(todos)",TRUE,'ORDENES'!$Y811=$H$3),'ORDENES'!$AF811=TRUE,'ORDENES'!$A811&lt;&gt;""),1,0)</f>
        <v/>
      </c>
      <c r="L815" s="5">
        <f>IF(K815=1,IFERROR(MATCH('ORDENES'!$S811,lista_dias,0),9)*1000000000+IFERROR(MATCH('ORDENES'!$AH811,lista_turnos,0),9)*10000000+IFERROR(MATCH('ORDENES'!$AG811,'TECNICOS'!$B$4:$B$19,0),99)*100000+808,9000000000000+808)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2">
        <f>IF(K815=1,'ORDENES'!$J811,"")</f>
        <v/>
      </c>
    </row>
    <row r="816">
      <c r="K816" s="5">
        <f>IF(AND(IF($B$3="(todos)",TRUE,'ORDENES'!$O812=$B$3),IF($D$3="(todos)",TRUE,'ORDENES'!$AH812=$D$3),IF($F$3="(todos)",TRUE,'ORDENES'!$Z812=$F$3),IF($H$3="(todos)",TRUE,'ORDENES'!$Y812=$H$3),'ORDENES'!$AF812=TRUE,'ORDENES'!$A812&lt;&gt;""),1,0)</f>
        <v/>
      </c>
      <c r="L816" s="5">
        <f>IF(K816=1,IFERROR(MATCH('ORDENES'!$S812,lista_dias,0),9)*1000000000+IFERROR(MATCH('ORDENES'!$AH812,lista_turnos,0),9)*10000000+IFERROR(MATCH('ORDENES'!$AG812,'TECNICOS'!$B$4:$B$19,0),99)*100000+809,9000000000000+809)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2">
        <f>IF(K816=1,'ORDENES'!$J812,"")</f>
        <v/>
      </c>
    </row>
    <row r="817">
      <c r="K817" s="5">
        <f>IF(AND(IF($B$3="(todos)",TRUE,'ORDENES'!$O813=$B$3),IF($D$3="(todos)",TRUE,'ORDENES'!$AH813=$D$3),IF($F$3="(todos)",TRUE,'ORDENES'!$Z813=$F$3),IF($H$3="(todos)",TRUE,'ORDENES'!$Y813=$H$3),'ORDENES'!$AF813=TRUE,'ORDENES'!$A813&lt;&gt;""),1,0)</f>
        <v/>
      </c>
      <c r="L817" s="5">
        <f>IF(K817=1,IFERROR(MATCH('ORDENES'!$S813,lista_dias,0),9)*1000000000+IFERROR(MATCH('ORDENES'!$AH813,lista_turnos,0),9)*10000000+IFERROR(MATCH('ORDENES'!$AG813,'TECNICOS'!$B$4:$B$19,0),99)*100000+810,9000000000000+810)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2">
        <f>IF(K817=1,'ORDENES'!$J813,"")</f>
        <v/>
      </c>
    </row>
    <row r="818">
      <c r="K818" s="5">
        <f>IF(AND(IF($B$3="(todos)",TRUE,'ORDENES'!$O814=$B$3),IF($D$3="(todos)",TRUE,'ORDENES'!$AH814=$D$3),IF($F$3="(todos)",TRUE,'ORDENES'!$Z814=$F$3),IF($H$3="(todos)",TRUE,'ORDENES'!$Y814=$H$3),'ORDENES'!$AF814=TRUE,'ORDENES'!$A814&lt;&gt;""),1,0)</f>
        <v/>
      </c>
      <c r="L818" s="5">
        <f>IF(K818=1,IFERROR(MATCH('ORDENES'!$S814,lista_dias,0),9)*1000000000+IFERROR(MATCH('ORDENES'!$AH814,lista_turnos,0),9)*10000000+IFERROR(MATCH('ORDENES'!$AG814,'TECNICOS'!$B$4:$B$19,0),99)*100000+811,9000000000000+811)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2">
        <f>IF(K818=1,'ORDENES'!$J814,"")</f>
        <v/>
      </c>
    </row>
    <row r="819">
      <c r="K819" s="5">
        <f>IF(AND(IF($B$3="(todos)",TRUE,'ORDENES'!$O815=$B$3),IF($D$3="(todos)",TRUE,'ORDENES'!$AH815=$D$3),IF($F$3="(todos)",TRUE,'ORDENES'!$Z815=$F$3),IF($H$3="(todos)",TRUE,'ORDENES'!$Y815=$H$3),'ORDENES'!$AF815=TRUE,'ORDENES'!$A815&lt;&gt;""),1,0)</f>
        <v/>
      </c>
      <c r="L819" s="5">
        <f>IF(K819=1,IFERROR(MATCH('ORDENES'!$S815,lista_dias,0),9)*1000000000+IFERROR(MATCH('ORDENES'!$AH815,lista_turnos,0),9)*10000000+IFERROR(MATCH('ORDENES'!$AG815,'TECNICOS'!$B$4:$B$19,0),99)*100000+812,9000000000000+812)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2">
        <f>IF(K819=1,'ORDENES'!$J815,"")</f>
        <v/>
      </c>
    </row>
    <row r="820">
      <c r="K820" s="5">
        <f>IF(AND(IF($B$3="(todos)",TRUE,'ORDENES'!$O816=$B$3),IF($D$3="(todos)",TRUE,'ORDENES'!$AH816=$D$3),IF($F$3="(todos)",TRUE,'ORDENES'!$Z816=$F$3),IF($H$3="(todos)",TRUE,'ORDENES'!$Y816=$H$3),'ORDENES'!$AF816=TRUE,'ORDENES'!$A816&lt;&gt;""),1,0)</f>
        <v/>
      </c>
      <c r="L820" s="5">
        <f>IF(K820=1,IFERROR(MATCH('ORDENES'!$S816,lista_dias,0),9)*1000000000+IFERROR(MATCH('ORDENES'!$AH816,lista_turnos,0),9)*10000000+IFERROR(MATCH('ORDENES'!$AG816,'TECNICOS'!$B$4:$B$19,0),99)*100000+813,9000000000000+813)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2">
        <f>IF(K820=1,'ORDENES'!$J816,"")</f>
        <v/>
      </c>
    </row>
    <row r="821">
      <c r="K821" s="5">
        <f>IF(AND(IF($B$3="(todos)",TRUE,'ORDENES'!$O817=$B$3),IF($D$3="(todos)",TRUE,'ORDENES'!$AH817=$D$3),IF($F$3="(todos)",TRUE,'ORDENES'!$Z817=$F$3),IF($H$3="(todos)",TRUE,'ORDENES'!$Y817=$H$3),'ORDENES'!$AF817=TRUE,'ORDENES'!$A817&lt;&gt;""),1,0)</f>
        <v/>
      </c>
      <c r="L821" s="5">
        <f>IF(K821=1,IFERROR(MATCH('ORDENES'!$S817,lista_dias,0),9)*1000000000+IFERROR(MATCH('ORDENES'!$AH817,lista_turnos,0),9)*10000000+IFERROR(MATCH('ORDENES'!$AG817,'TECNICOS'!$B$4:$B$19,0),99)*100000+814,9000000000000+814)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2">
        <f>IF(K821=1,'ORDENES'!$J817,"")</f>
        <v/>
      </c>
    </row>
    <row r="822">
      <c r="K822" s="5">
        <f>IF(AND(IF($B$3="(todos)",TRUE,'ORDENES'!$O818=$B$3),IF($D$3="(todos)",TRUE,'ORDENES'!$AH818=$D$3),IF($F$3="(todos)",TRUE,'ORDENES'!$Z818=$F$3),IF($H$3="(todos)",TRUE,'ORDENES'!$Y818=$H$3),'ORDENES'!$AF818=TRUE,'ORDENES'!$A818&lt;&gt;""),1,0)</f>
        <v/>
      </c>
      <c r="L822" s="5">
        <f>IF(K822=1,IFERROR(MATCH('ORDENES'!$S818,lista_dias,0),9)*1000000000+IFERROR(MATCH('ORDENES'!$AH818,lista_turnos,0),9)*10000000+IFERROR(MATCH('ORDENES'!$AG818,'TECNICOS'!$B$4:$B$19,0),99)*100000+815,9000000000000+815)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2">
        <f>IF(K822=1,'ORDENES'!$J818,"")</f>
        <v/>
      </c>
    </row>
    <row r="823">
      <c r="K823" s="5">
        <f>IF(AND(IF($B$3="(todos)",TRUE,'ORDENES'!$O819=$B$3),IF($D$3="(todos)",TRUE,'ORDENES'!$AH819=$D$3),IF($F$3="(todos)",TRUE,'ORDENES'!$Z819=$F$3),IF($H$3="(todos)",TRUE,'ORDENES'!$Y819=$H$3),'ORDENES'!$AF819=TRUE,'ORDENES'!$A819&lt;&gt;""),1,0)</f>
        <v/>
      </c>
      <c r="L823" s="5">
        <f>IF(K823=1,IFERROR(MATCH('ORDENES'!$S819,lista_dias,0),9)*1000000000+IFERROR(MATCH('ORDENES'!$AH819,lista_turnos,0),9)*10000000+IFERROR(MATCH('ORDENES'!$AG819,'TECNICOS'!$B$4:$B$19,0),99)*100000+816,9000000000000+816)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2">
        <f>IF(K823=1,'ORDENES'!$J819,"")</f>
        <v/>
      </c>
    </row>
    <row r="824">
      <c r="K824" s="5">
        <f>IF(AND(IF($B$3="(todos)",TRUE,'ORDENES'!$O820=$B$3),IF($D$3="(todos)",TRUE,'ORDENES'!$AH820=$D$3),IF($F$3="(todos)",TRUE,'ORDENES'!$Z820=$F$3),IF($H$3="(todos)",TRUE,'ORDENES'!$Y820=$H$3),'ORDENES'!$AF820=TRUE,'ORDENES'!$A820&lt;&gt;""),1,0)</f>
        <v/>
      </c>
      <c r="L824" s="5">
        <f>IF(K824=1,IFERROR(MATCH('ORDENES'!$S820,lista_dias,0),9)*1000000000+IFERROR(MATCH('ORDENES'!$AH820,lista_turnos,0),9)*10000000+IFERROR(MATCH('ORDENES'!$AG820,'TECNICOS'!$B$4:$B$19,0),99)*100000+817,9000000000000+817)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2">
        <f>IF(K824=1,'ORDENES'!$J820,"")</f>
        <v/>
      </c>
    </row>
    <row r="825">
      <c r="K825" s="5">
        <f>IF(AND(IF($B$3="(todos)",TRUE,'ORDENES'!$O821=$B$3),IF($D$3="(todos)",TRUE,'ORDENES'!$AH821=$D$3),IF($F$3="(todos)",TRUE,'ORDENES'!$Z821=$F$3),IF($H$3="(todos)",TRUE,'ORDENES'!$Y821=$H$3),'ORDENES'!$AF821=TRUE,'ORDENES'!$A821&lt;&gt;""),1,0)</f>
        <v/>
      </c>
      <c r="L825" s="5">
        <f>IF(K825=1,IFERROR(MATCH('ORDENES'!$S821,lista_dias,0),9)*1000000000+IFERROR(MATCH('ORDENES'!$AH821,lista_turnos,0),9)*10000000+IFERROR(MATCH('ORDENES'!$AG821,'TECNICOS'!$B$4:$B$19,0),99)*100000+818,9000000000000+818)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2">
        <f>IF(K825=1,'ORDENES'!$J821,"")</f>
        <v/>
      </c>
    </row>
    <row r="826">
      <c r="K826" s="5">
        <f>IF(AND(IF($B$3="(todos)",TRUE,'ORDENES'!$O822=$B$3),IF($D$3="(todos)",TRUE,'ORDENES'!$AH822=$D$3),IF($F$3="(todos)",TRUE,'ORDENES'!$Z822=$F$3),IF($H$3="(todos)",TRUE,'ORDENES'!$Y822=$H$3),'ORDENES'!$AF822=TRUE,'ORDENES'!$A822&lt;&gt;""),1,0)</f>
        <v/>
      </c>
      <c r="L826" s="5">
        <f>IF(K826=1,IFERROR(MATCH('ORDENES'!$S822,lista_dias,0),9)*1000000000+IFERROR(MATCH('ORDENES'!$AH822,lista_turnos,0),9)*10000000+IFERROR(MATCH('ORDENES'!$AG822,'TECNICOS'!$B$4:$B$19,0),99)*100000+819,9000000000000+819)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2">
        <f>IF(K826=1,'ORDENES'!$J822,"")</f>
        <v/>
      </c>
    </row>
    <row r="827">
      <c r="K827" s="5">
        <f>IF(AND(IF($B$3="(todos)",TRUE,'ORDENES'!$O823=$B$3),IF($D$3="(todos)",TRUE,'ORDENES'!$AH823=$D$3),IF($F$3="(todos)",TRUE,'ORDENES'!$Z823=$F$3),IF($H$3="(todos)",TRUE,'ORDENES'!$Y823=$H$3),'ORDENES'!$AF823=TRUE,'ORDENES'!$A823&lt;&gt;""),1,0)</f>
        <v/>
      </c>
      <c r="L827" s="5">
        <f>IF(K827=1,IFERROR(MATCH('ORDENES'!$S823,lista_dias,0),9)*1000000000+IFERROR(MATCH('ORDENES'!$AH823,lista_turnos,0),9)*10000000+IFERROR(MATCH('ORDENES'!$AG823,'TECNICOS'!$B$4:$B$19,0),99)*100000+820,9000000000000+820)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2">
        <f>IF(K827=1,'ORDENES'!$J823,"")</f>
        <v/>
      </c>
    </row>
    <row r="828">
      <c r="K828" s="5">
        <f>IF(AND(IF($B$3="(todos)",TRUE,'ORDENES'!$O824=$B$3),IF($D$3="(todos)",TRUE,'ORDENES'!$AH824=$D$3),IF($F$3="(todos)",TRUE,'ORDENES'!$Z824=$F$3),IF($H$3="(todos)",TRUE,'ORDENES'!$Y824=$H$3),'ORDENES'!$AF824=TRUE,'ORDENES'!$A824&lt;&gt;""),1,0)</f>
        <v/>
      </c>
      <c r="L828" s="5">
        <f>IF(K828=1,IFERROR(MATCH('ORDENES'!$S824,lista_dias,0),9)*1000000000+IFERROR(MATCH('ORDENES'!$AH824,lista_turnos,0),9)*10000000+IFERROR(MATCH('ORDENES'!$AG824,'TECNICOS'!$B$4:$B$19,0),99)*100000+821,9000000000000+821)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2">
        <f>IF(K828=1,'ORDENES'!$J824,"")</f>
        <v/>
      </c>
    </row>
    <row r="829">
      <c r="K829" s="5">
        <f>IF(AND(IF($B$3="(todos)",TRUE,'ORDENES'!$O825=$B$3),IF($D$3="(todos)",TRUE,'ORDENES'!$AH825=$D$3),IF($F$3="(todos)",TRUE,'ORDENES'!$Z825=$F$3),IF($H$3="(todos)",TRUE,'ORDENES'!$Y825=$H$3),'ORDENES'!$AF825=TRUE,'ORDENES'!$A825&lt;&gt;""),1,0)</f>
        <v/>
      </c>
      <c r="L829" s="5">
        <f>IF(K829=1,IFERROR(MATCH('ORDENES'!$S825,lista_dias,0),9)*1000000000+IFERROR(MATCH('ORDENES'!$AH825,lista_turnos,0),9)*10000000+IFERROR(MATCH('ORDENES'!$AG825,'TECNICOS'!$B$4:$B$19,0),99)*100000+822,9000000000000+822)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2">
        <f>IF(K829=1,'ORDENES'!$J825,"")</f>
        <v/>
      </c>
    </row>
    <row r="830">
      <c r="K830" s="5">
        <f>IF(AND(IF($B$3="(todos)",TRUE,'ORDENES'!$O826=$B$3),IF($D$3="(todos)",TRUE,'ORDENES'!$AH826=$D$3),IF($F$3="(todos)",TRUE,'ORDENES'!$Z826=$F$3),IF($H$3="(todos)",TRUE,'ORDENES'!$Y826=$H$3),'ORDENES'!$AF826=TRUE,'ORDENES'!$A826&lt;&gt;""),1,0)</f>
        <v/>
      </c>
      <c r="L830" s="5">
        <f>IF(K830=1,IFERROR(MATCH('ORDENES'!$S826,lista_dias,0),9)*1000000000+IFERROR(MATCH('ORDENES'!$AH826,lista_turnos,0),9)*10000000+IFERROR(MATCH('ORDENES'!$AG826,'TECNICOS'!$B$4:$B$19,0),99)*100000+823,9000000000000+823)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2">
        <f>IF(K830=1,'ORDENES'!$J826,"")</f>
        <v/>
      </c>
    </row>
    <row r="831">
      <c r="K831" s="5">
        <f>IF(AND(IF($B$3="(todos)",TRUE,'ORDENES'!$O827=$B$3),IF($D$3="(todos)",TRUE,'ORDENES'!$AH827=$D$3),IF($F$3="(todos)",TRUE,'ORDENES'!$Z827=$F$3),IF($H$3="(todos)",TRUE,'ORDENES'!$Y827=$H$3),'ORDENES'!$AF827=TRUE,'ORDENES'!$A827&lt;&gt;""),1,0)</f>
        <v/>
      </c>
      <c r="L831" s="5">
        <f>IF(K831=1,IFERROR(MATCH('ORDENES'!$S827,lista_dias,0),9)*1000000000+IFERROR(MATCH('ORDENES'!$AH827,lista_turnos,0),9)*10000000+IFERROR(MATCH('ORDENES'!$AG827,'TECNICOS'!$B$4:$B$19,0),99)*100000+824,9000000000000+824)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2">
        <f>IF(K831=1,'ORDENES'!$J827,"")</f>
        <v/>
      </c>
    </row>
    <row r="832">
      <c r="K832" s="5">
        <f>IF(AND(IF($B$3="(todos)",TRUE,'ORDENES'!$O828=$B$3),IF($D$3="(todos)",TRUE,'ORDENES'!$AH828=$D$3),IF($F$3="(todos)",TRUE,'ORDENES'!$Z828=$F$3),IF($H$3="(todos)",TRUE,'ORDENES'!$Y828=$H$3),'ORDENES'!$AF828=TRUE,'ORDENES'!$A828&lt;&gt;""),1,0)</f>
        <v/>
      </c>
      <c r="L832" s="5">
        <f>IF(K832=1,IFERROR(MATCH('ORDENES'!$S828,lista_dias,0),9)*1000000000+IFERROR(MATCH('ORDENES'!$AH828,lista_turnos,0),9)*10000000+IFERROR(MATCH('ORDENES'!$AG828,'TECNICOS'!$B$4:$B$19,0),99)*100000+825,9000000000000+825)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2">
        <f>IF(K832=1,'ORDENES'!$J828,"")</f>
        <v/>
      </c>
    </row>
    <row r="833">
      <c r="K833" s="5">
        <f>IF(AND(IF($B$3="(todos)",TRUE,'ORDENES'!$O829=$B$3),IF($D$3="(todos)",TRUE,'ORDENES'!$AH829=$D$3),IF($F$3="(todos)",TRUE,'ORDENES'!$Z829=$F$3),IF($H$3="(todos)",TRUE,'ORDENES'!$Y829=$H$3),'ORDENES'!$AF829=TRUE,'ORDENES'!$A829&lt;&gt;""),1,0)</f>
        <v/>
      </c>
      <c r="L833" s="5">
        <f>IF(K833=1,IFERROR(MATCH('ORDENES'!$S829,lista_dias,0),9)*1000000000+IFERROR(MATCH('ORDENES'!$AH829,lista_turnos,0),9)*10000000+IFERROR(MATCH('ORDENES'!$AG829,'TECNICOS'!$B$4:$B$19,0),99)*100000+826,9000000000000+826)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2">
        <f>IF(K833=1,'ORDENES'!$J829,"")</f>
        <v/>
      </c>
    </row>
    <row r="834">
      <c r="K834" s="5">
        <f>IF(AND(IF($B$3="(todos)",TRUE,'ORDENES'!$O830=$B$3),IF($D$3="(todos)",TRUE,'ORDENES'!$AH830=$D$3),IF($F$3="(todos)",TRUE,'ORDENES'!$Z830=$F$3),IF($H$3="(todos)",TRUE,'ORDENES'!$Y830=$H$3),'ORDENES'!$AF830=TRUE,'ORDENES'!$A830&lt;&gt;""),1,0)</f>
        <v/>
      </c>
      <c r="L834" s="5">
        <f>IF(K834=1,IFERROR(MATCH('ORDENES'!$S830,lista_dias,0),9)*1000000000+IFERROR(MATCH('ORDENES'!$AH830,lista_turnos,0),9)*10000000+IFERROR(MATCH('ORDENES'!$AG830,'TECNICOS'!$B$4:$B$19,0),99)*100000+827,9000000000000+827)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2">
        <f>IF(K834=1,'ORDENES'!$J830,"")</f>
        <v/>
      </c>
    </row>
    <row r="835">
      <c r="K835" s="5">
        <f>IF(AND(IF($B$3="(todos)",TRUE,'ORDENES'!$O831=$B$3),IF($D$3="(todos)",TRUE,'ORDENES'!$AH831=$D$3),IF($F$3="(todos)",TRUE,'ORDENES'!$Z831=$F$3),IF($H$3="(todos)",TRUE,'ORDENES'!$Y831=$H$3),'ORDENES'!$AF831=TRUE,'ORDENES'!$A831&lt;&gt;""),1,0)</f>
        <v/>
      </c>
      <c r="L835" s="5">
        <f>IF(K835=1,IFERROR(MATCH('ORDENES'!$S831,lista_dias,0),9)*1000000000+IFERROR(MATCH('ORDENES'!$AH831,lista_turnos,0),9)*10000000+IFERROR(MATCH('ORDENES'!$AG831,'TECNICOS'!$B$4:$B$19,0),99)*100000+828,9000000000000+828)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2">
        <f>IF(K835=1,'ORDENES'!$J831,"")</f>
        <v/>
      </c>
    </row>
    <row r="836">
      <c r="K836" s="5">
        <f>IF(AND(IF($B$3="(todos)",TRUE,'ORDENES'!$O832=$B$3),IF($D$3="(todos)",TRUE,'ORDENES'!$AH832=$D$3),IF($F$3="(todos)",TRUE,'ORDENES'!$Z832=$F$3),IF($H$3="(todos)",TRUE,'ORDENES'!$Y832=$H$3),'ORDENES'!$AF832=TRUE,'ORDENES'!$A832&lt;&gt;""),1,0)</f>
        <v/>
      </c>
      <c r="L836" s="5">
        <f>IF(K836=1,IFERROR(MATCH('ORDENES'!$S832,lista_dias,0),9)*1000000000+IFERROR(MATCH('ORDENES'!$AH832,lista_turnos,0),9)*10000000+IFERROR(MATCH('ORDENES'!$AG832,'TECNICOS'!$B$4:$B$19,0),99)*100000+829,9000000000000+829)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2">
        <f>IF(K836=1,'ORDENES'!$J832,"")</f>
        <v/>
      </c>
    </row>
    <row r="837">
      <c r="K837" s="5">
        <f>IF(AND(IF($B$3="(todos)",TRUE,'ORDENES'!$O833=$B$3),IF($D$3="(todos)",TRUE,'ORDENES'!$AH833=$D$3),IF($F$3="(todos)",TRUE,'ORDENES'!$Z833=$F$3),IF($H$3="(todos)",TRUE,'ORDENES'!$Y833=$H$3),'ORDENES'!$AF833=TRUE,'ORDENES'!$A833&lt;&gt;""),1,0)</f>
        <v/>
      </c>
      <c r="L837" s="5">
        <f>IF(K837=1,IFERROR(MATCH('ORDENES'!$S833,lista_dias,0),9)*1000000000+IFERROR(MATCH('ORDENES'!$AH833,lista_turnos,0),9)*10000000+IFERROR(MATCH('ORDENES'!$AG833,'TECNICOS'!$B$4:$B$19,0),99)*100000+830,9000000000000+830)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2">
        <f>IF(K837=1,'ORDENES'!$J833,"")</f>
        <v/>
      </c>
    </row>
    <row r="838">
      <c r="K838" s="5">
        <f>IF(AND(IF($B$3="(todos)",TRUE,'ORDENES'!$O834=$B$3),IF($D$3="(todos)",TRUE,'ORDENES'!$AH834=$D$3),IF($F$3="(todos)",TRUE,'ORDENES'!$Z834=$F$3),IF($H$3="(todos)",TRUE,'ORDENES'!$Y834=$H$3),'ORDENES'!$AF834=TRUE,'ORDENES'!$A834&lt;&gt;""),1,0)</f>
        <v/>
      </c>
      <c r="L838" s="5">
        <f>IF(K838=1,IFERROR(MATCH('ORDENES'!$S834,lista_dias,0),9)*1000000000+IFERROR(MATCH('ORDENES'!$AH834,lista_turnos,0),9)*10000000+IFERROR(MATCH('ORDENES'!$AG834,'TECNICOS'!$B$4:$B$19,0),99)*100000+831,9000000000000+831)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2">
        <f>IF(K838=1,'ORDENES'!$J834,"")</f>
        <v/>
      </c>
    </row>
    <row r="839">
      <c r="K839" s="5">
        <f>IF(AND(IF($B$3="(todos)",TRUE,'ORDENES'!$O835=$B$3),IF($D$3="(todos)",TRUE,'ORDENES'!$AH835=$D$3),IF($F$3="(todos)",TRUE,'ORDENES'!$Z835=$F$3),IF($H$3="(todos)",TRUE,'ORDENES'!$Y835=$H$3),'ORDENES'!$AF835=TRUE,'ORDENES'!$A835&lt;&gt;""),1,0)</f>
        <v/>
      </c>
      <c r="L839" s="5">
        <f>IF(K839=1,IFERROR(MATCH('ORDENES'!$S835,lista_dias,0),9)*1000000000+IFERROR(MATCH('ORDENES'!$AH835,lista_turnos,0),9)*10000000+IFERROR(MATCH('ORDENES'!$AG835,'TECNICOS'!$B$4:$B$19,0),99)*100000+832,9000000000000+832)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2">
        <f>IF(K839=1,'ORDENES'!$J835,"")</f>
        <v/>
      </c>
    </row>
    <row r="840">
      <c r="K840" s="5">
        <f>IF(AND(IF($B$3="(todos)",TRUE,'ORDENES'!$O836=$B$3),IF($D$3="(todos)",TRUE,'ORDENES'!$AH836=$D$3),IF($F$3="(todos)",TRUE,'ORDENES'!$Z836=$F$3),IF($H$3="(todos)",TRUE,'ORDENES'!$Y836=$H$3),'ORDENES'!$AF836=TRUE,'ORDENES'!$A836&lt;&gt;""),1,0)</f>
        <v/>
      </c>
      <c r="L840" s="5">
        <f>IF(K840=1,IFERROR(MATCH('ORDENES'!$S836,lista_dias,0),9)*1000000000+IFERROR(MATCH('ORDENES'!$AH836,lista_turnos,0),9)*10000000+IFERROR(MATCH('ORDENES'!$AG836,'TECNICOS'!$B$4:$B$19,0),99)*100000+833,9000000000000+833)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2">
        <f>IF(K840=1,'ORDENES'!$J836,"")</f>
        <v/>
      </c>
    </row>
    <row r="841">
      <c r="K841" s="5">
        <f>IF(AND(IF($B$3="(todos)",TRUE,'ORDENES'!$O837=$B$3),IF($D$3="(todos)",TRUE,'ORDENES'!$AH837=$D$3),IF($F$3="(todos)",TRUE,'ORDENES'!$Z837=$F$3),IF($H$3="(todos)",TRUE,'ORDENES'!$Y837=$H$3),'ORDENES'!$AF837=TRUE,'ORDENES'!$A837&lt;&gt;""),1,0)</f>
        <v/>
      </c>
      <c r="L841" s="5">
        <f>IF(K841=1,IFERROR(MATCH('ORDENES'!$S837,lista_dias,0),9)*1000000000+IFERROR(MATCH('ORDENES'!$AH837,lista_turnos,0),9)*10000000+IFERROR(MATCH('ORDENES'!$AG837,'TECNICOS'!$B$4:$B$19,0),99)*100000+834,9000000000000+834)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2">
        <f>IF(K841=1,'ORDENES'!$J837,"")</f>
        <v/>
      </c>
    </row>
    <row r="842">
      <c r="K842" s="5">
        <f>IF(AND(IF($B$3="(todos)",TRUE,'ORDENES'!$O838=$B$3),IF($D$3="(todos)",TRUE,'ORDENES'!$AH838=$D$3),IF($F$3="(todos)",TRUE,'ORDENES'!$Z838=$F$3),IF($H$3="(todos)",TRUE,'ORDENES'!$Y838=$H$3),'ORDENES'!$AF838=TRUE,'ORDENES'!$A838&lt;&gt;""),1,0)</f>
        <v/>
      </c>
      <c r="L842" s="5">
        <f>IF(K842=1,IFERROR(MATCH('ORDENES'!$S838,lista_dias,0),9)*1000000000+IFERROR(MATCH('ORDENES'!$AH838,lista_turnos,0),9)*10000000+IFERROR(MATCH('ORDENES'!$AG838,'TECNICOS'!$B$4:$B$19,0),99)*100000+835,9000000000000+835)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2">
        <f>IF(K842=1,'ORDENES'!$J838,"")</f>
        <v/>
      </c>
    </row>
    <row r="843">
      <c r="K843" s="5">
        <f>IF(AND(IF($B$3="(todos)",TRUE,'ORDENES'!$O839=$B$3),IF($D$3="(todos)",TRUE,'ORDENES'!$AH839=$D$3),IF($F$3="(todos)",TRUE,'ORDENES'!$Z839=$F$3),IF($H$3="(todos)",TRUE,'ORDENES'!$Y839=$H$3),'ORDENES'!$AF839=TRUE,'ORDENES'!$A839&lt;&gt;""),1,0)</f>
        <v/>
      </c>
      <c r="L843" s="5">
        <f>IF(K843=1,IFERROR(MATCH('ORDENES'!$S839,lista_dias,0),9)*1000000000+IFERROR(MATCH('ORDENES'!$AH839,lista_turnos,0),9)*10000000+IFERROR(MATCH('ORDENES'!$AG839,'TECNICOS'!$B$4:$B$19,0),99)*100000+836,9000000000000+836)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2">
        <f>IF(K843=1,'ORDENES'!$J839,"")</f>
        <v/>
      </c>
    </row>
    <row r="844">
      <c r="K844" s="5">
        <f>IF(AND(IF($B$3="(todos)",TRUE,'ORDENES'!$O840=$B$3),IF($D$3="(todos)",TRUE,'ORDENES'!$AH840=$D$3),IF($F$3="(todos)",TRUE,'ORDENES'!$Z840=$F$3),IF($H$3="(todos)",TRUE,'ORDENES'!$Y840=$H$3),'ORDENES'!$AF840=TRUE,'ORDENES'!$A840&lt;&gt;""),1,0)</f>
        <v/>
      </c>
      <c r="L844" s="5">
        <f>IF(K844=1,IFERROR(MATCH('ORDENES'!$S840,lista_dias,0),9)*1000000000+IFERROR(MATCH('ORDENES'!$AH840,lista_turnos,0),9)*10000000+IFERROR(MATCH('ORDENES'!$AG840,'TECNICOS'!$B$4:$B$19,0),99)*100000+837,9000000000000+837)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2">
        <f>IF(K844=1,'ORDENES'!$J840,"")</f>
        <v/>
      </c>
    </row>
    <row r="845">
      <c r="K845" s="5">
        <f>IF(AND(IF($B$3="(todos)",TRUE,'ORDENES'!$O841=$B$3),IF($D$3="(todos)",TRUE,'ORDENES'!$AH841=$D$3),IF($F$3="(todos)",TRUE,'ORDENES'!$Z841=$F$3),IF($H$3="(todos)",TRUE,'ORDENES'!$Y841=$H$3),'ORDENES'!$AF841=TRUE,'ORDENES'!$A841&lt;&gt;""),1,0)</f>
        <v/>
      </c>
      <c r="L845" s="5">
        <f>IF(K845=1,IFERROR(MATCH('ORDENES'!$S841,lista_dias,0),9)*1000000000+IFERROR(MATCH('ORDENES'!$AH841,lista_turnos,0),9)*10000000+IFERROR(MATCH('ORDENES'!$AG841,'TECNICOS'!$B$4:$B$19,0),99)*100000+838,9000000000000+838)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2">
        <f>IF(K845=1,'ORDENES'!$J841,"")</f>
        <v/>
      </c>
    </row>
    <row r="846">
      <c r="K846" s="5">
        <f>IF(AND(IF($B$3="(todos)",TRUE,'ORDENES'!$O842=$B$3),IF($D$3="(todos)",TRUE,'ORDENES'!$AH842=$D$3),IF($F$3="(todos)",TRUE,'ORDENES'!$Z842=$F$3),IF($H$3="(todos)",TRUE,'ORDENES'!$Y842=$H$3),'ORDENES'!$AF842=TRUE,'ORDENES'!$A842&lt;&gt;""),1,0)</f>
        <v/>
      </c>
      <c r="L846" s="5">
        <f>IF(K846=1,IFERROR(MATCH('ORDENES'!$S842,lista_dias,0),9)*1000000000+IFERROR(MATCH('ORDENES'!$AH842,lista_turnos,0),9)*10000000+IFERROR(MATCH('ORDENES'!$AG842,'TECNICOS'!$B$4:$B$19,0),99)*100000+839,9000000000000+839)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2">
        <f>IF(K846=1,'ORDENES'!$J842,"")</f>
        <v/>
      </c>
    </row>
    <row r="847">
      <c r="K847" s="5">
        <f>IF(AND(IF($B$3="(todos)",TRUE,'ORDENES'!$O843=$B$3),IF($D$3="(todos)",TRUE,'ORDENES'!$AH843=$D$3),IF($F$3="(todos)",TRUE,'ORDENES'!$Z843=$F$3),IF($H$3="(todos)",TRUE,'ORDENES'!$Y843=$H$3),'ORDENES'!$AF843=TRUE,'ORDENES'!$A843&lt;&gt;""),1,0)</f>
        <v/>
      </c>
      <c r="L847" s="5">
        <f>IF(K847=1,IFERROR(MATCH('ORDENES'!$S843,lista_dias,0),9)*1000000000+IFERROR(MATCH('ORDENES'!$AH843,lista_turnos,0),9)*10000000+IFERROR(MATCH('ORDENES'!$AG843,'TECNICOS'!$B$4:$B$19,0),99)*100000+840,9000000000000+840)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2">
        <f>IF(K847=1,'ORDENES'!$J843,"")</f>
        <v/>
      </c>
    </row>
    <row r="848">
      <c r="K848" s="5">
        <f>IF(AND(IF($B$3="(todos)",TRUE,'ORDENES'!$O844=$B$3),IF($D$3="(todos)",TRUE,'ORDENES'!$AH844=$D$3),IF($F$3="(todos)",TRUE,'ORDENES'!$Z844=$F$3),IF($H$3="(todos)",TRUE,'ORDENES'!$Y844=$H$3),'ORDENES'!$AF844=TRUE,'ORDENES'!$A844&lt;&gt;""),1,0)</f>
        <v/>
      </c>
      <c r="L848" s="5">
        <f>IF(K848=1,IFERROR(MATCH('ORDENES'!$S844,lista_dias,0),9)*1000000000+IFERROR(MATCH('ORDENES'!$AH844,lista_turnos,0),9)*10000000+IFERROR(MATCH('ORDENES'!$AG844,'TECNICOS'!$B$4:$B$19,0),99)*100000+841,9000000000000+841)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2">
        <f>IF(K848=1,'ORDENES'!$J844,"")</f>
        <v/>
      </c>
    </row>
    <row r="849">
      <c r="K849" s="5">
        <f>IF(AND(IF($B$3="(todos)",TRUE,'ORDENES'!$O845=$B$3),IF($D$3="(todos)",TRUE,'ORDENES'!$AH845=$D$3),IF($F$3="(todos)",TRUE,'ORDENES'!$Z845=$F$3),IF($H$3="(todos)",TRUE,'ORDENES'!$Y845=$H$3),'ORDENES'!$AF845=TRUE,'ORDENES'!$A845&lt;&gt;""),1,0)</f>
        <v/>
      </c>
      <c r="L849" s="5">
        <f>IF(K849=1,IFERROR(MATCH('ORDENES'!$S845,lista_dias,0),9)*1000000000+IFERROR(MATCH('ORDENES'!$AH845,lista_turnos,0),9)*10000000+IFERROR(MATCH('ORDENES'!$AG845,'TECNICOS'!$B$4:$B$19,0),99)*100000+842,9000000000000+842)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2">
        <f>IF(K849=1,'ORDENES'!$J845,"")</f>
        <v/>
      </c>
    </row>
    <row r="850">
      <c r="K850" s="5">
        <f>IF(AND(IF($B$3="(todos)",TRUE,'ORDENES'!$O846=$B$3),IF($D$3="(todos)",TRUE,'ORDENES'!$AH846=$D$3),IF($F$3="(todos)",TRUE,'ORDENES'!$Z846=$F$3),IF($H$3="(todos)",TRUE,'ORDENES'!$Y846=$H$3),'ORDENES'!$AF846=TRUE,'ORDENES'!$A846&lt;&gt;""),1,0)</f>
        <v/>
      </c>
      <c r="L850" s="5">
        <f>IF(K850=1,IFERROR(MATCH('ORDENES'!$S846,lista_dias,0),9)*1000000000+IFERROR(MATCH('ORDENES'!$AH846,lista_turnos,0),9)*10000000+IFERROR(MATCH('ORDENES'!$AG846,'TECNICOS'!$B$4:$B$19,0),99)*100000+843,9000000000000+843)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2">
        <f>IF(K850=1,'ORDENES'!$J846,"")</f>
        <v/>
      </c>
    </row>
    <row r="851">
      <c r="K851" s="5">
        <f>IF(AND(IF($B$3="(todos)",TRUE,'ORDENES'!$O847=$B$3),IF($D$3="(todos)",TRUE,'ORDENES'!$AH847=$D$3),IF($F$3="(todos)",TRUE,'ORDENES'!$Z847=$F$3),IF($H$3="(todos)",TRUE,'ORDENES'!$Y847=$H$3),'ORDENES'!$AF847=TRUE,'ORDENES'!$A847&lt;&gt;""),1,0)</f>
        <v/>
      </c>
      <c r="L851" s="5">
        <f>IF(K851=1,IFERROR(MATCH('ORDENES'!$S847,lista_dias,0),9)*1000000000+IFERROR(MATCH('ORDENES'!$AH847,lista_turnos,0),9)*10000000+IFERROR(MATCH('ORDENES'!$AG847,'TECNICOS'!$B$4:$B$19,0),99)*100000+844,9000000000000+844)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2">
        <f>IF(K851=1,'ORDENES'!$J847,"")</f>
        <v/>
      </c>
    </row>
    <row r="852">
      <c r="K852" s="5">
        <f>IF(AND(IF($B$3="(todos)",TRUE,'ORDENES'!$O848=$B$3),IF($D$3="(todos)",TRUE,'ORDENES'!$AH848=$D$3),IF($F$3="(todos)",TRUE,'ORDENES'!$Z848=$F$3),IF($H$3="(todos)",TRUE,'ORDENES'!$Y848=$H$3),'ORDENES'!$AF848=TRUE,'ORDENES'!$A848&lt;&gt;""),1,0)</f>
        <v/>
      </c>
      <c r="L852" s="5">
        <f>IF(K852=1,IFERROR(MATCH('ORDENES'!$S848,lista_dias,0),9)*1000000000+IFERROR(MATCH('ORDENES'!$AH848,lista_turnos,0),9)*10000000+IFERROR(MATCH('ORDENES'!$AG848,'TECNICOS'!$B$4:$B$19,0),99)*100000+845,9000000000000+845)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2">
        <f>IF(K852=1,'ORDENES'!$J848,"")</f>
        <v/>
      </c>
    </row>
    <row r="853">
      <c r="K853" s="5">
        <f>IF(AND(IF($B$3="(todos)",TRUE,'ORDENES'!$O849=$B$3),IF($D$3="(todos)",TRUE,'ORDENES'!$AH849=$D$3),IF($F$3="(todos)",TRUE,'ORDENES'!$Z849=$F$3),IF($H$3="(todos)",TRUE,'ORDENES'!$Y849=$H$3),'ORDENES'!$AF849=TRUE,'ORDENES'!$A849&lt;&gt;""),1,0)</f>
        <v/>
      </c>
      <c r="L853" s="5">
        <f>IF(K853=1,IFERROR(MATCH('ORDENES'!$S849,lista_dias,0),9)*1000000000+IFERROR(MATCH('ORDENES'!$AH849,lista_turnos,0),9)*10000000+IFERROR(MATCH('ORDENES'!$AG849,'TECNICOS'!$B$4:$B$19,0),99)*100000+846,9000000000000+846)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2">
        <f>IF(K853=1,'ORDENES'!$J849,"")</f>
        <v/>
      </c>
    </row>
    <row r="854">
      <c r="K854" s="5">
        <f>IF(AND(IF($B$3="(todos)",TRUE,'ORDENES'!$O850=$B$3),IF($D$3="(todos)",TRUE,'ORDENES'!$AH850=$D$3),IF($F$3="(todos)",TRUE,'ORDENES'!$Z850=$F$3),IF($H$3="(todos)",TRUE,'ORDENES'!$Y850=$H$3),'ORDENES'!$AF850=TRUE,'ORDENES'!$A850&lt;&gt;""),1,0)</f>
        <v/>
      </c>
      <c r="L854" s="5">
        <f>IF(K854=1,IFERROR(MATCH('ORDENES'!$S850,lista_dias,0),9)*1000000000+IFERROR(MATCH('ORDENES'!$AH850,lista_turnos,0),9)*10000000+IFERROR(MATCH('ORDENES'!$AG850,'TECNICOS'!$B$4:$B$19,0),99)*100000+847,9000000000000+847)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2">
        <f>IF(K854=1,'ORDENES'!$J850,"")</f>
        <v/>
      </c>
    </row>
    <row r="855">
      <c r="K855" s="5">
        <f>IF(AND(IF($B$3="(todos)",TRUE,'ORDENES'!$O851=$B$3),IF($D$3="(todos)",TRUE,'ORDENES'!$AH851=$D$3),IF($F$3="(todos)",TRUE,'ORDENES'!$Z851=$F$3),IF($H$3="(todos)",TRUE,'ORDENES'!$Y851=$H$3),'ORDENES'!$AF851=TRUE,'ORDENES'!$A851&lt;&gt;""),1,0)</f>
        <v/>
      </c>
      <c r="L855" s="5">
        <f>IF(K855=1,IFERROR(MATCH('ORDENES'!$S851,lista_dias,0),9)*1000000000+IFERROR(MATCH('ORDENES'!$AH851,lista_turnos,0),9)*10000000+IFERROR(MATCH('ORDENES'!$AG851,'TECNICOS'!$B$4:$B$19,0),99)*100000+848,9000000000000+848)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2">
        <f>IF(K855=1,'ORDENES'!$J851,"")</f>
        <v/>
      </c>
    </row>
    <row r="856">
      <c r="K856" s="5">
        <f>IF(AND(IF($B$3="(todos)",TRUE,'ORDENES'!$O852=$B$3),IF($D$3="(todos)",TRUE,'ORDENES'!$AH852=$D$3),IF($F$3="(todos)",TRUE,'ORDENES'!$Z852=$F$3),IF($H$3="(todos)",TRUE,'ORDENES'!$Y852=$H$3),'ORDENES'!$AF852=TRUE,'ORDENES'!$A852&lt;&gt;""),1,0)</f>
        <v/>
      </c>
      <c r="L856" s="5">
        <f>IF(K856=1,IFERROR(MATCH('ORDENES'!$S852,lista_dias,0),9)*1000000000+IFERROR(MATCH('ORDENES'!$AH852,lista_turnos,0),9)*10000000+IFERROR(MATCH('ORDENES'!$AG852,'TECNICOS'!$B$4:$B$19,0),99)*100000+849,9000000000000+849)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2">
        <f>IF(K856=1,'ORDENES'!$J852,"")</f>
        <v/>
      </c>
    </row>
    <row r="857">
      <c r="K857" s="5">
        <f>IF(AND(IF($B$3="(todos)",TRUE,'ORDENES'!$O853=$B$3),IF($D$3="(todos)",TRUE,'ORDENES'!$AH853=$D$3),IF($F$3="(todos)",TRUE,'ORDENES'!$Z853=$F$3),IF($H$3="(todos)",TRUE,'ORDENES'!$Y853=$H$3),'ORDENES'!$AF853=TRUE,'ORDENES'!$A853&lt;&gt;""),1,0)</f>
        <v/>
      </c>
      <c r="L857" s="5">
        <f>IF(K857=1,IFERROR(MATCH('ORDENES'!$S853,lista_dias,0),9)*1000000000+IFERROR(MATCH('ORDENES'!$AH853,lista_turnos,0),9)*10000000+IFERROR(MATCH('ORDENES'!$AG853,'TECNICOS'!$B$4:$B$19,0),99)*100000+850,9000000000000+850)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2">
        <f>IF(K857=1,'ORDENES'!$J853,"")</f>
        <v/>
      </c>
    </row>
    <row r="858">
      <c r="K858" s="5">
        <f>IF(AND(IF($B$3="(todos)",TRUE,'ORDENES'!$O854=$B$3),IF($D$3="(todos)",TRUE,'ORDENES'!$AH854=$D$3),IF($F$3="(todos)",TRUE,'ORDENES'!$Z854=$F$3),IF($H$3="(todos)",TRUE,'ORDENES'!$Y854=$H$3),'ORDENES'!$AF854=TRUE,'ORDENES'!$A854&lt;&gt;""),1,0)</f>
        <v/>
      </c>
      <c r="L858" s="5">
        <f>IF(K858=1,IFERROR(MATCH('ORDENES'!$S854,lista_dias,0),9)*1000000000+IFERROR(MATCH('ORDENES'!$AH854,lista_turnos,0),9)*10000000+IFERROR(MATCH('ORDENES'!$AG854,'TECNICOS'!$B$4:$B$19,0),99)*100000+851,9000000000000+851)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2">
        <f>IF(K858=1,'ORDENES'!$J854,"")</f>
        <v/>
      </c>
    </row>
    <row r="859">
      <c r="K859" s="5">
        <f>IF(AND(IF($B$3="(todos)",TRUE,'ORDENES'!$O855=$B$3),IF($D$3="(todos)",TRUE,'ORDENES'!$AH855=$D$3),IF($F$3="(todos)",TRUE,'ORDENES'!$Z855=$F$3),IF($H$3="(todos)",TRUE,'ORDENES'!$Y855=$H$3),'ORDENES'!$AF855=TRUE,'ORDENES'!$A855&lt;&gt;""),1,0)</f>
        <v/>
      </c>
      <c r="L859" s="5">
        <f>IF(K859=1,IFERROR(MATCH('ORDENES'!$S855,lista_dias,0),9)*1000000000+IFERROR(MATCH('ORDENES'!$AH855,lista_turnos,0),9)*10000000+IFERROR(MATCH('ORDENES'!$AG855,'TECNICOS'!$B$4:$B$19,0),99)*100000+852,9000000000000+852)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2">
        <f>IF(K859=1,'ORDENES'!$J855,"")</f>
        <v/>
      </c>
    </row>
    <row r="860">
      <c r="K860" s="5">
        <f>IF(AND(IF($B$3="(todos)",TRUE,'ORDENES'!$O856=$B$3),IF($D$3="(todos)",TRUE,'ORDENES'!$AH856=$D$3),IF($F$3="(todos)",TRUE,'ORDENES'!$Z856=$F$3),IF($H$3="(todos)",TRUE,'ORDENES'!$Y856=$H$3),'ORDENES'!$AF856=TRUE,'ORDENES'!$A856&lt;&gt;""),1,0)</f>
        <v/>
      </c>
      <c r="L860" s="5">
        <f>IF(K860=1,IFERROR(MATCH('ORDENES'!$S856,lista_dias,0),9)*1000000000+IFERROR(MATCH('ORDENES'!$AH856,lista_turnos,0),9)*10000000+IFERROR(MATCH('ORDENES'!$AG856,'TECNICOS'!$B$4:$B$19,0),99)*100000+853,9000000000000+853)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2">
        <f>IF(K860=1,'ORDENES'!$J856,"")</f>
        <v/>
      </c>
    </row>
    <row r="861">
      <c r="K861" s="5">
        <f>IF(AND(IF($B$3="(todos)",TRUE,'ORDENES'!$O857=$B$3),IF($D$3="(todos)",TRUE,'ORDENES'!$AH857=$D$3),IF($F$3="(todos)",TRUE,'ORDENES'!$Z857=$F$3),IF($H$3="(todos)",TRUE,'ORDENES'!$Y857=$H$3),'ORDENES'!$AF857=TRUE,'ORDENES'!$A857&lt;&gt;""),1,0)</f>
        <v/>
      </c>
      <c r="L861" s="5">
        <f>IF(K861=1,IFERROR(MATCH('ORDENES'!$S857,lista_dias,0),9)*1000000000+IFERROR(MATCH('ORDENES'!$AH857,lista_turnos,0),9)*10000000+IFERROR(MATCH('ORDENES'!$AG857,'TECNICOS'!$B$4:$B$19,0),99)*100000+854,9000000000000+854)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2">
        <f>IF(K861=1,'ORDENES'!$J857,"")</f>
        <v/>
      </c>
    </row>
    <row r="862">
      <c r="K862" s="5">
        <f>IF(AND(IF($B$3="(todos)",TRUE,'ORDENES'!$O858=$B$3),IF($D$3="(todos)",TRUE,'ORDENES'!$AH858=$D$3),IF($F$3="(todos)",TRUE,'ORDENES'!$Z858=$F$3),IF($H$3="(todos)",TRUE,'ORDENES'!$Y858=$H$3),'ORDENES'!$AF858=TRUE,'ORDENES'!$A858&lt;&gt;""),1,0)</f>
        <v/>
      </c>
      <c r="L862" s="5">
        <f>IF(K862=1,IFERROR(MATCH('ORDENES'!$S858,lista_dias,0),9)*1000000000+IFERROR(MATCH('ORDENES'!$AH858,lista_turnos,0),9)*10000000+IFERROR(MATCH('ORDENES'!$AG858,'TECNICOS'!$B$4:$B$19,0),99)*100000+855,9000000000000+855)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2">
        <f>IF(K862=1,'ORDENES'!$J858,"")</f>
        <v/>
      </c>
    </row>
    <row r="863">
      <c r="K863" s="5">
        <f>IF(AND(IF($B$3="(todos)",TRUE,'ORDENES'!$O859=$B$3),IF($D$3="(todos)",TRUE,'ORDENES'!$AH859=$D$3),IF($F$3="(todos)",TRUE,'ORDENES'!$Z859=$F$3),IF($H$3="(todos)",TRUE,'ORDENES'!$Y859=$H$3),'ORDENES'!$AF859=TRUE,'ORDENES'!$A859&lt;&gt;""),1,0)</f>
        <v/>
      </c>
      <c r="L863" s="5">
        <f>IF(K863=1,IFERROR(MATCH('ORDENES'!$S859,lista_dias,0),9)*1000000000+IFERROR(MATCH('ORDENES'!$AH859,lista_turnos,0),9)*10000000+IFERROR(MATCH('ORDENES'!$AG859,'TECNICOS'!$B$4:$B$19,0),99)*100000+856,9000000000000+856)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2">
        <f>IF(K863=1,'ORDENES'!$J859,"")</f>
        <v/>
      </c>
    </row>
    <row r="864">
      <c r="K864" s="5">
        <f>IF(AND(IF($B$3="(todos)",TRUE,'ORDENES'!$O860=$B$3),IF($D$3="(todos)",TRUE,'ORDENES'!$AH860=$D$3),IF($F$3="(todos)",TRUE,'ORDENES'!$Z860=$F$3),IF($H$3="(todos)",TRUE,'ORDENES'!$Y860=$H$3),'ORDENES'!$AF860=TRUE,'ORDENES'!$A860&lt;&gt;""),1,0)</f>
        <v/>
      </c>
      <c r="L864" s="5">
        <f>IF(K864=1,IFERROR(MATCH('ORDENES'!$S860,lista_dias,0),9)*1000000000+IFERROR(MATCH('ORDENES'!$AH860,lista_turnos,0),9)*10000000+IFERROR(MATCH('ORDENES'!$AG860,'TECNICOS'!$B$4:$B$19,0),99)*100000+857,9000000000000+857)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2">
        <f>IF(K864=1,'ORDENES'!$J860,"")</f>
        <v/>
      </c>
    </row>
    <row r="865">
      <c r="K865" s="5">
        <f>IF(AND(IF($B$3="(todos)",TRUE,'ORDENES'!$O861=$B$3),IF($D$3="(todos)",TRUE,'ORDENES'!$AH861=$D$3),IF($F$3="(todos)",TRUE,'ORDENES'!$Z861=$F$3),IF($H$3="(todos)",TRUE,'ORDENES'!$Y861=$H$3),'ORDENES'!$AF861=TRUE,'ORDENES'!$A861&lt;&gt;""),1,0)</f>
        <v/>
      </c>
      <c r="L865" s="5">
        <f>IF(K865=1,IFERROR(MATCH('ORDENES'!$S861,lista_dias,0),9)*1000000000+IFERROR(MATCH('ORDENES'!$AH861,lista_turnos,0),9)*10000000+IFERROR(MATCH('ORDENES'!$AG861,'TECNICOS'!$B$4:$B$19,0),99)*100000+858,9000000000000+858)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2">
        <f>IF(K865=1,'ORDENES'!$J861,"")</f>
        <v/>
      </c>
    </row>
    <row r="866">
      <c r="K866" s="5">
        <f>IF(AND(IF($B$3="(todos)",TRUE,'ORDENES'!$O862=$B$3),IF($D$3="(todos)",TRUE,'ORDENES'!$AH862=$D$3),IF($F$3="(todos)",TRUE,'ORDENES'!$Z862=$F$3),IF($H$3="(todos)",TRUE,'ORDENES'!$Y862=$H$3),'ORDENES'!$AF862=TRUE,'ORDENES'!$A862&lt;&gt;""),1,0)</f>
        <v/>
      </c>
      <c r="L866" s="5">
        <f>IF(K866=1,IFERROR(MATCH('ORDENES'!$S862,lista_dias,0),9)*1000000000+IFERROR(MATCH('ORDENES'!$AH862,lista_turnos,0),9)*10000000+IFERROR(MATCH('ORDENES'!$AG862,'TECNICOS'!$B$4:$B$19,0),99)*100000+859,9000000000000+859)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2">
        <f>IF(K866=1,'ORDENES'!$J862,"")</f>
        <v/>
      </c>
    </row>
    <row r="867">
      <c r="K867" s="5">
        <f>IF(AND(IF($B$3="(todos)",TRUE,'ORDENES'!$O863=$B$3),IF($D$3="(todos)",TRUE,'ORDENES'!$AH863=$D$3),IF($F$3="(todos)",TRUE,'ORDENES'!$Z863=$F$3),IF($H$3="(todos)",TRUE,'ORDENES'!$Y863=$H$3),'ORDENES'!$AF863=TRUE,'ORDENES'!$A863&lt;&gt;""),1,0)</f>
        <v/>
      </c>
      <c r="L867" s="5">
        <f>IF(K867=1,IFERROR(MATCH('ORDENES'!$S863,lista_dias,0),9)*1000000000+IFERROR(MATCH('ORDENES'!$AH863,lista_turnos,0),9)*10000000+IFERROR(MATCH('ORDENES'!$AG863,'TECNICOS'!$B$4:$B$19,0),99)*100000+860,9000000000000+860)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2">
        <f>IF(K867=1,'ORDENES'!$J863,"")</f>
        <v/>
      </c>
    </row>
    <row r="868">
      <c r="K868" s="5">
        <f>IF(AND(IF($B$3="(todos)",TRUE,'ORDENES'!$O864=$B$3),IF($D$3="(todos)",TRUE,'ORDENES'!$AH864=$D$3),IF($F$3="(todos)",TRUE,'ORDENES'!$Z864=$F$3),IF($H$3="(todos)",TRUE,'ORDENES'!$Y864=$H$3),'ORDENES'!$AF864=TRUE,'ORDENES'!$A864&lt;&gt;""),1,0)</f>
        <v/>
      </c>
      <c r="L868" s="5">
        <f>IF(K868=1,IFERROR(MATCH('ORDENES'!$S864,lista_dias,0),9)*1000000000+IFERROR(MATCH('ORDENES'!$AH864,lista_turnos,0),9)*10000000+IFERROR(MATCH('ORDENES'!$AG864,'TECNICOS'!$B$4:$B$19,0),99)*100000+861,9000000000000+861)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2">
        <f>IF(K868=1,'ORDENES'!$J864,"")</f>
        <v/>
      </c>
    </row>
    <row r="869">
      <c r="K869" s="5">
        <f>IF(AND(IF($B$3="(todos)",TRUE,'ORDENES'!$O865=$B$3),IF($D$3="(todos)",TRUE,'ORDENES'!$AH865=$D$3),IF($F$3="(todos)",TRUE,'ORDENES'!$Z865=$F$3),IF($H$3="(todos)",TRUE,'ORDENES'!$Y865=$H$3),'ORDENES'!$AF865=TRUE,'ORDENES'!$A865&lt;&gt;""),1,0)</f>
        <v/>
      </c>
      <c r="L869" s="5">
        <f>IF(K869=1,IFERROR(MATCH('ORDENES'!$S865,lista_dias,0),9)*1000000000+IFERROR(MATCH('ORDENES'!$AH865,lista_turnos,0),9)*10000000+IFERROR(MATCH('ORDENES'!$AG865,'TECNICOS'!$B$4:$B$19,0),99)*100000+862,9000000000000+862)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2">
        <f>IF(K869=1,'ORDENES'!$J865,"")</f>
        <v/>
      </c>
    </row>
    <row r="870">
      <c r="K870" s="5">
        <f>IF(AND(IF($B$3="(todos)",TRUE,'ORDENES'!$O866=$B$3),IF($D$3="(todos)",TRUE,'ORDENES'!$AH866=$D$3),IF($F$3="(todos)",TRUE,'ORDENES'!$Z866=$F$3),IF($H$3="(todos)",TRUE,'ORDENES'!$Y866=$H$3),'ORDENES'!$AF866=TRUE,'ORDENES'!$A866&lt;&gt;""),1,0)</f>
        <v/>
      </c>
      <c r="L870" s="5">
        <f>IF(K870=1,IFERROR(MATCH('ORDENES'!$S866,lista_dias,0),9)*1000000000+IFERROR(MATCH('ORDENES'!$AH866,lista_turnos,0),9)*10000000+IFERROR(MATCH('ORDENES'!$AG866,'TECNICOS'!$B$4:$B$19,0),99)*100000+863,9000000000000+863)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2">
        <f>IF(K870=1,'ORDENES'!$J866,"")</f>
        <v/>
      </c>
    </row>
    <row r="871">
      <c r="K871" s="5">
        <f>IF(AND(IF($B$3="(todos)",TRUE,'ORDENES'!$O867=$B$3),IF($D$3="(todos)",TRUE,'ORDENES'!$AH867=$D$3),IF($F$3="(todos)",TRUE,'ORDENES'!$Z867=$F$3),IF($H$3="(todos)",TRUE,'ORDENES'!$Y867=$H$3),'ORDENES'!$AF867=TRUE,'ORDENES'!$A867&lt;&gt;""),1,0)</f>
        <v/>
      </c>
      <c r="L871" s="5">
        <f>IF(K871=1,IFERROR(MATCH('ORDENES'!$S867,lista_dias,0),9)*1000000000+IFERROR(MATCH('ORDENES'!$AH867,lista_turnos,0),9)*10000000+IFERROR(MATCH('ORDENES'!$AG867,'TECNICOS'!$B$4:$B$19,0),99)*100000+864,9000000000000+864)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2">
        <f>IF(K871=1,'ORDENES'!$J867,"")</f>
        <v/>
      </c>
    </row>
    <row r="872">
      <c r="K872" s="5">
        <f>IF(AND(IF($B$3="(todos)",TRUE,'ORDENES'!$O868=$B$3),IF($D$3="(todos)",TRUE,'ORDENES'!$AH868=$D$3),IF($F$3="(todos)",TRUE,'ORDENES'!$Z868=$F$3),IF($H$3="(todos)",TRUE,'ORDENES'!$Y868=$H$3),'ORDENES'!$AF868=TRUE,'ORDENES'!$A868&lt;&gt;""),1,0)</f>
        <v/>
      </c>
      <c r="L872" s="5">
        <f>IF(K872=1,IFERROR(MATCH('ORDENES'!$S868,lista_dias,0),9)*1000000000+IFERROR(MATCH('ORDENES'!$AH868,lista_turnos,0),9)*10000000+IFERROR(MATCH('ORDENES'!$AG868,'TECNICOS'!$B$4:$B$19,0),99)*100000+865,9000000000000+865)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2">
        <f>IF(K872=1,'ORDENES'!$J868,"")</f>
        <v/>
      </c>
    </row>
    <row r="873">
      <c r="K873" s="5">
        <f>IF(AND(IF($B$3="(todos)",TRUE,'ORDENES'!$O869=$B$3),IF($D$3="(todos)",TRUE,'ORDENES'!$AH869=$D$3),IF($F$3="(todos)",TRUE,'ORDENES'!$Z869=$F$3),IF($H$3="(todos)",TRUE,'ORDENES'!$Y869=$H$3),'ORDENES'!$AF869=TRUE,'ORDENES'!$A869&lt;&gt;""),1,0)</f>
        <v/>
      </c>
      <c r="L873" s="5">
        <f>IF(K873=1,IFERROR(MATCH('ORDENES'!$S869,lista_dias,0),9)*1000000000+IFERROR(MATCH('ORDENES'!$AH869,lista_turnos,0),9)*10000000+IFERROR(MATCH('ORDENES'!$AG869,'TECNICOS'!$B$4:$B$19,0),99)*100000+866,9000000000000+866)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2">
        <f>IF(K873=1,'ORDENES'!$J869,"")</f>
        <v/>
      </c>
    </row>
    <row r="874">
      <c r="K874" s="5">
        <f>IF(AND(IF($B$3="(todos)",TRUE,'ORDENES'!$O870=$B$3),IF($D$3="(todos)",TRUE,'ORDENES'!$AH870=$D$3),IF($F$3="(todos)",TRUE,'ORDENES'!$Z870=$F$3),IF($H$3="(todos)",TRUE,'ORDENES'!$Y870=$H$3),'ORDENES'!$AF870=TRUE,'ORDENES'!$A870&lt;&gt;""),1,0)</f>
        <v/>
      </c>
      <c r="L874" s="5">
        <f>IF(K874=1,IFERROR(MATCH('ORDENES'!$S870,lista_dias,0),9)*1000000000+IFERROR(MATCH('ORDENES'!$AH870,lista_turnos,0),9)*10000000+IFERROR(MATCH('ORDENES'!$AG870,'TECNICOS'!$B$4:$B$19,0),99)*100000+867,9000000000000+867)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2">
        <f>IF(K874=1,'ORDENES'!$J870,"")</f>
        <v/>
      </c>
    </row>
    <row r="875">
      <c r="K875" s="5">
        <f>IF(AND(IF($B$3="(todos)",TRUE,'ORDENES'!$O871=$B$3),IF($D$3="(todos)",TRUE,'ORDENES'!$AH871=$D$3),IF($F$3="(todos)",TRUE,'ORDENES'!$Z871=$F$3),IF($H$3="(todos)",TRUE,'ORDENES'!$Y871=$H$3),'ORDENES'!$AF871=TRUE,'ORDENES'!$A871&lt;&gt;""),1,0)</f>
        <v/>
      </c>
      <c r="L875" s="5">
        <f>IF(K875=1,IFERROR(MATCH('ORDENES'!$S871,lista_dias,0),9)*1000000000+IFERROR(MATCH('ORDENES'!$AH871,lista_turnos,0),9)*10000000+IFERROR(MATCH('ORDENES'!$AG871,'TECNICOS'!$B$4:$B$19,0),99)*100000+868,9000000000000+868)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2">
        <f>IF(K875=1,'ORDENES'!$J871,"")</f>
        <v/>
      </c>
    </row>
    <row r="876">
      <c r="K876" s="5">
        <f>IF(AND(IF($B$3="(todos)",TRUE,'ORDENES'!$O872=$B$3),IF($D$3="(todos)",TRUE,'ORDENES'!$AH872=$D$3),IF($F$3="(todos)",TRUE,'ORDENES'!$Z872=$F$3),IF($H$3="(todos)",TRUE,'ORDENES'!$Y872=$H$3),'ORDENES'!$AF872=TRUE,'ORDENES'!$A872&lt;&gt;""),1,0)</f>
        <v/>
      </c>
      <c r="L876" s="5">
        <f>IF(K876=1,IFERROR(MATCH('ORDENES'!$S872,lista_dias,0),9)*1000000000+IFERROR(MATCH('ORDENES'!$AH872,lista_turnos,0),9)*10000000+IFERROR(MATCH('ORDENES'!$AG872,'TECNICOS'!$B$4:$B$19,0),99)*100000+869,9000000000000+869)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2">
        <f>IF(K876=1,'ORDENES'!$J872,"")</f>
        <v/>
      </c>
    </row>
    <row r="877">
      <c r="K877" s="5">
        <f>IF(AND(IF($B$3="(todos)",TRUE,'ORDENES'!$O873=$B$3),IF($D$3="(todos)",TRUE,'ORDENES'!$AH873=$D$3),IF($F$3="(todos)",TRUE,'ORDENES'!$Z873=$F$3),IF($H$3="(todos)",TRUE,'ORDENES'!$Y873=$H$3),'ORDENES'!$AF873=TRUE,'ORDENES'!$A873&lt;&gt;""),1,0)</f>
        <v/>
      </c>
      <c r="L877" s="5">
        <f>IF(K877=1,IFERROR(MATCH('ORDENES'!$S873,lista_dias,0),9)*1000000000+IFERROR(MATCH('ORDENES'!$AH873,lista_turnos,0),9)*10000000+IFERROR(MATCH('ORDENES'!$AG873,'TECNICOS'!$B$4:$B$19,0),99)*100000+870,9000000000000+870)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2">
        <f>IF(K877=1,'ORDENES'!$J873,"")</f>
        <v/>
      </c>
    </row>
    <row r="878">
      <c r="K878" s="5">
        <f>IF(AND(IF($B$3="(todos)",TRUE,'ORDENES'!$O874=$B$3),IF($D$3="(todos)",TRUE,'ORDENES'!$AH874=$D$3),IF($F$3="(todos)",TRUE,'ORDENES'!$Z874=$F$3),IF($H$3="(todos)",TRUE,'ORDENES'!$Y874=$H$3),'ORDENES'!$AF874=TRUE,'ORDENES'!$A874&lt;&gt;""),1,0)</f>
        <v/>
      </c>
      <c r="L878" s="5">
        <f>IF(K878=1,IFERROR(MATCH('ORDENES'!$S874,lista_dias,0),9)*1000000000+IFERROR(MATCH('ORDENES'!$AH874,lista_turnos,0),9)*10000000+IFERROR(MATCH('ORDENES'!$AG874,'TECNICOS'!$B$4:$B$19,0),99)*100000+871,9000000000000+871)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2">
        <f>IF(K878=1,'ORDENES'!$J874,"")</f>
        <v/>
      </c>
    </row>
    <row r="879">
      <c r="K879" s="5">
        <f>IF(AND(IF($B$3="(todos)",TRUE,'ORDENES'!$O875=$B$3),IF($D$3="(todos)",TRUE,'ORDENES'!$AH875=$D$3),IF($F$3="(todos)",TRUE,'ORDENES'!$Z875=$F$3),IF($H$3="(todos)",TRUE,'ORDENES'!$Y875=$H$3),'ORDENES'!$AF875=TRUE,'ORDENES'!$A875&lt;&gt;""),1,0)</f>
        <v/>
      </c>
      <c r="L879" s="5">
        <f>IF(K879=1,IFERROR(MATCH('ORDENES'!$S875,lista_dias,0),9)*1000000000+IFERROR(MATCH('ORDENES'!$AH875,lista_turnos,0),9)*10000000+IFERROR(MATCH('ORDENES'!$AG875,'TECNICOS'!$B$4:$B$19,0),99)*100000+872,9000000000000+872)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2">
        <f>IF(K879=1,'ORDENES'!$J875,"")</f>
        <v/>
      </c>
    </row>
    <row r="880">
      <c r="K880" s="5">
        <f>IF(AND(IF($B$3="(todos)",TRUE,'ORDENES'!$O876=$B$3),IF($D$3="(todos)",TRUE,'ORDENES'!$AH876=$D$3),IF($F$3="(todos)",TRUE,'ORDENES'!$Z876=$F$3),IF($H$3="(todos)",TRUE,'ORDENES'!$Y876=$H$3),'ORDENES'!$AF876=TRUE,'ORDENES'!$A876&lt;&gt;""),1,0)</f>
        <v/>
      </c>
      <c r="L880" s="5">
        <f>IF(K880=1,IFERROR(MATCH('ORDENES'!$S876,lista_dias,0),9)*1000000000+IFERROR(MATCH('ORDENES'!$AH876,lista_turnos,0),9)*10000000+IFERROR(MATCH('ORDENES'!$AG876,'TECNICOS'!$B$4:$B$19,0),99)*100000+873,9000000000000+873)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2">
        <f>IF(K880=1,'ORDENES'!$J876,"")</f>
        <v/>
      </c>
    </row>
    <row r="881">
      <c r="K881" s="5">
        <f>IF(AND(IF($B$3="(todos)",TRUE,'ORDENES'!$O877=$B$3),IF($D$3="(todos)",TRUE,'ORDENES'!$AH877=$D$3),IF($F$3="(todos)",TRUE,'ORDENES'!$Z877=$F$3),IF($H$3="(todos)",TRUE,'ORDENES'!$Y877=$H$3),'ORDENES'!$AF877=TRUE,'ORDENES'!$A877&lt;&gt;""),1,0)</f>
        <v/>
      </c>
      <c r="L881" s="5">
        <f>IF(K881=1,IFERROR(MATCH('ORDENES'!$S877,lista_dias,0),9)*1000000000+IFERROR(MATCH('ORDENES'!$AH877,lista_turnos,0),9)*10000000+IFERROR(MATCH('ORDENES'!$AG877,'TECNICOS'!$B$4:$B$19,0),99)*100000+874,9000000000000+874)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2">
        <f>IF(K881=1,'ORDENES'!$J877,"")</f>
        <v/>
      </c>
    </row>
    <row r="882">
      <c r="K882" s="5">
        <f>IF(AND(IF($B$3="(todos)",TRUE,'ORDENES'!$O878=$B$3),IF($D$3="(todos)",TRUE,'ORDENES'!$AH878=$D$3),IF($F$3="(todos)",TRUE,'ORDENES'!$Z878=$F$3),IF($H$3="(todos)",TRUE,'ORDENES'!$Y878=$H$3),'ORDENES'!$AF878=TRUE,'ORDENES'!$A878&lt;&gt;""),1,0)</f>
        <v/>
      </c>
      <c r="L882" s="5">
        <f>IF(K882=1,IFERROR(MATCH('ORDENES'!$S878,lista_dias,0),9)*1000000000+IFERROR(MATCH('ORDENES'!$AH878,lista_turnos,0),9)*10000000+IFERROR(MATCH('ORDENES'!$AG878,'TECNICOS'!$B$4:$B$19,0),99)*100000+875,9000000000000+875)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2">
        <f>IF(K882=1,'ORDENES'!$J878,"")</f>
        <v/>
      </c>
    </row>
    <row r="883">
      <c r="K883" s="5">
        <f>IF(AND(IF($B$3="(todos)",TRUE,'ORDENES'!$O879=$B$3),IF($D$3="(todos)",TRUE,'ORDENES'!$AH879=$D$3),IF($F$3="(todos)",TRUE,'ORDENES'!$Z879=$F$3),IF($H$3="(todos)",TRUE,'ORDENES'!$Y879=$H$3),'ORDENES'!$AF879=TRUE,'ORDENES'!$A879&lt;&gt;""),1,0)</f>
        <v/>
      </c>
      <c r="L883" s="5">
        <f>IF(K883=1,IFERROR(MATCH('ORDENES'!$S879,lista_dias,0),9)*1000000000+IFERROR(MATCH('ORDENES'!$AH879,lista_turnos,0),9)*10000000+IFERROR(MATCH('ORDENES'!$AG879,'TECNICOS'!$B$4:$B$19,0),99)*100000+876,9000000000000+876)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2">
        <f>IF(K883=1,'ORDENES'!$J879,"")</f>
        <v/>
      </c>
    </row>
    <row r="884">
      <c r="K884" s="5">
        <f>IF(AND(IF($B$3="(todos)",TRUE,'ORDENES'!$O880=$B$3),IF($D$3="(todos)",TRUE,'ORDENES'!$AH880=$D$3),IF($F$3="(todos)",TRUE,'ORDENES'!$Z880=$F$3),IF($H$3="(todos)",TRUE,'ORDENES'!$Y880=$H$3),'ORDENES'!$AF880=TRUE,'ORDENES'!$A880&lt;&gt;""),1,0)</f>
        <v/>
      </c>
      <c r="L884" s="5">
        <f>IF(K884=1,IFERROR(MATCH('ORDENES'!$S880,lista_dias,0),9)*1000000000+IFERROR(MATCH('ORDENES'!$AH880,lista_turnos,0),9)*10000000+IFERROR(MATCH('ORDENES'!$AG880,'TECNICOS'!$B$4:$B$19,0),99)*100000+877,9000000000000+877)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2">
        <f>IF(K884=1,'ORDENES'!$J880,"")</f>
        <v/>
      </c>
    </row>
    <row r="885">
      <c r="K885" s="5">
        <f>IF(AND(IF($B$3="(todos)",TRUE,'ORDENES'!$O881=$B$3),IF($D$3="(todos)",TRUE,'ORDENES'!$AH881=$D$3),IF($F$3="(todos)",TRUE,'ORDENES'!$Z881=$F$3),IF($H$3="(todos)",TRUE,'ORDENES'!$Y881=$H$3),'ORDENES'!$AF881=TRUE,'ORDENES'!$A881&lt;&gt;""),1,0)</f>
        <v/>
      </c>
      <c r="L885" s="5">
        <f>IF(K885=1,IFERROR(MATCH('ORDENES'!$S881,lista_dias,0),9)*1000000000+IFERROR(MATCH('ORDENES'!$AH881,lista_turnos,0),9)*10000000+IFERROR(MATCH('ORDENES'!$AG881,'TECNICOS'!$B$4:$B$19,0),99)*100000+878,9000000000000+878)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2">
        <f>IF(K885=1,'ORDENES'!$J881,"")</f>
        <v/>
      </c>
    </row>
    <row r="886">
      <c r="K886" s="5">
        <f>IF(AND(IF($B$3="(todos)",TRUE,'ORDENES'!$O882=$B$3),IF($D$3="(todos)",TRUE,'ORDENES'!$AH882=$D$3),IF($F$3="(todos)",TRUE,'ORDENES'!$Z882=$F$3),IF($H$3="(todos)",TRUE,'ORDENES'!$Y882=$H$3),'ORDENES'!$AF882=TRUE,'ORDENES'!$A882&lt;&gt;""),1,0)</f>
        <v/>
      </c>
      <c r="L886" s="5">
        <f>IF(K886=1,IFERROR(MATCH('ORDENES'!$S882,lista_dias,0),9)*1000000000+IFERROR(MATCH('ORDENES'!$AH882,lista_turnos,0),9)*10000000+IFERROR(MATCH('ORDENES'!$AG882,'TECNICOS'!$B$4:$B$19,0),99)*100000+879,9000000000000+879)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2">
        <f>IF(K886=1,'ORDENES'!$J882,"")</f>
        <v/>
      </c>
    </row>
    <row r="887">
      <c r="K887" s="5">
        <f>IF(AND(IF($B$3="(todos)",TRUE,'ORDENES'!$O883=$B$3),IF($D$3="(todos)",TRUE,'ORDENES'!$AH883=$D$3),IF($F$3="(todos)",TRUE,'ORDENES'!$Z883=$F$3),IF($H$3="(todos)",TRUE,'ORDENES'!$Y883=$H$3),'ORDENES'!$AF883=TRUE,'ORDENES'!$A883&lt;&gt;""),1,0)</f>
        <v/>
      </c>
      <c r="L887" s="5">
        <f>IF(K887=1,IFERROR(MATCH('ORDENES'!$S883,lista_dias,0),9)*1000000000+IFERROR(MATCH('ORDENES'!$AH883,lista_turnos,0),9)*10000000+IFERROR(MATCH('ORDENES'!$AG883,'TECNICOS'!$B$4:$B$19,0),99)*100000+880,9000000000000+880)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2">
        <f>IF(K887=1,'ORDENES'!$J883,"")</f>
        <v/>
      </c>
    </row>
    <row r="888">
      <c r="K888" s="5">
        <f>IF(AND(IF($B$3="(todos)",TRUE,'ORDENES'!$O884=$B$3),IF($D$3="(todos)",TRUE,'ORDENES'!$AH884=$D$3),IF($F$3="(todos)",TRUE,'ORDENES'!$Z884=$F$3),IF($H$3="(todos)",TRUE,'ORDENES'!$Y884=$H$3),'ORDENES'!$AF884=TRUE,'ORDENES'!$A884&lt;&gt;""),1,0)</f>
        <v/>
      </c>
      <c r="L888" s="5">
        <f>IF(K888=1,IFERROR(MATCH('ORDENES'!$S884,lista_dias,0),9)*1000000000+IFERROR(MATCH('ORDENES'!$AH884,lista_turnos,0),9)*10000000+IFERROR(MATCH('ORDENES'!$AG884,'TECNICOS'!$B$4:$B$19,0),99)*100000+881,9000000000000+881)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2">
        <f>IF(K888=1,'ORDENES'!$J884,"")</f>
        <v/>
      </c>
    </row>
    <row r="889">
      <c r="K889" s="5">
        <f>IF(AND(IF($B$3="(todos)",TRUE,'ORDENES'!$O885=$B$3),IF($D$3="(todos)",TRUE,'ORDENES'!$AH885=$D$3),IF($F$3="(todos)",TRUE,'ORDENES'!$Z885=$F$3),IF($H$3="(todos)",TRUE,'ORDENES'!$Y885=$H$3),'ORDENES'!$AF885=TRUE,'ORDENES'!$A885&lt;&gt;""),1,0)</f>
        <v/>
      </c>
      <c r="L889" s="5">
        <f>IF(K889=1,IFERROR(MATCH('ORDENES'!$S885,lista_dias,0),9)*1000000000+IFERROR(MATCH('ORDENES'!$AH885,lista_turnos,0),9)*10000000+IFERROR(MATCH('ORDENES'!$AG885,'TECNICOS'!$B$4:$B$19,0),99)*100000+882,9000000000000+882)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2">
        <f>IF(K889=1,'ORDENES'!$J885,"")</f>
        <v/>
      </c>
    </row>
    <row r="890">
      <c r="K890" s="5">
        <f>IF(AND(IF($B$3="(todos)",TRUE,'ORDENES'!$O886=$B$3),IF($D$3="(todos)",TRUE,'ORDENES'!$AH886=$D$3),IF($F$3="(todos)",TRUE,'ORDENES'!$Z886=$F$3),IF($H$3="(todos)",TRUE,'ORDENES'!$Y886=$H$3),'ORDENES'!$AF886=TRUE,'ORDENES'!$A886&lt;&gt;""),1,0)</f>
        <v/>
      </c>
      <c r="L890" s="5">
        <f>IF(K890=1,IFERROR(MATCH('ORDENES'!$S886,lista_dias,0),9)*1000000000+IFERROR(MATCH('ORDENES'!$AH886,lista_turnos,0),9)*10000000+IFERROR(MATCH('ORDENES'!$AG886,'TECNICOS'!$B$4:$B$19,0),99)*100000+883,9000000000000+883)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2">
        <f>IF(K890=1,'ORDENES'!$J886,"")</f>
        <v/>
      </c>
    </row>
    <row r="891">
      <c r="K891" s="5">
        <f>IF(AND(IF($B$3="(todos)",TRUE,'ORDENES'!$O887=$B$3),IF($D$3="(todos)",TRUE,'ORDENES'!$AH887=$D$3),IF($F$3="(todos)",TRUE,'ORDENES'!$Z887=$F$3),IF($H$3="(todos)",TRUE,'ORDENES'!$Y887=$H$3),'ORDENES'!$AF887=TRUE,'ORDENES'!$A887&lt;&gt;""),1,0)</f>
        <v/>
      </c>
      <c r="L891" s="5">
        <f>IF(K891=1,IFERROR(MATCH('ORDENES'!$S887,lista_dias,0),9)*1000000000+IFERROR(MATCH('ORDENES'!$AH887,lista_turnos,0),9)*10000000+IFERROR(MATCH('ORDENES'!$AG887,'TECNICOS'!$B$4:$B$19,0),99)*100000+884,9000000000000+884)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2">
        <f>IF(K891=1,'ORDENES'!$J887,"")</f>
        <v/>
      </c>
    </row>
    <row r="892">
      <c r="K892" s="5">
        <f>IF(AND(IF($B$3="(todos)",TRUE,'ORDENES'!$O888=$B$3),IF($D$3="(todos)",TRUE,'ORDENES'!$AH888=$D$3),IF($F$3="(todos)",TRUE,'ORDENES'!$Z888=$F$3),IF($H$3="(todos)",TRUE,'ORDENES'!$Y888=$H$3),'ORDENES'!$AF888=TRUE,'ORDENES'!$A888&lt;&gt;""),1,0)</f>
        <v/>
      </c>
      <c r="L892" s="5">
        <f>IF(K892=1,IFERROR(MATCH('ORDENES'!$S888,lista_dias,0),9)*1000000000+IFERROR(MATCH('ORDENES'!$AH888,lista_turnos,0),9)*10000000+IFERROR(MATCH('ORDENES'!$AG888,'TECNICOS'!$B$4:$B$19,0),99)*100000+885,9000000000000+885)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2">
        <f>IF(K892=1,'ORDENES'!$J888,"")</f>
        <v/>
      </c>
    </row>
    <row r="893">
      <c r="K893" s="5">
        <f>IF(AND(IF($B$3="(todos)",TRUE,'ORDENES'!$O889=$B$3),IF($D$3="(todos)",TRUE,'ORDENES'!$AH889=$D$3),IF($F$3="(todos)",TRUE,'ORDENES'!$Z889=$F$3),IF($H$3="(todos)",TRUE,'ORDENES'!$Y889=$H$3),'ORDENES'!$AF889=TRUE,'ORDENES'!$A889&lt;&gt;""),1,0)</f>
        <v/>
      </c>
      <c r="L893" s="5">
        <f>IF(K893=1,IFERROR(MATCH('ORDENES'!$S889,lista_dias,0),9)*1000000000+IFERROR(MATCH('ORDENES'!$AH889,lista_turnos,0),9)*10000000+IFERROR(MATCH('ORDENES'!$AG889,'TECNICOS'!$B$4:$B$19,0),99)*100000+886,9000000000000+886)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2">
        <f>IF(K893=1,'ORDENES'!$J889,"")</f>
        <v/>
      </c>
    </row>
    <row r="894">
      <c r="K894" s="5">
        <f>IF(AND(IF($B$3="(todos)",TRUE,'ORDENES'!$O890=$B$3),IF($D$3="(todos)",TRUE,'ORDENES'!$AH890=$D$3),IF($F$3="(todos)",TRUE,'ORDENES'!$Z890=$F$3),IF($H$3="(todos)",TRUE,'ORDENES'!$Y890=$H$3),'ORDENES'!$AF890=TRUE,'ORDENES'!$A890&lt;&gt;""),1,0)</f>
        <v/>
      </c>
      <c r="L894" s="5">
        <f>IF(K894=1,IFERROR(MATCH('ORDENES'!$S890,lista_dias,0),9)*1000000000+IFERROR(MATCH('ORDENES'!$AH890,lista_turnos,0),9)*10000000+IFERROR(MATCH('ORDENES'!$AG890,'TECNICOS'!$B$4:$B$19,0),99)*100000+887,9000000000000+887)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2">
        <f>IF(K894=1,'ORDENES'!$J890,"")</f>
        <v/>
      </c>
    </row>
    <row r="895">
      <c r="K895" s="5">
        <f>IF(AND(IF($B$3="(todos)",TRUE,'ORDENES'!$O891=$B$3),IF($D$3="(todos)",TRUE,'ORDENES'!$AH891=$D$3),IF($F$3="(todos)",TRUE,'ORDENES'!$Z891=$F$3),IF($H$3="(todos)",TRUE,'ORDENES'!$Y891=$H$3),'ORDENES'!$AF891=TRUE,'ORDENES'!$A891&lt;&gt;""),1,0)</f>
        <v/>
      </c>
      <c r="L895" s="5">
        <f>IF(K895=1,IFERROR(MATCH('ORDENES'!$S891,lista_dias,0),9)*1000000000+IFERROR(MATCH('ORDENES'!$AH891,lista_turnos,0),9)*10000000+IFERROR(MATCH('ORDENES'!$AG891,'TECNICOS'!$B$4:$B$19,0),99)*100000+888,9000000000000+888)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2">
        <f>IF(K895=1,'ORDENES'!$J891,"")</f>
        <v/>
      </c>
    </row>
    <row r="896">
      <c r="K896" s="5">
        <f>IF(AND(IF($B$3="(todos)",TRUE,'ORDENES'!$O892=$B$3),IF($D$3="(todos)",TRUE,'ORDENES'!$AH892=$D$3),IF($F$3="(todos)",TRUE,'ORDENES'!$Z892=$F$3),IF($H$3="(todos)",TRUE,'ORDENES'!$Y892=$H$3),'ORDENES'!$AF892=TRUE,'ORDENES'!$A892&lt;&gt;""),1,0)</f>
        <v/>
      </c>
      <c r="L896" s="5">
        <f>IF(K896=1,IFERROR(MATCH('ORDENES'!$S892,lista_dias,0),9)*1000000000+IFERROR(MATCH('ORDENES'!$AH892,lista_turnos,0),9)*10000000+IFERROR(MATCH('ORDENES'!$AG892,'TECNICOS'!$B$4:$B$19,0),99)*100000+889,9000000000000+889)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2">
        <f>IF(K896=1,'ORDENES'!$J892,"")</f>
        <v/>
      </c>
    </row>
    <row r="897">
      <c r="K897" s="5">
        <f>IF(AND(IF($B$3="(todos)",TRUE,'ORDENES'!$O893=$B$3),IF($D$3="(todos)",TRUE,'ORDENES'!$AH893=$D$3),IF($F$3="(todos)",TRUE,'ORDENES'!$Z893=$F$3),IF($H$3="(todos)",TRUE,'ORDENES'!$Y893=$H$3),'ORDENES'!$AF893=TRUE,'ORDENES'!$A893&lt;&gt;""),1,0)</f>
        <v/>
      </c>
      <c r="L897" s="5">
        <f>IF(K897=1,IFERROR(MATCH('ORDENES'!$S893,lista_dias,0),9)*1000000000+IFERROR(MATCH('ORDENES'!$AH893,lista_turnos,0),9)*10000000+IFERROR(MATCH('ORDENES'!$AG893,'TECNICOS'!$B$4:$B$19,0),99)*100000+890,9000000000000+890)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2">
        <f>IF(K897=1,'ORDENES'!$J893,"")</f>
        <v/>
      </c>
    </row>
    <row r="898">
      <c r="K898" s="5">
        <f>IF(AND(IF($B$3="(todos)",TRUE,'ORDENES'!$O894=$B$3),IF($D$3="(todos)",TRUE,'ORDENES'!$AH894=$D$3),IF($F$3="(todos)",TRUE,'ORDENES'!$Z894=$F$3),IF($H$3="(todos)",TRUE,'ORDENES'!$Y894=$H$3),'ORDENES'!$AF894=TRUE,'ORDENES'!$A894&lt;&gt;""),1,0)</f>
        <v/>
      </c>
      <c r="L898" s="5">
        <f>IF(K898=1,IFERROR(MATCH('ORDENES'!$S894,lista_dias,0),9)*1000000000+IFERROR(MATCH('ORDENES'!$AH894,lista_turnos,0),9)*10000000+IFERROR(MATCH('ORDENES'!$AG894,'TECNICOS'!$B$4:$B$19,0),99)*100000+891,9000000000000+891)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2">
        <f>IF(K898=1,'ORDENES'!$J894,"")</f>
        <v/>
      </c>
    </row>
    <row r="899">
      <c r="K899" s="5">
        <f>IF(AND(IF($B$3="(todos)",TRUE,'ORDENES'!$O895=$B$3),IF($D$3="(todos)",TRUE,'ORDENES'!$AH895=$D$3),IF($F$3="(todos)",TRUE,'ORDENES'!$Z895=$F$3),IF($H$3="(todos)",TRUE,'ORDENES'!$Y895=$H$3),'ORDENES'!$AF895=TRUE,'ORDENES'!$A895&lt;&gt;""),1,0)</f>
        <v/>
      </c>
      <c r="L899" s="5">
        <f>IF(K899=1,IFERROR(MATCH('ORDENES'!$S895,lista_dias,0),9)*1000000000+IFERROR(MATCH('ORDENES'!$AH895,lista_turnos,0),9)*10000000+IFERROR(MATCH('ORDENES'!$AG895,'TECNICOS'!$B$4:$B$19,0),99)*100000+892,9000000000000+892)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2">
        <f>IF(K899=1,'ORDENES'!$J895,"")</f>
        <v/>
      </c>
    </row>
    <row r="900">
      <c r="K900" s="5">
        <f>IF(AND(IF($B$3="(todos)",TRUE,'ORDENES'!$O896=$B$3),IF($D$3="(todos)",TRUE,'ORDENES'!$AH896=$D$3),IF($F$3="(todos)",TRUE,'ORDENES'!$Z896=$F$3),IF($H$3="(todos)",TRUE,'ORDENES'!$Y896=$H$3),'ORDENES'!$AF896=TRUE,'ORDENES'!$A896&lt;&gt;""),1,0)</f>
        <v/>
      </c>
      <c r="L900" s="5">
        <f>IF(K900=1,IFERROR(MATCH('ORDENES'!$S896,lista_dias,0),9)*1000000000+IFERROR(MATCH('ORDENES'!$AH896,lista_turnos,0),9)*10000000+IFERROR(MATCH('ORDENES'!$AG896,'TECNICOS'!$B$4:$B$19,0),99)*100000+893,9000000000000+893)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2">
        <f>IF(K900=1,'ORDENES'!$J896,"")</f>
        <v/>
      </c>
    </row>
    <row r="901">
      <c r="K901" s="5">
        <f>IF(AND(IF($B$3="(todos)",TRUE,'ORDENES'!$O897=$B$3),IF($D$3="(todos)",TRUE,'ORDENES'!$AH897=$D$3),IF($F$3="(todos)",TRUE,'ORDENES'!$Z897=$F$3),IF($H$3="(todos)",TRUE,'ORDENES'!$Y897=$H$3),'ORDENES'!$AF897=TRUE,'ORDENES'!$A897&lt;&gt;""),1,0)</f>
        <v/>
      </c>
      <c r="L901" s="5">
        <f>IF(K901=1,IFERROR(MATCH('ORDENES'!$S897,lista_dias,0),9)*1000000000+IFERROR(MATCH('ORDENES'!$AH897,lista_turnos,0),9)*10000000+IFERROR(MATCH('ORDENES'!$AG897,'TECNICOS'!$B$4:$B$19,0),99)*100000+894,9000000000000+894)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2">
        <f>IF(K901=1,'ORDENES'!$J897,"")</f>
        <v/>
      </c>
    </row>
    <row r="902">
      <c r="K902" s="5">
        <f>IF(AND(IF($B$3="(todos)",TRUE,'ORDENES'!$O898=$B$3),IF($D$3="(todos)",TRUE,'ORDENES'!$AH898=$D$3),IF($F$3="(todos)",TRUE,'ORDENES'!$Z898=$F$3),IF($H$3="(todos)",TRUE,'ORDENES'!$Y898=$H$3),'ORDENES'!$AF898=TRUE,'ORDENES'!$A898&lt;&gt;""),1,0)</f>
        <v/>
      </c>
      <c r="L902" s="5">
        <f>IF(K902=1,IFERROR(MATCH('ORDENES'!$S898,lista_dias,0),9)*1000000000+IFERROR(MATCH('ORDENES'!$AH898,lista_turnos,0),9)*10000000+IFERROR(MATCH('ORDENES'!$AG898,'TECNICOS'!$B$4:$B$19,0),99)*100000+895,9000000000000+895)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2">
        <f>IF(K902=1,'ORDENES'!$J898,"")</f>
        <v/>
      </c>
    </row>
    <row r="903">
      <c r="K903" s="5">
        <f>IF(AND(IF($B$3="(todos)",TRUE,'ORDENES'!$O899=$B$3),IF($D$3="(todos)",TRUE,'ORDENES'!$AH899=$D$3),IF($F$3="(todos)",TRUE,'ORDENES'!$Z899=$F$3),IF($H$3="(todos)",TRUE,'ORDENES'!$Y899=$H$3),'ORDENES'!$AF899=TRUE,'ORDENES'!$A899&lt;&gt;""),1,0)</f>
        <v/>
      </c>
      <c r="L903" s="5">
        <f>IF(K903=1,IFERROR(MATCH('ORDENES'!$S899,lista_dias,0),9)*1000000000+IFERROR(MATCH('ORDENES'!$AH899,lista_turnos,0),9)*10000000+IFERROR(MATCH('ORDENES'!$AG899,'TECNICOS'!$B$4:$B$19,0),99)*100000+896,9000000000000+896)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2">
        <f>IF(K903=1,'ORDENES'!$J899,"")</f>
        <v/>
      </c>
    </row>
    <row r="904">
      <c r="K904" s="5">
        <f>IF(AND(IF($B$3="(todos)",TRUE,'ORDENES'!$O900=$B$3),IF($D$3="(todos)",TRUE,'ORDENES'!$AH900=$D$3),IF($F$3="(todos)",TRUE,'ORDENES'!$Z900=$F$3),IF($H$3="(todos)",TRUE,'ORDENES'!$Y900=$H$3),'ORDENES'!$AF900=TRUE,'ORDENES'!$A900&lt;&gt;""),1,0)</f>
        <v/>
      </c>
      <c r="L904" s="5">
        <f>IF(K904=1,IFERROR(MATCH('ORDENES'!$S900,lista_dias,0),9)*1000000000+IFERROR(MATCH('ORDENES'!$AH900,lista_turnos,0),9)*10000000+IFERROR(MATCH('ORDENES'!$AG900,'TECNICOS'!$B$4:$B$19,0),99)*100000+897,9000000000000+897)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2">
        <f>IF(K904=1,'ORDENES'!$J900,"")</f>
        <v/>
      </c>
    </row>
    <row r="905">
      <c r="K905" s="5">
        <f>IF(AND(IF($B$3="(todos)",TRUE,'ORDENES'!$O901=$B$3),IF($D$3="(todos)",TRUE,'ORDENES'!$AH901=$D$3),IF($F$3="(todos)",TRUE,'ORDENES'!$Z901=$F$3),IF($H$3="(todos)",TRUE,'ORDENES'!$Y901=$H$3),'ORDENES'!$AF901=TRUE,'ORDENES'!$A901&lt;&gt;""),1,0)</f>
        <v/>
      </c>
      <c r="L905" s="5">
        <f>IF(K905=1,IFERROR(MATCH('ORDENES'!$S901,lista_dias,0),9)*1000000000+IFERROR(MATCH('ORDENES'!$AH901,lista_turnos,0),9)*10000000+IFERROR(MATCH('ORDENES'!$AG901,'TECNICOS'!$B$4:$B$19,0),99)*100000+898,9000000000000+898)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2">
        <f>IF(K905=1,'ORDENES'!$J901,"")</f>
        <v/>
      </c>
    </row>
    <row r="906">
      <c r="K906" s="5">
        <f>IF(AND(IF($B$3="(todos)",TRUE,'ORDENES'!$O902=$B$3),IF($D$3="(todos)",TRUE,'ORDENES'!$AH902=$D$3),IF($F$3="(todos)",TRUE,'ORDENES'!$Z902=$F$3),IF($H$3="(todos)",TRUE,'ORDENES'!$Y902=$H$3),'ORDENES'!$AF902=TRUE,'ORDENES'!$A902&lt;&gt;""),1,0)</f>
        <v/>
      </c>
      <c r="L906" s="5">
        <f>IF(K906=1,IFERROR(MATCH('ORDENES'!$S902,lista_dias,0),9)*1000000000+IFERROR(MATCH('ORDENES'!$AH902,lista_turnos,0),9)*10000000+IFERROR(MATCH('ORDENES'!$AG902,'TECNICOS'!$B$4:$B$19,0),99)*100000+899,9000000000000+899)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2">
        <f>IF(K906=1,'ORDENES'!$J902,"")</f>
        <v/>
      </c>
    </row>
    <row r="907">
      <c r="K907" s="5">
        <f>IF(AND(IF($B$3="(todos)",TRUE,'ORDENES'!$O903=$B$3),IF($D$3="(todos)",TRUE,'ORDENES'!$AH903=$D$3),IF($F$3="(todos)",TRUE,'ORDENES'!$Z903=$F$3),IF($H$3="(todos)",TRUE,'ORDENES'!$Y903=$H$3),'ORDENES'!$AF903=TRUE,'ORDENES'!$A903&lt;&gt;""),1,0)</f>
        <v/>
      </c>
      <c r="L907" s="5">
        <f>IF(K907=1,IFERROR(MATCH('ORDENES'!$S903,lista_dias,0),9)*1000000000+IFERROR(MATCH('ORDENES'!$AH903,lista_turnos,0),9)*10000000+IFERROR(MATCH('ORDENES'!$AG903,'TECNICOS'!$B$4:$B$19,0),99)*100000+900,9000000000000+900)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2">
        <f>IF(K907=1,'ORDENES'!$J903,"")</f>
        <v/>
      </c>
    </row>
    <row r="908">
      <c r="K908" s="5">
        <f>IF(AND(IF($B$3="(todos)",TRUE,'ORDENES'!$O904=$B$3),IF($D$3="(todos)",TRUE,'ORDENES'!$AH904=$D$3),IF($F$3="(todos)",TRUE,'ORDENES'!$Z904=$F$3),IF($H$3="(todos)",TRUE,'ORDENES'!$Y904=$H$3),'ORDENES'!$AF904=TRUE,'ORDENES'!$A904&lt;&gt;""),1,0)</f>
        <v/>
      </c>
      <c r="L908" s="5">
        <f>IF(K908=1,IFERROR(MATCH('ORDENES'!$S904,lista_dias,0),9)*1000000000+IFERROR(MATCH('ORDENES'!$AH904,lista_turnos,0),9)*10000000+IFERROR(MATCH('ORDENES'!$AG904,'TECNICOS'!$B$4:$B$19,0),99)*100000+901,9000000000000+901)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2">
        <f>IF(K908=1,'ORDENES'!$J904,"")</f>
        <v/>
      </c>
    </row>
    <row r="909">
      <c r="K909" s="5">
        <f>IF(AND(IF($B$3="(todos)",TRUE,'ORDENES'!$O905=$B$3),IF($D$3="(todos)",TRUE,'ORDENES'!$AH905=$D$3),IF($F$3="(todos)",TRUE,'ORDENES'!$Z905=$F$3),IF($H$3="(todos)",TRUE,'ORDENES'!$Y905=$H$3),'ORDENES'!$AF905=TRUE,'ORDENES'!$A905&lt;&gt;""),1,0)</f>
        <v/>
      </c>
      <c r="L909" s="5">
        <f>IF(K909=1,IFERROR(MATCH('ORDENES'!$S905,lista_dias,0),9)*1000000000+IFERROR(MATCH('ORDENES'!$AH905,lista_turnos,0),9)*10000000+IFERROR(MATCH('ORDENES'!$AG905,'TECNICOS'!$B$4:$B$19,0),99)*100000+902,9000000000000+902)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2">
        <f>IF(K909=1,'ORDENES'!$J905,"")</f>
        <v/>
      </c>
    </row>
    <row r="910">
      <c r="K910" s="5">
        <f>IF(AND(IF($B$3="(todos)",TRUE,'ORDENES'!$O906=$B$3),IF($D$3="(todos)",TRUE,'ORDENES'!$AH906=$D$3),IF($F$3="(todos)",TRUE,'ORDENES'!$Z906=$F$3),IF($H$3="(todos)",TRUE,'ORDENES'!$Y906=$H$3),'ORDENES'!$AF906=TRUE,'ORDENES'!$A906&lt;&gt;""),1,0)</f>
        <v/>
      </c>
      <c r="L910" s="5">
        <f>IF(K910=1,IFERROR(MATCH('ORDENES'!$S906,lista_dias,0),9)*1000000000+IFERROR(MATCH('ORDENES'!$AH906,lista_turnos,0),9)*10000000+IFERROR(MATCH('ORDENES'!$AG906,'TECNICOS'!$B$4:$B$19,0),99)*100000+903,9000000000000+903)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2">
        <f>IF(K910=1,'ORDENES'!$J906,"")</f>
        <v/>
      </c>
    </row>
    <row r="911">
      <c r="K911" s="5">
        <f>IF(AND(IF($B$3="(todos)",TRUE,'ORDENES'!$O907=$B$3),IF($D$3="(todos)",TRUE,'ORDENES'!$AH907=$D$3),IF($F$3="(todos)",TRUE,'ORDENES'!$Z907=$F$3),IF($H$3="(todos)",TRUE,'ORDENES'!$Y907=$H$3),'ORDENES'!$AF907=TRUE,'ORDENES'!$A907&lt;&gt;""),1,0)</f>
        <v/>
      </c>
      <c r="L911" s="5">
        <f>IF(K911=1,IFERROR(MATCH('ORDENES'!$S907,lista_dias,0),9)*1000000000+IFERROR(MATCH('ORDENES'!$AH907,lista_turnos,0),9)*10000000+IFERROR(MATCH('ORDENES'!$AG907,'TECNICOS'!$B$4:$B$19,0),99)*100000+904,9000000000000+904)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2">
        <f>IF(K911=1,'ORDENES'!$J907,"")</f>
        <v/>
      </c>
    </row>
    <row r="912">
      <c r="K912" s="5">
        <f>IF(AND(IF($B$3="(todos)",TRUE,'ORDENES'!$O908=$B$3),IF($D$3="(todos)",TRUE,'ORDENES'!$AH908=$D$3),IF($F$3="(todos)",TRUE,'ORDENES'!$Z908=$F$3),IF($H$3="(todos)",TRUE,'ORDENES'!$Y908=$H$3),'ORDENES'!$AF908=TRUE,'ORDENES'!$A908&lt;&gt;""),1,0)</f>
        <v/>
      </c>
      <c r="L912" s="5">
        <f>IF(K912=1,IFERROR(MATCH('ORDENES'!$S908,lista_dias,0),9)*1000000000+IFERROR(MATCH('ORDENES'!$AH908,lista_turnos,0),9)*10000000+IFERROR(MATCH('ORDENES'!$AG908,'TECNICOS'!$B$4:$B$19,0),99)*100000+905,9000000000000+905)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2">
        <f>IF(K912=1,'ORDENES'!$J908,"")</f>
        <v/>
      </c>
    </row>
    <row r="913">
      <c r="K913" s="5">
        <f>IF(AND(IF($B$3="(todos)",TRUE,'ORDENES'!$O909=$B$3),IF($D$3="(todos)",TRUE,'ORDENES'!$AH909=$D$3),IF($F$3="(todos)",TRUE,'ORDENES'!$Z909=$F$3),IF($H$3="(todos)",TRUE,'ORDENES'!$Y909=$H$3),'ORDENES'!$AF909=TRUE,'ORDENES'!$A909&lt;&gt;""),1,0)</f>
        <v/>
      </c>
      <c r="L913" s="5">
        <f>IF(K913=1,IFERROR(MATCH('ORDENES'!$S909,lista_dias,0),9)*1000000000+IFERROR(MATCH('ORDENES'!$AH909,lista_turnos,0),9)*10000000+IFERROR(MATCH('ORDENES'!$AG909,'TECNICOS'!$B$4:$B$19,0),99)*100000+906,9000000000000+906)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2">
        <f>IF(K913=1,'ORDENES'!$J909,"")</f>
        <v/>
      </c>
    </row>
    <row r="914">
      <c r="K914" s="5">
        <f>IF(AND(IF($B$3="(todos)",TRUE,'ORDENES'!$O910=$B$3),IF($D$3="(todos)",TRUE,'ORDENES'!$AH910=$D$3),IF($F$3="(todos)",TRUE,'ORDENES'!$Z910=$F$3),IF($H$3="(todos)",TRUE,'ORDENES'!$Y910=$H$3),'ORDENES'!$AF910=TRUE,'ORDENES'!$A910&lt;&gt;""),1,0)</f>
        <v/>
      </c>
      <c r="L914" s="5">
        <f>IF(K914=1,IFERROR(MATCH('ORDENES'!$S910,lista_dias,0),9)*1000000000+IFERROR(MATCH('ORDENES'!$AH910,lista_turnos,0),9)*10000000+IFERROR(MATCH('ORDENES'!$AG910,'TECNICOS'!$B$4:$B$19,0),99)*100000+907,9000000000000+907)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2">
        <f>IF(K914=1,'ORDENES'!$J910,"")</f>
        <v/>
      </c>
    </row>
    <row r="915">
      <c r="K915" s="5">
        <f>IF(AND(IF($B$3="(todos)",TRUE,'ORDENES'!$O911=$B$3),IF($D$3="(todos)",TRUE,'ORDENES'!$AH911=$D$3),IF($F$3="(todos)",TRUE,'ORDENES'!$Z911=$F$3),IF($H$3="(todos)",TRUE,'ORDENES'!$Y911=$H$3),'ORDENES'!$AF911=TRUE,'ORDENES'!$A911&lt;&gt;""),1,0)</f>
        <v/>
      </c>
      <c r="L915" s="5">
        <f>IF(K915=1,IFERROR(MATCH('ORDENES'!$S911,lista_dias,0),9)*1000000000+IFERROR(MATCH('ORDENES'!$AH911,lista_turnos,0),9)*10000000+IFERROR(MATCH('ORDENES'!$AG911,'TECNICOS'!$B$4:$B$19,0),99)*100000+908,9000000000000+908)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2">
        <f>IF(K915=1,'ORDENES'!$J911,"")</f>
        <v/>
      </c>
    </row>
    <row r="916">
      <c r="K916" s="5">
        <f>IF(AND(IF($B$3="(todos)",TRUE,'ORDENES'!$O912=$B$3),IF($D$3="(todos)",TRUE,'ORDENES'!$AH912=$D$3),IF($F$3="(todos)",TRUE,'ORDENES'!$Z912=$F$3),IF($H$3="(todos)",TRUE,'ORDENES'!$Y912=$H$3),'ORDENES'!$AF912=TRUE,'ORDENES'!$A912&lt;&gt;""),1,0)</f>
        <v/>
      </c>
      <c r="L916" s="5">
        <f>IF(K916=1,IFERROR(MATCH('ORDENES'!$S912,lista_dias,0),9)*1000000000+IFERROR(MATCH('ORDENES'!$AH912,lista_turnos,0),9)*10000000+IFERROR(MATCH('ORDENES'!$AG912,'TECNICOS'!$B$4:$B$19,0),99)*100000+909,9000000000000+909)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2">
        <f>IF(K916=1,'ORDENES'!$J912,"")</f>
        <v/>
      </c>
    </row>
    <row r="917">
      <c r="K917" s="5">
        <f>IF(AND(IF($B$3="(todos)",TRUE,'ORDENES'!$O913=$B$3),IF($D$3="(todos)",TRUE,'ORDENES'!$AH913=$D$3),IF($F$3="(todos)",TRUE,'ORDENES'!$Z913=$F$3),IF($H$3="(todos)",TRUE,'ORDENES'!$Y913=$H$3),'ORDENES'!$AF913=TRUE,'ORDENES'!$A913&lt;&gt;""),1,0)</f>
        <v/>
      </c>
      <c r="L917" s="5">
        <f>IF(K917=1,IFERROR(MATCH('ORDENES'!$S913,lista_dias,0),9)*1000000000+IFERROR(MATCH('ORDENES'!$AH913,lista_turnos,0),9)*10000000+IFERROR(MATCH('ORDENES'!$AG913,'TECNICOS'!$B$4:$B$19,0),99)*100000+910,9000000000000+910)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2">
        <f>IF(K917=1,'ORDENES'!$J913,"")</f>
        <v/>
      </c>
    </row>
    <row r="918">
      <c r="K918" s="5">
        <f>IF(AND(IF($B$3="(todos)",TRUE,'ORDENES'!$O914=$B$3),IF($D$3="(todos)",TRUE,'ORDENES'!$AH914=$D$3),IF($F$3="(todos)",TRUE,'ORDENES'!$Z914=$F$3),IF($H$3="(todos)",TRUE,'ORDENES'!$Y914=$H$3),'ORDENES'!$AF914=TRUE,'ORDENES'!$A914&lt;&gt;""),1,0)</f>
        <v/>
      </c>
      <c r="L918" s="5">
        <f>IF(K918=1,IFERROR(MATCH('ORDENES'!$S914,lista_dias,0),9)*1000000000+IFERROR(MATCH('ORDENES'!$AH914,lista_turnos,0),9)*10000000+IFERROR(MATCH('ORDENES'!$AG914,'TECNICOS'!$B$4:$B$19,0),99)*100000+911,9000000000000+911)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2">
        <f>IF(K918=1,'ORDENES'!$J914,"")</f>
        <v/>
      </c>
    </row>
    <row r="919">
      <c r="K919" s="5">
        <f>IF(AND(IF($B$3="(todos)",TRUE,'ORDENES'!$O915=$B$3),IF($D$3="(todos)",TRUE,'ORDENES'!$AH915=$D$3),IF($F$3="(todos)",TRUE,'ORDENES'!$Z915=$F$3),IF($H$3="(todos)",TRUE,'ORDENES'!$Y915=$H$3),'ORDENES'!$AF915=TRUE,'ORDENES'!$A915&lt;&gt;""),1,0)</f>
        <v/>
      </c>
      <c r="L919" s="5">
        <f>IF(K919=1,IFERROR(MATCH('ORDENES'!$S915,lista_dias,0),9)*1000000000+IFERROR(MATCH('ORDENES'!$AH915,lista_turnos,0),9)*10000000+IFERROR(MATCH('ORDENES'!$AG915,'TECNICOS'!$B$4:$B$19,0),99)*100000+912,9000000000000+912)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2">
        <f>IF(K919=1,'ORDENES'!$J915,"")</f>
        <v/>
      </c>
    </row>
    <row r="920">
      <c r="K920" s="5">
        <f>IF(AND(IF($B$3="(todos)",TRUE,'ORDENES'!$O916=$B$3),IF($D$3="(todos)",TRUE,'ORDENES'!$AH916=$D$3),IF($F$3="(todos)",TRUE,'ORDENES'!$Z916=$F$3),IF($H$3="(todos)",TRUE,'ORDENES'!$Y916=$H$3),'ORDENES'!$AF916=TRUE,'ORDENES'!$A916&lt;&gt;""),1,0)</f>
        <v/>
      </c>
      <c r="L920" s="5">
        <f>IF(K920=1,IFERROR(MATCH('ORDENES'!$S916,lista_dias,0),9)*1000000000+IFERROR(MATCH('ORDENES'!$AH916,lista_turnos,0),9)*10000000+IFERROR(MATCH('ORDENES'!$AG916,'TECNICOS'!$B$4:$B$19,0),99)*100000+913,9000000000000+913)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2">
        <f>IF(K920=1,'ORDENES'!$J916,"")</f>
        <v/>
      </c>
    </row>
    <row r="921">
      <c r="K921" s="5">
        <f>IF(AND(IF($B$3="(todos)",TRUE,'ORDENES'!$O917=$B$3),IF($D$3="(todos)",TRUE,'ORDENES'!$AH917=$D$3),IF($F$3="(todos)",TRUE,'ORDENES'!$Z917=$F$3),IF($H$3="(todos)",TRUE,'ORDENES'!$Y917=$H$3),'ORDENES'!$AF917=TRUE,'ORDENES'!$A917&lt;&gt;""),1,0)</f>
        <v/>
      </c>
      <c r="L921" s="5">
        <f>IF(K921=1,IFERROR(MATCH('ORDENES'!$S917,lista_dias,0),9)*1000000000+IFERROR(MATCH('ORDENES'!$AH917,lista_turnos,0),9)*10000000+IFERROR(MATCH('ORDENES'!$AG917,'TECNICOS'!$B$4:$B$19,0),99)*100000+914,9000000000000+914)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2">
        <f>IF(K921=1,'ORDENES'!$J917,"")</f>
        <v/>
      </c>
    </row>
    <row r="922">
      <c r="K922" s="5">
        <f>IF(AND(IF($B$3="(todos)",TRUE,'ORDENES'!$O918=$B$3),IF($D$3="(todos)",TRUE,'ORDENES'!$AH918=$D$3),IF($F$3="(todos)",TRUE,'ORDENES'!$Z918=$F$3),IF($H$3="(todos)",TRUE,'ORDENES'!$Y918=$H$3),'ORDENES'!$AF918=TRUE,'ORDENES'!$A918&lt;&gt;""),1,0)</f>
        <v/>
      </c>
      <c r="L922" s="5">
        <f>IF(K922=1,IFERROR(MATCH('ORDENES'!$S918,lista_dias,0),9)*1000000000+IFERROR(MATCH('ORDENES'!$AH918,lista_turnos,0),9)*10000000+IFERROR(MATCH('ORDENES'!$AG918,'TECNICOS'!$B$4:$B$19,0),99)*100000+915,9000000000000+915)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2">
        <f>IF(K922=1,'ORDENES'!$J918,"")</f>
        <v/>
      </c>
    </row>
    <row r="923">
      <c r="K923" s="5">
        <f>IF(AND(IF($B$3="(todos)",TRUE,'ORDENES'!$O919=$B$3),IF($D$3="(todos)",TRUE,'ORDENES'!$AH919=$D$3),IF($F$3="(todos)",TRUE,'ORDENES'!$Z919=$F$3),IF($H$3="(todos)",TRUE,'ORDENES'!$Y919=$H$3),'ORDENES'!$AF919=TRUE,'ORDENES'!$A919&lt;&gt;""),1,0)</f>
        <v/>
      </c>
      <c r="L923" s="5">
        <f>IF(K923=1,IFERROR(MATCH('ORDENES'!$S919,lista_dias,0),9)*1000000000+IFERROR(MATCH('ORDENES'!$AH919,lista_turnos,0),9)*10000000+IFERROR(MATCH('ORDENES'!$AG919,'TECNICOS'!$B$4:$B$19,0),99)*100000+916,9000000000000+916)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2">
        <f>IF(K923=1,'ORDENES'!$J919,"")</f>
        <v/>
      </c>
    </row>
    <row r="924">
      <c r="K924" s="5">
        <f>IF(AND(IF($B$3="(todos)",TRUE,'ORDENES'!$O920=$B$3),IF($D$3="(todos)",TRUE,'ORDENES'!$AH920=$D$3),IF($F$3="(todos)",TRUE,'ORDENES'!$Z920=$F$3),IF($H$3="(todos)",TRUE,'ORDENES'!$Y920=$H$3),'ORDENES'!$AF920=TRUE,'ORDENES'!$A920&lt;&gt;""),1,0)</f>
        <v/>
      </c>
      <c r="L924" s="5">
        <f>IF(K924=1,IFERROR(MATCH('ORDENES'!$S920,lista_dias,0),9)*1000000000+IFERROR(MATCH('ORDENES'!$AH920,lista_turnos,0),9)*10000000+IFERROR(MATCH('ORDENES'!$AG920,'TECNICOS'!$B$4:$B$19,0),99)*100000+917,9000000000000+917)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2">
        <f>IF(K924=1,'ORDENES'!$J920,"")</f>
        <v/>
      </c>
    </row>
    <row r="925">
      <c r="K925" s="5">
        <f>IF(AND(IF($B$3="(todos)",TRUE,'ORDENES'!$O921=$B$3),IF($D$3="(todos)",TRUE,'ORDENES'!$AH921=$D$3),IF($F$3="(todos)",TRUE,'ORDENES'!$Z921=$F$3),IF($H$3="(todos)",TRUE,'ORDENES'!$Y921=$H$3),'ORDENES'!$AF921=TRUE,'ORDENES'!$A921&lt;&gt;""),1,0)</f>
        <v/>
      </c>
      <c r="L925" s="5">
        <f>IF(K925=1,IFERROR(MATCH('ORDENES'!$S921,lista_dias,0),9)*1000000000+IFERROR(MATCH('ORDENES'!$AH921,lista_turnos,0),9)*10000000+IFERROR(MATCH('ORDENES'!$AG921,'TECNICOS'!$B$4:$B$19,0),99)*100000+918,9000000000000+918)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2">
        <f>IF(K925=1,'ORDENES'!$J921,"")</f>
        <v/>
      </c>
    </row>
    <row r="926">
      <c r="K926" s="5">
        <f>IF(AND(IF($B$3="(todos)",TRUE,'ORDENES'!$O922=$B$3),IF($D$3="(todos)",TRUE,'ORDENES'!$AH922=$D$3),IF($F$3="(todos)",TRUE,'ORDENES'!$Z922=$F$3),IF($H$3="(todos)",TRUE,'ORDENES'!$Y922=$H$3),'ORDENES'!$AF922=TRUE,'ORDENES'!$A922&lt;&gt;""),1,0)</f>
        <v/>
      </c>
      <c r="L926" s="5">
        <f>IF(K926=1,IFERROR(MATCH('ORDENES'!$S922,lista_dias,0),9)*1000000000+IFERROR(MATCH('ORDENES'!$AH922,lista_turnos,0),9)*10000000+IFERROR(MATCH('ORDENES'!$AG922,'TECNICOS'!$B$4:$B$19,0),99)*100000+919,9000000000000+919)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2">
        <f>IF(K926=1,'ORDENES'!$J922,"")</f>
        <v/>
      </c>
    </row>
    <row r="927">
      <c r="K927" s="5">
        <f>IF(AND(IF($B$3="(todos)",TRUE,'ORDENES'!$O923=$B$3),IF($D$3="(todos)",TRUE,'ORDENES'!$AH923=$D$3),IF($F$3="(todos)",TRUE,'ORDENES'!$Z923=$F$3),IF($H$3="(todos)",TRUE,'ORDENES'!$Y923=$H$3),'ORDENES'!$AF923=TRUE,'ORDENES'!$A923&lt;&gt;""),1,0)</f>
        <v/>
      </c>
      <c r="L927" s="5">
        <f>IF(K927=1,IFERROR(MATCH('ORDENES'!$S923,lista_dias,0),9)*1000000000+IFERROR(MATCH('ORDENES'!$AH923,lista_turnos,0),9)*10000000+IFERROR(MATCH('ORDENES'!$AG923,'TECNICOS'!$B$4:$B$19,0),99)*100000+920,9000000000000+920)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2">
        <f>IF(K927=1,'ORDENES'!$J923,"")</f>
        <v/>
      </c>
    </row>
    <row r="928">
      <c r="K928" s="5">
        <f>IF(AND(IF($B$3="(todos)",TRUE,'ORDENES'!$O924=$B$3),IF($D$3="(todos)",TRUE,'ORDENES'!$AH924=$D$3),IF($F$3="(todos)",TRUE,'ORDENES'!$Z924=$F$3),IF($H$3="(todos)",TRUE,'ORDENES'!$Y924=$H$3),'ORDENES'!$AF924=TRUE,'ORDENES'!$A924&lt;&gt;""),1,0)</f>
        <v/>
      </c>
      <c r="L928" s="5">
        <f>IF(K928=1,IFERROR(MATCH('ORDENES'!$S924,lista_dias,0),9)*1000000000+IFERROR(MATCH('ORDENES'!$AH924,lista_turnos,0),9)*10000000+IFERROR(MATCH('ORDENES'!$AG924,'TECNICOS'!$B$4:$B$19,0),99)*100000+921,9000000000000+921)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2">
        <f>IF(K928=1,'ORDENES'!$J924,"")</f>
        <v/>
      </c>
    </row>
    <row r="929">
      <c r="K929" s="5">
        <f>IF(AND(IF($B$3="(todos)",TRUE,'ORDENES'!$O925=$B$3),IF($D$3="(todos)",TRUE,'ORDENES'!$AH925=$D$3),IF($F$3="(todos)",TRUE,'ORDENES'!$Z925=$F$3),IF($H$3="(todos)",TRUE,'ORDENES'!$Y925=$H$3),'ORDENES'!$AF925=TRUE,'ORDENES'!$A925&lt;&gt;""),1,0)</f>
        <v/>
      </c>
      <c r="L929" s="5">
        <f>IF(K929=1,IFERROR(MATCH('ORDENES'!$S925,lista_dias,0),9)*1000000000+IFERROR(MATCH('ORDENES'!$AH925,lista_turnos,0),9)*10000000+IFERROR(MATCH('ORDENES'!$AG925,'TECNICOS'!$B$4:$B$19,0),99)*100000+922,9000000000000+922)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2">
        <f>IF(K929=1,'ORDENES'!$J925,"")</f>
        <v/>
      </c>
    </row>
    <row r="930">
      <c r="K930" s="5">
        <f>IF(AND(IF($B$3="(todos)",TRUE,'ORDENES'!$O926=$B$3),IF($D$3="(todos)",TRUE,'ORDENES'!$AH926=$D$3),IF($F$3="(todos)",TRUE,'ORDENES'!$Z926=$F$3),IF($H$3="(todos)",TRUE,'ORDENES'!$Y926=$H$3),'ORDENES'!$AF926=TRUE,'ORDENES'!$A926&lt;&gt;""),1,0)</f>
        <v/>
      </c>
      <c r="L930" s="5">
        <f>IF(K930=1,IFERROR(MATCH('ORDENES'!$S926,lista_dias,0),9)*1000000000+IFERROR(MATCH('ORDENES'!$AH926,lista_turnos,0),9)*10000000+IFERROR(MATCH('ORDENES'!$AG926,'TECNICOS'!$B$4:$B$19,0),99)*100000+923,9000000000000+923)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2">
        <f>IF(K930=1,'ORDENES'!$J926,"")</f>
        <v/>
      </c>
    </row>
    <row r="931">
      <c r="K931" s="5">
        <f>IF(AND(IF($B$3="(todos)",TRUE,'ORDENES'!$O927=$B$3),IF($D$3="(todos)",TRUE,'ORDENES'!$AH927=$D$3),IF($F$3="(todos)",TRUE,'ORDENES'!$Z927=$F$3),IF($H$3="(todos)",TRUE,'ORDENES'!$Y927=$H$3),'ORDENES'!$AF927=TRUE,'ORDENES'!$A927&lt;&gt;""),1,0)</f>
        <v/>
      </c>
      <c r="L931" s="5">
        <f>IF(K931=1,IFERROR(MATCH('ORDENES'!$S927,lista_dias,0),9)*1000000000+IFERROR(MATCH('ORDENES'!$AH927,lista_turnos,0),9)*10000000+IFERROR(MATCH('ORDENES'!$AG927,'TECNICOS'!$B$4:$B$19,0),99)*100000+924,9000000000000+924)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2">
        <f>IF(K931=1,'ORDENES'!$J927,"")</f>
        <v/>
      </c>
    </row>
    <row r="932">
      <c r="K932" s="5">
        <f>IF(AND(IF($B$3="(todos)",TRUE,'ORDENES'!$O928=$B$3),IF($D$3="(todos)",TRUE,'ORDENES'!$AH928=$D$3),IF($F$3="(todos)",TRUE,'ORDENES'!$Z928=$F$3),IF($H$3="(todos)",TRUE,'ORDENES'!$Y928=$H$3),'ORDENES'!$AF928=TRUE,'ORDENES'!$A928&lt;&gt;""),1,0)</f>
        <v/>
      </c>
      <c r="L932" s="5">
        <f>IF(K932=1,IFERROR(MATCH('ORDENES'!$S928,lista_dias,0),9)*1000000000+IFERROR(MATCH('ORDENES'!$AH928,lista_turnos,0),9)*10000000+IFERROR(MATCH('ORDENES'!$AG928,'TECNICOS'!$B$4:$B$19,0),99)*100000+925,9000000000000+925)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2">
        <f>IF(K932=1,'ORDENES'!$J928,"")</f>
        <v/>
      </c>
    </row>
    <row r="933">
      <c r="K933" s="5">
        <f>IF(AND(IF($B$3="(todos)",TRUE,'ORDENES'!$O929=$B$3),IF($D$3="(todos)",TRUE,'ORDENES'!$AH929=$D$3),IF($F$3="(todos)",TRUE,'ORDENES'!$Z929=$F$3),IF($H$3="(todos)",TRUE,'ORDENES'!$Y929=$H$3),'ORDENES'!$AF929=TRUE,'ORDENES'!$A929&lt;&gt;""),1,0)</f>
        <v/>
      </c>
      <c r="L933" s="5">
        <f>IF(K933=1,IFERROR(MATCH('ORDENES'!$S929,lista_dias,0),9)*1000000000+IFERROR(MATCH('ORDENES'!$AH929,lista_turnos,0),9)*10000000+IFERROR(MATCH('ORDENES'!$AG929,'TECNICOS'!$B$4:$B$19,0),99)*100000+926,9000000000000+926)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2">
        <f>IF(K933=1,'ORDENES'!$J929,"")</f>
        <v/>
      </c>
    </row>
    <row r="934">
      <c r="K934" s="5">
        <f>IF(AND(IF($B$3="(todos)",TRUE,'ORDENES'!$O930=$B$3),IF($D$3="(todos)",TRUE,'ORDENES'!$AH930=$D$3),IF($F$3="(todos)",TRUE,'ORDENES'!$Z930=$F$3),IF($H$3="(todos)",TRUE,'ORDENES'!$Y930=$H$3),'ORDENES'!$AF930=TRUE,'ORDENES'!$A930&lt;&gt;""),1,0)</f>
        <v/>
      </c>
      <c r="L934" s="5">
        <f>IF(K934=1,IFERROR(MATCH('ORDENES'!$S930,lista_dias,0),9)*1000000000+IFERROR(MATCH('ORDENES'!$AH930,lista_turnos,0),9)*10000000+IFERROR(MATCH('ORDENES'!$AG930,'TECNICOS'!$B$4:$B$19,0),99)*100000+927,9000000000000+927)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2">
        <f>IF(K934=1,'ORDENES'!$J930,"")</f>
        <v/>
      </c>
    </row>
    <row r="935">
      <c r="K935" s="5">
        <f>IF(AND(IF($B$3="(todos)",TRUE,'ORDENES'!$O931=$B$3),IF($D$3="(todos)",TRUE,'ORDENES'!$AH931=$D$3),IF($F$3="(todos)",TRUE,'ORDENES'!$Z931=$F$3),IF($H$3="(todos)",TRUE,'ORDENES'!$Y931=$H$3),'ORDENES'!$AF931=TRUE,'ORDENES'!$A931&lt;&gt;""),1,0)</f>
        <v/>
      </c>
      <c r="L935" s="5">
        <f>IF(K935=1,IFERROR(MATCH('ORDENES'!$S931,lista_dias,0),9)*1000000000+IFERROR(MATCH('ORDENES'!$AH931,lista_turnos,0),9)*10000000+IFERROR(MATCH('ORDENES'!$AG931,'TECNICOS'!$B$4:$B$19,0),99)*100000+928,9000000000000+928)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2">
        <f>IF(K935=1,'ORDENES'!$J931,"")</f>
        <v/>
      </c>
    </row>
    <row r="936">
      <c r="K936" s="5">
        <f>IF(AND(IF($B$3="(todos)",TRUE,'ORDENES'!$O932=$B$3),IF($D$3="(todos)",TRUE,'ORDENES'!$AH932=$D$3),IF($F$3="(todos)",TRUE,'ORDENES'!$Z932=$F$3),IF($H$3="(todos)",TRUE,'ORDENES'!$Y932=$H$3),'ORDENES'!$AF932=TRUE,'ORDENES'!$A932&lt;&gt;""),1,0)</f>
        <v/>
      </c>
      <c r="L936" s="5">
        <f>IF(K936=1,IFERROR(MATCH('ORDENES'!$S932,lista_dias,0),9)*1000000000+IFERROR(MATCH('ORDENES'!$AH932,lista_turnos,0),9)*10000000+IFERROR(MATCH('ORDENES'!$AG932,'TECNICOS'!$B$4:$B$19,0),99)*100000+929,9000000000000+929)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2">
        <f>IF(K936=1,'ORDENES'!$J932,"")</f>
        <v/>
      </c>
    </row>
    <row r="937">
      <c r="K937" s="5">
        <f>IF(AND(IF($B$3="(todos)",TRUE,'ORDENES'!$O933=$B$3),IF($D$3="(todos)",TRUE,'ORDENES'!$AH933=$D$3),IF($F$3="(todos)",TRUE,'ORDENES'!$Z933=$F$3),IF($H$3="(todos)",TRUE,'ORDENES'!$Y933=$H$3),'ORDENES'!$AF933=TRUE,'ORDENES'!$A933&lt;&gt;""),1,0)</f>
        <v/>
      </c>
      <c r="L937" s="5">
        <f>IF(K937=1,IFERROR(MATCH('ORDENES'!$S933,lista_dias,0),9)*1000000000+IFERROR(MATCH('ORDENES'!$AH933,lista_turnos,0),9)*10000000+IFERROR(MATCH('ORDENES'!$AG933,'TECNICOS'!$B$4:$B$19,0),99)*100000+930,9000000000000+930)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2">
        <f>IF(K937=1,'ORDENES'!$J933,"")</f>
        <v/>
      </c>
    </row>
    <row r="938">
      <c r="K938" s="5">
        <f>IF(AND(IF($B$3="(todos)",TRUE,'ORDENES'!$O934=$B$3),IF($D$3="(todos)",TRUE,'ORDENES'!$AH934=$D$3),IF($F$3="(todos)",TRUE,'ORDENES'!$Z934=$F$3),IF($H$3="(todos)",TRUE,'ORDENES'!$Y934=$H$3),'ORDENES'!$AF934=TRUE,'ORDENES'!$A934&lt;&gt;""),1,0)</f>
        <v/>
      </c>
      <c r="L938" s="5">
        <f>IF(K938=1,IFERROR(MATCH('ORDENES'!$S934,lista_dias,0),9)*1000000000+IFERROR(MATCH('ORDENES'!$AH934,lista_turnos,0),9)*10000000+IFERROR(MATCH('ORDENES'!$AG934,'TECNICOS'!$B$4:$B$19,0),99)*100000+931,9000000000000+931)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2">
        <f>IF(K938=1,'ORDENES'!$J934,"")</f>
        <v/>
      </c>
    </row>
    <row r="939">
      <c r="K939" s="5">
        <f>IF(AND(IF($B$3="(todos)",TRUE,'ORDENES'!$O935=$B$3),IF($D$3="(todos)",TRUE,'ORDENES'!$AH935=$D$3),IF($F$3="(todos)",TRUE,'ORDENES'!$Z935=$F$3),IF($H$3="(todos)",TRUE,'ORDENES'!$Y935=$H$3),'ORDENES'!$AF935=TRUE,'ORDENES'!$A935&lt;&gt;""),1,0)</f>
        <v/>
      </c>
      <c r="L939" s="5">
        <f>IF(K939=1,IFERROR(MATCH('ORDENES'!$S935,lista_dias,0),9)*1000000000+IFERROR(MATCH('ORDENES'!$AH935,lista_turnos,0),9)*10000000+IFERROR(MATCH('ORDENES'!$AG935,'TECNICOS'!$B$4:$B$19,0),99)*100000+932,9000000000000+932)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2">
        <f>IF(K939=1,'ORDENES'!$J935,"")</f>
        <v/>
      </c>
    </row>
    <row r="940">
      <c r="K940" s="5">
        <f>IF(AND(IF($B$3="(todos)",TRUE,'ORDENES'!$O936=$B$3),IF($D$3="(todos)",TRUE,'ORDENES'!$AH936=$D$3),IF($F$3="(todos)",TRUE,'ORDENES'!$Z936=$F$3),IF($H$3="(todos)",TRUE,'ORDENES'!$Y936=$H$3),'ORDENES'!$AF936=TRUE,'ORDENES'!$A936&lt;&gt;""),1,0)</f>
        <v/>
      </c>
      <c r="L940" s="5">
        <f>IF(K940=1,IFERROR(MATCH('ORDENES'!$S936,lista_dias,0),9)*1000000000+IFERROR(MATCH('ORDENES'!$AH936,lista_turnos,0),9)*10000000+IFERROR(MATCH('ORDENES'!$AG936,'TECNICOS'!$B$4:$B$19,0),99)*100000+933,9000000000000+933)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2">
        <f>IF(K940=1,'ORDENES'!$J936,"")</f>
        <v/>
      </c>
    </row>
    <row r="941">
      <c r="K941" s="5">
        <f>IF(AND(IF($B$3="(todos)",TRUE,'ORDENES'!$O937=$B$3),IF($D$3="(todos)",TRUE,'ORDENES'!$AH937=$D$3),IF($F$3="(todos)",TRUE,'ORDENES'!$Z937=$F$3),IF($H$3="(todos)",TRUE,'ORDENES'!$Y937=$H$3),'ORDENES'!$AF937=TRUE,'ORDENES'!$A937&lt;&gt;""),1,0)</f>
        <v/>
      </c>
      <c r="L941" s="5">
        <f>IF(K941=1,IFERROR(MATCH('ORDENES'!$S937,lista_dias,0),9)*1000000000+IFERROR(MATCH('ORDENES'!$AH937,lista_turnos,0),9)*10000000+IFERROR(MATCH('ORDENES'!$AG937,'TECNICOS'!$B$4:$B$19,0),99)*100000+934,9000000000000+934)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2">
        <f>IF(K941=1,'ORDENES'!$J937,"")</f>
        <v/>
      </c>
    </row>
    <row r="942">
      <c r="K942" s="5">
        <f>IF(AND(IF($B$3="(todos)",TRUE,'ORDENES'!$O938=$B$3),IF($D$3="(todos)",TRUE,'ORDENES'!$AH938=$D$3),IF($F$3="(todos)",TRUE,'ORDENES'!$Z938=$F$3),IF($H$3="(todos)",TRUE,'ORDENES'!$Y938=$H$3),'ORDENES'!$AF938=TRUE,'ORDENES'!$A938&lt;&gt;""),1,0)</f>
        <v/>
      </c>
      <c r="L942" s="5">
        <f>IF(K942=1,IFERROR(MATCH('ORDENES'!$S938,lista_dias,0),9)*1000000000+IFERROR(MATCH('ORDENES'!$AH938,lista_turnos,0),9)*10000000+IFERROR(MATCH('ORDENES'!$AG938,'TECNICOS'!$B$4:$B$19,0),99)*100000+935,9000000000000+935)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2">
        <f>IF(K942=1,'ORDENES'!$J938,"")</f>
        <v/>
      </c>
    </row>
    <row r="943">
      <c r="K943" s="5">
        <f>IF(AND(IF($B$3="(todos)",TRUE,'ORDENES'!$O939=$B$3),IF($D$3="(todos)",TRUE,'ORDENES'!$AH939=$D$3),IF($F$3="(todos)",TRUE,'ORDENES'!$Z939=$F$3),IF($H$3="(todos)",TRUE,'ORDENES'!$Y939=$H$3),'ORDENES'!$AF939=TRUE,'ORDENES'!$A939&lt;&gt;""),1,0)</f>
        <v/>
      </c>
      <c r="L943" s="5">
        <f>IF(K943=1,IFERROR(MATCH('ORDENES'!$S939,lista_dias,0),9)*1000000000+IFERROR(MATCH('ORDENES'!$AH939,lista_turnos,0),9)*10000000+IFERROR(MATCH('ORDENES'!$AG939,'TECNICOS'!$B$4:$B$19,0),99)*100000+936,9000000000000+936)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2">
        <f>IF(K943=1,'ORDENES'!$J939,"")</f>
        <v/>
      </c>
    </row>
    <row r="944">
      <c r="K944" s="5">
        <f>IF(AND(IF($B$3="(todos)",TRUE,'ORDENES'!$O940=$B$3),IF($D$3="(todos)",TRUE,'ORDENES'!$AH940=$D$3),IF($F$3="(todos)",TRUE,'ORDENES'!$Z940=$F$3),IF($H$3="(todos)",TRUE,'ORDENES'!$Y940=$H$3),'ORDENES'!$AF940=TRUE,'ORDENES'!$A940&lt;&gt;""),1,0)</f>
        <v/>
      </c>
      <c r="L944" s="5">
        <f>IF(K944=1,IFERROR(MATCH('ORDENES'!$S940,lista_dias,0),9)*1000000000+IFERROR(MATCH('ORDENES'!$AH940,lista_turnos,0),9)*10000000+IFERROR(MATCH('ORDENES'!$AG940,'TECNICOS'!$B$4:$B$19,0),99)*100000+937,9000000000000+937)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2">
        <f>IF(K944=1,'ORDENES'!$J940,"")</f>
        <v/>
      </c>
    </row>
    <row r="945">
      <c r="K945" s="5">
        <f>IF(AND(IF($B$3="(todos)",TRUE,'ORDENES'!$O941=$B$3),IF($D$3="(todos)",TRUE,'ORDENES'!$AH941=$D$3),IF($F$3="(todos)",TRUE,'ORDENES'!$Z941=$F$3),IF($H$3="(todos)",TRUE,'ORDENES'!$Y941=$H$3),'ORDENES'!$AF941=TRUE,'ORDENES'!$A941&lt;&gt;""),1,0)</f>
        <v/>
      </c>
      <c r="L945" s="5">
        <f>IF(K945=1,IFERROR(MATCH('ORDENES'!$S941,lista_dias,0),9)*1000000000+IFERROR(MATCH('ORDENES'!$AH941,lista_turnos,0),9)*10000000+IFERROR(MATCH('ORDENES'!$AG941,'TECNICOS'!$B$4:$B$19,0),99)*100000+938,9000000000000+938)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2">
        <f>IF(K945=1,'ORDENES'!$J941,"")</f>
        <v/>
      </c>
    </row>
    <row r="946">
      <c r="K946" s="5">
        <f>IF(AND(IF($B$3="(todos)",TRUE,'ORDENES'!$O942=$B$3),IF($D$3="(todos)",TRUE,'ORDENES'!$AH942=$D$3),IF($F$3="(todos)",TRUE,'ORDENES'!$Z942=$F$3),IF($H$3="(todos)",TRUE,'ORDENES'!$Y942=$H$3),'ORDENES'!$AF942=TRUE,'ORDENES'!$A942&lt;&gt;""),1,0)</f>
        <v/>
      </c>
      <c r="L946" s="5">
        <f>IF(K946=1,IFERROR(MATCH('ORDENES'!$S942,lista_dias,0),9)*1000000000+IFERROR(MATCH('ORDENES'!$AH942,lista_turnos,0),9)*10000000+IFERROR(MATCH('ORDENES'!$AG942,'TECNICOS'!$B$4:$B$19,0),99)*100000+939,9000000000000+939)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2">
        <f>IF(K946=1,'ORDENES'!$J942,"")</f>
        <v/>
      </c>
    </row>
    <row r="947">
      <c r="K947" s="5">
        <f>IF(AND(IF($B$3="(todos)",TRUE,'ORDENES'!$O943=$B$3),IF($D$3="(todos)",TRUE,'ORDENES'!$AH943=$D$3),IF($F$3="(todos)",TRUE,'ORDENES'!$Z943=$F$3),IF($H$3="(todos)",TRUE,'ORDENES'!$Y943=$H$3),'ORDENES'!$AF943=TRUE,'ORDENES'!$A943&lt;&gt;""),1,0)</f>
        <v/>
      </c>
      <c r="L947" s="5">
        <f>IF(K947=1,IFERROR(MATCH('ORDENES'!$S943,lista_dias,0),9)*1000000000+IFERROR(MATCH('ORDENES'!$AH943,lista_turnos,0),9)*10000000+IFERROR(MATCH('ORDENES'!$AG943,'TECNICOS'!$B$4:$B$19,0),99)*100000+940,9000000000000+940)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2">
        <f>IF(K947=1,'ORDENES'!$J943,"")</f>
        <v/>
      </c>
    </row>
    <row r="948">
      <c r="K948" s="5">
        <f>IF(AND(IF($B$3="(todos)",TRUE,'ORDENES'!$O944=$B$3),IF($D$3="(todos)",TRUE,'ORDENES'!$AH944=$D$3),IF($F$3="(todos)",TRUE,'ORDENES'!$Z944=$F$3),IF($H$3="(todos)",TRUE,'ORDENES'!$Y944=$H$3),'ORDENES'!$AF944=TRUE,'ORDENES'!$A944&lt;&gt;""),1,0)</f>
        <v/>
      </c>
      <c r="L948" s="5">
        <f>IF(K948=1,IFERROR(MATCH('ORDENES'!$S944,lista_dias,0),9)*1000000000+IFERROR(MATCH('ORDENES'!$AH944,lista_turnos,0),9)*10000000+IFERROR(MATCH('ORDENES'!$AG944,'TECNICOS'!$B$4:$B$19,0),99)*100000+941,9000000000000+941)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2">
        <f>IF(K948=1,'ORDENES'!$J944,"")</f>
        <v/>
      </c>
    </row>
    <row r="949">
      <c r="K949" s="5">
        <f>IF(AND(IF($B$3="(todos)",TRUE,'ORDENES'!$O945=$B$3),IF($D$3="(todos)",TRUE,'ORDENES'!$AH945=$D$3),IF($F$3="(todos)",TRUE,'ORDENES'!$Z945=$F$3),IF($H$3="(todos)",TRUE,'ORDENES'!$Y945=$H$3),'ORDENES'!$AF945=TRUE,'ORDENES'!$A945&lt;&gt;""),1,0)</f>
        <v/>
      </c>
      <c r="L949" s="5">
        <f>IF(K949=1,IFERROR(MATCH('ORDENES'!$S945,lista_dias,0),9)*1000000000+IFERROR(MATCH('ORDENES'!$AH945,lista_turnos,0),9)*10000000+IFERROR(MATCH('ORDENES'!$AG945,'TECNICOS'!$B$4:$B$19,0),99)*100000+942,9000000000000+942)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2">
        <f>IF(K949=1,'ORDENES'!$J945,"")</f>
        <v/>
      </c>
    </row>
    <row r="950">
      <c r="K950" s="5">
        <f>IF(AND(IF($B$3="(todos)",TRUE,'ORDENES'!$O946=$B$3),IF($D$3="(todos)",TRUE,'ORDENES'!$AH946=$D$3),IF($F$3="(todos)",TRUE,'ORDENES'!$Z946=$F$3),IF($H$3="(todos)",TRUE,'ORDENES'!$Y946=$H$3),'ORDENES'!$AF946=TRUE,'ORDENES'!$A946&lt;&gt;""),1,0)</f>
        <v/>
      </c>
      <c r="L950" s="5">
        <f>IF(K950=1,IFERROR(MATCH('ORDENES'!$S946,lista_dias,0),9)*1000000000+IFERROR(MATCH('ORDENES'!$AH946,lista_turnos,0),9)*10000000+IFERROR(MATCH('ORDENES'!$AG946,'TECNICOS'!$B$4:$B$19,0),99)*100000+943,9000000000000+943)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2">
        <f>IF(K950=1,'ORDENES'!$J946,"")</f>
        <v/>
      </c>
    </row>
    <row r="951">
      <c r="K951" s="5">
        <f>IF(AND(IF($B$3="(todos)",TRUE,'ORDENES'!$O947=$B$3),IF($D$3="(todos)",TRUE,'ORDENES'!$AH947=$D$3),IF($F$3="(todos)",TRUE,'ORDENES'!$Z947=$F$3),IF($H$3="(todos)",TRUE,'ORDENES'!$Y947=$H$3),'ORDENES'!$AF947=TRUE,'ORDENES'!$A947&lt;&gt;""),1,0)</f>
        <v/>
      </c>
      <c r="L951" s="5">
        <f>IF(K951=1,IFERROR(MATCH('ORDENES'!$S947,lista_dias,0),9)*1000000000+IFERROR(MATCH('ORDENES'!$AH947,lista_turnos,0),9)*10000000+IFERROR(MATCH('ORDENES'!$AG947,'TECNICOS'!$B$4:$B$19,0),99)*100000+944,9000000000000+944)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2">
        <f>IF(K951=1,'ORDENES'!$J947,"")</f>
        <v/>
      </c>
    </row>
    <row r="952">
      <c r="K952" s="5">
        <f>IF(AND(IF($B$3="(todos)",TRUE,'ORDENES'!$O948=$B$3),IF($D$3="(todos)",TRUE,'ORDENES'!$AH948=$D$3),IF($F$3="(todos)",TRUE,'ORDENES'!$Z948=$F$3),IF($H$3="(todos)",TRUE,'ORDENES'!$Y948=$H$3),'ORDENES'!$AF948=TRUE,'ORDENES'!$A948&lt;&gt;""),1,0)</f>
        <v/>
      </c>
      <c r="L952" s="5">
        <f>IF(K952=1,IFERROR(MATCH('ORDENES'!$S948,lista_dias,0),9)*1000000000+IFERROR(MATCH('ORDENES'!$AH948,lista_turnos,0),9)*10000000+IFERROR(MATCH('ORDENES'!$AG948,'TECNICOS'!$B$4:$B$19,0),99)*100000+945,9000000000000+945)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2">
        <f>IF(K952=1,'ORDENES'!$J948,"")</f>
        <v/>
      </c>
    </row>
    <row r="953">
      <c r="K953" s="5">
        <f>IF(AND(IF($B$3="(todos)",TRUE,'ORDENES'!$O949=$B$3),IF($D$3="(todos)",TRUE,'ORDENES'!$AH949=$D$3),IF($F$3="(todos)",TRUE,'ORDENES'!$Z949=$F$3),IF($H$3="(todos)",TRUE,'ORDENES'!$Y949=$H$3),'ORDENES'!$AF949=TRUE,'ORDENES'!$A949&lt;&gt;""),1,0)</f>
        <v/>
      </c>
      <c r="L953" s="5">
        <f>IF(K953=1,IFERROR(MATCH('ORDENES'!$S949,lista_dias,0),9)*1000000000+IFERROR(MATCH('ORDENES'!$AH949,lista_turnos,0),9)*10000000+IFERROR(MATCH('ORDENES'!$AG949,'TECNICOS'!$B$4:$B$19,0),99)*100000+946,9000000000000+946)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2">
        <f>IF(K953=1,'ORDENES'!$J949,"")</f>
        <v/>
      </c>
    </row>
    <row r="954">
      <c r="K954" s="5">
        <f>IF(AND(IF($B$3="(todos)",TRUE,'ORDENES'!$O950=$B$3),IF($D$3="(todos)",TRUE,'ORDENES'!$AH950=$D$3),IF($F$3="(todos)",TRUE,'ORDENES'!$Z950=$F$3),IF($H$3="(todos)",TRUE,'ORDENES'!$Y950=$H$3),'ORDENES'!$AF950=TRUE,'ORDENES'!$A950&lt;&gt;""),1,0)</f>
        <v/>
      </c>
      <c r="L954" s="5">
        <f>IF(K954=1,IFERROR(MATCH('ORDENES'!$S950,lista_dias,0),9)*1000000000+IFERROR(MATCH('ORDENES'!$AH950,lista_turnos,0),9)*10000000+IFERROR(MATCH('ORDENES'!$AG950,'TECNICOS'!$B$4:$B$19,0),99)*100000+947,9000000000000+947)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2">
        <f>IF(K954=1,'ORDENES'!$J950,"")</f>
        <v/>
      </c>
    </row>
    <row r="955">
      <c r="K955" s="5">
        <f>IF(AND(IF($B$3="(todos)",TRUE,'ORDENES'!$O951=$B$3),IF($D$3="(todos)",TRUE,'ORDENES'!$AH951=$D$3),IF($F$3="(todos)",TRUE,'ORDENES'!$Z951=$F$3),IF($H$3="(todos)",TRUE,'ORDENES'!$Y951=$H$3),'ORDENES'!$AF951=TRUE,'ORDENES'!$A951&lt;&gt;""),1,0)</f>
        <v/>
      </c>
      <c r="L955" s="5">
        <f>IF(K955=1,IFERROR(MATCH('ORDENES'!$S951,lista_dias,0),9)*1000000000+IFERROR(MATCH('ORDENES'!$AH951,lista_turnos,0),9)*10000000+IFERROR(MATCH('ORDENES'!$AG951,'TECNICOS'!$B$4:$B$19,0),99)*100000+948,9000000000000+948)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2">
        <f>IF(K955=1,'ORDENES'!$J951,"")</f>
        <v/>
      </c>
    </row>
    <row r="956">
      <c r="K956" s="5">
        <f>IF(AND(IF($B$3="(todos)",TRUE,'ORDENES'!$O952=$B$3),IF($D$3="(todos)",TRUE,'ORDENES'!$AH952=$D$3),IF($F$3="(todos)",TRUE,'ORDENES'!$Z952=$F$3),IF($H$3="(todos)",TRUE,'ORDENES'!$Y952=$H$3),'ORDENES'!$AF952=TRUE,'ORDENES'!$A952&lt;&gt;""),1,0)</f>
        <v/>
      </c>
      <c r="L956" s="5">
        <f>IF(K956=1,IFERROR(MATCH('ORDENES'!$S952,lista_dias,0),9)*1000000000+IFERROR(MATCH('ORDENES'!$AH952,lista_turnos,0),9)*10000000+IFERROR(MATCH('ORDENES'!$AG952,'TECNICOS'!$B$4:$B$19,0),99)*100000+949,9000000000000+949)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2">
        <f>IF(K956=1,'ORDENES'!$J952,"")</f>
        <v/>
      </c>
    </row>
    <row r="957">
      <c r="K957" s="5">
        <f>IF(AND(IF($B$3="(todos)",TRUE,'ORDENES'!$O953=$B$3),IF($D$3="(todos)",TRUE,'ORDENES'!$AH953=$D$3),IF($F$3="(todos)",TRUE,'ORDENES'!$Z953=$F$3),IF($H$3="(todos)",TRUE,'ORDENES'!$Y953=$H$3),'ORDENES'!$AF953=TRUE,'ORDENES'!$A953&lt;&gt;""),1,0)</f>
        <v/>
      </c>
      <c r="L957" s="5">
        <f>IF(K957=1,IFERROR(MATCH('ORDENES'!$S953,lista_dias,0),9)*1000000000+IFERROR(MATCH('ORDENES'!$AH953,lista_turnos,0),9)*10000000+IFERROR(MATCH('ORDENES'!$AG953,'TECNICOS'!$B$4:$B$19,0),99)*100000+950,9000000000000+950)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2">
        <f>IF(K957=1,'ORDENES'!$J953,"")</f>
        <v/>
      </c>
    </row>
    <row r="958">
      <c r="K958" s="5">
        <f>IF(AND(IF($B$3="(todos)",TRUE,'ORDENES'!$O954=$B$3),IF($D$3="(todos)",TRUE,'ORDENES'!$AH954=$D$3),IF($F$3="(todos)",TRUE,'ORDENES'!$Z954=$F$3),IF($H$3="(todos)",TRUE,'ORDENES'!$Y954=$H$3),'ORDENES'!$AF954=TRUE,'ORDENES'!$A954&lt;&gt;""),1,0)</f>
        <v/>
      </c>
      <c r="L958" s="5">
        <f>IF(K958=1,IFERROR(MATCH('ORDENES'!$S954,lista_dias,0),9)*1000000000+IFERROR(MATCH('ORDENES'!$AH954,lista_turnos,0),9)*10000000+IFERROR(MATCH('ORDENES'!$AG954,'TECNICOS'!$B$4:$B$19,0),99)*100000+951,9000000000000+951)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2">
        <f>IF(K958=1,'ORDENES'!$J954,"")</f>
        <v/>
      </c>
    </row>
    <row r="959">
      <c r="K959" s="5">
        <f>IF(AND(IF($B$3="(todos)",TRUE,'ORDENES'!$O955=$B$3),IF($D$3="(todos)",TRUE,'ORDENES'!$AH955=$D$3),IF($F$3="(todos)",TRUE,'ORDENES'!$Z955=$F$3),IF($H$3="(todos)",TRUE,'ORDENES'!$Y955=$H$3),'ORDENES'!$AF955=TRUE,'ORDENES'!$A955&lt;&gt;""),1,0)</f>
        <v/>
      </c>
      <c r="L959" s="5">
        <f>IF(K959=1,IFERROR(MATCH('ORDENES'!$S955,lista_dias,0),9)*1000000000+IFERROR(MATCH('ORDENES'!$AH955,lista_turnos,0),9)*10000000+IFERROR(MATCH('ORDENES'!$AG955,'TECNICOS'!$B$4:$B$19,0),99)*100000+952,9000000000000+952)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2">
        <f>IF(K959=1,'ORDENES'!$J955,"")</f>
        <v/>
      </c>
    </row>
    <row r="960">
      <c r="K960" s="5">
        <f>IF(AND(IF($B$3="(todos)",TRUE,'ORDENES'!$O956=$B$3),IF($D$3="(todos)",TRUE,'ORDENES'!$AH956=$D$3),IF($F$3="(todos)",TRUE,'ORDENES'!$Z956=$F$3),IF($H$3="(todos)",TRUE,'ORDENES'!$Y956=$H$3),'ORDENES'!$AF956=TRUE,'ORDENES'!$A956&lt;&gt;""),1,0)</f>
        <v/>
      </c>
      <c r="L960" s="5">
        <f>IF(K960=1,IFERROR(MATCH('ORDENES'!$S956,lista_dias,0),9)*1000000000+IFERROR(MATCH('ORDENES'!$AH956,lista_turnos,0),9)*10000000+IFERROR(MATCH('ORDENES'!$AG956,'TECNICOS'!$B$4:$B$19,0),99)*100000+953,9000000000000+953)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2">
        <f>IF(K960=1,'ORDENES'!$J956,"")</f>
        <v/>
      </c>
    </row>
    <row r="961">
      <c r="K961" s="5">
        <f>IF(AND(IF($B$3="(todos)",TRUE,'ORDENES'!$O957=$B$3),IF($D$3="(todos)",TRUE,'ORDENES'!$AH957=$D$3),IF($F$3="(todos)",TRUE,'ORDENES'!$Z957=$F$3),IF($H$3="(todos)",TRUE,'ORDENES'!$Y957=$H$3),'ORDENES'!$AF957=TRUE,'ORDENES'!$A957&lt;&gt;""),1,0)</f>
        <v/>
      </c>
      <c r="L961" s="5">
        <f>IF(K961=1,IFERROR(MATCH('ORDENES'!$S957,lista_dias,0),9)*1000000000+IFERROR(MATCH('ORDENES'!$AH957,lista_turnos,0),9)*10000000+IFERROR(MATCH('ORDENES'!$AG957,'TECNICOS'!$B$4:$B$19,0),99)*100000+954,9000000000000+954)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2">
        <f>IF(K961=1,'ORDENES'!$J957,"")</f>
        <v/>
      </c>
    </row>
    <row r="962">
      <c r="K962" s="5">
        <f>IF(AND(IF($B$3="(todos)",TRUE,'ORDENES'!$O958=$B$3),IF($D$3="(todos)",TRUE,'ORDENES'!$AH958=$D$3),IF($F$3="(todos)",TRUE,'ORDENES'!$Z958=$F$3),IF($H$3="(todos)",TRUE,'ORDENES'!$Y958=$H$3),'ORDENES'!$AF958=TRUE,'ORDENES'!$A958&lt;&gt;""),1,0)</f>
        <v/>
      </c>
      <c r="L962" s="5">
        <f>IF(K962=1,IFERROR(MATCH('ORDENES'!$S958,lista_dias,0),9)*1000000000+IFERROR(MATCH('ORDENES'!$AH958,lista_turnos,0),9)*10000000+IFERROR(MATCH('ORDENES'!$AG958,'TECNICOS'!$B$4:$B$19,0),99)*100000+955,9000000000000+955)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2">
        <f>IF(K962=1,'ORDENES'!$J958,"")</f>
        <v/>
      </c>
    </row>
    <row r="963">
      <c r="K963" s="5">
        <f>IF(AND(IF($B$3="(todos)",TRUE,'ORDENES'!$O959=$B$3),IF($D$3="(todos)",TRUE,'ORDENES'!$AH959=$D$3),IF($F$3="(todos)",TRUE,'ORDENES'!$Z959=$F$3),IF($H$3="(todos)",TRUE,'ORDENES'!$Y959=$H$3),'ORDENES'!$AF959=TRUE,'ORDENES'!$A959&lt;&gt;""),1,0)</f>
        <v/>
      </c>
      <c r="L963" s="5">
        <f>IF(K963=1,IFERROR(MATCH('ORDENES'!$S959,lista_dias,0),9)*1000000000+IFERROR(MATCH('ORDENES'!$AH959,lista_turnos,0),9)*10000000+IFERROR(MATCH('ORDENES'!$AG959,'TECNICOS'!$B$4:$B$19,0),99)*100000+956,9000000000000+956)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2">
        <f>IF(K963=1,'ORDENES'!$J959,"")</f>
        <v/>
      </c>
    </row>
    <row r="964">
      <c r="K964" s="5">
        <f>IF(AND(IF($B$3="(todos)",TRUE,'ORDENES'!$O960=$B$3),IF($D$3="(todos)",TRUE,'ORDENES'!$AH960=$D$3),IF($F$3="(todos)",TRUE,'ORDENES'!$Z960=$F$3),IF($H$3="(todos)",TRUE,'ORDENES'!$Y960=$H$3),'ORDENES'!$AF960=TRUE,'ORDENES'!$A960&lt;&gt;""),1,0)</f>
        <v/>
      </c>
      <c r="L964" s="5">
        <f>IF(K964=1,IFERROR(MATCH('ORDENES'!$S960,lista_dias,0),9)*1000000000+IFERROR(MATCH('ORDENES'!$AH960,lista_turnos,0),9)*10000000+IFERROR(MATCH('ORDENES'!$AG960,'TECNICOS'!$B$4:$B$19,0),99)*100000+957,9000000000000+957)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2">
        <f>IF(K964=1,'ORDENES'!$J960,"")</f>
        <v/>
      </c>
    </row>
    <row r="965">
      <c r="K965" s="5">
        <f>IF(AND(IF($B$3="(todos)",TRUE,'ORDENES'!$O961=$B$3),IF($D$3="(todos)",TRUE,'ORDENES'!$AH961=$D$3),IF($F$3="(todos)",TRUE,'ORDENES'!$Z961=$F$3),IF($H$3="(todos)",TRUE,'ORDENES'!$Y961=$H$3),'ORDENES'!$AF961=TRUE,'ORDENES'!$A961&lt;&gt;""),1,0)</f>
        <v/>
      </c>
      <c r="L965" s="5">
        <f>IF(K965=1,IFERROR(MATCH('ORDENES'!$S961,lista_dias,0),9)*1000000000+IFERROR(MATCH('ORDENES'!$AH961,lista_turnos,0),9)*10000000+IFERROR(MATCH('ORDENES'!$AG961,'TECNICOS'!$B$4:$B$19,0),99)*100000+958,9000000000000+958)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2">
        <f>IF(K965=1,'ORDENES'!$J961,"")</f>
        <v/>
      </c>
    </row>
    <row r="966">
      <c r="K966" s="5">
        <f>IF(AND(IF($B$3="(todos)",TRUE,'ORDENES'!$O962=$B$3),IF($D$3="(todos)",TRUE,'ORDENES'!$AH962=$D$3),IF($F$3="(todos)",TRUE,'ORDENES'!$Z962=$F$3),IF($H$3="(todos)",TRUE,'ORDENES'!$Y962=$H$3),'ORDENES'!$AF962=TRUE,'ORDENES'!$A962&lt;&gt;""),1,0)</f>
        <v/>
      </c>
      <c r="L966" s="5">
        <f>IF(K966=1,IFERROR(MATCH('ORDENES'!$S962,lista_dias,0),9)*1000000000+IFERROR(MATCH('ORDENES'!$AH962,lista_turnos,0),9)*10000000+IFERROR(MATCH('ORDENES'!$AG962,'TECNICOS'!$B$4:$B$19,0),99)*100000+959,9000000000000+959)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2">
        <f>IF(K966=1,'ORDENES'!$J962,"")</f>
        <v/>
      </c>
    </row>
    <row r="967">
      <c r="K967" s="5">
        <f>IF(AND(IF($B$3="(todos)",TRUE,'ORDENES'!$O963=$B$3),IF($D$3="(todos)",TRUE,'ORDENES'!$AH963=$D$3),IF($F$3="(todos)",TRUE,'ORDENES'!$Z963=$F$3),IF($H$3="(todos)",TRUE,'ORDENES'!$Y963=$H$3),'ORDENES'!$AF963=TRUE,'ORDENES'!$A963&lt;&gt;""),1,0)</f>
        <v/>
      </c>
      <c r="L967" s="5">
        <f>IF(K967=1,IFERROR(MATCH('ORDENES'!$S963,lista_dias,0),9)*1000000000+IFERROR(MATCH('ORDENES'!$AH963,lista_turnos,0),9)*10000000+IFERROR(MATCH('ORDENES'!$AG963,'TECNICOS'!$B$4:$B$19,0),99)*100000+960,9000000000000+960)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2">
        <f>IF(K967=1,'ORDENES'!$J963,"")</f>
        <v/>
      </c>
    </row>
    <row r="968">
      <c r="K968" s="5">
        <f>IF(AND(IF($B$3="(todos)",TRUE,'ORDENES'!$O964=$B$3),IF($D$3="(todos)",TRUE,'ORDENES'!$AH964=$D$3),IF($F$3="(todos)",TRUE,'ORDENES'!$Z964=$F$3),IF($H$3="(todos)",TRUE,'ORDENES'!$Y964=$H$3),'ORDENES'!$AF964=TRUE,'ORDENES'!$A964&lt;&gt;""),1,0)</f>
        <v/>
      </c>
      <c r="L968" s="5">
        <f>IF(K968=1,IFERROR(MATCH('ORDENES'!$S964,lista_dias,0),9)*1000000000+IFERROR(MATCH('ORDENES'!$AH964,lista_turnos,0),9)*10000000+IFERROR(MATCH('ORDENES'!$AG964,'TECNICOS'!$B$4:$B$19,0),99)*100000+961,9000000000000+961)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2">
        <f>IF(K968=1,'ORDENES'!$J964,"")</f>
        <v/>
      </c>
    </row>
    <row r="969">
      <c r="K969" s="5">
        <f>IF(AND(IF($B$3="(todos)",TRUE,'ORDENES'!$O965=$B$3),IF($D$3="(todos)",TRUE,'ORDENES'!$AH965=$D$3),IF($F$3="(todos)",TRUE,'ORDENES'!$Z965=$F$3),IF($H$3="(todos)",TRUE,'ORDENES'!$Y965=$H$3),'ORDENES'!$AF965=TRUE,'ORDENES'!$A965&lt;&gt;""),1,0)</f>
        <v/>
      </c>
      <c r="L969" s="5">
        <f>IF(K969=1,IFERROR(MATCH('ORDENES'!$S965,lista_dias,0),9)*1000000000+IFERROR(MATCH('ORDENES'!$AH965,lista_turnos,0),9)*10000000+IFERROR(MATCH('ORDENES'!$AG965,'TECNICOS'!$B$4:$B$19,0),99)*100000+962,9000000000000+962)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2">
        <f>IF(K969=1,'ORDENES'!$J965,"")</f>
        <v/>
      </c>
    </row>
    <row r="970">
      <c r="K970" s="5">
        <f>IF(AND(IF($B$3="(todos)",TRUE,'ORDENES'!$O966=$B$3),IF($D$3="(todos)",TRUE,'ORDENES'!$AH966=$D$3),IF($F$3="(todos)",TRUE,'ORDENES'!$Z966=$F$3),IF($H$3="(todos)",TRUE,'ORDENES'!$Y966=$H$3),'ORDENES'!$AF966=TRUE,'ORDENES'!$A966&lt;&gt;""),1,0)</f>
        <v/>
      </c>
      <c r="L970" s="5">
        <f>IF(K970=1,IFERROR(MATCH('ORDENES'!$S966,lista_dias,0),9)*1000000000+IFERROR(MATCH('ORDENES'!$AH966,lista_turnos,0),9)*10000000+IFERROR(MATCH('ORDENES'!$AG966,'TECNICOS'!$B$4:$B$19,0),99)*100000+963,9000000000000+963)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2">
        <f>IF(K970=1,'ORDENES'!$J966,"")</f>
        <v/>
      </c>
    </row>
    <row r="971">
      <c r="K971" s="5">
        <f>IF(AND(IF($B$3="(todos)",TRUE,'ORDENES'!$O967=$B$3),IF($D$3="(todos)",TRUE,'ORDENES'!$AH967=$D$3),IF($F$3="(todos)",TRUE,'ORDENES'!$Z967=$F$3),IF($H$3="(todos)",TRUE,'ORDENES'!$Y967=$H$3),'ORDENES'!$AF967=TRUE,'ORDENES'!$A967&lt;&gt;""),1,0)</f>
        <v/>
      </c>
      <c r="L971" s="5">
        <f>IF(K971=1,IFERROR(MATCH('ORDENES'!$S967,lista_dias,0),9)*1000000000+IFERROR(MATCH('ORDENES'!$AH967,lista_turnos,0),9)*10000000+IFERROR(MATCH('ORDENES'!$AG967,'TECNICOS'!$B$4:$B$19,0),99)*100000+964,9000000000000+964)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2">
        <f>IF(K971=1,'ORDENES'!$J967,"")</f>
        <v/>
      </c>
    </row>
    <row r="972">
      <c r="K972" s="5">
        <f>IF(AND(IF($B$3="(todos)",TRUE,'ORDENES'!$O968=$B$3),IF($D$3="(todos)",TRUE,'ORDENES'!$AH968=$D$3),IF($F$3="(todos)",TRUE,'ORDENES'!$Z968=$F$3),IF($H$3="(todos)",TRUE,'ORDENES'!$Y968=$H$3),'ORDENES'!$AF968=TRUE,'ORDENES'!$A968&lt;&gt;""),1,0)</f>
        <v/>
      </c>
      <c r="L972" s="5">
        <f>IF(K972=1,IFERROR(MATCH('ORDENES'!$S968,lista_dias,0),9)*1000000000+IFERROR(MATCH('ORDENES'!$AH968,lista_turnos,0),9)*10000000+IFERROR(MATCH('ORDENES'!$AG968,'TECNICOS'!$B$4:$B$19,0),99)*100000+965,9000000000000+965)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2">
        <f>IF(K972=1,'ORDENES'!$J968,"")</f>
        <v/>
      </c>
    </row>
    <row r="973">
      <c r="K973" s="5">
        <f>IF(AND(IF($B$3="(todos)",TRUE,'ORDENES'!$O969=$B$3),IF($D$3="(todos)",TRUE,'ORDENES'!$AH969=$D$3),IF($F$3="(todos)",TRUE,'ORDENES'!$Z969=$F$3),IF($H$3="(todos)",TRUE,'ORDENES'!$Y969=$H$3),'ORDENES'!$AF969=TRUE,'ORDENES'!$A969&lt;&gt;""),1,0)</f>
        <v/>
      </c>
      <c r="L973" s="5">
        <f>IF(K973=1,IFERROR(MATCH('ORDENES'!$S969,lista_dias,0),9)*1000000000+IFERROR(MATCH('ORDENES'!$AH969,lista_turnos,0),9)*10000000+IFERROR(MATCH('ORDENES'!$AG969,'TECNICOS'!$B$4:$B$19,0),99)*100000+966,9000000000000+966)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2">
        <f>IF(K973=1,'ORDENES'!$J969,"")</f>
        <v/>
      </c>
    </row>
    <row r="974">
      <c r="K974" s="5">
        <f>IF(AND(IF($B$3="(todos)",TRUE,'ORDENES'!$O970=$B$3),IF($D$3="(todos)",TRUE,'ORDENES'!$AH970=$D$3),IF($F$3="(todos)",TRUE,'ORDENES'!$Z970=$F$3),IF($H$3="(todos)",TRUE,'ORDENES'!$Y970=$H$3),'ORDENES'!$AF970=TRUE,'ORDENES'!$A970&lt;&gt;""),1,0)</f>
        <v/>
      </c>
      <c r="L974" s="5">
        <f>IF(K974=1,IFERROR(MATCH('ORDENES'!$S970,lista_dias,0),9)*1000000000+IFERROR(MATCH('ORDENES'!$AH970,lista_turnos,0),9)*10000000+IFERROR(MATCH('ORDENES'!$AG970,'TECNICOS'!$B$4:$B$19,0),99)*100000+967,9000000000000+967)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2">
        <f>IF(K974=1,'ORDENES'!$J970,"")</f>
        <v/>
      </c>
    </row>
    <row r="975">
      <c r="K975" s="5">
        <f>IF(AND(IF($B$3="(todos)",TRUE,'ORDENES'!$O971=$B$3),IF($D$3="(todos)",TRUE,'ORDENES'!$AH971=$D$3),IF($F$3="(todos)",TRUE,'ORDENES'!$Z971=$F$3),IF($H$3="(todos)",TRUE,'ORDENES'!$Y971=$H$3),'ORDENES'!$AF971=TRUE,'ORDENES'!$A971&lt;&gt;""),1,0)</f>
        <v/>
      </c>
      <c r="L975" s="5">
        <f>IF(K975=1,IFERROR(MATCH('ORDENES'!$S971,lista_dias,0),9)*1000000000+IFERROR(MATCH('ORDENES'!$AH971,lista_turnos,0),9)*10000000+IFERROR(MATCH('ORDENES'!$AG971,'TECNICOS'!$B$4:$B$19,0),99)*100000+968,9000000000000+968)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2">
        <f>IF(K975=1,'ORDENES'!$J971,"")</f>
        <v/>
      </c>
    </row>
    <row r="976">
      <c r="K976" s="5">
        <f>IF(AND(IF($B$3="(todos)",TRUE,'ORDENES'!$O972=$B$3),IF($D$3="(todos)",TRUE,'ORDENES'!$AH972=$D$3),IF($F$3="(todos)",TRUE,'ORDENES'!$Z972=$F$3),IF($H$3="(todos)",TRUE,'ORDENES'!$Y972=$H$3),'ORDENES'!$AF972=TRUE,'ORDENES'!$A972&lt;&gt;""),1,0)</f>
        <v/>
      </c>
      <c r="L976" s="5">
        <f>IF(K976=1,IFERROR(MATCH('ORDENES'!$S972,lista_dias,0),9)*1000000000+IFERROR(MATCH('ORDENES'!$AH972,lista_turnos,0),9)*10000000+IFERROR(MATCH('ORDENES'!$AG972,'TECNICOS'!$B$4:$B$19,0),99)*100000+969,9000000000000+969)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2">
        <f>IF(K976=1,'ORDENES'!$J972,"")</f>
        <v/>
      </c>
    </row>
    <row r="977">
      <c r="K977" s="5">
        <f>IF(AND(IF($B$3="(todos)",TRUE,'ORDENES'!$O973=$B$3),IF($D$3="(todos)",TRUE,'ORDENES'!$AH973=$D$3),IF($F$3="(todos)",TRUE,'ORDENES'!$Z973=$F$3),IF($H$3="(todos)",TRUE,'ORDENES'!$Y973=$H$3),'ORDENES'!$AF973=TRUE,'ORDENES'!$A973&lt;&gt;""),1,0)</f>
        <v/>
      </c>
      <c r="L977" s="5">
        <f>IF(K977=1,IFERROR(MATCH('ORDENES'!$S973,lista_dias,0),9)*1000000000+IFERROR(MATCH('ORDENES'!$AH973,lista_turnos,0),9)*10000000+IFERROR(MATCH('ORDENES'!$AG973,'TECNICOS'!$B$4:$B$19,0),99)*100000+970,9000000000000+970)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2">
        <f>IF(K977=1,'ORDENES'!$J973,"")</f>
        <v/>
      </c>
    </row>
    <row r="978">
      <c r="K978" s="5">
        <f>IF(AND(IF($B$3="(todos)",TRUE,'ORDENES'!$O974=$B$3),IF($D$3="(todos)",TRUE,'ORDENES'!$AH974=$D$3),IF($F$3="(todos)",TRUE,'ORDENES'!$Z974=$F$3),IF($H$3="(todos)",TRUE,'ORDENES'!$Y974=$H$3),'ORDENES'!$AF974=TRUE,'ORDENES'!$A974&lt;&gt;""),1,0)</f>
        <v/>
      </c>
      <c r="L978" s="5">
        <f>IF(K978=1,IFERROR(MATCH('ORDENES'!$S974,lista_dias,0),9)*1000000000+IFERROR(MATCH('ORDENES'!$AH974,lista_turnos,0),9)*10000000+IFERROR(MATCH('ORDENES'!$AG974,'TECNICOS'!$B$4:$B$19,0),99)*100000+971,9000000000000+971)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2">
        <f>IF(K978=1,'ORDENES'!$J974,"")</f>
        <v/>
      </c>
    </row>
    <row r="979">
      <c r="K979" s="5">
        <f>IF(AND(IF($B$3="(todos)",TRUE,'ORDENES'!$O975=$B$3),IF($D$3="(todos)",TRUE,'ORDENES'!$AH975=$D$3),IF($F$3="(todos)",TRUE,'ORDENES'!$Z975=$F$3),IF($H$3="(todos)",TRUE,'ORDENES'!$Y975=$H$3),'ORDENES'!$AF975=TRUE,'ORDENES'!$A975&lt;&gt;""),1,0)</f>
        <v/>
      </c>
      <c r="L979" s="5">
        <f>IF(K979=1,IFERROR(MATCH('ORDENES'!$S975,lista_dias,0),9)*1000000000+IFERROR(MATCH('ORDENES'!$AH975,lista_turnos,0),9)*10000000+IFERROR(MATCH('ORDENES'!$AG975,'TECNICOS'!$B$4:$B$19,0),99)*100000+972,9000000000000+972)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2">
        <f>IF(K979=1,'ORDENES'!$J975,"")</f>
        <v/>
      </c>
    </row>
    <row r="980">
      <c r="K980" s="5">
        <f>IF(AND(IF($B$3="(todos)",TRUE,'ORDENES'!$O976=$B$3),IF($D$3="(todos)",TRUE,'ORDENES'!$AH976=$D$3),IF($F$3="(todos)",TRUE,'ORDENES'!$Z976=$F$3),IF($H$3="(todos)",TRUE,'ORDENES'!$Y976=$H$3),'ORDENES'!$AF976=TRUE,'ORDENES'!$A976&lt;&gt;""),1,0)</f>
        <v/>
      </c>
      <c r="L980" s="5">
        <f>IF(K980=1,IFERROR(MATCH('ORDENES'!$S976,lista_dias,0),9)*1000000000+IFERROR(MATCH('ORDENES'!$AH976,lista_turnos,0),9)*10000000+IFERROR(MATCH('ORDENES'!$AG976,'TECNICOS'!$B$4:$B$19,0),99)*100000+973,9000000000000+973)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2">
        <f>IF(K980=1,'ORDENES'!$J976,"")</f>
        <v/>
      </c>
    </row>
    <row r="981">
      <c r="K981" s="5">
        <f>IF(AND(IF($B$3="(todos)",TRUE,'ORDENES'!$O977=$B$3),IF($D$3="(todos)",TRUE,'ORDENES'!$AH977=$D$3),IF($F$3="(todos)",TRUE,'ORDENES'!$Z977=$F$3),IF($H$3="(todos)",TRUE,'ORDENES'!$Y977=$H$3),'ORDENES'!$AF977=TRUE,'ORDENES'!$A977&lt;&gt;""),1,0)</f>
        <v/>
      </c>
      <c r="L981" s="5">
        <f>IF(K981=1,IFERROR(MATCH('ORDENES'!$S977,lista_dias,0),9)*1000000000+IFERROR(MATCH('ORDENES'!$AH977,lista_turnos,0),9)*10000000+IFERROR(MATCH('ORDENES'!$AG977,'TECNICOS'!$B$4:$B$19,0),99)*100000+974,9000000000000+974)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2">
        <f>IF(K981=1,'ORDENES'!$J977,"")</f>
        <v/>
      </c>
    </row>
    <row r="982">
      <c r="K982" s="5">
        <f>IF(AND(IF($B$3="(todos)",TRUE,'ORDENES'!$O978=$B$3),IF($D$3="(todos)",TRUE,'ORDENES'!$AH978=$D$3),IF($F$3="(todos)",TRUE,'ORDENES'!$Z978=$F$3),IF($H$3="(todos)",TRUE,'ORDENES'!$Y978=$H$3),'ORDENES'!$AF978=TRUE,'ORDENES'!$A978&lt;&gt;""),1,0)</f>
        <v/>
      </c>
      <c r="L982" s="5">
        <f>IF(K982=1,IFERROR(MATCH('ORDENES'!$S978,lista_dias,0),9)*1000000000+IFERROR(MATCH('ORDENES'!$AH978,lista_turnos,0),9)*10000000+IFERROR(MATCH('ORDENES'!$AG978,'TECNICOS'!$B$4:$B$19,0),99)*100000+975,9000000000000+975)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2">
        <f>IF(K982=1,'ORDENES'!$J978,"")</f>
        <v/>
      </c>
    </row>
    <row r="983">
      <c r="K983" s="5">
        <f>IF(AND(IF($B$3="(todos)",TRUE,'ORDENES'!$O979=$B$3),IF($D$3="(todos)",TRUE,'ORDENES'!$AH979=$D$3),IF($F$3="(todos)",TRUE,'ORDENES'!$Z979=$F$3),IF($H$3="(todos)",TRUE,'ORDENES'!$Y979=$H$3),'ORDENES'!$AF979=TRUE,'ORDENES'!$A979&lt;&gt;""),1,0)</f>
        <v/>
      </c>
      <c r="L983" s="5">
        <f>IF(K983=1,IFERROR(MATCH('ORDENES'!$S979,lista_dias,0),9)*1000000000+IFERROR(MATCH('ORDENES'!$AH979,lista_turnos,0),9)*10000000+IFERROR(MATCH('ORDENES'!$AG979,'TECNICOS'!$B$4:$B$19,0),99)*100000+976,9000000000000+976)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2">
        <f>IF(K983=1,'ORDENES'!$J979,"")</f>
        <v/>
      </c>
    </row>
    <row r="984">
      <c r="K984" s="5">
        <f>IF(AND(IF($B$3="(todos)",TRUE,'ORDENES'!$O980=$B$3),IF($D$3="(todos)",TRUE,'ORDENES'!$AH980=$D$3),IF($F$3="(todos)",TRUE,'ORDENES'!$Z980=$F$3),IF($H$3="(todos)",TRUE,'ORDENES'!$Y980=$H$3),'ORDENES'!$AF980=TRUE,'ORDENES'!$A980&lt;&gt;""),1,0)</f>
        <v/>
      </c>
      <c r="L984" s="5">
        <f>IF(K984=1,IFERROR(MATCH('ORDENES'!$S980,lista_dias,0),9)*1000000000+IFERROR(MATCH('ORDENES'!$AH980,lista_turnos,0),9)*10000000+IFERROR(MATCH('ORDENES'!$AG980,'TECNICOS'!$B$4:$B$19,0),99)*100000+977,9000000000000+977)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2">
        <f>IF(K984=1,'ORDENES'!$J980,"")</f>
        <v/>
      </c>
    </row>
    <row r="985">
      <c r="K985" s="5">
        <f>IF(AND(IF($B$3="(todos)",TRUE,'ORDENES'!$O981=$B$3),IF($D$3="(todos)",TRUE,'ORDENES'!$AH981=$D$3),IF($F$3="(todos)",TRUE,'ORDENES'!$Z981=$F$3),IF($H$3="(todos)",TRUE,'ORDENES'!$Y981=$H$3),'ORDENES'!$AF981=TRUE,'ORDENES'!$A981&lt;&gt;""),1,0)</f>
        <v/>
      </c>
      <c r="L985" s="5">
        <f>IF(K985=1,IFERROR(MATCH('ORDENES'!$S981,lista_dias,0),9)*1000000000+IFERROR(MATCH('ORDENES'!$AH981,lista_turnos,0),9)*10000000+IFERROR(MATCH('ORDENES'!$AG981,'TECNICOS'!$B$4:$B$19,0),99)*100000+978,9000000000000+978)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2">
        <f>IF(K985=1,'ORDENES'!$J981,"")</f>
        <v/>
      </c>
    </row>
    <row r="986">
      <c r="K986" s="5">
        <f>IF(AND(IF($B$3="(todos)",TRUE,'ORDENES'!$O982=$B$3),IF($D$3="(todos)",TRUE,'ORDENES'!$AH982=$D$3),IF($F$3="(todos)",TRUE,'ORDENES'!$Z982=$F$3),IF($H$3="(todos)",TRUE,'ORDENES'!$Y982=$H$3),'ORDENES'!$AF982=TRUE,'ORDENES'!$A982&lt;&gt;""),1,0)</f>
        <v/>
      </c>
      <c r="L986" s="5">
        <f>IF(K986=1,IFERROR(MATCH('ORDENES'!$S982,lista_dias,0),9)*1000000000+IFERROR(MATCH('ORDENES'!$AH982,lista_turnos,0),9)*10000000+IFERROR(MATCH('ORDENES'!$AG982,'TECNICOS'!$B$4:$B$19,0),99)*100000+979,9000000000000+979)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2">
        <f>IF(K986=1,'ORDENES'!$J982,"")</f>
        <v/>
      </c>
    </row>
    <row r="987">
      <c r="K987" s="5">
        <f>IF(AND(IF($B$3="(todos)",TRUE,'ORDENES'!$O983=$B$3),IF($D$3="(todos)",TRUE,'ORDENES'!$AH983=$D$3),IF($F$3="(todos)",TRUE,'ORDENES'!$Z983=$F$3),IF($H$3="(todos)",TRUE,'ORDENES'!$Y983=$H$3),'ORDENES'!$AF983=TRUE,'ORDENES'!$A983&lt;&gt;""),1,0)</f>
        <v/>
      </c>
      <c r="L987" s="5">
        <f>IF(K987=1,IFERROR(MATCH('ORDENES'!$S983,lista_dias,0),9)*1000000000+IFERROR(MATCH('ORDENES'!$AH983,lista_turnos,0),9)*10000000+IFERROR(MATCH('ORDENES'!$AG983,'TECNICOS'!$B$4:$B$19,0),99)*100000+980,9000000000000+980)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2">
        <f>IF(K987=1,'ORDENES'!$J983,"")</f>
        <v/>
      </c>
    </row>
    <row r="988">
      <c r="K988" s="5">
        <f>IF(AND(IF($B$3="(todos)",TRUE,'ORDENES'!$O984=$B$3),IF($D$3="(todos)",TRUE,'ORDENES'!$AH984=$D$3),IF($F$3="(todos)",TRUE,'ORDENES'!$Z984=$F$3),IF($H$3="(todos)",TRUE,'ORDENES'!$Y984=$H$3),'ORDENES'!$AF984=TRUE,'ORDENES'!$A984&lt;&gt;""),1,0)</f>
        <v/>
      </c>
      <c r="L988" s="5">
        <f>IF(K988=1,IFERROR(MATCH('ORDENES'!$S984,lista_dias,0),9)*1000000000+IFERROR(MATCH('ORDENES'!$AH984,lista_turnos,0),9)*10000000+IFERROR(MATCH('ORDENES'!$AG984,'TECNICOS'!$B$4:$B$19,0),99)*100000+981,9000000000000+981)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2">
        <f>IF(K988=1,'ORDENES'!$J984,"")</f>
        <v/>
      </c>
    </row>
    <row r="989">
      <c r="K989" s="5">
        <f>IF(AND(IF($B$3="(todos)",TRUE,'ORDENES'!$O985=$B$3),IF($D$3="(todos)",TRUE,'ORDENES'!$AH985=$D$3),IF($F$3="(todos)",TRUE,'ORDENES'!$Z985=$F$3),IF($H$3="(todos)",TRUE,'ORDENES'!$Y985=$H$3),'ORDENES'!$AF985=TRUE,'ORDENES'!$A985&lt;&gt;""),1,0)</f>
        <v/>
      </c>
      <c r="L989" s="5">
        <f>IF(K989=1,IFERROR(MATCH('ORDENES'!$S985,lista_dias,0),9)*1000000000+IFERROR(MATCH('ORDENES'!$AH985,lista_turnos,0),9)*10000000+IFERROR(MATCH('ORDENES'!$AG985,'TECNICOS'!$B$4:$B$19,0),99)*100000+982,9000000000000+982)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2">
        <f>IF(K989=1,'ORDENES'!$J985,"")</f>
        <v/>
      </c>
    </row>
    <row r="990">
      <c r="K990" s="5">
        <f>IF(AND(IF($B$3="(todos)",TRUE,'ORDENES'!$O986=$B$3),IF($D$3="(todos)",TRUE,'ORDENES'!$AH986=$D$3),IF($F$3="(todos)",TRUE,'ORDENES'!$Z986=$F$3),IF($H$3="(todos)",TRUE,'ORDENES'!$Y986=$H$3),'ORDENES'!$AF986=TRUE,'ORDENES'!$A986&lt;&gt;""),1,0)</f>
        <v/>
      </c>
      <c r="L990" s="5">
        <f>IF(K990=1,IFERROR(MATCH('ORDENES'!$S986,lista_dias,0),9)*1000000000+IFERROR(MATCH('ORDENES'!$AH986,lista_turnos,0),9)*10000000+IFERROR(MATCH('ORDENES'!$AG986,'TECNICOS'!$B$4:$B$19,0),99)*100000+983,9000000000000+983)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2">
        <f>IF(K990=1,'ORDENES'!$J986,"")</f>
        <v/>
      </c>
    </row>
    <row r="991">
      <c r="K991" s="5">
        <f>IF(AND(IF($B$3="(todos)",TRUE,'ORDENES'!$O987=$B$3),IF($D$3="(todos)",TRUE,'ORDENES'!$AH987=$D$3),IF($F$3="(todos)",TRUE,'ORDENES'!$Z987=$F$3),IF($H$3="(todos)",TRUE,'ORDENES'!$Y987=$H$3),'ORDENES'!$AF987=TRUE,'ORDENES'!$A987&lt;&gt;""),1,0)</f>
        <v/>
      </c>
      <c r="L991" s="5">
        <f>IF(K991=1,IFERROR(MATCH('ORDENES'!$S987,lista_dias,0),9)*1000000000+IFERROR(MATCH('ORDENES'!$AH987,lista_turnos,0),9)*10000000+IFERROR(MATCH('ORDENES'!$AG987,'TECNICOS'!$B$4:$B$19,0),99)*100000+984,9000000000000+984)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2">
        <f>IF(K991=1,'ORDENES'!$J987,"")</f>
        <v/>
      </c>
    </row>
    <row r="992">
      <c r="K992" s="5">
        <f>IF(AND(IF($B$3="(todos)",TRUE,'ORDENES'!$O988=$B$3),IF($D$3="(todos)",TRUE,'ORDENES'!$AH988=$D$3),IF($F$3="(todos)",TRUE,'ORDENES'!$Z988=$F$3),IF($H$3="(todos)",TRUE,'ORDENES'!$Y988=$H$3),'ORDENES'!$AF988=TRUE,'ORDENES'!$A988&lt;&gt;""),1,0)</f>
        <v/>
      </c>
      <c r="L992" s="5">
        <f>IF(K992=1,IFERROR(MATCH('ORDENES'!$S988,lista_dias,0),9)*1000000000+IFERROR(MATCH('ORDENES'!$AH988,lista_turnos,0),9)*10000000+IFERROR(MATCH('ORDENES'!$AG988,'TECNICOS'!$B$4:$B$19,0),99)*100000+985,9000000000000+985)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2">
        <f>IF(K992=1,'ORDENES'!$J988,"")</f>
        <v/>
      </c>
    </row>
    <row r="993">
      <c r="K993" s="5">
        <f>IF(AND(IF($B$3="(todos)",TRUE,'ORDENES'!$O989=$B$3),IF($D$3="(todos)",TRUE,'ORDENES'!$AH989=$D$3),IF($F$3="(todos)",TRUE,'ORDENES'!$Z989=$F$3),IF($H$3="(todos)",TRUE,'ORDENES'!$Y989=$H$3),'ORDENES'!$AF989=TRUE,'ORDENES'!$A989&lt;&gt;""),1,0)</f>
        <v/>
      </c>
      <c r="L993" s="5">
        <f>IF(K993=1,IFERROR(MATCH('ORDENES'!$S989,lista_dias,0),9)*1000000000+IFERROR(MATCH('ORDENES'!$AH989,lista_turnos,0),9)*10000000+IFERROR(MATCH('ORDENES'!$AG989,'TECNICOS'!$B$4:$B$19,0),99)*100000+986,9000000000000+986)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2">
        <f>IF(K993=1,'ORDENES'!$J989,"")</f>
        <v/>
      </c>
    </row>
    <row r="994">
      <c r="K994" s="5">
        <f>IF(AND(IF($B$3="(todos)",TRUE,'ORDENES'!$O990=$B$3),IF($D$3="(todos)",TRUE,'ORDENES'!$AH990=$D$3),IF($F$3="(todos)",TRUE,'ORDENES'!$Z990=$F$3),IF($H$3="(todos)",TRUE,'ORDENES'!$Y990=$H$3),'ORDENES'!$AF990=TRUE,'ORDENES'!$A990&lt;&gt;""),1,0)</f>
        <v/>
      </c>
      <c r="L994" s="5">
        <f>IF(K994=1,IFERROR(MATCH('ORDENES'!$S990,lista_dias,0),9)*1000000000+IFERROR(MATCH('ORDENES'!$AH990,lista_turnos,0),9)*10000000+IFERROR(MATCH('ORDENES'!$AG990,'TECNICOS'!$B$4:$B$19,0),99)*100000+987,9000000000000+987)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2">
        <f>IF(K994=1,'ORDENES'!$J990,"")</f>
        <v/>
      </c>
    </row>
    <row r="995">
      <c r="K995" s="5">
        <f>IF(AND(IF($B$3="(todos)",TRUE,'ORDENES'!$O991=$B$3),IF($D$3="(todos)",TRUE,'ORDENES'!$AH991=$D$3),IF($F$3="(todos)",TRUE,'ORDENES'!$Z991=$F$3),IF($H$3="(todos)",TRUE,'ORDENES'!$Y991=$H$3),'ORDENES'!$AF991=TRUE,'ORDENES'!$A991&lt;&gt;""),1,0)</f>
        <v/>
      </c>
      <c r="L995" s="5">
        <f>IF(K995=1,IFERROR(MATCH('ORDENES'!$S991,lista_dias,0),9)*1000000000+IFERROR(MATCH('ORDENES'!$AH991,lista_turnos,0),9)*10000000+IFERROR(MATCH('ORDENES'!$AG991,'TECNICOS'!$B$4:$B$19,0),99)*100000+988,9000000000000+988)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2">
        <f>IF(K995=1,'ORDENES'!$J991,"")</f>
        <v/>
      </c>
    </row>
    <row r="996">
      <c r="K996" s="5">
        <f>IF(AND(IF($B$3="(todos)",TRUE,'ORDENES'!$O992=$B$3),IF($D$3="(todos)",TRUE,'ORDENES'!$AH992=$D$3),IF($F$3="(todos)",TRUE,'ORDENES'!$Z992=$F$3),IF($H$3="(todos)",TRUE,'ORDENES'!$Y992=$H$3),'ORDENES'!$AF992=TRUE,'ORDENES'!$A992&lt;&gt;""),1,0)</f>
        <v/>
      </c>
      <c r="L996" s="5">
        <f>IF(K996=1,IFERROR(MATCH('ORDENES'!$S992,lista_dias,0),9)*1000000000+IFERROR(MATCH('ORDENES'!$AH992,lista_turnos,0),9)*10000000+IFERROR(MATCH('ORDENES'!$AG992,'TECNICOS'!$B$4:$B$19,0),99)*100000+989,9000000000000+989)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2">
        <f>IF(K996=1,'ORDENES'!$J992,"")</f>
        <v/>
      </c>
    </row>
    <row r="997">
      <c r="K997" s="5">
        <f>IF(AND(IF($B$3="(todos)",TRUE,'ORDENES'!$O993=$B$3),IF($D$3="(todos)",TRUE,'ORDENES'!$AH993=$D$3),IF($F$3="(todos)",TRUE,'ORDENES'!$Z993=$F$3),IF($H$3="(todos)",TRUE,'ORDENES'!$Y993=$H$3),'ORDENES'!$AF993=TRUE,'ORDENES'!$A993&lt;&gt;""),1,0)</f>
        <v/>
      </c>
      <c r="L997" s="5">
        <f>IF(K997=1,IFERROR(MATCH('ORDENES'!$S993,lista_dias,0),9)*1000000000+IFERROR(MATCH('ORDENES'!$AH993,lista_turnos,0),9)*10000000+IFERROR(MATCH('ORDENES'!$AG993,'TECNICOS'!$B$4:$B$19,0),99)*100000+990,9000000000000+990)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2">
        <f>IF(K997=1,'ORDENES'!$J993,"")</f>
        <v/>
      </c>
    </row>
    <row r="998">
      <c r="K998" s="5">
        <f>IF(AND(IF($B$3="(todos)",TRUE,'ORDENES'!$O994=$B$3),IF($D$3="(todos)",TRUE,'ORDENES'!$AH994=$D$3),IF($F$3="(todos)",TRUE,'ORDENES'!$Z994=$F$3),IF($H$3="(todos)",TRUE,'ORDENES'!$Y994=$H$3),'ORDENES'!$AF994=TRUE,'ORDENES'!$A994&lt;&gt;""),1,0)</f>
        <v/>
      </c>
      <c r="L998" s="5">
        <f>IF(K998=1,IFERROR(MATCH('ORDENES'!$S994,lista_dias,0),9)*1000000000+IFERROR(MATCH('ORDENES'!$AH994,lista_turnos,0),9)*10000000+IFERROR(MATCH('ORDENES'!$AG994,'TECNICOS'!$B$4:$B$19,0),99)*100000+991,9000000000000+991)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2">
        <f>IF(K998=1,'ORDENES'!$J994,"")</f>
        <v/>
      </c>
    </row>
    <row r="999">
      <c r="K999" s="5">
        <f>IF(AND(IF($B$3="(todos)",TRUE,'ORDENES'!$O995=$B$3),IF($D$3="(todos)",TRUE,'ORDENES'!$AH995=$D$3),IF($F$3="(todos)",TRUE,'ORDENES'!$Z995=$F$3),IF($H$3="(todos)",TRUE,'ORDENES'!$Y995=$H$3),'ORDENES'!$AF995=TRUE,'ORDENES'!$A995&lt;&gt;""),1,0)</f>
        <v/>
      </c>
      <c r="L999" s="5">
        <f>IF(K999=1,IFERROR(MATCH('ORDENES'!$S995,lista_dias,0),9)*1000000000+IFERROR(MATCH('ORDENES'!$AH995,lista_turnos,0),9)*10000000+IFERROR(MATCH('ORDENES'!$AG995,'TECNICOS'!$B$4:$B$19,0),99)*100000+992,9000000000000+992)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2">
        <f>IF(K999=1,'ORDENES'!$J995,"")</f>
        <v/>
      </c>
    </row>
    <row r="1000">
      <c r="K1000" s="5">
        <f>IF(AND(IF($B$3="(todos)",TRUE,'ORDENES'!$O996=$B$3),IF($D$3="(todos)",TRUE,'ORDENES'!$AH996=$D$3),IF($F$3="(todos)",TRUE,'ORDENES'!$Z996=$F$3),IF($H$3="(todos)",TRUE,'ORDENES'!$Y996=$H$3),'ORDENES'!$AF996=TRUE,'ORDENES'!$A996&lt;&gt;""),1,0)</f>
        <v/>
      </c>
      <c r="L1000" s="5">
        <f>IF(K1000=1,IFERROR(MATCH('ORDENES'!$S996,lista_dias,0),9)*1000000000+IFERROR(MATCH('ORDENES'!$AH996,lista_turnos,0),9)*10000000+IFERROR(MATCH('ORDENES'!$AG996,'TECNICOS'!$B$4:$B$19,0),99)*100000+993,9000000000000+993)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2">
        <f>IF(K1000=1,'ORDENES'!$J996,"")</f>
        <v/>
      </c>
    </row>
    <row r="1001">
      <c r="K1001" s="5">
        <f>IF(AND(IF($B$3="(todos)",TRUE,'ORDENES'!$O997=$B$3),IF($D$3="(todos)",TRUE,'ORDENES'!$AH997=$D$3),IF($F$3="(todos)",TRUE,'ORDENES'!$Z997=$F$3),IF($H$3="(todos)",TRUE,'ORDENES'!$Y997=$H$3),'ORDENES'!$AF997=TRUE,'ORDENES'!$A997&lt;&gt;""),1,0)</f>
        <v/>
      </c>
      <c r="L1001" s="5">
        <f>IF(K1001=1,IFERROR(MATCH('ORDENES'!$S997,lista_dias,0),9)*1000000000+IFERROR(MATCH('ORDENES'!$AH997,lista_turnos,0),9)*10000000+IFERROR(MATCH('ORDENES'!$AG997,'TECNICOS'!$B$4:$B$19,0),99)*100000+994,9000000000000+994)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2">
        <f>IF(K1001=1,'ORDENES'!$J997,"")</f>
        <v/>
      </c>
    </row>
    <row r="1002">
      <c r="K1002" s="5">
        <f>IF(AND(IF($B$3="(todos)",TRUE,'ORDENES'!$O998=$B$3),IF($D$3="(todos)",TRUE,'ORDENES'!$AH998=$D$3),IF($F$3="(todos)",TRUE,'ORDENES'!$Z998=$F$3),IF($H$3="(todos)",TRUE,'ORDENES'!$Y998=$H$3),'ORDENES'!$AF998=TRUE,'ORDENES'!$A998&lt;&gt;""),1,0)</f>
        <v/>
      </c>
      <c r="L1002" s="5">
        <f>IF(K1002=1,IFERROR(MATCH('ORDENES'!$S998,lista_dias,0),9)*1000000000+IFERROR(MATCH('ORDENES'!$AH998,lista_turnos,0),9)*10000000+IFERROR(MATCH('ORDENES'!$AG998,'TECNICOS'!$B$4:$B$19,0),99)*100000+995,9000000000000+995)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2">
        <f>IF(K1002=1,'ORDENES'!$J998,"")</f>
        <v/>
      </c>
    </row>
    <row r="1003">
      <c r="K1003" s="5">
        <f>IF(AND(IF($B$3="(todos)",TRUE,'ORDENES'!$O999=$B$3),IF($D$3="(todos)",TRUE,'ORDENES'!$AH999=$D$3),IF($F$3="(todos)",TRUE,'ORDENES'!$Z999=$F$3),IF($H$3="(todos)",TRUE,'ORDENES'!$Y999=$H$3),'ORDENES'!$AF999=TRUE,'ORDENES'!$A999&lt;&gt;""),1,0)</f>
        <v/>
      </c>
      <c r="L1003" s="5">
        <f>IF(K1003=1,IFERROR(MATCH('ORDENES'!$S999,lista_dias,0),9)*1000000000+IFERROR(MATCH('ORDENES'!$AH999,lista_turnos,0),9)*10000000+IFERROR(MATCH('ORDENES'!$AG999,'TECNICOS'!$B$4:$B$19,0),99)*100000+996,9000000000000+996)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2">
        <f>IF(K1003=1,'ORDENES'!$J999,"")</f>
        <v/>
      </c>
    </row>
    <row r="1004">
      <c r="K1004" s="5">
        <f>IF(AND(IF($B$3="(todos)",TRUE,'ORDENES'!$O1000=$B$3),IF($D$3="(todos)",TRUE,'ORDENES'!$AH1000=$D$3),IF($F$3="(todos)",TRUE,'ORDENES'!$Z1000=$F$3),IF($H$3="(todos)",TRUE,'ORDENES'!$Y1000=$H$3),'ORDENES'!$AF1000=TRUE,'ORDENES'!$A1000&lt;&gt;""),1,0)</f>
        <v/>
      </c>
      <c r="L1004" s="5">
        <f>IF(K1004=1,IFERROR(MATCH('ORDENES'!$S1000,lista_dias,0),9)*1000000000+IFERROR(MATCH('ORDENES'!$AH1000,lista_turnos,0),9)*10000000+IFERROR(MATCH('ORDENES'!$AG1000,'TECNICOS'!$B$4:$B$19,0),99)*100000+997,9000000000000+997)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2">
        <f>IF(K1004=1,'ORDENES'!$J1000,"")</f>
        <v/>
      </c>
    </row>
    <row r="1005">
      <c r="K1005" s="5">
        <f>IF(AND(IF($B$3="(todos)",TRUE,'ORDENES'!$O1001=$B$3),IF($D$3="(todos)",TRUE,'ORDENES'!$AH1001=$D$3),IF($F$3="(todos)",TRUE,'ORDENES'!$Z1001=$F$3),IF($H$3="(todos)",TRUE,'ORDENES'!$Y1001=$H$3),'ORDENES'!$AF1001=TRUE,'ORDENES'!$A1001&lt;&gt;""),1,0)</f>
        <v/>
      </c>
      <c r="L1005" s="5">
        <f>IF(K1005=1,IFERROR(MATCH('ORDENES'!$S1001,lista_dias,0),9)*1000000000+IFERROR(MATCH('ORDENES'!$AH1001,lista_turnos,0),9)*10000000+IFERROR(MATCH('ORDENES'!$AG1001,'TECNICOS'!$B$4:$B$19,0),99)*100000+998,9000000000000+998)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2">
        <f>IF(K1005=1,'ORDENES'!$J1001,"")</f>
        <v/>
      </c>
    </row>
    <row r="1006">
      <c r="K1006" s="5">
        <f>IF(AND(IF($B$3="(todos)",TRUE,'ORDENES'!$O1002=$B$3),IF($D$3="(todos)",TRUE,'ORDENES'!$AH1002=$D$3),IF($F$3="(todos)",TRUE,'ORDENES'!$Z1002=$F$3),IF($H$3="(todos)",TRUE,'ORDENES'!$Y1002=$H$3),'ORDENES'!$AF1002=TRUE,'ORDENES'!$A1002&lt;&gt;""),1,0)</f>
        <v/>
      </c>
      <c r="L1006" s="5">
        <f>IF(K1006=1,IFERROR(MATCH('ORDENES'!$S1002,lista_dias,0),9)*1000000000+IFERROR(MATCH('ORDENES'!$AH1002,lista_turnos,0),9)*10000000+IFERROR(MATCH('ORDENES'!$AG1002,'TECNICOS'!$B$4:$B$19,0),99)*100000+999,9000000000000+999)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2">
        <f>IF(K1006=1,'ORDENES'!$J1002,"")</f>
        <v/>
      </c>
    </row>
    <row r="1007">
      <c r="K1007" s="5">
        <f>IF(AND(IF($B$3="(todos)",TRUE,'ORDENES'!$O1003=$B$3),IF($D$3="(todos)",TRUE,'ORDENES'!$AH1003=$D$3),IF($F$3="(todos)",TRUE,'ORDENES'!$Z1003=$F$3),IF($H$3="(todos)",TRUE,'ORDENES'!$Y1003=$H$3),'ORDENES'!$AF1003=TRUE,'ORDENES'!$A1003&lt;&gt;""),1,0)</f>
        <v/>
      </c>
      <c r="L1007" s="5">
        <f>IF(K1007=1,IFERROR(MATCH('ORDENES'!$S1003,lista_dias,0),9)*1000000000+IFERROR(MATCH('ORDENES'!$AH1003,lista_turnos,0),9)*10000000+IFERROR(MATCH('ORDENES'!$AG1003,'TECNICOS'!$B$4:$B$19,0),99)*100000+1000,9000000000000+1000)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2">
        <f>IF(K1007=1,'ORDENES'!$J1003,"")</f>
        <v/>
      </c>
    </row>
    <row r="1008">
      <c r="K1008" s="5">
        <f>IF(AND(IF($B$3="(todos)",TRUE,'ORDENES'!$O1004=$B$3),IF($D$3="(todos)",TRUE,'ORDENES'!$AH1004=$D$3),IF($F$3="(todos)",TRUE,'ORDENES'!$Z1004=$F$3),IF($H$3="(todos)",TRUE,'ORDENES'!$Y1004=$H$3),'ORDENES'!$AF1004=TRUE,'ORDENES'!$A1004&lt;&gt;""),1,0)</f>
        <v/>
      </c>
      <c r="L1008" s="5">
        <f>IF(K1008=1,IFERROR(MATCH('ORDENES'!$S1004,lista_dias,0),9)*1000000000+IFERROR(MATCH('ORDENES'!$AH1004,lista_turnos,0),9)*10000000+IFERROR(MATCH('ORDENES'!$AG1004,'TECNICOS'!$B$4:$B$19,0),99)*100000+1001,9000000000000+1001)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2">
        <f>IF(K1008=1,'ORDENES'!$J1004,"")</f>
        <v/>
      </c>
    </row>
    <row r="1009">
      <c r="K1009" s="5">
        <f>IF(AND(IF($B$3="(todos)",TRUE,'ORDENES'!$O1005=$B$3),IF($D$3="(todos)",TRUE,'ORDENES'!$AH1005=$D$3),IF($F$3="(todos)",TRUE,'ORDENES'!$Z1005=$F$3),IF($H$3="(todos)",TRUE,'ORDENES'!$Y1005=$H$3),'ORDENES'!$AF1005=TRUE,'ORDENES'!$A1005&lt;&gt;""),1,0)</f>
        <v/>
      </c>
      <c r="L1009" s="5">
        <f>IF(K1009=1,IFERROR(MATCH('ORDENES'!$S1005,lista_dias,0),9)*1000000000+IFERROR(MATCH('ORDENES'!$AH1005,lista_turnos,0),9)*10000000+IFERROR(MATCH('ORDENES'!$AG1005,'TECNICOS'!$B$4:$B$19,0),99)*100000+1002,9000000000000+1002)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2">
        <f>IF(K1009=1,'ORDENES'!$J1005,"")</f>
        <v/>
      </c>
    </row>
    <row r="1010">
      <c r="K1010" s="5">
        <f>IF(AND(IF($B$3="(todos)",TRUE,'ORDENES'!$O1006=$B$3),IF($D$3="(todos)",TRUE,'ORDENES'!$AH1006=$D$3),IF($F$3="(todos)",TRUE,'ORDENES'!$Z1006=$F$3),IF($H$3="(todos)",TRUE,'ORDENES'!$Y1006=$H$3),'ORDENES'!$AF1006=TRUE,'ORDENES'!$A1006&lt;&gt;""),1,0)</f>
        <v/>
      </c>
      <c r="L1010" s="5">
        <f>IF(K1010=1,IFERROR(MATCH('ORDENES'!$S1006,lista_dias,0),9)*1000000000+IFERROR(MATCH('ORDENES'!$AH1006,lista_turnos,0),9)*10000000+IFERROR(MATCH('ORDENES'!$AG1006,'TECNICOS'!$B$4:$B$19,0),99)*100000+1003,9000000000000+1003)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2">
        <f>IF(K1010=1,'ORDENES'!$J1006,"")</f>
        <v/>
      </c>
    </row>
    <row r="1011">
      <c r="K1011" s="5">
        <f>IF(AND(IF($B$3="(todos)",TRUE,'ORDENES'!$O1007=$B$3),IF($D$3="(todos)",TRUE,'ORDENES'!$AH1007=$D$3),IF($F$3="(todos)",TRUE,'ORDENES'!$Z1007=$F$3),IF($H$3="(todos)",TRUE,'ORDENES'!$Y1007=$H$3),'ORDENES'!$AF1007=TRUE,'ORDENES'!$A1007&lt;&gt;""),1,0)</f>
        <v/>
      </c>
      <c r="L1011" s="5">
        <f>IF(K1011=1,IFERROR(MATCH('ORDENES'!$S1007,lista_dias,0),9)*1000000000+IFERROR(MATCH('ORDENES'!$AH1007,lista_turnos,0),9)*10000000+IFERROR(MATCH('ORDENES'!$AG1007,'TECNICOS'!$B$4:$B$19,0),99)*100000+1004,9000000000000+1004)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2">
        <f>IF(K1011=1,'ORDENES'!$J1007,"")</f>
        <v/>
      </c>
    </row>
    <row r="1012">
      <c r="K1012" s="5">
        <f>IF(AND(IF($B$3="(todos)",TRUE,'ORDENES'!$O1008=$B$3),IF($D$3="(todos)",TRUE,'ORDENES'!$AH1008=$D$3),IF($F$3="(todos)",TRUE,'ORDENES'!$Z1008=$F$3),IF($H$3="(todos)",TRUE,'ORDENES'!$Y1008=$H$3),'ORDENES'!$AF1008=TRUE,'ORDENES'!$A1008&lt;&gt;""),1,0)</f>
        <v/>
      </c>
      <c r="L1012" s="5">
        <f>IF(K1012=1,IFERROR(MATCH('ORDENES'!$S1008,lista_dias,0),9)*1000000000+IFERROR(MATCH('ORDENES'!$AH1008,lista_turnos,0),9)*10000000+IFERROR(MATCH('ORDENES'!$AG1008,'TECNICOS'!$B$4:$B$19,0),99)*100000+1005,9000000000000+1005)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2">
        <f>IF(K1012=1,'ORDENES'!$J1008,"")</f>
        <v/>
      </c>
    </row>
    <row r="1013">
      <c r="K1013" s="5">
        <f>IF(AND(IF($B$3="(todos)",TRUE,'ORDENES'!$O1009=$B$3),IF($D$3="(todos)",TRUE,'ORDENES'!$AH1009=$D$3),IF($F$3="(todos)",TRUE,'ORDENES'!$Z1009=$F$3),IF($H$3="(todos)",TRUE,'ORDENES'!$Y1009=$H$3),'ORDENES'!$AF1009=TRUE,'ORDENES'!$A1009&lt;&gt;""),1,0)</f>
        <v/>
      </c>
      <c r="L1013" s="5">
        <f>IF(K1013=1,IFERROR(MATCH('ORDENES'!$S1009,lista_dias,0),9)*1000000000+IFERROR(MATCH('ORDENES'!$AH1009,lista_turnos,0),9)*10000000+IFERROR(MATCH('ORDENES'!$AG1009,'TECNICOS'!$B$4:$B$19,0),99)*100000+1006,9000000000000+1006)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2">
        <f>IF(K1013=1,'ORDENES'!$J1009,"")</f>
        <v/>
      </c>
    </row>
    <row r="1014">
      <c r="K1014" s="5">
        <f>IF(AND(IF($B$3="(todos)",TRUE,'ORDENES'!$O1010=$B$3),IF($D$3="(todos)",TRUE,'ORDENES'!$AH1010=$D$3),IF($F$3="(todos)",TRUE,'ORDENES'!$Z1010=$F$3),IF($H$3="(todos)",TRUE,'ORDENES'!$Y1010=$H$3),'ORDENES'!$AF1010=TRUE,'ORDENES'!$A1010&lt;&gt;""),1,0)</f>
        <v/>
      </c>
      <c r="L1014" s="5">
        <f>IF(K1014=1,IFERROR(MATCH('ORDENES'!$S1010,lista_dias,0),9)*1000000000+IFERROR(MATCH('ORDENES'!$AH1010,lista_turnos,0),9)*10000000+IFERROR(MATCH('ORDENES'!$AG1010,'TECNICOS'!$B$4:$B$19,0),99)*100000+1007,9000000000000+1007)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2">
        <f>IF(K1014=1,'ORDENES'!$J1010,"")</f>
        <v/>
      </c>
    </row>
    <row r="1015">
      <c r="K1015" s="5">
        <f>IF(AND(IF($B$3="(todos)",TRUE,'ORDENES'!$O1011=$B$3),IF($D$3="(todos)",TRUE,'ORDENES'!$AH1011=$D$3),IF($F$3="(todos)",TRUE,'ORDENES'!$Z1011=$F$3),IF($H$3="(todos)",TRUE,'ORDENES'!$Y1011=$H$3),'ORDENES'!$AF1011=TRUE,'ORDENES'!$A1011&lt;&gt;""),1,0)</f>
        <v/>
      </c>
      <c r="L1015" s="5">
        <f>IF(K1015=1,IFERROR(MATCH('ORDENES'!$S1011,lista_dias,0),9)*1000000000+IFERROR(MATCH('ORDENES'!$AH1011,lista_turnos,0),9)*10000000+IFERROR(MATCH('ORDENES'!$AG1011,'TECNICOS'!$B$4:$B$19,0),99)*100000+1008,9000000000000+1008)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2">
        <f>IF(K1015=1,'ORDENES'!$J1011,"")</f>
        <v/>
      </c>
    </row>
    <row r="1016">
      <c r="K1016" s="5">
        <f>IF(AND(IF($B$3="(todos)",TRUE,'ORDENES'!$O1012=$B$3),IF($D$3="(todos)",TRUE,'ORDENES'!$AH1012=$D$3),IF($F$3="(todos)",TRUE,'ORDENES'!$Z1012=$F$3),IF($H$3="(todos)",TRUE,'ORDENES'!$Y1012=$H$3),'ORDENES'!$AF1012=TRUE,'ORDENES'!$A1012&lt;&gt;""),1,0)</f>
        <v/>
      </c>
      <c r="L1016" s="5">
        <f>IF(K1016=1,IFERROR(MATCH('ORDENES'!$S1012,lista_dias,0),9)*1000000000+IFERROR(MATCH('ORDENES'!$AH1012,lista_turnos,0),9)*10000000+IFERROR(MATCH('ORDENES'!$AG1012,'TECNICOS'!$B$4:$B$19,0),99)*100000+1009,9000000000000+1009)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2">
        <f>IF(K1016=1,'ORDENES'!$J1012,"")</f>
        <v/>
      </c>
    </row>
    <row r="1017">
      <c r="K1017" s="5">
        <f>IF(AND(IF($B$3="(todos)",TRUE,'ORDENES'!$O1013=$B$3),IF($D$3="(todos)",TRUE,'ORDENES'!$AH1013=$D$3),IF($F$3="(todos)",TRUE,'ORDENES'!$Z1013=$F$3),IF($H$3="(todos)",TRUE,'ORDENES'!$Y1013=$H$3),'ORDENES'!$AF1013=TRUE,'ORDENES'!$A1013&lt;&gt;""),1,0)</f>
        <v/>
      </c>
      <c r="L1017" s="5">
        <f>IF(K1017=1,IFERROR(MATCH('ORDENES'!$S1013,lista_dias,0),9)*1000000000+IFERROR(MATCH('ORDENES'!$AH1013,lista_turnos,0),9)*10000000+IFERROR(MATCH('ORDENES'!$AG1013,'TECNICOS'!$B$4:$B$19,0),99)*100000+1010,9000000000000+1010)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2">
        <f>IF(K1017=1,'ORDENES'!$J1013,"")</f>
        <v/>
      </c>
    </row>
    <row r="1018">
      <c r="K1018" s="5">
        <f>IF(AND(IF($B$3="(todos)",TRUE,'ORDENES'!$O1014=$B$3),IF($D$3="(todos)",TRUE,'ORDENES'!$AH1014=$D$3),IF($F$3="(todos)",TRUE,'ORDENES'!$Z1014=$F$3),IF($H$3="(todos)",TRUE,'ORDENES'!$Y1014=$H$3),'ORDENES'!$AF1014=TRUE,'ORDENES'!$A1014&lt;&gt;""),1,0)</f>
        <v/>
      </c>
      <c r="L1018" s="5">
        <f>IF(K1018=1,IFERROR(MATCH('ORDENES'!$S1014,lista_dias,0),9)*1000000000+IFERROR(MATCH('ORDENES'!$AH1014,lista_turnos,0),9)*10000000+IFERROR(MATCH('ORDENES'!$AG1014,'TECNICOS'!$B$4:$B$19,0),99)*100000+1011,9000000000000+1011)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2">
        <f>IF(K1018=1,'ORDENES'!$J1014,"")</f>
        <v/>
      </c>
    </row>
    <row r="1019">
      <c r="K1019" s="5">
        <f>IF(AND(IF($B$3="(todos)",TRUE,'ORDENES'!$O1015=$B$3),IF($D$3="(todos)",TRUE,'ORDENES'!$AH1015=$D$3),IF($F$3="(todos)",TRUE,'ORDENES'!$Z1015=$F$3),IF($H$3="(todos)",TRUE,'ORDENES'!$Y1015=$H$3),'ORDENES'!$AF1015=TRUE,'ORDENES'!$A1015&lt;&gt;""),1,0)</f>
        <v/>
      </c>
      <c r="L1019" s="5">
        <f>IF(K1019=1,IFERROR(MATCH('ORDENES'!$S1015,lista_dias,0),9)*1000000000+IFERROR(MATCH('ORDENES'!$AH1015,lista_turnos,0),9)*10000000+IFERROR(MATCH('ORDENES'!$AG1015,'TECNICOS'!$B$4:$B$19,0),99)*100000+1012,9000000000000+1012)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2">
        <f>IF(K1019=1,'ORDENES'!$J1015,"")</f>
        <v/>
      </c>
    </row>
    <row r="1020">
      <c r="K1020" s="5">
        <f>IF(AND(IF($B$3="(todos)",TRUE,'ORDENES'!$O1016=$B$3),IF($D$3="(todos)",TRUE,'ORDENES'!$AH1016=$D$3),IF($F$3="(todos)",TRUE,'ORDENES'!$Z1016=$F$3),IF($H$3="(todos)",TRUE,'ORDENES'!$Y1016=$H$3),'ORDENES'!$AF1016=TRUE,'ORDENES'!$A1016&lt;&gt;""),1,0)</f>
        <v/>
      </c>
      <c r="L1020" s="5">
        <f>IF(K1020=1,IFERROR(MATCH('ORDENES'!$S1016,lista_dias,0),9)*1000000000+IFERROR(MATCH('ORDENES'!$AH1016,lista_turnos,0),9)*10000000+IFERROR(MATCH('ORDENES'!$AG1016,'TECNICOS'!$B$4:$B$19,0),99)*100000+1013,9000000000000+1013)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2">
        <f>IF(K1020=1,'ORDENES'!$J1016,"")</f>
        <v/>
      </c>
    </row>
    <row r="1021">
      <c r="K1021" s="5">
        <f>IF(AND(IF($B$3="(todos)",TRUE,'ORDENES'!$O1017=$B$3),IF($D$3="(todos)",TRUE,'ORDENES'!$AH1017=$D$3),IF($F$3="(todos)",TRUE,'ORDENES'!$Z1017=$F$3),IF($H$3="(todos)",TRUE,'ORDENES'!$Y1017=$H$3),'ORDENES'!$AF1017=TRUE,'ORDENES'!$A1017&lt;&gt;""),1,0)</f>
        <v/>
      </c>
      <c r="L1021" s="5">
        <f>IF(K1021=1,IFERROR(MATCH('ORDENES'!$S1017,lista_dias,0),9)*1000000000+IFERROR(MATCH('ORDENES'!$AH1017,lista_turnos,0),9)*10000000+IFERROR(MATCH('ORDENES'!$AG1017,'TECNICOS'!$B$4:$B$19,0),99)*100000+1014,9000000000000+1014)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2">
        <f>IF(K1021=1,'ORDENES'!$J1017,"")</f>
        <v/>
      </c>
    </row>
    <row r="1022">
      <c r="K1022" s="5">
        <f>IF(AND(IF($B$3="(todos)",TRUE,'ORDENES'!$O1018=$B$3),IF($D$3="(todos)",TRUE,'ORDENES'!$AH1018=$D$3),IF($F$3="(todos)",TRUE,'ORDENES'!$Z1018=$F$3),IF($H$3="(todos)",TRUE,'ORDENES'!$Y1018=$H$3),'ORDENES'!$AF1018=TRUE,'ORDENES'!$A1018&lt;&gt;""),1,0)</f>
        <v/>
      </c>
      <c r="L1022" s="5">
        <f>IF(K1022=1,IFERROR(MATCH('ORDENES'!$S1018,lista_dias,0),9)*1000000000+IFERROR(MATCH('ORDENES'!$AH1018,lista_turnos,0),9)*10000000+IFERROR(MATCH('ORDENES'!$AG1018,'TECNICOS'!$B$4:$B$19,0),99)*100000+1015,9000000000000+1015)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2">
        <f>IF(K1022=1,'ORDENES'!$J1018,"")</f>
        <v/>
      </c>
    </row>
    <row r="1023">
      <c r="K1023" s="5">
        <f>IF(AND(IF($B$3="(todos)",TRUE,'ORDENES'!$O1019=$B$3),IF($D$3="(todos)",TRUE,'ORDENES'!$AH1019=$D$3),IF($F$3="(todos)",TRUE,'ORDENES'!$Z1019=$F$3),IF($H$3="(todos)",TRUE,'ORDENES'!$Y1019=$H$3),'ORDENES'!$AF1019=TRUE,'ORDENES'!$A1019&lt;&gt;""),1,0)</f>
        <v/>
      </c>
      <c r="L1023" s="5">
        <f>IF(K1023=1,IFERROR(MATCH('ORDENES'!$S1019,lista_dias,0),9)*1000000000+IFERROR(MATCH('ORDENES'!$AH1019,lista_turnos,0),9)*10000000+IFERROR(MATCH('ORDENES'!$AG1019,'TECNICOS'!$B$4:$B$19,0),99)*100000+1016,9000000000000+1016)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2">
        <f>IF(K1023=1,'ORDENES'!$J1019,"")</f>
        <v/>
      </c>
    </row>
    <row r="1024">
      <c r="K1024" s="5">
        <f>IF(AND(IF($B$3="(todos)",TRUE,'ORDENES'!$O1020=$B$3),IF($D$3="(todos)",TRUE,'ORDENES'!$AH1020=$D$3),IF($F$3="(todos)",TRUE,'ORDENES'!$Z1020=$F$3),IF($H$3="(todos)",TRUE,'ORDENES'!$Y1020=$H$3),'ORDENES'!$AF1020=TRUE,'ORDENES'!$A1020&lt;&gt;""),1,0)</f>
        <v/>
      </c>
      <c r="L1024" s="5">
        <f>IF(K1024=1,IFERROR(MATCH('ORDENES'!$S1020,lista_dias,0),9)*1000000000+IFERROR(MATCH('ORDENES'!$AH1020,lista_turnos,0),9)*10000000+IFERROR(MATCH('ORDENES'!$AG1020,'TECNICOS'!$B$4:$B$19,0),99)*100000+1017,9000000000000+1017)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2">
        <f>IF(K1024=1,'ORDENES'!$J1020,"")</f>
        <v/>
      </c>
    </row>
    <row r="1025">
      <c r="K1025" s="5">
        <f>IF(AND(IF($B$3="(todos)",TRUE,'ORDENES'!$O1021=$B$3),IF($D$3="(todos)",TRUE,'ORDENES'!$AH1021=$D$3),IF($F$3="(todos)",TRUE,'ORDENES'!$Z1021=$F$3),IF($H$3="(todos)",TRUE,'ORDENES'!$Y1021=$H$3),'ORDENES'!$AF1021=TRUE,'ORDENES'!$A1021&lt;&gt;""),1,0)</f>
        <v/>
      </c>
      <c r="L1025" s="5">
        <f>IF(K1025=1,IFERROR(MATCH('ORDENES'!$S1021,lista_dias,0),9)*1000000000+IFERROR(MATCH('ORDENES'!$AH1021,lista_turnos,0),9)*10000000+IFERROR(MATCH('ORDENES'!$AG1021,'TECNICOS'!$B$4:$B$19,0),99)*100000+1018,9000000000000+1018)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2">
        <f>IF(K1025=1,'ORDENES'!$J1021,"")</f>
        <v/>
      </c>
    </row>
    <row r="1026">
      <c r="K1026" s="5">
        <f>IF(AND(IF($B$3="(todos)",TRUE,'ORDENES'!$O1022=$B$3),IF($D$3="(todos)",TRUE,'ORDENES'!$AH1022=$D$3),IF($F$3="(todos)",TRUE,'ORDENES'!$Z1022=$F$3),IF($H$3="(todos)",TRUE,'ORDENES'!$Y1022=$H$3),'ORDENES'!$AF1022=TRUE,'ORDENES'!$A1022&lt;&gt;""),1,0)</f>
        <v/>
      </c>
      <c r="L1026" s="5">
        <f>IF(K1026=1,IFERROR(MATCH('ORDENES'!$S1022,lista_dias,0),9)*1000000000+IFERROR(MATCH('ORDENES'!$AH1022,lista_turnos,0),9)*10000000+IFERROR(MATCH('ORDENES'!$AG1022,'TECNICOS'!$B$4:$B$19,0),99)*100000+1019,9000000000000+1019)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2">
        <f>IF(K1026=1,'ORDENES'!$J1022,"")</f>
        <v/>
      </c>
    </row>
    <row r="1027">
      <c r="K1027" s="5">
        <f>IF(AND(IF($B$3="(todos)",TRUE,'ORDENES'!$O1023=$B$3),IF($D$3="(todos)",TRUE,'ORDENES'!$AH1023=$D$3),IF($F$3="(todos)",TRUE,'ORDENES'!$Z1023=$F$3),IF($H$3="(todos)",TRUE,'ORDENES'!$Y1023=$H$3),'ORDENES'!$AF1023=TRUE,'ORDENES'!$A1023&lt;&gt;""),1,0)</f>
        <v/>
      </c>
      <c r="L1027" s="5">
        <f>IF(K1027=1,IFERROR(MATCH('ORDENES'!$S1023,lista_dias,0),9)*1000000000+IFERROR(MATCH('ORDENES'!$AH1023,lista_turnos,0),9)*10000000+IFERROR(MATCH('ORDENES'!$AG1023,'TECNICOS'!$B$4:$B$19,0),99)*100000+1020,9000000000000+1020)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2">
        <f>IF(K1027=1,'ORDENES'!$J1023,"")</f>
        <v/>
      </c>
    </row>
    <row r="1028">
      <c r="K1028" s="5">
        <f>IF(AND(IF($B$3="(todos)",TRUE,'ORDENES'!$O1024=$B$3),IF($D$3="(todos)",TRUE,'ORDENES'!$AH1024=$D$3),IF($F$3="(todos)",TRUE,'ORDENES'!$Z1024=$F$3),IF($H$3="(todos)",TRUE,'ORDENES'!$Y1024=$H$3),'ORDENES'!$AF1024=TRUE,'ORDENES'!$A1024&lt;&gt;""),1,0)</f>
        <v/>
      </c>
      <c r="L1028" s="5">
        <f>IF(K1028=1,IFERROR(MATCH('ORDENES'!$S1024,lista_dias,0),9)*1000000000+IFERROR(MATCH('ORDENES'!$AH1024,lista_turnos,0),9)*10000000+IFERROR(MATCH('ORDENES'!$AG1024,'TECNICOS'!$B$4:$B$19,0),99)*100000+1021,9000000000000+1021)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2">
        <f>IF(K1028=1,'ORDENES'!$J1024,"")</f>
        <v/>
      </c>
    </row>
    <row r="1029">
      <c r="K1029" s="5">
        <f>IF(AND(IF($B$3="(todos)",TRUE,'ORDENES'!$O1025=$B$3),IF($D$3="(todos)",TRUE,'ORDENES'!$AH1025=$D$3),IF($F$3="(todos)",TRUE,'ORDENES'!$Z1025=$F$3),IF($H$3="(todos)",TRUE,'ORDENES'!$Y1025=$H$3),'ORDENES'!$AF1025=TRUE,'ORDENES'!$A1025&lt;&gt;""),1,0)</f>
        <v/>
      </c>
      <c r="L1029" s="5">
        <f>IF(K1029=1,IFERROR(MATCH('ORDENES'!$S1025,lista_dias,0),9)*1000000000+IFERROR(MATCH('ORDENES'!$AH1025,lista_turnos,0),9)*10000000+IFERROR(MATCH('ORDENES'!$AG1025,'TECNICOS'!$B$4:$B$19,0),99)*100000+1022,9000000000000+1022)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2">
        <f>IF(K1029=1,'ORDENES'!$J1025,"")</f>
        <v/>
      </c>
    </row>
    <row r="1030">
      <c r="K1030" s="5">
        <f>IF(AND(IF($B$3="(todos)",TRUE,'ORDENES'!$O1026=$B$3),IF($D$3="(todos)",TRUE,'ORDENES'!$AH1026=$D$3),IF($F$3="(todos)",TRUE,'ORDENES'!$Z1026=$F$3),IF($H$3="(todos)",TRUE,'ORDENES'!$Y1026=$H$3),'ORDENES'!$AF1026=TRUE,'ORDENES'!$A1026&lt;&gt;""),1,0)</f>
        <v/>
      </c>
      <c r="L1030" s="5">
        <f>IF(K1030=1,IFERROR(MATCH('ORDENES'!$S1026,lista_dias,0),9)*1000000000+IFERROR(MATCH('ORDENES'!$AH1026,lista_turnos,0),9)*10000000+IFERROR(MATCH('ORDENES'!$AG1026,'TECNICOS'!$B$4:$B$19,0),99)*100000+1023,9000000000000+1023)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2">
        <f>IF(K1030=1,'ORDENES'!$J1026,"")</f>
        <v/>
      </c>
    </row>
    <row r="1031">
      <c r="K1031" s="5">
        <f>IF(AND(IF($B$3="(todos)",TRUE,'ORDENES'!$O1027=$B$3),IF($D$3="(todos)",TRUE,'ORDENES'!$AH1027=$D$3),IF($F$3="(todos)",TRUE,'ORDENES'!$Z1027=$F$3),IF($H$3="(todos)",TRUE,'ORDENES'!$Y1027=$H$3),'ORDENES'!$AF1027=TRUE,'ORDENES'!$A1027&lt;&gt;""),1,0)</f>
        <v/>
      </c>
      <c r="L1031" s="5">
        <f>IF(K1031=1,IFERROR(MATCH('ORDENES'!$S1027,lista_dias,0),9)*1000000000+IFERROR(MATCH('ORDENES'!$AH1027,lista_turnos,0),9)*10000000+IFERROR(MATCH('ORDENES'!$AG1027,'TECNICOS'!$B$4:$B$19,0),99)*100000+1024,9000000000000+1024)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2">
        <f>IF(K1031=1,'ORDENES'!$J1027,"")</f>
        <v/>
      </c>
    </row>
    <row r="1032">
      <c r="K1032" s="5">
        <f>IF(AND(IF($B$3="(todos)",TRUE,'ORDENES'!$O1028=$B$3),IF($D$3="(todos)",TRUE,'ORDENES'!$AH1028=$D$3),IF($F$3="(todos)",TRUE,'ORDENES'!$Z1028=$F$3),IF($H$3="(todos)",TRUE,'ORDENES'!$Y1028=$H$3),'ORDENES'!$AF1028=TRUE,'ORDENES'!$A1028&lt;&gt;""),1,0)</f>
        <v/>
      </c>
      <c r="L1032" s="5">
        <f>IF(K1032=1,IFERROR(MATCH('ORDENES'!$S1028,lista_dias,0),9)*1000000000+IFERROR(MATCH('ORDENES'!$AH1028,lista_turnos,0),9)*10000000+IFERROR(MATCH('ORDENES'!$AG1028,'TECNICOS'!$B$4:$B$19,0),99)*100000+1025,9000000000000+1025)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2">
        <f>IF(K1032=1,'ORDENES'!$J1028,"")</f>
        <v/>
      </c>
    </row>
    <row r="1033">
      <c r="K1033" s="5">
        <f>IF(AND(IF($B$3="(todos)",TRUE,'ORDENES'!$O1029=$B$3),IF($D$3="(todos)",TRUE,'ORDENES'!$AH1029=$D$3),IF($F$3="(todos)",TRUE,'ORDENES'!$Z1029=$F$3),IF($H$3="(todos)",TRUE,'ORDENES'!$Y1029=$H$3),'ORDENES'!$AF1029=TRUE,'ORDENES'!$A1029&lt;&gt;""),1,0)</f>
        <v/>
      </c>
      <c r="L1033" s="5">
        <f>IF(K1033=1,IFERROR(MATCH('ORDENES'!$S1029,lista_dias,0),9)*1000000000+IFERROR(MATCH('ORDENES'!$AH1029,lista_turnos,0),9)*10000000+IFERROR(MATCH('ORDENES'!$AG1029,'TECNICOS'!$B$4:$B$19,0),99)*100000+1026,9000000000000+1026)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2">
        <f>IF(K1033=1,'ORDENES'!$J1029,"")</f>
        <v/>
      </c>
    </row>
    <row r="1034">
      <c r="K1034" s="5">
        <f>IF(AND(IF($B$3="(todos)",TRUE,'ORDENES'!$O1030=$B$3),IF($D$3="(todos)",TRUE,'ORDENES'!$AH1030=$D$3),IF($F$3="(todos)",TRUE,'ORDENES'!$Z1030=$F$3),IF($H$3="(todos)",TRUE,'ORDENES'!$Y1030=$H$3),'ORDENES'!$AF1030=TRUE,'ORDENES'!$A1030&lt;&gt;""),1,0)</f>
        <v/>
      </c>
      <c r="L1034" s="5">
        <f>IF(K1034=1,IFERROR(MATCH('ORDENES'!$S1030,lista_dias,0),9)*1000000000+IFERROR(MATCH('ORDENES'!$AH1030,lista_turnos,0),9)*10000000+IFERROR(MATCH('ORDENES'!$AG1030,'TECNICOS'!$B$4:$B$19,0),99)*100000+1027,9000000000000+1027)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2">
        <f>IF(K1034=1,'ORDENES'!$J1030,"")</f>
        <v/>
      </c>
    </row>
    <row r="1035">
      <c r="K1035" s="5">
        <f>IF(AND(IF($B$3="(todos)",TRUE,'ORDENES'!$O1031=$B$3),IF($D$3="(todos)",TRUE,'ORDENES'!$AH1031=$D$3),IF($F$3="(todos)",TRUE,'ORDENES'!$Z1031=$F$3),IF($H$3="(todos)",TRUE,'ORDENES'!$Y1031=$H$3),'ORDENES'!$AF1031=TRUE,'ORDENES'!$A1031&lt;&gt;""),1,0)</f>
        <v/>
      </c>
      <c r="L1035" s="5">
        <f>IF(K1035=1,IFERROR(MATCH('ORDENES'!$S1031,lista_dias,0),9)*1000000000+IFERROR(MATCH('ORDENES'!$AH1031,lista_turnos,0),9)*10000000+IFERROR(MATCH('ORDENES'!$AG1031,'TECNICOS'!$B$4:$B$19,0),99)*100000+1028,9000000000000+1028)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2">
        <f>IF(K1035=1,'ORDENES'!$J1031,"")</f>
        <v/>
      </c>
    </row>
    <row r="1036">
      <c r="K1036" s="5">
        <f>IF(AND(IF($B$3="(todos)",TRUE,'ORDENES'!$O1032=$B$3),IF($D$3="(todos)",TRUE,'ORDENES'!$AH1032=$D$3),IF($F$3="(todos)",TRUE,'ORDENES'!$Z1032=$F$3),IF($H$3="(todos)",TRUE,'ORDENES'!$Y1032=$H$3),'ORDENES'!$AF1032=TRUE,'ORDENES'!$A1032&lt;&gt;""),1,0)</f>
        <v/>
      </c>
      <c r="L1036" s="5">
        <f>IF(K1036=1,IFERROR(MATCH('ORDENES'!$S1032,lista_dias,0),9)*1000000000+IFERROR(MATCH('ORDENES'!$AH1032,lista_turnos,0),9)*10000000+IFERROR(MATCH('ORDENES'!$AG1032,'TECNICOS'!$B$4:$B$19,0),99)*100000+1029,9000000000000+1029)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2">
        <f>IF(K1036=1,'ORDENES'!$J1032,"")</f>
        <v/>
      </c>
    </row>
    <row r="1037">
      <c r="K1037" s="5">
        <f>IF(AND(IF($B$3="(todos)",TRUE,'ORDENES'!$O1033=$B$3),IF($D$3="(todos)",TRUE,'ORDENES'!$AH1033=$D$3),IF($F$3="(todos)",TRUE,'ORDENES'!$Z1033=$F$3),IF($H$3="(todos)",TRUE,'ORDENES'!$Y1033=$H$3),'ORDENES'!$AF1033=TRUE,'ORDENES'!$A1033&lt;&gt;""),1,0)</f>
        <v/>
      </c>
      <c r="L1037" s="5">
        <f>IF(K1037=1,IFERROR(MATCH('ORDENES'!$S1033,lista_dias,0),9)*1000000000+IFERROR(MATCH('ORDENES'!$AH1033,lista_turnos,0),9)*10000000+IFERROR(MATCH('ORDENES'!$AG1033,'TECNICOS'!$B$4:$B$19,0),99)*100000+1030,9000000000000+1030)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2">
        <f>IF(K1037=1,'ORDENES'!$J1033,"")</f>
        <v/>
      </c>
    </row>
    <row r="1038">
      <c r="K1038" s="5">
        <f>IF(AND(IF($B$3="(todos)",TRUE,'ORDENES'!$O1034=$B$3),IF($D$3="(todos)",TRUE,'ORDENES'!$AH1034=$D$3),IF($F$3="(todos)",TRUE,'ORDENES'!$Z1034=$F$3),IF($H$3="(todos)",TRUE,'ORDENES'!$Y1034=$H$3),'ORDENES'!$AF1034=TRUE,'ORDENES'!$A1034&lt;&gt;""),1,0)</f>
        <v/>
      </c>
      <c r="L1038" s="5">
        <f>IF(K1038=1,IFERROR(MATCH('ORDENES'!$S1034,lista_dias,0),9)*1000000000+IFERROR(MATCH('ORDENES'!$AH1034,lista_turnos,0),9)*10000000+IFERROR(MATCH('ORDENES'!$AG1034,'TECNICOS'!$B$4:$B$19,0),99)*100000+1031,9000000000000+1031)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2">
        <f>IF(K1038=1,'ORDENES'!$J1034,"")</f>
        <v/>
      </c>
    </row>
    <row r="1039">
      <c r="K1039" s="5">
        <f>IF(AND(IF($B$3="(todos)",TRUE,'ORDENES'!$O1035=$B$3),IF($D$3="(todos)",TRUE,'ORDENES'!$AH1035=$D$3),IF($F$3="(todos)",TRUE,'ORDENES'!$Z1035=$F$3),IF($H$3="(todos)",TRUE,'ORDENES'!$Y1035=$H$3),'ORDENES'!$AF1035=TRUE,'ORDENES'!$A1035&lt;&gt;""),1,0)</f>
        <v/>
      </c>
      <c r="L1039" s="5">
        <f>IF(K1039=1,IFERROR(MATCH('ORDENES'!$S1035,lista_dias,0),9)*1000000000+IFERROR(MATCH('ORDENES'!$AH1035,lista_turnos,0),9)*10000000+IFERROR(MATCH('ORDENES'!$AG1035,'TECNICOS'!$B$4:$B$19,0),99)*100000+1032,9000000000000+1032)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2">
        <f>IF(K1039=1,'ORDENES'!$J1035,"")</f>
        <v/>
      </c>
    </row>
    <row r="1040">
      <c r="K1040" s="5">
        <f>IF(AND(IF($B$3="(todos)",TRUE,'ORDENES'!$O1036=$B$3),IF($D$3="(todos)",TRUE,'ORDENES'!$AH1036=$D$3),IF($F$3="(todos)",TRUE,'ORDENES'!$Z1036=$F$3),IF($H$3="(todos)",TRUE,'ORDENES'!$Y1036=$H$3),'ORDENES'!$AF1036=TRUE,'ORDENES'!$A1036&lt;&gt;""),1,0)</f>
        <v/>
      </c>
      <c r="L1040" s="5">
        <f>IF(K1040=1,IFERROR(MATCH('ORDENES'!$S1036,lista_dias,0),9)*1000000000+IFERROR(MATCH('ORDENES'!$AH1036,lista_turnos,0),9)*10000000+IFERROR(MATCH('ORDENES'!$AG1036,'TECNICOS'!$B$4:$B$19,0),99)*100000+1033,9000000000000+1033)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2">
        <f>IF(K1040=1,'ORDENES'!$J1036,"")</f>
        <v/>
      </c>
    </row>
    <row r="1041">
      <c r="K1041" s="5">
        <f>IF(AND(IF($B$3="(todos)",TRUE,'ORDENES'!$O1037=$B$3),IF($D$3="(todos)",TRUE,'ORDENES'!$AH1037=$D$3),IF($F$3="(todos)",TRUE,'ORDENES'!$Z1037=$F$3),IF($H$3="(todos)",TRUE,'ORDENES'!$Y1037=$H$3),'ORDENES'!$AF1037=TRUE,'ORDENES'!$A1037&lt;&gt;""),1,0)</f>
        <v/>
      </c>
      <c r="L1041" s="5">
        <f>IF(K1041=1,IFERROR(MATCH('ORDENES'!$S1037,lista_dias,0),9)*1000000000+IFERROR(MATCH('ORDENES'!$AH1037,lista_turnos,0),9)*10000000+IFERROR(MATCH('ORDENES'!$AG1037,'TECNICOS'!$B$4:$B$19,0),99)*100000+1034,9000000000000+1034)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2">
        <f>IF(K1041=1,'ORDENES'!$J1037,"")</f>
        <v/>
      </c>
    </row>
    <row r="1042">
      <c r="K1042" s="5">
        <f>IF(AND(IF($B$3="(todos)",TRUE,'ORDENES'!$O1038=$B$3),IF($D$3="(todos)",TRUE,'ORDENES'!$AH1038=$D$3),IF($F$3="(todos)",TRUE,'ORDENES'!$Z1038=$F$3),IF($H$3="(todos)",TRUE,'ORDENES'!$Y1038=$H$3),'ORDENES'!$AF1038=TRUE,'ORDENES'!$A1038&lt;&gt;""),1,0)</f>
        <v/>
      </c>
      <c r="L1042" s="5">
        <f>IF(K1042=1,IFERROR(MATCH('ORDENES'!$S1038,lista_dias,0),9)*1000000000+IFERROR(MATCH('ORDENES'!$AH1038,lista_turnos,0),9)*10000000+IFERROR(MATCH('ORDENES'!$AG1038,'TECNICOS'!$B$4:$B$19,0),99)*100000+1035,9000000000000+1035)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2">
        <f>IF(K1042=1,'ORDENES'!$J1038,"")</f>
        <v/>
      </c>
    </row>
    <row r="1043">
      <c r="K1043" s="5">
        <f>IF(AND(IF($B$3="(todos)",TRUE,'ORDENES'!$O1039=$B$3),IF($D$3="(todos)",TRUE,'ORDENES'!$AH1039=$D$3),IF($F$3="(todos)",TRUE,'ORDENES'!$Z1039=$F$3),IF($H$3="(todos)",TRUE,'ORDENES'!$Y1039=$H$3),'ORDENES'!$AF1039=TRUE,'ORDENES'!$A1039&lt;&gt;""),1,0)</f>
        <v/>
      </c>
      <c r="L1043" s="5">
        <f>IF(K1043=1,IFERROR(MATCH('ORDENES'!$S1039,lista_dias,0),9)*1000000000+IFERROR(MATCH('ORDENES'!$AH1039,lista_turnos,0),9)*10000000+IFERROR(MATCH('ORDENES'!$AG1039,'TECNICOS'!$B$4:$B$19,0),99)*100000+1036,9000000000000+1036)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2">
        <f>IF(K1043=1,'ORDENES'!$J1039,"")</f>
        <v/>
      </c>
    </row>
    <row r="1044">
      <c r="K1044" s="5">
        <f>IF(AND(IF($B$3="(todos)",TRUE,'ORDENES'!$O1040=$B$3),IF($D$3="(todos)",TRUE,'ORDENES'!$AH1040=$D$3),IF($F$3="(todos)",TRUE,'ORDENES'!$Z1040=$F$3),IF($H$3="(todos)",TRUE,'ORDENES'!$Y1040=$H$3),'ORDENES'!$AF1040=TRUE,'ORDENES'!$A1040&lt;&gt;""),1,0)</f>
        <v/>
      </c>
      <c r="L1044" s="5">
        <f>IF(K1044=1,IFERROR(MATCH('ORDENES'!$S1040,lista_dias,0),9)*1000000000+IFERROR(MATCH('ORDENES'!$AH1040,lista_turnos,0),9)*10000000+IFERROR(MATCH('ORDENES'!$AG1040,'TECNICOS'!$B$4:$B$19,0),99)*100000+1037,9000000000000+1037)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2">
        <f>IF(K1044=1,'ORDENES'!$J1040,"")</f>
        <v/>
      </c>
    </row>
    <row r="1045">
      <c r="K1045" s="5">
        <f>IF(AND(IF($B$3="(todos)",TRUE,'ORDENES'!$O1041=$B$3),IF($D$3="(todos)",TRUE,'ORDENES'!$AH1041=$D$3),IF($F$3="(todos)",TRUE,'ORDENES'!$Z1041=$F$3),IF($H$3="(todos)",TRUE,'ORDENES'!$Y1041=$H$3),'ORDENES'!$AF1041=TRUE,'ORDENES'!$A1041&lt;&gt;""),1,0)</f>
        <v/>
      </c>
      <c r="L1045" s="5">
        <f>IF(K1045=1,IFERROR(MATCH('ORDENES'!$S1041,lista_dias,0),9)*1000000000+IFERROR(MATCH('ORDENES'!$AH1041,lista_turnos,0),9)*10000000+IFERROR(MATCH('ORDENES'!$AG1041,'TECNICOS'!$B$4:$B$19,0),99)*100000+1038,9000000000000+1038)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2">
        <f>IF(K1045=1,'ORDENES'!$J1041,"")</f>
        <v/>
      </c>
    </row>
    <row r="1046">
      <c r="K1046" s="5">
        <f>IF(AND(IF($B$3="(todos)",TRUE,'ORDENES'!$O1042=$B$3),IF($D$3="(todos)",TRUE,'ORDENES'!$AH1042=$D$3),IF($F$3="(todos)",TRUE,'ORDENES'!$Z1042=$F$3),IF($H$3="(todos)",TRUE,'ORDENES'!$Y1042=$H$3),'ORDENES'!$AF1042=TRUE,'ORDENES'!$A1042&lt;&gt;""),1,0)</f>
        <v/>
      </c>
      <c r="L1046" s="5">
        <f>IF(K1046=1,IFERROR(MATCH('ORDENES'!$S1042,lista_dias,0),9)*1000000000+IFERROR(MATCH('ORDENES'!$AH1042,lista_turnos,0),9)*10000000+IFERROR(MATCH('ORDENES'!$AG1042,'TECNICOS'!$B$4:$B$19,0),99)*100000+1039,9000000000000+1039)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2">
        <f>IF(K1046=1,'ORDENES'!$J1042,"")</f>
        <v/>
      </c>
    </row>
    <row r="1047">
      <c r="K1047" s="5">
        <f>IF(AND(IF($B$3="(todos)",TRUE,'ORDENES'!$O1043=$B$3),IF($D$3="(todos)",TRUE,'ORDENES'!$AH1043=$D$3),IF($F$3="(todos)",TRUE,'ORDENES'!$Z1043=$F$3),IF($H$3="(todos)",TRUE,'ORDENES'!$Y1043=$H$3),'ORDENES'!$AF1043=TRUE,'ORDENES'!$A1043&lt;&gt;""),1,0)</f>
        <v/>
      </c>
      <c r="L1047" s="5">
        <f>IF(K1047=1,IFERROR(MATCH('ORDENES'!$S1043,lista_dias,0),9)*1000000000+IFERROR(MATCH('ORDENES'!$AH1043,lista_turnos,0),9)*10000000+IFERROR(MATCH('ORDENES'!$AG1043,'TECNICOS'!$B$4:$B$19,0),99)*100000+1040,9000000000000+1040)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2">
        <f>IF(K1047=1,'ORDENES'!$J1043,"")</f>
        <v/>
      </c>
    </row>
    <row r="1048">
      <c r="K1048" s="5">
        <f>IF(AND(IF($B$3="(todos)",TRUE,'ORDENES'!$O1044=$B$3),IF($D$3="(todos)",TRUE,'ORDENES'!$AH1044=$D$3),IF($F$3="(todos)",TRUE,'ORDENES'!$Z1044=$F$3),IF($H$3="(todos)",TRUE,'ORDENES'!$Y1044=$H$3),'ORDENES'!$AF1044=TRUE,'ORDENES'!$A1044&lt;&gt;""),1,0)</f>
        <v/>
      </c>
      <c r="L1048" s="5">
        <f>IF(K1048=1,IFERROR(MATCH('ORDENES'!$S1044,lista_dias,0),9)*1000000000+IFERROR(MATCH('ORDENES'!$AH1044,lista_turnos,0),9)*10000000+IFERROR(MATCH('ORDENES'!$AG1044,'TECNICOS'!$B$4:$B$19,0),99)*100000+1041,9000000000000+1041)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2">
        <f>IF(K1048=1,'ORDENES'!$J1044,"")</f>
        <v/>
      </c>
    </row>
    <row r="1049">
      <c r="K1049" s="5">
        <f>IF(AND(IF($B$3="(todos)",TRUE,'ORDENES'!$O1045=$B$3),IF($D$3="(todos)",TRUE,'ORDENES'!$AH1045=$D$3),IF($F$3="(todos)",TRUE,'ORDENES'!$Z1045=$F$3),IF($H$3="(todos)",TRUE,'ORDENES'!$Y1045=$H$3),'ORDENES'!$AF1045=TRUE,'ORDENES'!$A1045&lt;&gt;""),1,0)</f>
        <v/>
      </c>
      <c r="L1049" s="5">
        <f>IF(K1049=1,IFERROR(MATCH('ORDENES'!$S1045,lista_dias,0),9)*1000000000+IFERROR(MATCH('ORDENES'!$AH1045,lista_turnos,0),9)*10000000+IFERROR(MATCH('ORDENES'!$AG1045,'TECNICOS'!$B$4:$B$19,0),99)*100000+1042,9000000000000+1042)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2">
        <f>IF(K1049=1,'ORDENES'!$J1045,"")</f>
        <v/>
      </c>
    </row>
    <row r="1050">
      <c r="K1050" s="5">
        <f>IF(AND(IF($B$3="(todos)",TRUE,'ORDENES'!$O1046=$B$3),IF($D$3="(todos)",TRUE,'ORDENES'!$AH1046=$D$3),IF($F$3="(todos)",TRUE,'ORDENES'!$Z1046=$F$3),IF($H$3="(todos)",TRUE,'ORDENES'!$Y1046=$H$3),'ORDENES'!$AF1046=TRUE,'ORDENES'!$A1046&lt;&gt;""),1,0)</f>
        <v/>
      </c>
      <c r="L1050" s="5">
        <f>IF(K1050=1,IFERROR(MATCH('ORDENES'!$S1046,lista_dias,0),9)*1000000000+IFERROR(MATCH('ORDENES'!$AH1046,lista_turnos,0),9)*10000000+IFERROR(MATCH('ORDENES'!$AG1046,'TECNICOS'!$B$4:$B$19,0),99)*100000+1043,9000000000000+1043)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2">
        <f>IF(K1050=1,'ORDENES'!$J1046,"")</f>
        <v/>
      </c>
    </row>
    <row r="1051">
      <c r="K1051" s="5">
        <f>IF(AND(IF($B$3="(todos)",TRUE,'ORDENES'!$O1047=$B$3),IF($D$3="(todos)",TRUE,'ORDENES'!$AH1047=$D$3),IF($F$3="(todos)",TRUE,'ORDENES'!$Z1047=$F$3),IF($H$3="(todos)",TRUE,'ORDENES'!$Y1047=$H$3),'ORDENES'!$AF1047=TRUE,'ORDENES'!$A1047&lt;&gt;""),1,0)</f>
        <v/>
      </c>
      <c r="L1051" s="5">
        <f>IF(K1051=1,IFERROR(MATCH('ORDENES'!$S1047,lista_dias,0),9)*1000000000+IFERROR(MATCH('ORDENES'!$AH1047,lista_turnos,0),9)*10000000+IFERROR(MATCH('ORDENES'!$AG1047,'TECNICOS'!$B$4:$B$19,0),99)*100000+1044,9000000000000+1044)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2">
        <f>IF(K1051=1,'ORDENES'!$J1047,"")</f>
        <v/>
      </c>
    </row>
    <row r="1052">
      <c r="K1052" s="5">
        <f>IF(AND(IF($B$3="(todos)",TRUE,'ORDENES'!$O1048=$B$3),IF($D$3="(todos)",TRUE,'ORDENES'!$AH1048=$D$3),IF($F$3="(todos)",TRUE,'ORDENES'!$Z1048=$F$3),IF($H$3="(todos)",TRUE,'ORDENES'!$Y1048=$H$3),'ORDENES'!$AF1048=TRUE,'ORDENES'!$A1048&lt;&gt;""),1,0)</f>
        <v/>
      </c>
      <c r="L1052" s="5">
        <f>IF(K1052=1,IFERROR(MATCH('ORDENES'!$S1048,lista_dias,0),9)*1000000000+IFERROR(MATCH('ORDENES'!$AH1048,lista_turnos,0),9)*10000000+IFERROR(MATCH('ORDENES'!$AG1048,'TECNICOS'!$B$4:$B$19,0),99)*100000+1045,9000000000000+1045)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2">
        <f>IF(K1052=1,'ORDENES'!$J1048,"")</f>
        <v/>
      </c>
    </row>
    <row r="1053">
      <c r="K1053" s="5">
        <f>IF(AND(IF($B$3="(todos)",TRUE,'ORDENES'!$O1049=$B$3),IF($D$3="(todos)",TRUE,'ORDENES'!$AH1049=$D$3),IF($F$3="(todos)",TRUE,'ORDENES'!$Z1049=$F$3),IF($H$3="(todos)",TRUE,'ORDENES'!$Y1049=$H$3),'ORDENES'!$AF1049=TRUE,'ORDENES'!$A1049&lt;&gt;""),1,0)</f>
        <v/>
      </c>
      <c r="L1053" s="5">
        <f>IF(K1053=1,IFERROR(MATCH('ORDENES'!$S1049,lista_dias,0),9)*1000000000+IFERROR(MATCH('ORDENES'!$AH1049,lista_turnos,0),9)*10000000+IFERROR(MATCH('ORDENES'!$AG1049,'TECNICOS'!$B$4:$B$19,0),99)*100000+1046,9000000000000+1046)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2">
        <f>IF(K1053=1,'ORDENES'!$J1049,"")</f>
        <v/>
      </c>
    </row>
    <row r="1054">
      <c r="K1054" s="5">
        <f>IF(AND(IF($B$3="(todos)",TRUE,'ORDENES'!$O1050=$B$3),IF($D$3="(todos)",TRUE,'ORDENES'!$AH1050=$D$3),IF($F$3="(todos)",TRUE,'ORDENES'!$Z1050=$F$3),IF($H$3="(todos)",TRUE,'ORDENES'!$Y1050=$H$3),'ORDENES'!$AF1050=TRUE,'ORDENES'!$A1050&lt;&gt;""),1,0)</f>
        <v/>
      </c>
      <c r="L1054" s="5">
        <f>IF(K1054=1,IFERROR(MATCH('ORDENES'!$S1050,lista_dias,0),9)*1000000000+IFERROR(MATCH('ORDENES'!$AH1050,lista_turnos,0),9)*10000000+IFERROR(MATCH('ORDENES'!$AG1050,'TECNICOS'!$B$4:$B$19,0),99)*100000+1047,9000000000000+1047)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2">
        <f>IF(K1054=1,'ORDENES'!$J1050,"")</f>
        <v/>
      </c>
    </row>
    <row r="1055">
      <c r="K1055" s="5">
        <f>IF(AND(IF($B$3="(todos)",TRUE,'ORDENES'!$O1051=$B$3),IF($D$3="(todos)",TRUE,'ORDENES'!$AH1051=$D$3),IF($F$3="(todos)",TRUE,'ORDENES'!$Z1051=$F$3),IF($H$3="(todos)",TRUE,'ORDENES'!$Y1051=$H$3),'ORDENES'!$AF1051=TRUE,'ORDENES'!$A1051&lt;&gt;""),1,0)</f>
        <v/>
      </c>
      <c r="L1055" s="5">
        <f>IF(K1055=1,IFERROR(MATCH('ORDENES'!$S1051,lista_dias,0),9)*1000000000+IFERROR(MATCH('ORDENES'!$AH1051,lista_turnos,0),9)*10000000+IFERROR(MATCH('ORDENES'!$AG1051,'TECNICOS'!$B$4:$B$19,0),99)*100000+1048,9000000000000+1048)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2">
        <f>IF(K1055=1,'ORDENES'!$J1051,"")</f>
        <v/>
      </c>
    </row>
    <row r="1056">
      <c r="K1056" s="5">
        <f>IF(AND(IF($B$3="(todos)",TRUE,'ORDENES'!$O1052=$B$3),IF($D$3="(todos)",TRUE,'ORDENES'!$AH1052=$D$3),IF($F$3="(todos)",TRUE,'ORDENES'!$Z1052=$F$3),IF($H$3="(todos)",TRUE,'ORDENES'!$Y1052=$H$3),'ORDENES'!$AF1052=TRUE,'ORDENES'!$A1052&lt;&gt;""),1,0)</f>
        <v/>
      </c>
      <c r="L1056" s="5">
        <f>IF(K1056=1,IFERROR(MATCH('ORDENES'!$S1052,lista_dias,0),9)*1000000000+IFERROR(MATCH('ORDENES'!$AH1052,lista_turnos,0),9)*10000000+IFERROR(MATCH('ORDENES'!$AG1052,'TECNICOS'!$B$4:$B$19,0),99)*100000+1049,9000000000000+1049)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2">
        <f>IF(K1056=1,'ORDENES'!$J1052,"")</f>
        <v/>
      </c>
    </row>
    <row r="1057">
      <c r="K1057" s="5">
        <f>IF(AND(IF($B$3="(todos)",TRUE,'ORDENES'!$O1053=$B$3),IF($D$3="(todos)",TRUE,'ORDENES'!$AH1053=$D$3),IF($F$3="(todos)",TRUE,'ORDENES'!$Z1053=$F$3),IF($H$3="(todos)",TRUE,'ORDENES'!$Y1053=$H$3),'ORDENES'!$AF1053=TRUE,'ORDENES'!$A1053&lt;&gt;""),1,0)</f>
        <v/>
      </c>
      <c r="L1057" s="5">
        <f>IF(K1057=1,IFERROR(MATCH('ORDENES'!$S1053,lista_dias,0),9)*1000000000+IFERROR(MATCH('ORDENES'!$AH1053,lista_turnos,0),9)*10000000+IFERROR(MATCH('ORDENES'!$AG1053,'TECNICOS'!$B$4:$B$19,0),99)*100000+1050,9000000000000+1050)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2">
        <f>IF(K1057=1,'ORDENES'!$J1053,"")</f>
        <v/>
      </c>
    </row>
    <row r="1058">
      <c r="K1058" s="5">
        <f>IF(AND(IF($B$3="(todos)",TRUE,'ORDENES'!$O1054=$B$3),IF($D$3="(todos)",TRUE,'ORDENES'!$AH1054=$D$3),IF($F$3="(todos)",TRUE,'ORDENES'!$Z1054=$F$3),IF($H$3="(todos)",TRUE,'ORDENES'!$Y1054=$H$3),'ORDENES'!$AF1054=TRUE,'ORDENES'!$A1054&lt;&gt;""),1,0)</f>
        <v/>
      </c>
      <c r="L1058" s="5">
        <f>IF(K1058=1,IFERROR(MATCH('ORDENES'!$S1054,lista_dias,0),9)*1000000000+IFERROR(MATCH('ORDENES'!$AH1054,lista_turnos,0),9)*10000000+IFERROR(MATCH('ORDENES'!$AG1054,'TECNICOS'!$B$4:$B$19,0),99)*100000+1051,9000000000000+1051)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2">
        <f>IF(K1058=1,'ORDENES'!$J1054,"")</f>
        <v/>
      </c>
    </row>
    <row r="1059">
      <c r="K1059" s="5">
        <f>IF(AND(IF($B$3="(todos)",TRUE,'ORDENES'!$O1055=$B$3),IF($D$3="(todos)",TRUE,'ORDENES'!$AH1055=$D$3),IF($F$3="(todos)",TRUE,'ORDENES'!$Z1055=$F$3),IF($H$3="(todos)",TRUE,'ORDENES'!$Y1055=$H$3),'ORDENES'!$AF1055=TRUE,'ORDENES'!$A1055&lt;&gt;""),1,0)</f>
        <v/>
      </c>
      <c r="L1059" s="5">
        <f>IF(K1059=1,IFERROR(MATCH('ORDENES'!$S1055,lista_dias,0),9)*1000000000+IFERROR(MATCH('ORDENES'!$AH1055,lista_turnos,0),9)*10000000+IFERROR(MATCH('ORDENES'!$AG1055,'TECNICOS'!$B$4:$B$19,0),99)*100000+1052,9000000000000+1052)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2">
        <f>IF(K1059=1,'ORDENES'!$J1055,"")</f>
        <v/>
      </c>
    </row>
    <row r="1060">
      <c r="K1060" s="5">
        <f>IF(AND(IF($B$3="(todos)",TRUE,'ORDENES'!$O1056=$B$3),IF($D$3="(todos)",TRUE,'ORDENES'!$AH1056=$D$3),IF($F$3="(todos)",TRUE,'ORDENES'!$Z1056=$F$3),IF($H$3="(todos)",TRUE,'ORDENES'!$Y1056=$H$3),'ORDENES'!$AF1056=TRUE,'ORDENES'!$A1056&lt;&gt;""),1,0)</f>
        <v/>
      </c>
      <c r="L1060" s="5">
        <f>IF(K1060=1,IFERROR(MATCH('ORDENES'!$S1056,lista_dias,0),9)*1000000000+IFERROR(MATCH('ORDENES'!$AH1056,lista_turnos,0),9)*10000000+IFERROR(MATCH('ORDENES'!$AG1056,'TECNICOS'!$B$4:$B$19,0),99)*100000+1053,9000000000000+1053)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2">
        <f>IF(K1060=1,'ORDENES'!$J1056,"")</f>
        <v/>
      </c>
    </row>
    <row r="1061">
      <c r="K1061" s="5">
        <f>IF(AND(IF($B$3="(todos)",TRUE,'ORDENES'!$O1057=$B$3),IF($D$3="(todos)",TRUE,'ORDENES'!$AH1057=$D$3),IF($F$3="(todos)",TRUE,'ORDENES'!$Z1057=$F$3),IF($H$3="(todos)",TRUE,'ORDENES'!$Y1057=$H$3),'ORDENES'!$AF1057=TRUE,'ORDENES'!$A1057&lt;&gt;""),1,0)</f>
        <v/>
      </c>
      <c r="L1061" s="5">
        <f>IF(K1061=1,IFERROR(MATCH('ORDENES'!$S1057,lista_dias,0),9)*1000000000+IFERROR(MATCH('ORDENES'!$AH1057,lista_turnos,0),9)*10000000+IFERROR(MATCH('ORDENES'!$AG1057,'TECNICOS'!$B$4:$B$19,0),99)*100000+1054,9000000000000+1054)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2">
        <f>IF(K1061=1,'ORDENES'!$J1057,"")</f>
        <v/>
      </c>
    </row>
    <row r="1062">
      <c r="K1062" s="5">
        <f>IF(AND(IF($B$3="(todos)",TRUE,'ORDENES'!$O1058=$B$3),IF($D$3="(todos)",TRUE,'ORDENES'!$AH1058=$D$3),IF($F$3="(todos)",TRUE,'ORDENES'!$Z1058=$F$3),IF($H$3="(todos)",TRUE,'ORDENES'!$Y1058=$H$3),'ORDENES'!$AF1058=TRUE,'ORDENES'!$A1058&lt;&gt;""),1,0)</f>
        <v/>
      </c>
      <c r="L1062" s="5">
        <f>IF(K1062=1,IFERROR(MATCH('ORDENES'!$S1058,lista_dias,0),9)*1000000000+IFERROR(MATCH('ORDENES'!$AH1058,lista_turnos,0),9)*10000000+IFERROR(MATCH('ORDENES'!$AG1058,'TECNICOS'!$B$4:$B$19,0),99)*100000+1055,9000000000000+1055)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2">
        <f>IF(K1062=1,'ORDENES'!$J1058,"")</f>
        <v/>
      </c>
    </row>
    <row r="1063">
      <c r="K1063" s="5">
        <f>IF(AND(IF($B$3="(todos)",TRUE,'ORDENES'!$O1059=$B$3),IF($D$3="(todos)",TRUE,'ORDENES'!$AH1059=$D$3),IF($F$3="(todos)",TRUE,'ORDENES'!$Z1059=$F$3),IF($H$3="(todos)",TRUE,'ORDENES'!$Y1059=$H$3),'ORDENES'!$AF1059=TRUE,'ORDENES'!$A1059&lt;&gt;""),1,0)</f>
        <v/>
      </c>
      <c r="L1063" s="5">
        <f>IF(K1063=1,IFERROR(MATCH('ORDENES'!$S1059,lista_dias,0),9)*1000000000+IFERROR(MATCH('ORDENES'!$AH1059,lista_turnos,0),9)*10000000+IFERROR(MATCH('ORDENES'!$AG1059,'TECNICOS'!$B$4:$B$19,0),99)*100000+1056,9000000000000+1056)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2">
        <f>IF(K1063=1,'ORDENES'!$J1059,"")</f>
        <v/>
      </c>
    </row>
    <row r="1064">
      <c r="K1064" s="5">
        <f>IF(AND(IF($B$3="(todos)",TRUE,'ORDENES'!$O1060=$B$3),IF($D$3="(todos)",TRUE,'ORDENES'!$AH1060=$D$3),IF($F$3="(todos)",TRUE,'ORDENES'!$Z1060=$F$3),IF($H$3="(todos)",TRUE,'ORDENES'!$Y1060=$H$3),'ORDENES'!$AF1060=TRUE,'ORDENES'!$A1060&lt;&gt;""),1,0)</f>
        <v/>
      </c>
      <c r="L1064" s="5">
        <f>IF(K1064=1,IFERROR(MATCH('ORDENES'!$S1060,lista_dias,0),9)*1000000000+IFERROR(MATCH('ORDENES'!$AH1060,lista_turnos,0),9)*10000000+IFERROR(MATCH('ORDENES'!$AG1060,'TECNICOS'!$B$4:$B$19,0),99)*100000+1057,9000000000000+1057)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2">
        <f>IF(K1064=1,'ORDENES'!$J1060,"")</f>
        <v/>
      </c>
    </row>
    <row r="1065">
      <c r="K1065" s="5">
        <f>IF(AND(IF($B$3="(todos)",TRUE,'ORDENES'!$O1061=$B$3),IF($D$3="(todos)",TRUE,'ORDENES'!$AH1061=$D$3),IF($F$3="(todos)",TRUE,'ORDENES'!$Z1061=$F$3),IF($H$3="(todos)",TRUE,'ORDENES'!$Y1061=$H$3),'ORDENES'!$AF1061=TRUE,'ORDENES'!$A1061&lt;&gt;""),1,0)</f>
        <v/>
      </c>
      <c r="L1065" s="5">
        <f>IF(K1065=1,IFERROR(MATCH('ORDENES'!$S1061,lista_dias,0),9)*1000000000+IFERROR(MATCH('ORDENES'!$AH1061,lista_turnos,0),9)*10000000+IFERROR(MATCH('ORDENES'!$AG1061,'TECNICOS'!$B$4:$B$19,0),99)*100000+1058,9000000000000+1058)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2">
        <f>IF(K1065=1,'ORDENES'!$J1061,"")</f>
        <v/>
      </c>
    </row>
    <row r="1066">
      <c r="K1066" s="5">
        <f>IF(AND(IF($B$3="(todos)",TRUE,'ORDENES'!$O1062=$B$3),IF($D$3="(todos)",TRUE,'ORDENES'!$AH1062=$D$3),IF($F$3="(todos)",TRUE,'ORDENES'!$Z1062=$F$3),IF($H$3="(todos)",TRUE,'ORDENES'!$Y1062=$H$3),'ORDENES'!$AF1062=TRUE,'ORDENES'!$A1062&lt;&gt;""),1,0)</f>
        <v/>
      </c>
      <c r="L1066" s="5">
        <f>IF(K1066=1,IFERROR(MATCH('ORDENES'!$S1062,lista_dias,0),9)*1000000000+IFERROR(MATCH('ORDENES'!$AH1062,lista_turnos,0),9)*10000000+IFERROR(MATCH('ORDENES'!$AG1062,'TECNICOS'!$B$4:$B$19,0),99)*100000+1059,9000000000000+1059)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2">
        <f>IF(K1066=1,'ORDENES'!$J1062,"")</f>
        <v/>
      </c>
    </row>
    <row r="1067">
      <c r="K1067" s="5">
        <f>IF(AND(IF($B$3="(todos)",TRUE,'ORDENES'!$O1063=$B$3),IF($D$3="(todos)",TRUE,'ORDENES'!$AH1063=$D$3),IF($F$3="(todos)",TRUE,'ORDENES'!$Z1063=$F$3),IF($H$3="(todos)",TRUE,'ORDENES'!$Y1063=$H$3),'ORDENES'!$AF1063=TRUE,'ORDENES'!$A1063&lt;&gt;""),1,0)</f>
        <v/>
      </c>
      <c r="L1067" s="5">
        <f>IF(K1067=1,IFERROR(MATCH('ORDENES'!$S1063,lista_dias,0),9)*1000000000+IFERROR(MATCH('ORDENES'!$AH1063,lista_turnos,0),9)*10000000+IFERROR(MATCH('ORDENES'!$AG1063,'TECNICOS'!$B$4:$B$19,0),99)*100000+1060,9000000000000+1060)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2">
        <f>IF(K1067=1,'ORDENES'!$J1063,"")</f>
        <v/>
      </c>
    </row>
    <row r="1068">
      <c r="K1068" s="5">
        <f>IF(AND(IF($B$3="(todos)",TRUE,'ORDENES'!$O1064=$B$3),IF($D$3="(todos)",TRUE,'ORDENES'!$AH1064=$D$3),IF($F$3="(todos)",TRUE,'ORDENES'!$Z1064=$F$3),IF($H$3="(todos)",TRUE,'ORDENES'!$Y1064=$H$3),'ORDENES'!$AF1064=TRUE,'ORDENES'!$A1064&lt;&gt;""),1,0)</f>
        <v/>
      </c>
      <c r="L1068" s="5">
        <f>IF(K1068=1,IFERROR(MATCH('ORDENES'!$S1064,lista_dias,0),9)*1000000000+IFERROR(MATCH('ORDENES'!$AH1064,lista_turnos,0),9)*10000000+IFERROR(MATCH('ORDENES'!$AG1064,'TECNICOS'!$B$4:$B$19,0),99)*100000+1061,9000000000000+1061)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2">
        <f>IF(K1068=1,'ORDENES'!$J1064,"")</f>
        <v/>
      </c>
    </row>
    <row r="1069">
      <c r="K1069" s="5">
        <f>IF(AND(IF($B$3="(todos)",TRUE,'ORDENES'!$O1065=$B$3),IF($D$3="(todos)",TRUE,'ORDENES'!$AH1065=$D$3),IF($F$3="(todos)",TRUE,'ORDENES'!$Z1065=$F$3),IF($H$3="(todos)",TRUE,'ORDENES'!$Y1065=$H$3),'ORDENES'!$AF1065=TRUE,'ORDENES'!$A1065&lt;&gt;""),1,0)</f>
        <v/>
      </c>
      <c r="L1069" s="5">
        <f>IF(K1069=1,IFERROR(MATCH('ORDENES'!$S1065,lista_dias,0),9)*1000000000+IFERROR(MATCH('ORDENES'!$AH1065,lista_turnos,0),9)*10000000+IFERROR(MATCH('ORDENES'!$AG1065,'TECNICOS'!$B$4:$B$19,0),99)*100000+1062,9000000000000+1062)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2">
        <f>IF(K1069=1,'ORDENES'!$J1065,"")</f>
        <v/>
      </c>
    </row>
    <row r="1070">
      <c r="K1070" s="5">
        <f>IF(AND(IF($B$3="(todos)",TRUE,'ORDENES'!$O1066=$B$3),IF($D$3="(todos)",TRUE,'ORDENES'!$AH1066=$D$3),IF($F$3="(todos)",TRUE,'ORDENES'!$Z1066=$F$3),IF($H$3="(todos)",TRUE,'ORDENES'!$Y1066=$H$3),'ORDENES'!$AF1066=TRUE,'ORDENES'!$A1066&lt;&gt;""),1,0)</f>
        <v/>
      </c>
      <c r="L1070" s="5">
        <f>IF(K1070=1,IFERROR(MATCH('ORDENES'!$S1066,lista_dias,0),9)*1000000000+IFERROR(MATCH('ORDENES'!$AH1066,lista_turnos,0),9)*10000000+IFERROR(MATCH('ORDENES'!$AG1066,'TECNICOS'!$B$4:$B$19,0),99)*100000+1063,9000000000000+1063)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2">
        <f>IF(K1070=1,'ORDENES'!$J1066,"")</f>
        <v/>
      </c>
    </row>
    <row r="1071">
      <c r="K1071" s="5">
        <f>IF(AND(IF($B$3="(todos)",TRUE,'ORDENES'!$O1067=$B$3),IF($D$3="(todos)",TRUE,'ORDENES'!$AH1067=$D$3),IF($F$3="(todos)",TRUE,'ORDENES'!$Z1067=$F$3),IF($H$3="(todos)",TRUE,'ORDENES'!$Y1067=$H$3),'ORDENES'!$AF1067=TRUE,'ORDENES'!$A1067&lt;&gt;""),1,0)</f>
        <v/>
      </c>
      <c r="L1071" s="5">
        <f>IF(K1071=1,IFERROR(MATCH('ORDENES'!$S1067,lista_dias,0),9)*1000000000+IFERROR(MATCH('ORDENES'!$AH1067,lista_turnos,0),9)*10000000+IFERROR(MATCH('ORDENES'!$AG1067,'TECNICOS'!$B$4:$B$19,0),99)*100000+1064,9000000000000+1064)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2">
        <f>IF(K1071=1,'ORDENES'!$J1067,"")</f>
        <v/>
      </c>
    </row>
    <row r="1072">
      <c r="K1072" s="5">
        <f>IF(AND(IF($B$3="(todos)",TRUE,'ORDENES'!$O1068=$B$3),IF($D$3="(todos)",TRUE,'ORDENES'!$AH1068=$D$3),IF($F$3="(todos)",TRUE,'ORDENES'!$Z1068=$F$3),IF($H$3="(todos)",TRUE,'ORDENES'!$Y1068=$H$3),'ORDENES'!$AF1068=TRUE,'ORDENES'!$A1068&lt;&gt;""),1,0)</f>
        <v/>
      </c>
      <c r="L1072" s="5">
        <f>IF(K1072=1,IFERROR(MATCH('ORDENES'!$S1068,lista_dias,0),9)*1000000000+IFERROR(MATCH('ORDENES'!$AH1068,lista_turnos,0),9)*10000000+IFERROR(MATCH('ORDENES'!$AG1068,'TECNICOS'!$B$4:$B$19,0),99)*100000+1065,9000000000000+1065)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2">
        <f>IF(K1072=1,'ORDENES'!$J1068,"")</f>
        <v/>
      </c>
    </row>
    <row r="1073">
      <c r="K1073" s="5">
        <f>IF(AND(IF($B$3="(todos)",TRUE,'ORDENES'!$O1069=$B$3),IF($D$3="(todos)",TRUE,'ORDENES'!$AH1069=$D$3),IF($F$3="(todos)",TRUE,'ORDENES'!$Z1069=$F$3),IF($H$3="(todos)",TRUE,'ORDENES'!$Y1069=$H$3),'ORDENES'!$AF1069=TRUE,'ORDENES'!$A1069&lt;&gt;""),1,0)</f>
        <v/>
      </c>
      <c r="L1073" s="5">
        <f>IF(K1073=1,IFERROR(MATCH('ORDENES'!$S1069,lista_dias,0),9)*1000000000+IFERROR(MATCH('ORDENES'!$AH1069,lista_turnos,0),9)*10000000+IFERROR(MATCH('ORDENES'!$AG1069,'TECNICOS'!$B$4:$B$19,0),99)*100000+1066,9000000000000+1066)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2">
        <f>IF(K1073=1,'ORDENES'!$J1069,"")</f>
        <v/>
      </c>
    </row>
    <row r="1074">
      <c r="K1074" s="5">
        <f>IF(AND(IF($B$3="(todos)",TRUE,'ORDENES'!$O1070=$B$3),IF($D$3="(todos)",TRUE,'ORDENES'!$AH1070=$D$3),IF($F$3="(todos)",TRUE,'ORDENES'!$Z1070=$F$3),IF($H$3="(todos)",TRUE,'ORDENES'!$Y1070=$H$3),'ORDENES'!$AF1070=TRUE,'ORDENES'!$A1070&lt;&gt;""),1,0)</f>
        <v/>
      </c>
      <c r="L1074" s="5">
        <f>IF(K1074=1,IFERROR(MATCH('ORDENES'!$S1070,lista_dias,0),9)*1000000000+IFERROR(MATCH('ORDENES'!$AH1070,lista_turnos,0),9)*10000000+IFERROR(MATCH('ORDENES'!$AG1070,'TECNICOS'!$B$4:$B$19,0),99)*100000+1067,9000000000000+1067)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2">
        <f>IF(K1074=1,'ORDENES'!$J1070,"")</f>
        <v/>
      </c>
    </row>
    <row r="1075">
      <c r="K1075" s="5">
        <f>IF(AND(IF($B$3="(todos)",TRUE,'ORDENES'!$O1071=$B$3),IF($D$3="(todos)",TRUE,'ORDENES'!$AH1071=$D$3),IF($F$3="(todos)",TRUE,'ORDENES'!$Z1071=$F$3),IF($H$3="(todos)",TRUE,'ORDENES'!$Y1071=$H$3),'ORDENES'!$AF1071=TRUE,'ORDENES'!$A1071&lt;&gt;""),1,0)</f>
        <v/>
      </c>
      <c r="L1075" s="5">
        <f>IF(K1075=1,IFERROR(MATCH('ORDENES'!$S1071,lista_dias,0),9)*1000000000+IFERROR(MATCH('ORDENES'!$AH1071,lista_turnos,0),9)*10000000+IFERROR(MATCH('ORDENES'!$AG1071,'TECNICOS'!$B$4:$B$19,0),99)*100000+1068,9000000000000+1068)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2">
        <f>IF(K1075=1,'ORDENES'!$J1071,"")</f>
        <v/>
      </c>
    </row>
    <row r="1076">
      <c r="K1076" s="5">
        <f>IF(AND(IF($B$3="(todos)",TRUE,'ORDENES'!$O1072=$B$3),IF($D$3="(todos)",TRUE,'ORDENES'!$AH1072=$D$3),IF($F$3="(todos)",TRUE,'ORDENES'!$Z1072=$F$3),IF($H$3="(todos)",TRUE,'ORDENES'!$Y1072=$H$3),'ORDENES'!$AF1072=TRUE,'ORDENES'!$A1072&lt;&gt;""),1,0)</f>
        <v/>
      </c>
      <c r="L1076" s="5">
        <f>IF(K1076=1,IFERROR(MATCH('ORDENES'!$S1072,lista_dias,0),9)*1000000000+IFERROR(MATCH('ORDENES'!$AH1072,lista_turnos,0),9)*10000000+IFERROR(MATCH('ORDENES'!$AG1072,'TECNICOS'!$B$4:$B$19,0),99)*100000+1069,9000000000000+1069)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2">
        <f>IF(K1076=1,'ORDENES'!$J1072,"")</f>
        <v/>
      </c>
    </row>
    <row r="1077">
      <c r="K1077" s="5">
        <f>IF(AND(IF($B$3="(todos)",TRUE,'ORDENES'!$O1073=$B$3),IF($D$3="(todos)",TRUE,'ORDENES'!$AH1073=$D$3),IF($F$3="(todos)",TRUE,'ORDENES'!$Z1073=$F$3),IF($H$3="(todos)",TRUE,'ORDENES'!$Y1073=$H$3),'ORDENES'!$AF1073=TRUE,'ORDENES'!$A1073&lt;&gt;""),1,0)</f>
        <v/>
      </c>
      <c r="L1077" s="5">
        <f>IF(K1077=1,IFERROR(MATCH('ORDENES'!$S1073,lista_dias,0),9)*1000000000+IFERROR(MATCH('ORDENES'!$AH1073,lista_turnos,0),9)*10000000+IFERROR(MATCH('ORDENES'!$AG1073,'TECNICOS'!$B$4:$B$19,0),99)*100000+1070,9000000000000+1070)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2">
        <f>IF(K1077=1,'ORDENES'!$J1073,"")</f>
        <v/>
      </c>
    </row>
    <row r="1078">
      <c r="K1078" s="5">
        <f>IF(AND(IF($B$3="(todos)",TRUE,'ORDENES'!$O1074=$B$3),IF($D$3="(todos)",TRUE,'ORDENES'!$AH1074=$D$3),IF($F$3="(todos)",TRUE,'ORDENES'!$Z1074=$F$3),IF($H$3="(todos)",TRUE,'ORDENES'!$Y1074=$H$3),'ORDENES'!$AF1074=TRUE,'ORDENES'!$A1074&lt;&gt;""),1,0)</f>
        <v/>
      </c>
      <c r="L1078" s="5">
        <f>IF(K1078=1,IFERROR(MATCH('ORDENES'!$S1074,lista_dias,0),9)*1000000000+IFERROR(MATCH('ORDENES'!$AH1074,lista_turnos,0),9)*10000000+IFERROR(MATCH('ORDENES'!$AG1074,'TECNICOS'!$B$4:$B$19,0),99)*100000+1071,9000000000000+1071)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2">
        <f>IF(K1078=1,'ORDENES'!$J1074,"")</f>
        <v/>
      </c>
    </row>
    <row r="1079">
      <c r="K1079" s="5">
        <f>IF(AND(IF($B$3="(todos)",TRUE,'ORDENES'!$O1075=$B$3),IF($D$3="(todos)",TRUE,'ORDENES'!$AH1075=$D$3),IF($F$3="(todos)",TRUE,'ORDENES'!$Z1075=$F$3),IF($H$3="(todos)",TRUE,'ORDENES'!$Y1075=$H$3),'ORDENES'!$AF1075=TRUE,'ORDENES'!$A1075&lt;&gt;""),1,0)</f>
        <v/>
      </c>
      <c r="L1079" s="5">
        <f>IF(K1079=1,IFERROR(MATCH('ORDENES'!$S1075,lista_dias,0),9)*1000000000+IFERROR(MATCH('ORDENES'!$AH1075,lista_turnos,0),9)*10000000+IFERROR(MATCH('ORDENES'!$AG1075,'TECNICOS'!$B$4:$B$19,0),99)*100000+1072,9000000000000+1072)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2">
        <f>IF(K1079=1,'ORDENES'!$J1075,"")</f>
        <v/>
      </c>
    </row>
    <row r="1080">
      <c r="K1080" s="5">
        <f>IF(AND(IF($B$3="(todos)",TRUE,'ORDENES'!$O1076=$B$3),IF($D$3="(todos)",TRUE,'ORDENES'!$AH1076=$D$3),IF($F$3="(todos)",TRUE,'ORDENES'!$Z1076=$F$3),IF($H$3="(todos)",TRUE,'ORDENES'!$Y1076=$H$3),'ORDENES'!$AF1076=TRUE,'ORDENES'!$A1076&lt;&gt;""),1,0)</f>
        <v/>
      </c>
      <c r="L1080" s="5">
        <f>IF(K1080=1,IFERROR(MATCH('ORDENES'!$S1076,lista_dias,0),9)*1000000000+IFERROR(MATCH('ORDENES'!$AH1076,lista_turnos,0),9)*10000000+IFERROR(MATCH('ORDENES'!$AG1076,'TECNICOS'!$B$4:$B$19,0),99)*100000+1073,9000000000000+1073)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2">
        <f>IF(K1080=1,'ORDENES'!$J1076,"")</f>
        <v/>
      </c>
    </row>
    <row r="1081">
      <c r="K1081" s="5">
        <f>IF(AND(IF($B$3="(todos)",TRUE,'ORDENES'!$O1077=$B$3),IF($D$3="(todos)",TRUE,'ORDENES'!$AH1077=$D$3),IF($F$3="(todos)",TRUE,'ORDENES'!$Z1077=$F$3),IF($H$3="(todos)",TRUE,'ORDENES'!$Y1077=$H$3),'ORDENES'!$AF1077=TRUE,'ORDENES'!$A1077&lt;&gt;""),1,0)</f>
        <v/>
      </c>
      <c r="L1081" s="5">
        <f>IF(K1081=1,IFERROR(MATCH('ORDENES'!$S1077,lista_dias,0),9)*1000000000+IFERROR(MATCH('ORDENES'!$AH1077,lista_turnos,0),9)*10000000+IFERROR(MATCH('ORDENES'!$AG1077,'TECNICOS'!$B$4:$B$19,0),99)*100000+1074,9000000000000+1074)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2">
        <f>IF(K1081=1,'ORDENES'!$J1077,"")</f>
        <v/>
      </c>
    </row>
    <row r="1082">
      <c r="K1082" s="5">
        <f>IF(AND(IF($B$3="(todos)",TRUE,'ORDENES'!$O1078=$B$3),IF($D$3="(todos)",TRUE,'ORDENES'!$AH1078=$D$3),IF($F$3="(todos)",TRUE,'ORDENES'!$Z1078=$F$3),IF($H$3="(todos)",TRUE,'ORDENES'!$Y1078=$H$3),'ORDENES'!$AF1078=TRUE,'ORDENES'!$A1078&lt;&gt;""),1,0)</f>
        <v/>
      </c>
      <c r="L1082" s="5">
        <f>IF(K1082=1,IFERROR(MATCH('ORDENES'!$S1078,lista_dias,0),9)*1000000000+IFERROR(MATCH('ORDENES'!$AH1078,lista_turnos,0),9)*10000000+IFERROR(MATCH('ORDENES'!$AG1078,'TECNICOS'!$B$4:$B$19,0),99)*100000+1075,9000000000000+1075)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2">
        <f>IF(K1082=1,'ORDENES'!$J1078,"")</f>
        <v/>
      </c>
    </row>
    <row r="1083">
      <c r="K1083" s="5">
        <f>IF(AND(IF($B$3="(todos)",TRUE,'ORDENES'!$O1079=$B$3),IF($D$3="(todos)",TRUE,'ORDENES'!$AH1079=$D$3),IF($F$3="(todos)",TRUE,'ORDENES'!$Z1079=$F$3),IF($H$3="(todos)",TRUE,'ORDENES'!$Y1079=$H$3),'ORDENES'!$AF1079=TRUE,'ORDENES'!$A1079&lt;&gt;""),1,0)</f>
        <v/>
      </c>
      <c r="L1083" s="5">
        <f>IF(K1083=1,IFERROR(MATCH('ORDENES'!$S1079,lista_dias,0),9)*1000000000+IFERROR(MATCH('ORDENES'!$AH1079,lista_turnos,0),9)*10000000+IFERROR(MATCH('ORDENES'!$AG1079,'TECNICOS'!$B$4:$B$19,0),99)*100000+1076,9000000000000+1076)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2">
        <f>IF(K1083=1,'ORDENES'!$J1079,"")</f>
        <v/>
      </c>
    </row>
    <row r="1084">
      <c r="K1084" s="5">
        <f>IF(AND(IF($B$3="(todos)",TRUE,'ORDENES'!$O1080=$B$3),IF($D$3="(todos)",TRUE,'ORDENES'!$AH1080=$D$3),IF($F$3="(todos)",TRUE,'ORDENES'!$Z1080=$F$3),IF($H$3="(todos)",TRUE,'ORDENES'!$Y1080=$H$3),'ORDENES'!$AF1080=TRUE,'ORDENES'!$A1080&lt;&gt;""),1,0)</f>
        <v/>
      </c>
      <c r="L1084" s="5">
        <f>IF(K1084=1,IFERROR(MATCH('ORDENES'!$S1080,lista_dias,0),9)*1000000000+IFERROR(MATCH('ORDENES'!$AH1080,lista_turnos,0),9)*10000000+IFERROR(MATCH('ORDENES'!$AG1080,'TECNICOS'!$B$4:$B$19,0),99)*100000+1077,9000000000000+1077)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2">
        <f>IF(K1084=1,'ORDENES'!$J1080,"")</f>
        <v/>
      </c>
    </row>
    <row r="1085">
      <c r="K1085" s="5">
        <f>IF(AND(IF($B$3="(todos)",TRUE,'ORDENES'!$O1081=$B$3),IF($D$3="(todos)",TRUE,'ORDENES'!$AH1081=$D$3),IF($F$3="(todos)",TRUE,'ORDENES'!$Z1081=$F$3),IF($H$3="(todos)",TRUE,'ORDENES'!$Y1081=$H$3),'ORDENES'!$AF1081=TRUE,'ORDENES'!$A1081&lt;&gt;""),1,0)</f>
        <v/>
      </c>
      <c r="L1085" s="5">
        <f>IF(K1085=1,IFERROR(MATCH('ORDENES'!$S1081,lista_dias,0),9)*1000000000+IFERROR(MATCH('ORDENES'!$AH1081,lista_turnos,0),9)*10000000+IFERROR(MATCH('ORDENES'!$AG1081,'TECNICOS'!$B$4:$B$19,0),99)*100000+1078,9000000000000+1078)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2">
        <f>IF(K1085=1,'ORDENES'!$J1081,"")</f>
        <v/>
      </c>
    </row>
    <row r="1086">
      <c r="K1086" s="5">
        <f>IF(AND(IF($B$3="(todos)",TRUE,'ORDENES'!$O1082=$B$3),IF($D$3="(todos)",TRUE,'ORDENES'!$AH1082=$D$3),IF($F$3="(todos)",TRUE,'ORDENES'!$Z1082=$F$3),IF($H$3="(todos)",TRUE,'ORDENES'!$Y1082=$H$3),'ORDENES'!$AF1082=TRUE,'ORDENES'!$A1082&lt;&gt;""),1,0)</f>
        <v/>
      </c>
      <c r="L1086" s="5">
        <f>IF(K1086=1,IFERROR(MATCH('ORDENES'!$S1082,lista_dias,0),9)*1000000000+IFERROR(MATCH('ORDENES'!$AH1082,lista_turnos,0),9)*10000000+IFERROR(MATCH('ORDENES'!$AG1082,'TECNICOS'!$B$4:$B$19,0),99)*100000+1079,9000000000000+1079)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2">
        <f>IF(K1086=1,'ORDENES'!$J1082,"")</f>
        <v/>
      </c>
    </row>
    <row r="1087">
      <c r="K1087" s="5">
        <f>IF(AND(IF($B$3="(todos)",TRUE,'ORDENES'!$O1083=$B$3),IF($D$3="(todos)",TRUE,'ORDENES'!$AH1083=$D$3),IF($F$3="(todos)",TRUE,'ORDENES'!$Z1083=$F$3),IF($H$3="(todos)",TRUE,'ORDENES'!$Y1083=$H$3),'ORDENES'!$AF1083=TRUE,'ORDENES'!$A1083&lt;&gt;""),1,0)</f>
        <v/>
      </c>
      <c r="L1087" s="5">
        <f>IF(K1087=1,IFERROR(MATCH('ORDENES'!$S1083,lista_dias,0),9)*1000000000+IFERROR(MATCH('ORDENES'!$AH1083,lista_turnos,0),9)*10000000+IFERROR(MATCH('ORDENES'!$AG1083,'TECNICOS'!$B$4:$B$19,0),99)*100000+1080,9000000000000+1080)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2">
        <f>IF(K1087=1,'ORDENES'!$J1083,"")</f>
        <v/>
      </c>
    </row>
    <row r="1088">
      <c r="K1088" s="5">
        <f>IF(AND(IF($B$3="(todos)",TRUE,'ORDENES'!$O1084=$B$3),IF($D$3="(todos)",TRUE,'ORDENES'!$AH1084=$D$3),IF($F$3="(todos)",TRUE,'ORDENES'!$Z1084=$F$3),IF($H$3="(todos)",TRUE,'ORDENES'!$Y1084=$H$3),'ORDENES'!$AF1084=TRUE,'ORDENES'!$A1084&lt;&gt;""),1,0)</f>
        <v/>
      </c>
      <c r="L1088" s="5">
        <f>IF(K1088=1,IFERROR(MATCH('ORDENES'!$S1084,lista_dias,0),9)*1000000000+IFERROR(MATCH('ORDENES'!$AH1084,lista_turnos,0),9)*10000000+IFERROR(MATCH('ORDENES'!$AG1084,'TECNICOS'!$B$4:$B$19,0),99)*100000+1081,9000000000000+1081)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2">
        <f>IF(K1088=1,'ORDENES'!$J1084,"")</f>
        <v/>
      </c>
    </row>
    <row r="1089">
      <c r="K1089" s="5">
        <f>IF(AND(IF($B$3="(todos)",TRUE,'ORDENES'!$O1085=$B$3),IF($D$3="(todos)",TRUE,'ORDENES'!$AH1085=$D$3),IF($F$3="(todos)",TRUE,'ORDENES'!$Z1085=$F$3),IF($H$3="(todos)",TRUE,'ORDENES'!$Y1085=$H$3),'ORDENES'!$AF1085=TRUE,'ORDENES'!$A1085&lt;&gt;""),1,0)</f>
        <v/>
      </c>
      <c r="L1089" s="5">
        <f>IF(K1089=1,IFERROR(MATCH('ORDENES'!$S1085,lista_dias,0),9)*1000000000+IFERROR(MATCH('ORDENES'!$AH1085,lista_turnos,0),9)*10000000+IFERROR(MATCH('ORDENES'!$AG1085,'TECNICOS'!$B$4:$B$19,0),99)*100000+1082,9000000000000+1082)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2">
        <f>IF(K1089=1,'ORDENES'!$J1085,"")</f>
        <v/>
      </c>
    </row>
    <row r="1090">
      <c r="K1090" s="5">
        <f>IF(AND(IF($B$3="(todos)",TRUE,'ORDENES'!$O1086=$B$3),IF($D$3="(todos)",TRUE,'ORDENES'!$AH1086=$D$3),IF($F$3="(todos)",TRUE,'ORDENES'!$Z1086=$F$3),IF($H$3="(todos)",TRUE,'ORDENES'!$Y1086=$H$3),'ORDENES'!$AF1086=TRUE,'ORDENES'!$A1086&lt;&gt;""),1,0)</f>
        <v/>
      </c>
      <c r="L1090" s="5">
        <f>IF(K1090=1,IFERROR(MATCH('ORDENES'!$S1086,lista_dias,0),9)*1000000000+IFERROR(MATCH('ORDENES'!$AH1086,lista_turnos,0),9)*10000000+IFERROR(MATCH('ORDENES'!$AG1086,'TECNICOS'!$B$4:$B$19,0),99)*100000+1083,9000000000000+1083)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2">
        <f>IF(K1090=1,'ORDENES'!$J1086,"")</f>
        <v/>
      </c>
    </row>
    <row r="1091">
      <c r="K1091" s="5">
        <f>IF(AND(IF($B$3="(todos)",TRUE,'ORDENES'!$O1087=$B$3),IF($D$3="(todos)",TRUE,'ORDENES'!$AH1087=$D$3),IF($F$3="(todos)",TRUE,'ORDENES'!$Z1087=$F$3),IF($H$3="(todos)",TRUE,'ORDENES'!$Y1087=$H$3),'ORDENES'!$AF1087=TRUE,'ORDENES'!$A1087&lt;&gt;""),1,0)</f>
        <v/>
      </c>
      <c r="L1091" s="5">
        <f>IF(K1091=1,IFERROR(MATCH('ORDENES'!$S1087,lista_dias,0),9)*1000000000+IFERROR(MATCH('ORDENES'!$AH1087,lista_turnos,0),9)*10000000+IFERROR(MATCH('ORDENES'!$AG1087,'TECNICOS'!$B$4:$B$19,0),99)*100000+1084,9000000000000+1084)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2">
        <f>IF(K1091=1,'ORDENES'!$J1087,"")</f>
        <v/>
      </c>
    </row>
    <row r="1092">
      <c r="K1092" s="5">
        <f>IF(AND(IF($B$3="(todos)",TRUE,'ORDENES'!$O1088=$B$3),IF($D$3="(todos)",TRUE,'ORDENES'!$AH1088=$D$3),IF($F$3="(todos)",TRUE,'ORDENES'!$Z1088=$F$3),IF($H$3="(todos)",TRUE,'ORDENES'!$Y1088=$H$3),'ORDENES'!$AF1088=TRUE,'ORDENES'!$A1088&lt;&gt;""),1,0)</f>
        <v/>
      </c>
      <c r="L1092" s="5">
        <f>IF(K1092=1,IFERROR(MATCH('ORDENES'!$S1088,lista_dias,0),9)*1000000000+IFERROR(MATCH('ORDENES'!$AH1088,lista_turnos,0),9)*10000000+IFERROR(MATCH('ORDENES'!$AG1088,'TECNICOS'!$B$4:$B$19,0),99)*100000+1085,9000000000000+1085)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2">
        <f>IF(K1092=1,'ORDENES'!$J1088,"")</f>
        <v/>
      </c>
    </row>
    <row r="1093">
      <c r="K1093" s="5">
        <f>IF(AND(IF($B$3="(todos)",TRUE,'ORDENES'!$O1089=$B$3),IF($D$3="(todos)",TRUE,'ORDENES'!$AH1089=$D$3),IF($F$3="(todos)",TRUE,'ORDENES'!$Z1089=$F$3),IF($H$3="(todos)",TRUE,'ORDENES'!$Y1089=$H$3),'ORDENES'!$AF1089=TRUE,'ORDENES'!$A1089&lt;&gt;""),1,0)</f>
        <v/>
      </c>
      <c r="L1093" s="5">
        <f>IF(K1093=1,IFERROR(MATCH('ORDENES'!$S1089,lista_dias,0),9)*1000000000+IFERROR(MATCH('ORDENES'!$AH1089,lista_turnos,0),9)*10000000+IFERROR(MATCH('ORDENES'!$AG1089,'TECNICOS'!$B$4:$B$19,0),99)*100000+1086,9000000000000+1086)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2">
        <f>IF(K1093=1,'ORDENES'!$J1089,"")</f>
        <v/>
      </c>
    </row>
    <row r="1094">
      <c r="K1094" s="5">
        <f>IF(AND(IF($B$3="(todos)",TRUE,'ORDENES'!$O1090=$B$3),IF($D$3="(todos)",TRUE,'ORDENES'!$AH1090=$D$3),IF($F$3="(todos)",TRUE,'ORDENES'!$Z1090=$F$3),IF($H$3="(todos)",TRUE,'ORDENES'!$Y1090=$H$3),'ORDENES'!$AF1090=TRUE,'ORDENES'!$A1090&lt;&gt;""),1,0)</f>
        <v/>
      </c>
      <c r="L1094" s="5">
        <f>IF(K1094=1,IFERROR(MATCH('ORDENES'!$S1090,lista_dias,0),9)*1000000000+IFERROR(MATCH('ORDENES'!$AH1090,lista_turnos,0),9)*10000000+IFERROR(MATCH('ORDENES'!$AG1090,'TECNICOS'!$B$4:$B$19,0),99)*100000+1087,9000000000000+1087)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2">
        <f>IF(K1094=1,'ORDENES'!$J1090,"")</f>
        <v/>
      </c>
    </row>
    <row r="1095">
      <c r="K1095" s="5">
        <f>IF(AND(IF($B$3="(todos)",TRUE,'ORDENES'!$O1091=$B$3),IF($D$3="(todos)",TRUE,'ORDENES'!$AH1091=$D$3),IF($F$3="(todos)",TRUE,'ORDENES'!$Z1091=$F$3),IF($H$3="(todos)",TRUE,'ORDENES'!$Y1091=$H$3),'ORDENES'!$AF1091=TRUE,'ORDENES'!$A1091&lt;&gt;""),1,0)</f>
        <v/>
      </c>
      <c r="L1095" s="5">
        <f>IF(K1095=1,IFERROR(MATCH('ORDENES'!$S1091,lista_dias,0),9)*1000000000+IFERROR(MATCH('ORDENES'!$AH1091,lista_turnos,0),9)*10000000+IFERROR(MATCH('ORDENES'!$AG1091,'TECNICOS'!$B$4:$B$19,0),99)*100000+1088,9000000000000+1088)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2">
        <f>IF(K1095=1,'ORDENES'!$J1091,"")</f>
        <v/>
      </c>
    </row>
    <row r="1096">
      <c r="K1096" s="5">
        <f>IF(AND(IF($B$3="(todos)",TRUE,'ORDENES'!$O1092=$B$3),IF($D$3="(todos)",TRUE,'ORDENES'!$AH1092=$D$3),IF($F$3="(todos)",TRUE,'ORDENES'!$Z1092=$F$3),IF($H$3="(todos)",TRUE,'ORDENES'!$Y1092=$H$3),'ORDENES'!$AF1092=TRUE,'ORDENES'!$A1092&lt;&gt;""),1,0)</f>
        <v/>
      </c>
      <c r="L1096" s="5">
        <f>IF(K1096=1,IFERROR(MATCH('ORDENES'!$S1092,lista_dias,0),9)*1000000000+IFERROR(MATCH('ORDENES'!$AH1092,lista_turnos,0),9)*10000000+IFERROR(MATCH('ORDENES'!$AG1092,'TECNICOS'!$B$4:$B$19,0),99)*100000+1089,9000000000000+1089)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2">
        <f>IF(K1096=1,'ORDENES'!$J1092,"")</f>
        <v/>
      </c>
    </row>
    <row r="1097">
      <c r="K1097" s="5">
        <f>IF(AND(IF($B$3="(todos)",TRUE,'ORDENES'!$O1093=$B$3),IF($D$3="(todos)",TRUE,'ORDENES'!$AH1093=$D$3),IF($F$3="(todos)",TRUE,'ORDENES'!$Z1093=$F$3),IF($H$3="(todos)",TRUE,'ORDENES'!$Y1093=$H$3),'ORDENES'!$AF1093=TRUE,'ORDENES'!$A1093&lt;&gt;""),1,0)</f>
        <v/>
      </c>
      <c r="L1097" s="5">
        <f>IF(K1097=1,IFERROR(MATCH('ORDENES'!$S1093,lista_dias,0),9)*1000000000+IFERROR(MATCH('ORDENES'!$AH1093,lista_turnos,0),9)*10000000+IFERROR(MATCH('ORDENES'!$AG1093,'TECNICOS'!$B$4:$B$19,0),99)*100000+1090,9000000000000+1090)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2">
        <f>IF(K1097=1,'ORDENES'!$J1093,"")</f>
        <v/>
      </c>
    </row>
    <row r="1098">
      <c r="K1098" s="5">
        <f>IF(AND(IF($B$3="(todos)",TRUE,'ORDENES'!$O1094=$B$3),IF($D$3="(todos)",TRUE,'ORDENES'!$AH1094=$D$3),IF($F$3="(todos)",TRUE,'ORDENES'!$Z1094=$F$3),IF($H$3="(todos)",TRUE,'ORDENES'!$Y1094=$H$3),'ORDENES'!$AF1094=TRUE,'ORDENES'!$A1094&lt;&gt;""),1,0)</f>
        <v/>
      </c>
      <c r="L1098" s="5">
        <f>IF(K1098=1,IFERROR(MATCH('ORDENES'!$S1094,lista_dias,0),9)*1000000000+IFERROR(MATCH('ORDENES'!$AH1094,lista_turnos,0),9)*10000000+IFERROR(MATCH('ORDENES'!$AG1094,'TECNICOS'!$B$4:$B$19,0),99)*100000+1091,9000000000000+1091)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2">
        <f>IF(K1098=1,'ORDENES'!$J1094,"")</f>
        <v/>
      </c>
    </row>
    <row r="1099">
      <c r="K1099" s="5">
        <f>IF(AND(IF($B$3="(todos)",TRUE,'ORDENES'!$O1095=$B$3),IF($D$3="(todos)",TRUE,'ORDENES'!$AH1095=$D$3),IF($F$3="(todos)",TRUE,'ORDENES'!$Z1095=$F$3),IF($H$3="(todos)",TRUE,'ORDENES'!$Y1095=$H$3),'ORDENES'!$AF1095=TRUE,'ORDENES'!$A1095&lt;&gt;""),1,0)</f>
        <v/>
      </c>
      <c r="L1099" s="5">
        <f>IF(K1099=1,IFERROR(MATCH('ORDENES'!$S1095,lista_dias,0),9)*1000000000+IFERROR(MATCH('ORDENES'!$AH1095,lista_turnos,0),9)*10000000+IFERROR(MATCH('ORDENES'!$AG1095,'TECNICOS'!$B$4:$B$19,0),99)*100000+1092,9000000000000+1092)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2">
        <f>IF(K1099=1,'ORDENES'!$J1095,"")</f>
        <v/>
      </c>
    </row>
    <row r="1100">
      <c r="K1100" s="5">
        <f>IF(AND(IF($B$3="(todos)",TRUE,'ORDENES'!$O1096=$B$3),IF($D$3="(todos)",TRUE,'ORDENES'!$AH1096=$D$3),IF($F$3="(todos)",TRUE,'ORDENES'!$Z1096=$F$3),IF($H$3="(todos)",TRUE,'ORDENES'!$Y1096=$H$3),'ORDENES'!$AF1096=TRUE,'ORDENES'!$A1096&lt;&gt;""),1,0)</f>
        <v/>
      </c>
      <c r="L1100" s="5">
        <f>IF(K1100=1,IFERROR(MATCH('ORDENES'!$S1096,lista_dias,0),9)*1000000000+IFERROR(MATCH('ORDENES'!$AH1096,lista_turnos,0),9)*10000000+IFERROR(MATCH('ORDENES'!$AG1096,'TECNICOS'!$B$4:$B$19,0),99)*100000+1093,9000000000000+1093)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2">
        <f>IF(K1100=1,'ORDENES'!$J1096,"")</f>
        <v/>
      </c>
    </row>
    <row r="1101">
      <c r="K1101" s="5">
        <f>IF(AND(IF($B$3="(todos)",TRUE,'ORDENES'!$O1097=$B$3),IF($D$3="(todos)",TRUE,'ORDENES'!$AH1097=$D$3),IF($F$3="(todos)",TRUE,'ORDENES'!$Z1097=$F$3),IF($H$3="(todos)",TRUE,'ORDENES'!$Y1097=$H$3),'ORDENES'!$AF1097=TRUE,'ORDENES'!$A1097&lt;&gt;""),1,0)</f>
        <v/>
      </c>
      <c r="L1101" s="5">
        <f>IF(K1101=1,IFERROR(MATCH('ORDENES'!$S1097,lista_dias,0),9)*1000000000+IFERROR(MATCH('ORDENES'!$AH1097,lista_turnos,0),9)*10000000+IFERROR(MATCH('ORDENES'!$AG1097,'TECNICOS'!$B$4:$B$19,0),99)*100000+1094,9000000000000+1094)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2">
        <f>IF(K1101=1,'ORDENES'!$J1097,"")</f>
        <v/>
      </c>
    </row>
    <row r="1102">
      <c r="K1102" s="5">
        <f>IF(AND(IF($B$3="(todos)",TRUE,'ORDENES'!$O1098=$B$3),IF($D$3="(todos)",TRUE,'ORDENES'!$AH1098=$D$3),IF($F$3="(todos)",TRUE,'ORDENES'!$Z1098=$F$3),IF($H$3="(todos)",TRUE,'ORDENES'!$Y1098=$H$3),'ORDENES'!$AF1098=TRUE,'ORDENES'!$A1098&lt;&gt;""),1,0)</f>
        <v/>
      </c>
      <c r="L1102" s="5">
        <f>IF(K1102=1,IFERROR(MATCH('ORDENES'!$S1098,lista_dias,0),9)*1000000000+IFERROR(MATCH('ORDENES'!$AH1098,lista_turnos,0),9)*10000000+IFERROR(MATCH('ORDENES'!$AG1098,'TECNICOS'!$B$4:$B$19,0),99)*100000+1095,9000000000000+1095)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2">
        <f>IF(K1102=1,'ORDENES'!$J1098,"")</f>
        <v/>
      </c>
    </row>
    <row r="1103">
      <c r="K1103" s="5">
        <f>IF(AND(IF($B$3="(todos)",TRUE,'ORDENES'!$O1099=$B$3),IF($D$3="(todos)",TRUE,'ORDENES'!$AH1099=$D$3),IF($F$3="(todos)",TRUE,'ORDENES'!$Z1099=$F$3),IF($H$3="(todos)",TRUE,'ORDENES'!$Y1099=$H$3),'ORDENES'!$AF1099=TRUE,'ORDENES'!$A1099&lt;&gt;""),1,0)</f>
        <v/>
      </c>
      <c r="L1103" s="5">
        <f>IF(K1103=1,IFERROR(MATCH('ORDENES'!$S1099,lista_dias,0),9)*1000000000+IFERROR(MATCH('ORDENES'!$AH1099,lista_turnos,0),9)*10000000+IFERROR(MATCH('ORDENES'!$AG1099,'TECNICOS'!$B$4:$B$19,0),99)*100000+1096,9000000000000+1096)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2">
        <f>IF(K1103=1,'ORDENES'!$J1099,"")</f>
        <v/>
      </c>
    </row>
    <row r="1104">
      <c r="K1104" s="5">
        <f>IF(AND(IF($B$3="(todos)",TRUE,'ORDENES'!$O1100=$B$3),IF($D$3="(todos)",TRUE,'ORDENES'!$AH1100=$D$3),IF($F$3="(todos)",TRUE,'ORDENES'!$Z1100=$F$3),IF($H$3="(todos)",TRUE,'ORDENES'!$Y1100=$H$3),'ORDENES'!$AF1100=TRUE,'ORDENES'!$A1100&lt;&gt;""),1,0)</f>
        <v/>
      </c>
      <c r="L1104" s="5">
        <f>IF(K1104=1,IFERROR(MATCH('ORDENES'!$S1100,lista_dias,0),9)*1000000000+IFERROR(MATCH('ORDENES'!$AH1100,lista_turnos,0),9)*10000000+IFERROR(MATCH('ORDENES'!$AG1100,'TECNICOS'!$B$4:$B$19,0),99)*100000+1097,9000000000000+1097)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2">
        <f>IF(K1104=1,'ORDENES'!$J1100,"")</f>
        <v/>
      </c>
    </row>
    <row r="1105">
      <c r="K1105" s="5">
        <f>IF(AND(IF($B$3="(todos)",TRUE,'ORDENES'!$O1101=$B$3),IF($D$3="(todos)",TRUE,'ORDENES'!$AH1101=$D$3),IF($F$3="(todos)",TRUE,'ORDENES'!$Z1101=$F$3),IF($H$3="(todos)",TRUE,'ORDENES'!$Y1101=$H$3),'ORDENES'!$AF1101=TRUE,'ORDENES'!$A1101&lt;&gt;""),1,0)</f>
        <v/>
      </c>
      <c r="L1105" s="5">
        <f>IF(K1105=1,IFERROR(MATCH('ORDENES'!$S1101,lista_dias,0),9)*1000000000+IFERROR(MATCH('ORDENES'!$AH1101,lista_turnos,0),9)*10000000+IFERROR(MATCH('ORDENES'!$AG1101,'TECNICOS'!$B$4:$B$19,0),99)*100000+1098,9000000000000+1098)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2">
        <f>IF(K1105=1,'ORDENES'!$J1101,"")</f>
        <v/>
      </c>
    </row>
    <row r="1106">
      <c r="K1106" s="5">
        <f>IF(AND(IF($B$3="(todos)",TRUE,'ORDENES'!$O1102=$B$3),IF($D$3="(todos)",TRUE,'ORDENES'!$AH1102=$D$3),IF($F$3="(todos)",TRUE,'ORDENES'!$Z1102=$F$3),IF($H$3="(todos)",TRUE,'ORDENES'!$Y1102=$H$3),'ORDENES'!$AF1102=TRUE,'ORDENES'!$A1102&lt;&gt;""),1,0)</f>
        <v/>
      </c>
      <c r="L1106" s="5">
        <f>IF(K1106=1,IFERROR(MATCH('ORDENES'!$S1102,lista_dias,0),9)*1000000000+IFERROR(MATCH('ORDENES'!$AH1102,lista_turnos,0),9)*10000000+IFERROR(MATCH('ORDENES'!$AG1102,'TECNICOS'!$B$4:$B$19,0),99)*100000+1099,9000000000000+1099)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2">
        <f>IF(K1106=1,'ORDENES'!$J1102,"")</f>
        <v/>
      </c>
    </row>
    <row r="1107">
      <c r="K1107" s="5">
        <f>IF(AND(IF($B$3="(todos)",TRUE,'ORDENES'!$O1103=$B$3),IF($D$3="(todos)",TRUE,'ORDENES'!$AH1103=$D$3),IF($F$3="(todos)",TRUE,'ORDENES'!$Z1103=$F$3),IF($H$3="(todos)",TRUE,'ORDENES'!$Y1103=$H$3),'ORDENES'!$AF1103=TRUE,'ORDENES'!$A1103&lt;&gt;""),1,0)</f>
        <v/>
      </c>
      <c r="L1107" s="5">
        <f>IF(K1107=1,IFERROR(MATCH('ORDENES'!$S1103,lista_dias,0),9)*1000000000+IFERROR(MATCH('ORDENES'!$AH1103,lista_turnos,0),9)*10000000+IFERROR(MATCH('ORDENES'!$AG1103,'TECNICOS'!$B$4:$B$19,0),99)*100000+1100,9000000000000+1100)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2">
        <f>IF(K1107=1,'ORDENES'!$J1103,"")</f>
        <v/>
      </c>
    </row>
    <row r="1108">
      <c r="K1108" s="5">
        <f>IF(AND(IF($B$3="(todos)",TRUE,'ORDENES'!$O1104=$B$3),IF($D$3="(todos)",TRUE,'ORDENES'!$AH1104=$D$3),IF($F$3="(todos)",TRUE,'ORDENES'!$Z1104=$F$3),IF($H$3="(todos)",TRUE,'ORDENES'!$Y1104=$H$3),'ORDENES'!$AF1104=TRUE,'ORDENES'!$A1104&lt;&gt;""),1,0)</f>
        <v/>
      </c>
      <c r="L1108" s="5">
        <f>IF(K1108=1,IFERROR(MATCH('ORDENES'!$S1104,lista_dias,0),9)*1000000000+IFERROR(MATCH('ORDENES'!$AH1104,lista_turnos,0),9)*10000000+IFERROR(MATCH('ORDENES'!$AG1104,'TECNICOS'!$B$4:$B$19,0),99)*100000+1101,9000000000000+1101)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2">
        <f>IF(K1108=1,'ORDENES'!$J1104,"")</f>
        <v/>
      </c>
    </row>
    <row r="1109">
      <c r="K1109" s="5">
        <f>IF(AND(IF($B$3="(todos)",TRUE,'ORDENES'!$O1105=$B$3),IF($D$3="(todos)",TRUE,'ORDENES'!$AH1105=$D$3),IF($F$3="(todos)",TRUE,'ORDENES'!$Z1105=$F$3),IF($H$3="(todos)",TRUE,'ORDENES'!$Y1105=$H$3),'ORDENES'!$AF1105=TRUE,'ORDENES'!$A1105&lt;&gt;""),1,0)</f>
        <v/>
      </c>
      <c r="L1109" s="5">
        <f>IF(K1109=1,IFERROR(MATCH('ORDENES'!$S1105,lista_dias,0),9)*1000000000+IFERROR(MATCH('ORDENES'!$AH1105,lista_turnos,0),9)*10000000+IFERROR(MATCH('ORDENES'!$AG1105,'TECNICOS'!$B$4:$B$19,0),99)*100000+1102,9000000000000+1102)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2">
        <f>IF(K1109=1,'ORDENES'!$J1105,"")</f>
        <v/>
      </c>
    </row>
    <row r="1110">
      <c r="K1110" s="5">
        <f>IF(AND(IF($B$3="(todos)",TRUE,'ORDENES'!$O1106=$B$3),IF($D$3="(todos)",TRUE,'ORDENES'!$AH1106=$D$3),IF($F$3="(todos)",TRUE,'ORDENES'!$Z1106=$F$3),IF($H$3="(todos)",TRUE,'ORDENES'!$Y1106=$H$3),'ORDENES'!$AF1106=TRUE,'ORDENES'!$A1106&lt;&gt;""),1,0)</f>
        <v/>
      </c>
      <c r="L1110" s="5">
        <f>IF(K1110=1,IFERROR(MATCH('ORDENES'!$S1106,lista_dias,0),9)*1000000000+IFERROR(MATCH('ORDENES'!$AH1106,lista_turnos,0),9)*10000000+IFERROR(MATCH('ORDENES'!$AG1106,'TECNICOS'!$B$4:$B$19,0),99)*100000+1103,9000000000000+1103)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2">
        <f>IF(K1110=1,'ORDENES'!$J1106,"")</f>
        <v/>
      </c>
    </row>
    <row r="1111">
      <c r="K1111" s="5">
        <f>IF(AND(IF($B$3="(todos)",TRUE,'ORDENES'!$O1107=$B$3),IF($D$3="(todos)",TRUE,'ORDENES'!$AH1107=$D$3),IF($F$3="(todos)",TRUE,'ORDENES'!$Z1107=$F$3),IF($H$3="(todos)",TRUE,'ORDENES'!$Y1107=$H$3),'ORDENES'!$AF1107=TRUE,'ORDENES'!$A1107&lt;&gt;""),1,0)</f>
        <v/>
      </c>
      <c r="L1111" s="5">
        <f>IF(K1111=1,IFERROR(MATCH('ORDENES'!$S1107,lista_dias,0),9)*1000000000+IFERROR(MATCH('ORDENES'!$AH1107,lista_turnos,0),9)*10000000+IFERROR(MATCH('ORDENES'!$AG1107,'TECNICOS'!$B$4:$B$19,0),99)*100000+1104,9000000000000+1104)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2">
        <f>IF(K1111=1,'ORDENES'!$J1107,"")</f>
        <v/>
      </c>
    </row>
    <row r="1112">
      <c r="K1112" s="5">
        <f>IF(AND(IF($B$3="(todos)",TRUE,'ORDENES'!$O1108=$B$3),IF($D$3="(todos)",TRUE,'ORDENES'!$AH1108=$D$3),IF($F$3="(todos)",TRUE,'ORDENES'!$Z1108=$F$3),IF($H$3="(todos)",TRUE,'ORDENES'!$Y1108=$H$3),'ORDENES'!$AF1108=TRUE,'ORDENES'!$A1108&lt;&gt;""),1,0)</f>
        <v/>
      </c>
      <c r="L1112" s="5">
        <f>IF(K1112=1,IFERROR(MATCH('ORDENES'!$S1108,lista_dias,0),9)*1000000000+IFERROR(MATCH('ORDENES'!$AH1108,lista_turnos,0),9)*10000000+IFERROR(MATCH('ORDENES'!$AG1108,'TECNICOS'!$B$4:$B$19,0),99)*100000+1105,9000000000000+1105)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2">
        <f>IF(K1112=1,'ORDENES'!$J1108,"")</f>
        <v/>
      </c>
    </row>
    <row r="1113">
      <c r="K1113" s="5">
        <f>IF(AND(IF($B$3="(todos)",TRUE,'ORDENES'!$O1109=$B$3),IF($D$3="(todos)",TRUE,'ORDENES'!$AH1109=$D$3),IF($F$3="(todos)",TRUE,'ORDENES'!$Z1109=$F$3),IF($H$3="(todos)",TRUE,'ORDENES'!$Y1109=$H$3),'ORDENES'!$AF1109=TRUE,'ORDENES'!$A1109&lt;&gt;""),1,0)</f>
        <v/>
      </c>
      <c r="L1113" s="5">
        <f>IF(K1113=1,IFERROR(MATCH('ORDENES'!$S1109,lista_dias,0),9)*1000000000+IFERROR(MATCH('ORDENES'!$AH1109,lista_turnos,0),9)*10000000+IFERROR(MATCH('ORDENES'!$AG1109,'TECNICOS'!$B$4:$B$19,0),99)*100000+1106,9000000000000+1106)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2">
        <f>IF(K1113=1,'ORDENES'!$J1109,"")</f>
        <v/>
      </c>
    </row>
    <row r="1114">
      <c r="K1114" s="5">
        <f>IF(AND(IF($B$3="(todos)",TRUE,'ORDENES'!$O1110=$B$3),IF($D$3="(todos)",TRUE,'ORDENES'!$AH1110=$D$3),IF($F$3="(todos)",TRUE,'ORDENES'!$Z1110=$F$3),IF($H$3="(todos)",TRUE,'ORDENES'!$Y1110=$H$3),'ORDENES'!$AF1110=TRUE,'ORDENES'!$A1110&lt;&gt;""),1,0)</f>
        <v/>
      </c>
      <c r="L1114" s="5">
        <f>IF(K1114=1,IFERROR(MATCH('ORDENES'!$S1110,lista_dias,0),9)*1000000000+IFERROR(MATCH('ORDENES'!$AH1110,lista_turnos,0),9)*10000000+IFERROR(MATCH('ORDENES'!$AG1110,'TECNICOS'!$B$4:$B$19,0),99)*100000+1107,9000000000000+1107)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2">
        <f>IF(K1114=1,'ORDENES'!$J1110,"")</f>
        <v/>
      </c>
    </row>
    <row r="1115">
      <c r="K1115" s="5">
        <f>IF(AND(IF($B$3="(todos)",TRUE,'ORDENES'!$O1111=$B$3),IF($D$3="(todos)",TRUE,'ORDENES'!$AH1111=$D$3),IF($F$3="(todos)",TRUE,'ORDENES'!$Z1111=$F$3),IF($H$3="(todos)",TRUE,'ORDENES'!$Y1111=$H$3),'ORDENES'!$AF1111=TRUE,'ORDENES'!$A1111&lt;&gt;""),1,0)</f>
        <v/>
      </c>
      <c r="L1115" s="5">
        <f>IF(K1115=1,IFERROR(MATCH('ORDENES'!$S1111,lista_dias,0),9)*1000000000+IFERROR(MATCH('ORDENES'!$AH1111,lista_turnos,0),9)*10000000+IFERROR(MATCH('ORDENES'!$AG1111,'TECNICOS'!$B$4:$B$19,0),99)*100000+1108,9000000000000+1108)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2">
        <f>IF(K1115=1,'ORDENES'!$J1111,"")</f>
        <v/>
      </c>
    </row>
    <row r="1116">
      <c r="K1116" s="5">
        <f>IF(AND(IF($B$3="(todos)",TRUE,'ORDENES'!$O1112=$B$3),IF($D$3="(todos)",TRUE,'ORDENES'!$AH1112=$D$3),IF($F$3="(todos)",TRUE,'ORDENES'!$Z1112=$F$3),IF($H$3="(todos)",TRUE,'ORDENES'!$Y1112=$H$3),'ORDENES'!$AF1112=TRUE,'ORDENES'!$A1112&lt;&gt;""),1,0)</f>
        <v/>
      </c>
      <c r="L1116" s="5">
        <f>IF(K1116=1,IFERROR(MATCH('ORDENES'!$S1112,lista_dias,0),9)*1000000000+IFERROR(MATCH('ORDENES'!$AH1112,lista_turnos,0),9)*10000000+IFERROR(MATCH('ORDENES'!$AG1112,'TECNICOS'!$B$4:$B$19,0),99)*100000+1109,9000000000000+1109)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2">
        <f>IF(K1116=1,'ORDENES'!$J1112,"")</f>
        <v/>
      </c>
    </row>
    <row r="1117">
      <c r="K1117" s="5">
        <f>IF(AND(IF($B$3="(todos)",TRUE,'ORDENES'!$O1113=$B$3),IF($D$3="(todos)",TRUE,'ORDENES'!$AH1113=$D$3),IF($F$3="(todos)",TRUE,'ORDENES'!$Z1113=$F$3),IF($H$3="(todos)",TRUE,'ORDENES'!$Y1113=$H$3),'ORDENES'!$AF1113=TRUE,'ORDENES'!$A1113&lt;&gt;""),1,0)</f>
        <v/>
      </c>
      <c r="L1117" s="5">
        <f>IF(K1117=1,IFERROR(MATCH('ORDENES'!$S1113,lista_dias,0),9)*1000000000+IFERROR(MATCH('ORDENES'!$AH1113,lista_turnos,0),9)*10000000+IFERROR(MATCH('ORDENES'!$AG1113,'TECNICOS'!$B$4:$B$19,0),99)*100000+1110,9000000000000+1110)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2">
        <f>IF(K1117=1,'ORDENES'!$J1113,"")</f>
        <v/>
      </c>
    </row>
    <row r="1118">
      <c r="K1118" s="5">
        <f>IF(AND(IF($B$3="(todos)",TRUE,'ORDENES'!$O1114=$B$3),IF($D$3="(todos)",TRUE,'ORDENES'!$AH1114=$D$3),IF($F$3="(todos)",TRUE,'ORDENES'!$Z1114=$F$3),IF($H$3="(todos)",TRUE,'ORDENES'!$Y1114=$H$3),'ORDENES'!$AF1114=TRUE,'ORDENES'!$A1114&lt;&gt;""),1,0)</f>
        <v/>
      </c>
      <c r="L1118" s="5">
        <f>IF(K1118=1,IFERROR(MATCH('ORDENES'!$S1114,lista_dias,0),9)*1000000000+IFERROR(MATCH('ORDENES'!$AH1114,lista_turnos,0),9)*10000000+IFERROR(MATCH('ORDENES'!$AG1114,'TECNICOS'!$B$4:$B$19,0),99)*100000+1111,9000000000000+1111)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2">
        <f>IF(K1118=1,'ORDENES'!$J1114,"")</f>
        <v/>
      </c>
    </row>
    <row r="1119">
      <c r="K1119" s="5">
        <f>IF(AND(IF($B$3="(todos)",TRUE,'ORDENES'!$O1115=$B$3),IF($D$3="(todos)",TRUE,'ORDENES'!$AH1115=$D$3),IF($F$3="(todos)",TRUE,'ORDENES'!$Z1115=$F$3),IF($H$3="(todos)",TRUE,'ORDENES'!$Y1115=$H$3),'ORDENES'!$AF1115=TRUE,'ORDENES'!$A1115&lt;&gt;""),1,0)</f>
        <v/>
      </c>
      <c r="L1119" s="5">
        <f>IF(K1119=1,IFERROR(MATCH('ORDENES'!$S1115,lista_dias,0),9)*1000000000+IFERROR(MATCH('ORDENES'!$AH1115,lista_turnos,0),9)*10000000+IFERROR(MATCH('ORDENES'!$AG1115,'TECNICOS'!$B$4:$B$19,0),99)*100000+1112,9000000000000+1112)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2">
        <f>IF(K1119=1,'ORDENES'!$J1115,"")</f>
        <v/>
      </c>
    </row>
    <row r="1120">
      <c r="K1120" s="5">
        <f>IF(AND(IF($B$3="(todos)",TRUE,'ORDENES'!$O1116=$B$3),IF($D$3="(todos)",TRUE,'ORDENES'!$AH1116=$D$3),IF($F$3="(todos)",TRUE,'ORDENES'!$Z1116=$F$3),IF($H$3="(todos)",TRUE,'ORDENES'!$Y1116=$H$3),'ORDENES'!$AF1116=TRUE,'ORDENES'!$A1116&lt;&gt;""),1,0)</f>
        <v/>
      </c>
      <c r="L1120" s="5">
        <f>IF(K1120=1,IFERROR(MATCH('ORDENES'!$S1116,lista_dias,0),9)*1000000000+IFERROR(MATCH('ORDENES'!$AH1116,lista_turnos,0),9)*10000000+IFERROR(MATCH('ORDENES'!$AG1116,'TECNICOS'!$B$4:$B$19,0),99)*100000+1113,9000000000000+1113)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2">
        <f>IF(K1120=1,'ORDENES'!$J1116,"")</f>
        <v/>
      </c>
    </row>
    <row r="1121">
      <c r="K1121" s="5">
        <f>IF(AND(IF($B$3="(todos)",TRUE,'ORDENES'!$O1117=$B$3),IF($D$3="(todos)",TRUE,'ORDENES'!$AH1117=$D$3),IF($F$3="(todos)",TRUE,'ORDENES'!$Z1117=$F$3),IF($H$3="(todos)",TRUE,'ORDENES'!$Y1117=$H$3),'ORDENES'!$AF1117=TRUE,'ORDENES'!$A1117&lt;&gt;""),1,0)</f>
        <v/>
      </c>
      <c r="L1121" s="5">
        <f>IF(K1121=1,IFERROR(MATCH('ORDENES'!$S1117,lista_dias,0),9)*1000000000+IFERROR(MATCH('ORDENES'!$AH1117,lista_turnos,0),9)*10000000+IFERROR(MATCH('ORDENES'!$AG1117,'TECNICOS'!$B$4:$B$19,0),99)*100000+1114,9000000000000+1114)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2">
        <f>IF(K1121=1,'ORDENES'!$J1117,"")</f>
        <v/>
      </c>
    </row>
    <row r="1122">
      <c r="K1122" s="5">
        <f>IF(AND(IF($B$3="(todos)",TRUE,'ORDENES'!$O1118=$B$3),IF($D$3="(todos)",TRUE,'ORDENES'!$AH1118=$D$3),IF($F$3="(todos)",TRUE,'ORDENES'!$Z1118=$F$3),IF($H$3="(todos)",TRUE,'ORDENES'!$Y1118=$H$3),'ORDENES'!$AF1118=TRUE,'ORDENES'!$A1118&lt;&gt;""),1,0)</f>
        <v/>
      </c>
      <c r="L1122" s="5">
        <f>IF(K1122=1,IFERROR(MATCH('ORDENES'!$S1118,lista_dias,0),9)*1000000000+IFERROR(MATCH('ORDENES'!$AH1118,lista_turnos,0),9)*10000000+IFERROR(MATCH('ORDENES'!$AG1118,'TECNICOS'!$B$4:$B$19,0),99)*100000+1115,9000000000000+1115)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2">
        <f>IF(K1122=1,'ORDENES'!$J1118,"")</f>
        <v/>
      </c>
    </row>
    <row r="1123">
      <c r="K1123" s="5">
        <f>IF(AND(IF($B$3="(todos)",TRUE,'ORDENES'!$O1119=$B$3),IF($D$3="(todos)",TRUE,'ORDENES'!$AH1119=$D$3),IF($F$3="(todos)",TRUE,'ORDENES'!$Z1119=$F$3),IF($H$3="(todos)",TRUE,'ORDENES'!$Y1119=$H$3),'ORDENES'!$AF1119=TRUE,'ORDENES'!$A1119&lt;&gt;""),1,0)</f>
        <v/>
      </c>
      <c r="L1123" s="5">
        <f>IF(K1123=1,IFERROR(MATCH('ORDENES'!$S1119,lista_dias,0),9)*1000000000+IFERROR(MATCH('ORDENES'!$AH1119,lista_turnos,0),9)*10000000+IFERROR(MATCH('ORDENES'!$AG1119,'TECNICOS'!$B$4:$B$19,0),99)*100000+1116,9000000000000+1116)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2">
        <f>IF(K1123=1,'ORDENES'!$J1119,"")</f>
        <v/>
      </c>
    </row>
    <row r="1124">
      <c r="K1124" s="5">
        <f>IF(AND(IF($B$3="(todos)",TRUE,'ORDENES'!$O1120=$B$3),IF($D$3="(todos)",TRUE,'ORDENES'!$AH1120=$D$3),IF($F$3="(todos)",TRUE,'ORDENES'!$Z1120=$F$3),IF($H$3="(todos)",TRUE,'ORDENES'!$Y1120=$H$3),'ORDENES'!$AF1120=TRUE,'ORDENES'!$A1120&lt;&gt;""),1,0)</f>
        <v/>
      </c>
      <c r="L1124" s="5">
        <f>IF(K1124=1,IFERROR(MATCH('ORDENES'!$S1120,lista_dias,0),9)*1000000000+IFERROR(MATCH('ORDENES'!$AH1120,lista_turnos,0),9)*10000000+IFERROR(MATCH('ORDENES'!$AG1120,'TECNICOS'!$B$4:$B$19,0),99)*100000+1117,9000000000000+1117)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2">
        <f>IF(K1124=1,'ORDENES'!$J1120,"")</f>
        <v/>
      </c>
    </row>
    <row r="1125">
      <c r="K1125" s="5">
        <f>IF(AND(IF($B$3="(todos)",TRUE,'ORDENES'!$O1121=$B$3),IF($D$3="(todos)",TRUE,'ORDENES'!$AH1121=$D$3),IF($F$3="(todos)",TRUE,'ORDENES'!$Z1121=$F$3),IF($H$3="(todos)",TRUE,'ORDENES'!$Y1121=$H$3),'ORDENES'!$AF1121=TRUE,'ORDENES'!$A1121&lt;&gt;""),1,0)</f>
        <v/>
      </c>
      <c r="L1125" s="5">
        <f>IF(K1125=1,IFERROR(MATCH('ORDENES'!$S1121,lista_dias,0),9)*1000000000+IFERROR(MATCH('ORDENES'!$AH1121,lista_turnos,0),9)*10000000+IFERROR(MATCH('ORDENES'!$AG1121,'TECNICOS'!$B$4:$B$19,0),99)*100000+1118,9000000000000+1118)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2">
        <f>IF(K1125=1,'ORDENES'!$J1121,"")</f>
        <v/>
      </c>
    </row>
    <row r="1126">
      <c r="K1126" s="5">
        <f>IF(AND(IF($B$3="(todos)",TRUE,'ORDENES'!$O1122=$B$3),IF($D$3="(todos)",TRUE,'ORDENES'!$AH1122=$D$3),IF($F$3="(todos)",TRUE,'ORDENES'!$Z1122=$F$3),IF($H$3="(todos)",TRUE,'ORDENES'!$Y1122=$H$3),'ORDENES'!$AF1122=TRUE,'ORDENES'!$A1122&lt;&gt;""),1,0)</f>
        <v/>
      </c>
      <c r="L1126" s="5">
        <f>IF(K1126=1,IFERROR(MATCH('ORDENES'!$S1122,lista_dias,0),9)*1000000000+IFERROR(MATCH('ORDENES'!$AH1122,lista_turnos,0),9)*10000000+IFERROR(MATCH('ORDENES'!$AG1122,'TECNICOS'!$B$4:$B$19,0),99)*100000+1119,9000000000000+1119)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2">
        <f>IF(K1126=1,'ORDENES'!$J1122,"")</f>
        <v/>
      </c>
    </row>
    <row r="1127">
      <c r="K1127" s="5">
        <f>IF(AND(IF($B$3="(todos)",TRUE,'ORDENES'!$O1123=$B$3),IF($D$3="(todos)",TRUE,'ORDENES'!$AH1123=$D$3),IF($F$3="(todos)",TRUE,'ORDENES'!$Z1123=$F$3),IF($H$3="(todos)",TRUE,'ORDENES'!$Y1123=$H$3),'ORDENES'!$AF1123=TRUE,'ORDENES'!$A1123&lt;&gt;""),1,0)</f>
        <v/>
      </c>
      <c r="L1127" s="5">
        <f>IF(K1127=1,IFERROR(MATCH('ORDENES'!$S1123,lista_dias,0),9)*1000000000+IFERROR(MATCH('ORDENES'!$AH1123,lista_turnos,0),9)*10000000+IFERROR(MATCH('ORDENES'!$AG1123,'TECNICOS'!$B$4:$B$19,0),99)*100000+1120,9000000000000+1120)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2">
        <f>IF(K1127=1,'ORDENES'!$J1123,"")</f>
        <v/>
      </c>
    </row>
    <row r="1128">
      <c r="K1128" s="5">
        <f>IF(AND(IF($B$3="(todos)",TRUE,'ORDENES'!$O1124=$B$3),IF($D$3="(todos)",TRUE,'ORDENES'!$AH1124=$D$3),IF($F$3="(todos)",TRUE,'ORDENES'!$Z1124=$F$3),IF($H$3="(todos)",TRUE,'ORDENES'!$Y1124=$H$3),'ORDENES'!$AF1124=TRUE,'ORDENES'!$A1124&lt;&gt;""),1,0)</f>
        <v/>
      </c>
      <c r="L1128" s="5">
        <f>IF(K1128=1,IFERROR(MATCH('ORDENES'!$S1124,lista_dias,0),9)*1000000000+IFERROR(MATCH('ORDENES'!$AH1124,lista_turnos,0),9)*10000000+IFERROR(MATCH('ORDENES'!$AG1124,'TECNICOS'!$B$4:$B$19,0),99)*100000+1121,9000000000000+1121)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2">
        <f>IF(K1128=1,'ORDENES'!$J1124,"")</f>
        <v/>
      </c>
    </row>
    <row r="1129">
      <c r="K1129" s="5">
        <f>IF(AND(IF($B$3="(todos)",TRUE,'ORDENES'!$O1125=$B$3),IF($D$3="(todos)",TRUE,'ORDENES'!$AH1125=$D$3),IF($F$3="(todos)",TRUE,'ORDENES'!$Z1125=$F$3),IF($H$3="(todos)",TRUE,'ORDENES'!$Y1125=$H$3),'ORDENES'!$AF1125=TRUE,'ORDENES'!$A1125&lt;&gt;""),1,0)</f>
        <v/>
      </c>
      <c r="L1129" s="5">
        <f>IF(K1129=1,IFERROR(MATCH('ORDENES'!$S1125,lista_dias,0),9)*1000000000+IFERROR(MATCH('ORDENES'!$AH1125,lista_turnos,0),9)*10000000+IFERROR(MATCH('ORDENES'!$AG1125,'TECNICOS'!$B$4:$B$19,0),99)*100000+1122,9000000000000+1122)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2">
        <f>IF(K1129=1,'ORDENES'!$J1125,"")</f>
        <v/>
      </c>
    </row>
    <row r="1130">
      <c r="K1130" s="5">
        <f>IF(AND(IF($B$3="(todos)",TRUE,'ORDENES'!$O1126=$B$3),IF($D$3="(todos)",TRUE,'ORDENES'!$AH1126=$D$3),IF($F$3="(todos)",TRUE,'ORDENES'!$Z1126=$F$3),IF($H$3="(todos)",TRUE,'ORDENES'!$Y1126=$H$3),'ORDENES'!$AF1126=TRUE,'ORDENES'!$A1126&lt;&gt;""),1,0)</f>
        <v/>
      </c>
      <c r="L1130" s="5">
        <f>IF(K1130=1,IFERROR(MATCH('ORDENES'!$S1126,lista_dias,0),9)*1000000000+IFERROR(MATCH('ORDENES'!$AH1126,lista_turnos,0),9)*10000000+IFERROR(MATCH('ORDENES'!$AG1126,'TECNICOS'!$B$4:$B$19,0),99)*100000+1123,9000000000000+1123)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2">
        <f>IF(K1130=1,'ORDENES'!$J1126,"")</f>
        <v/>
      </c>
    </row>
    <row r="1131">
      <c r="K1131" s="5">
        <f>IF(AND(IF($B$3="(todos)",TRUE,'ORDENES'!$O1127=$B$3),IF($D$3="(todos)",TRUE,'ORDENES'!$AH1127=$D$3),IF($F$3="(todos)",TRUE,'ORDENES'!$Z1127=$F$3),IF($H$3="(todos)",TRUE,'ORDENES'!$Y1127=$H$3),'ORDENES'!$AF1127=TRUE,'ORDENES'!$A1127&lt;&gt;""),1,0)</f>
        <v/>
      </c>
      <c r="L1131" s="5">
        <f>IF(K1131=1,IFERROR(MATCH('ORDENES'!$S1127,lista_dias,0),9)*1000000000+IFERROR(MATCH('ORDENES'!$AH1127,lista_turnos,0),9)*10000000+IFERROR(MATCH('ORDENES'!$AG1127,'TECNICOS'!$B$4:$B$19,0),99)*100000+1124,9000000000000+1124)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2">
        <f>IF(K1131=1,'ORDENES'!$J1127,"")</f>
        <v/>
      </c>
    </row>
    <row r="1132">
      <c r="K1132" s="5">
        <f>IF(AND(IF($B$3="(todos)",TRUE,'ORDENES'!$O1128=$B$3),IF($D$3="(todos)",TRUE,'ORDENES'!$AH1128=$D$3),IF($F$3="(todos)",TRUE,'ORDENES'!$Z1128=$F$3),IF($H$3="(todos)",TRUE,'ORDENES'!$Y1128=$H$3),'ORDENES'!$AF1128=TRUE,'ORDENES'!$A1128&lt;&gt;""),1,0)</f>
        <v/>
      </c>
      <c r="L1132" s="5">
        <f>IF(K1132=1,IFERROR(MATCH('ORDENES'!$S1128,lista_dias,0),9)*1000000000+IFERROR(MATCH('ORDENES'!$AH1128,lista_turnos,0),9)*10000000+IFERROR(MATCH('ORDENES'!$AG1128,'TECNICOS'!$B$4:$B$19,0),99)*100000+1125,9000000000000+1125)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2">
        <f>IF(K1132=1,'ORDENES'!$J1128,"")</f>
        <v/>
      </c>
    </row>
    <row r="1133">
      <c r="K1133" s="5">
        <f>IF(AND(IF($B$3="(todos)",TRUE,'ORDENES'!$O1129=$B$3),IF($D$3="(todos)",TRUE,'ORDENES'!$AH1129=$D$3),IF($F$3="(todos)",TRUE,'ORDENES'!$Z1129=$F$3),IF($H$3="(todos)",TRUE,'ORDENES'!$Y1129=$H$3),'ORDENES'!$AF1129=TRUE,'ORDENES'!$A1129&lt;&gt;""),1,0)</f>
        <v/>
      </c>
      <c r="L1133" s="5">
        <f>IF(K1133=1,IFERROR(MATCH('ORDENES'!$S1129,lista_dias,0),9)*1000000000+IFERROR(MATCH('ORDENES'!$AH1129,lista_turnos,0),9)*10000000+IFERROR(MATCH('ORDENES'!$AG1129,'TECNICOS'!$B$4:$B$19,0),99)*100000+1126,9000000000000+1126)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2">
        <f>IF(K1133=1,'ORDENES'!$J1129,"")</f>
        <v/>
      </c>
    </row>
    <row r="1134">
      <c r="K1134" s="5">
        <f>IF(AND(IF($B$3="(todos)",TRUE,'ORDENES'!$O1130=$B$3),IF($D$3="(todos)",TRUE,'ORDENES'!$AH1130=$D$3),IF($F$3="(todos)",TRUE,'ORDENES'!$Z1130=$F$3),IF($H$3="(todos)",TRUE,'ORDENES'!$Y1130=$H$3),'ORDENES'!$AF1130=TRUE,'ORDENES'!$A1130&lt;&gt;""),1,0)</f>
        <v/>
      </c>
      <c r="L1134" s="5">
        <f>IF(K1134=1,IFERROR(MATCH('ORDENES'!$S1130,lista_dias,0),9)*1000000000+IFERROR(MATCH('ORDENES'!$AH1130,lista_turnos,0),9)*10000000+IFERROR(MATCH('ORDENES'!$AG1130,'TECNICOS'!$B$4:$B$19,0),99)*100000+1127,9000000000000+1127)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2">
        <f>IF(K1134=1,'ORDENES'!$J1130,"")</f>
        <v/>
      </c>
    </row>
    <row r="1135">
      <c r="K1135" s="5">
        <f>IF(AND(IF($B$3="(todos)",TRUE,'ORDENES'!$O1131=$B$3),IF($D$3="(todos)",TRUE,'ORDENES'!$AH1131=$D$3),IF($F$3="(todos)",TRUE,'ORDENES'!$Z1131=$F$3),IF($H$3="(todos)",TRUE,'ORDENES'!$Y1131=$H$3),'ORDENES'!$AF1131=TRUE,'ORDENES'!$A1131&lt;&gt;""),1,0)</f>
        <v/>
      </c>
      <c r="L1135" s="5">
        <f>IF(K1135=1,IFERROR(MATCH('ORDENES'!$S1131,lista_dias,0),9)*1000000000+IFERROR(MATCH('ORDENES'!$AH1131,lista_turnos,0),9)*10000000+IFERROR(MATCH('ORDENES'!$AG1131,'TECNICOS'!$B$4:$B$19,0),99)*100000+1128,9000000000000+1128)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2">
        <f>IF(K1135=1,'ORDENES'!$J1131,"")</f>
        <v/>
      </c>
    </row>
    <row r="1136">
      <c r="K1136" s="5">
        <f>IF(AND(IF($B$3="(todos)",TRUE,'ORDENES'!$O1132=$B$3),IF($D$3="(todos)",TRUE,'ORDENES'!$AH1132=$D$3),IF($F$3="(todos)",TRUE,'ORDENES'!$Z1132=$F$3),IF($H$3="(todos)",TRUE,'ORDENES'!$Y1132=$H$3),'ORDENES'!$AF1132=TRUE,'ORDENES'!$A1132&lt;&gt;""),1,0)</f>
        <v/>
      </c>
      <c r="L1136" s="5">
        <f>IF(K1136=1,IFERROR(MATCH('ORDENES'!$S1132,lista_dias,0),9)*1000000000+IFERROR(MATCH('ORDENES'!$AH1132,lista_turnos,0),9)*10000000+IFERROR(MATCH('ORDENES'!$AG1132,'TECNICOS'!$B$4:$B$19,0),99)*100000+1129,9000000000000+1129)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2">
        <f>IF(K1136=1,'ORDENES'!$J1132,"")</f>
        <v/>
      </c>
    </row>
    <row r="1137">
      <c r="K1137" s="5">
        <f>IF(AND(IF($B$3="(todos)",TRUE,'ORDENES'!$O1133=$B$3),IF($D$3="(todos)",TRUE,'ORDENES'!$AH1133=$D$3),IF($F$3="(todos)",TRUE,'ORDENES'!$Z1133=$F$3),IF($H$3="(todos)",TRUE,'ORDENES'!$Y1133=$H$3),'ORDENES'!$AF1133=TRUE,'ORDENES'!$A1133&lt;&gt;""),1,0)</f>
        <v/>
      </c>
      <c r="L1137" s="5">
        <f>IF(K1137=1,IFERROR(MATCH('ORDENES'!$S1133,lista_dias,0),9)*1000000000+IFERROR(MATCH('ORDENES'!$AH1133,lista_turnos,0),9)*10000000+IFERROR(MATCH('ORDENES'!$AG1133,'TECNICOS'!$B$4:$B$19,0),99)*100000+1130,9000000000000+1130)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2">
        <f>IF(K1137=1,'ORDENES'!$J1133,"")</f>
        <v/>
      </c>
    </row>
    <row r="1138">
      <c r="K1138" s="5">
        <f>IF(AND(IF($B$3="(todos)",TRUE,'ORDENES'!$O1134=$B$3),IF($D$3="(todos)",TRUE,'ORDENES'!$AH1134=$D$3),IF($F$3="(todos)",TRUE,'ORDENES'!$Z1134=$F$3),IF($H$3="(todos)",TRUE,'ORDENES'!$Y1134=$H$3),'ORDENES'!$AF1134=TRUE,'ORDENES'!$A1134&lt;&gt;""),1,0)</f>
        <v/>
      </c>
      <c r="L1138" s="5">
        <f>IF(K1138=1,IFERROR(MATCH('ORDENES'!$S1134,lista_dias,0),9)*1000000000+IFERROR(MATCH('ORDENES'!$AH1134,lista_turnos,0),9)*10000000+IFERROR(MATCH('ORDENES'!$AG1134,'TECNICOS'!$B$4:$B$19,0),99)*100000+1131,9000000000000+1131)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2">
        <f>IF(K1138=1,'ORDENES'!$J1134,"")</f>
        <v/>
      </c>
    </row>
    <row r="1139">
      <c r="K1139" s="5">
        <f>IF(AND(IF($B$3="(todos)",TRUE,'ORDENES'!$O1135=$B$3),IF($D$3="(todos)",TRUE,'ORDENES'!$AH1135=$D$3),IF($F$3="(todos)",TRUE,'ORDENES'!$Z1135=$F$3),IF($H$3="(todos)",TRUE,'ORDENES'!$Y1135=$H$3),'ORDENES'!$AF1135=TRUE,'ORDENES'!$A1135&lt;&gt;""),1,0)</f>
        <v/>
      </c>
      <c r="L1139" s="5">
        <f>IF(K1139=1,IFERROR(MATCH('ORDENES'!$S1135,lista_dias,0),9)*1000000000+IFERROR(MATCH('ORDENES'!$AH1135,lista_turnos,0),9)*10000000+IFERROR(MATCH('ORDENES'!$AG1135,'TECNICOS'!$B$4:$B$19,0),99)*100000+1132,9000000000000+1132)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2">
        <f>IF(K1139=1,'ORDENES'!$J1135,"")</f>
        <v/>
      </c>
    </row>
    <row r="1140">
      <c r="K1140" s="5">
        <f>IF(AND(IF($B$3="(todos)",TRUE,'ORDENES'!$O1136=$B$3),IF($D$3="(todos)",TRUE,'ORDENES'!$AH1136=$D$3),IF($F$3="(todos)",TRUE,'ORDENES'!$Z1136=$F$3),IF($H$3="(todos)",TRUE,'ORDENES'!$Y1136=$H$3),'ORDENES'!$AF1136=TRUE,'ORDENES'!$A1136&lt;&gt;""),1,0)</f>
        <v/>
      </c>
      <c r="L1140" s="5">
        <f>IF(K1140=1,IFERROR(MATCH('ORDENES'!$S1136,lista_dias,0),9)*1000000000+IFERROR(MATCH('ORDENES'!$AH1136,lista_turnos,0),9)*10000000+IFERROR(MATCH('ORDENES'!$AG1136,'TECNICOS'!$B$4:$B$19,0),99)*100000+1133,9000000000000+1133)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2">
        <f>IF(K1140=1,'ORDENES'!$J1136,"")</f>
        <v/>
      </c>
    </row>
    <row r="1141">
      <c r="K1141" s="5">
        <f>IF(AND(IF($B$3="(todos)",TRUE,'ORDENES'!$O1137=$B$3),IF($D$3="(todos)",TRUE,'ORDENES'!$AH1137=$D$3),IF($F$3="(todos)",TRUE,'ORDENES'!$Z1137=$F$3),IF($H$3="(todos)",TRUE,'ORDENES'!$Y1137=$H$3),'ORDENES'!$AF1137=TRUE,'ORDENES'!$A1137&lt;&gt;""),1,0)</f>
        <v/>
      </c>
      <c r="L1141" s="5">
        <f>IF(K1141=1,IFERROR(MATCH('ORDENES'!$S1137,lista_dias,0),9)*1000000000+IFERROR(MATCH('ORDENES'!$AH1137,lista_turnos,0),9)*10000000+IFERROR(MATCH('ORDENES'!$AG1137,'TECNICOS'!$B$4:$B$19,0),99)*100000+1134,9000000000000+1134)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2">
        <f>IF(K1141=1,'ORDENES'!$J1137,"")</f>
        <v/>
      </c>
    </row>
    <row r="1142">
      <c r="K1142" s="5">
        <f>IF(AND(IF($B$3="(todos)",TRUE,'ORDENES'!$O1138=$B$3),IF($D$3="(todos)",TRUE,'ORDENES'!$AH1138=$D$3),IF($F$3="(todos)",TRUE,'ORDENES'!$Z1138=$F$3),IF($H$3="(todos)",TRUE,'ORDENES'!$Y1138=$H$3),'ORDENES'!$AF1138=TRUE,'ORDENES'!$A1138&lt;&gt;""),1,0)</f>
        <v/>
      </c>
      <c r="L1142" s="5">
        <f>IF(K1142=1,IFERROR(MATCH('ORDENES'!$S1138,lista_dias,0),9)*1000000000+IFERROR(MATCH('ORDENES'!$AH1138,lista_turnos,0),9)*10000000+IFERROR(MATCH('ORDENES'!$AG1138,'TECNICOS'!$B$4:$B$19,0),99)*100000+1135,9000000000000+1135)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2">
        <f>IF(K1142=1,'ORDENES'!$J1138,"")</f>
        <v/>
      </c>
    </row>
    <row r="1143">
      <c r="K1143" s="5">
        <f>IF(AND(IF($B$3="(todos)",TRUE,'ORDENES'!$O1139=$B$3),IF($D$3="(todos)",TRUE,'ORDENES'!$AH1139=$D$3),IF($F$3="(todos)",TRUE,'ORDENES'!$Z1139=$F$3),IF($H$3="(todos)",TRUE,'ORDENES'!$Y1139=$H$3),'ORDENES'!$AF1139=TRUE,'ORDENES'!$A1139&lt;&gt;""),1,0)</f>
        <v/>
      </c>
      <c r="L1143" s="5">
        <f>IF(K1143=1,IFERROR(MATCH('ORDENES'!$S1139,lista_dias,0),9)*1000000000+IFERROR(MATCH('ORDENES'!$AH1139,lista_turnos,0),9)*10000000+IFERROR(MATCH('ORDENES'!$AG1139,'TECNICOS'!$B$4:$B$19,0),99)*100000+1136,9000000000000+1136)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2">
        <f>IF(K1143=1,'ORDENES'!$J1139,"")</f>
        <v/>
      </c>
    </row>
    <row r="1144">
      <c r="K1144" s="5">
        <f>IF(AND(IF($B$3="(todos)",TRUE,'ORDENES'!$O1140=$B$3),IF($D$3="(todos)",TRUE,'ORDENES'!$AH1140=$D$3),IF($F$3="(todos)",TRUE,'ORDENES'!$Z1140=$F$3),IF($H$3="(todos)",TRUE,'ORDENES'!$Y1140=$H$3),'ORDENES'!$AF1140=TRUE,'ORDENES'!$A1140&lt;&gt;""),1,0)</f>
        <v/>
      </c>
      <c r="L1144" s="5">
        <f>IF(K1144=1,IFERROR(MATCH('ORDENES'!$S1140,lista_dias,0),9)*1000000000+IFERROR(MATCH('ORDENES'!$AH1140,lista_turnos,0),9)*10000000+IFERROR(MATCH('ORDENES'!$AG1140,'TECNICOS'!$B$4:$B$19,0),99)*100000+1137,9000000000000+1137)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2">
        <f>IF(K1144=1,'ORDENES'!$J1140,"")</f>
        <v/>
      </c>
    </row>
    <row r="1145">
      <c r="K1145" s="5">
        <f>IF(AND(IF($B$3="(todos)",TRUE,'ORDENES'!$O1141=$B$3),IF($D$3="(todos)",TRUE,'ORDENES'!$AH1141=$D$3),IF($F$3="(todos)",TRUE,'ORDENES'!$Z1141=$F$3),IF($H$3="(todos)",TRUE,'ORDENES'!$Y1141=$H$3),'ORDENES'!$AF1141=TRUE,'ORDENES'!$A1141&lt;&gt;""),1,0)</f>
        <v/>
      </c>
      <c r="L1145" s="5">
        <f>IF(K1145=1,IFERROR(MATCH('ORDENES'!$S1141,lista_dias,0),9)*1000000000+IFERROR(MATCH('ORDENES'!$AH1141,lista_turnos,0),9)*10000000+IFERROR(MATCH('ORDENES'!$AG1141,'TECNICOS'!$B$4:$B$19,0),99)*100000+1138,9000000000000+1138)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2">
        <f>IF(K1145=1,'ORDENES'!$J1141,"")</f>
        <v/>
      </c>
    </row>
    <row r="1146">
      <c r="K1146" s="5">
        <f>IF(AND(IF($B$3="(todos)",TRUE,'ORDENES'!$O1142=$B$3),IF($D$3="(todos)",TRUE,'ORDENES'!$AH1142=$D$3),IF($F$3="(todos)",TRUE,'ORDENES'!$Z1142=$F$3),IF($H$3="(todos)",TRUE,'ORDENES'!$Y1142=$H$3),'ORDENES'!$AF1142=TRUE,'ORDENES'!$A1142&lt;&gt;""),1,0)</f>
        <v/>
      </c>
      <c r="L1146" s="5">
        <f>IF(K1146=1,IFERROR(MATCH('ORDENES'!$S1142,lista_dias,0),9)*1000000000+IFERROR(MATCH('ORDENES'!$AH1142,lista_turnos,0),9)*10000000+IFERROR(MATCH('ORDENES'!$AG1142,'TECNICOS'!$B$4:$B$19,0),99)*100000+1139,9000000000000+1139)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2">
        <f>IF(K1146=1,'ORDENES'!$J1142,"")</f>
        <v/>
      </c>
    </row>
    <row r="1147">
      <c r="K1147" s="5">
        <f>IF(AND(IF($B$3="(todos)",TRUE,'ORDENES'!$O1143=$B$3),IF($D$3="(todos)",TRUE,'ORDENES'!$AH1143=$D$3),IF($F$3="(todos)",TRUE,'ORDENES'!$Z1143=$F$3),IF($H$3="(todos)",TRUE,'ORDENES'!$Y1143=$H$3),'ORDENES'!$AF1143=TRUE,'ORDENES'!$A1143&lt;&gt;""),1,0)</f>
        <v/>
      </c>
      <c r="L1147" s="5">
        <f>IF(K1147=1,IFERROR(MATCH('ORDENES'!$S1143,lista_dias,0),9)*1000000000+IFERROR(MATCH('ORDENES'!$AH1143,lista_turnos,0),9)*10000000+IFERROR(MATCH('ORDENES'!$AG1143,'TECNICOS'!$B$4:$B$19,0),99)*100000+1140,9000000000000+1140)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2">
        <f>IF(K1147=1,'ORDENES'!$J1143,"")</f>
        <v/>
      </c>
    </row>
    <row r="1148">
      <c r="K1148" s="5">
        <f>IF(AND(IF($B$3="(todos)",TRUE,'ORDENES'!$O1144=$B$3),IF($D$3="(todos)",TRUE,'ORDENES'!$AH1144=$D$3),IF($F$3="(todos)",TRUE,'ORDENES'!$Z1144=$F$3),IF($H$3="(todos)",TRUE,'ORDENES'!$Y1144=$H$3),'ORDENES'!$AF1144=TRUE,'ORDENES'!$A1144&lt;&gt;""),1,0)</f>
        <v/>
      </c>
      <c r="L1148" s="5">
        <f>IF(K1148=1,IFERROR(MATCH('ORDENES'!$S1144,lista_dias,0),9)*1000000000+IFERROR(MATCH('ORDENES'!$AH1144,lista_turnos,0),9)*10000000+IFERROR(MATCH('ORDENES'!$AG1144,'TECNICOS'!$B$4:$B$19,0),99)*100000+1141,9000000000000+1141)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2">
        <f>IF(K1148=1,'ORDENES'!$J1144,"")</f>
        <v/>
      </c>
    </row>
    <row r="1149">
      <c r="K1149" s="5">
        <f>IF(AND(IF($B$3="(todos)",TRUE,'ORDENES'!$O1145=$B$3),IF($D$3="(todos)",TRUE,'ORDENES'!$AH1145=$D$3),IF($F$3="(todos)",TRUE,'ORDENES'!$Z1145=$F$3),IF($H$3="(todos)",TRUE,'ORDENES'!$Y1145=$H$3),'ORDENES'!$AF1145=TRUE,'ORDENES'!$A1145&lt;&gt;""),1,0)</f>
        <v/>
      </c>
      <c r="L1149" s="5">
        <f>IF(K1149=1,IFERROR(MATCH('ORDENES'!$S1145,lista_dias,0),9)*1000000000+IFERROR(MATCH('ORDENES'!$AH1145,lista_turnos,0),9)*10000000+IFERROR(MATCH('ORDENES'!$AG1145,'TECNICOS'!$B$4:$B$19,0),99)*100000+1142,9000000000000+1142)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2">
        <f>IF(K1149=1,'ORDENES'!$J1145,"")</f>
        <v/>
      </c>
    </row>
    <row r="1150">
      <c r="K1150" s="5">
        <f>IF(AND(IF($B$3="(todos)",TRUE,'ORDENES'!$O1146=$B$3),IF($D$3="(todos)",TRUE,'ORDENES'!$AH1146=$D$3),IF($F$3="(todos)",TRUE,'ORDENES'!$Z1146=$F$3),IF($H$3="(todos)",TRUE,'ORDENES'!$Y1146=$H$3),'ORDENES'!$AF1146=TRUE,'ORDENES'!$A1146&lt;&gt;""),1,0)</f>
        <v/>
      </c>
      <c r="L1150" s="5">
        <f>IF(K1150=1,IFERROR(MATCH('ORDENES'!$S1146,lista_dias,0),9)*1000000000+IFERROR(MATCH('ORDENES'!$AH1146,lista_turnos,0),9)*10000000+IFERROR(MATCH('ORDENES'!$AG1146,'TECNICOS'!$B$4:$B$19,0),99)*100000+1143,9000000000000+1143)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2">
        <f>IF(K1150=1,'ORDENES'!$J1146,"")</f>
        <v/>
      </c>
    </row>
    <row r="1151">
      <c r="K1151" s="5">
        <f>IF(AND(IF($B$3="(todos)",TRUE,'ORDENES'!$O1147=$B$3),IF($D$3="(todos)",TRUE,'ORDENES'!$AH1147=$D$3),IF($F$3="(todos)",TRUE,'ORDENES'!$Z1147=$F$3),IF($H$3="(todos)",TRUE,'ORDENES'!$Y1147=$H$3),'ORDENES'!$AF1147=TRUE,'ORDENES'!$A1147&lt;&gt;""),1,0)</f>
        <v/>
      </c>
      <c r="L1151" s="5">
        <f>IF(K1151=1,IFERROR(MATCH('ORDENES'!$S1147,lista_dias,0),9)*1000000000+IFERROR(MATCH('ORDENES'!$AH1147,lista_turnos,0),9)*10000000+IFERROR(MATCH('ORDENES'!$AG1147,'TECNICOS'!$B$4:$B$19,0),99)*100000+1144,9000000000000+1144)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2">
        <f>IF(K1151=1,'ORDENES'!$J1147,"")</f>
        <v/>
      </c>
    </row>
    <row r="1152">
      <c r="K1152" s="5">
        <f>IF(AND(IF($B$3="(todos)",TRUE,'ORDENES'!$O1148=$B$3),IF($D$3="(todos)",TRUE,'ORDENES'!$AH1148=$D$3),IF($F$3="(todos)",TRUE,'ORDENES'!$Z1148=$F$3),IF($H$3="(todos)",TRUE,'ORDENES'!$Y1148=$H$3),'ORDENES'!$AF1148=TRUE,'ORDENES'!$A1148&lt;&gt;""),1,0)</f>
        <v/>
      </c>
      <c r="L1152" s="5">
        <f>IF(K1152=1,IFERROR(MATCH('ORDENES'!$S1148,lista_dias,0),9)*1000000000+IFERROR(MATCH('ORDENES'!$AH1148,lista_turnos,0),9)*10000000+IFERROR(MATCH('ORDENES'!$AG1148,'TECNICOS'!$B$4:$B$19,0),99)*100000+1145,9000000000000+1145)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2">
        <f>IF(K1152=1,'ORDENES'!$J1148,"")</f>
        <v/>
      </c>
    </row>
    <row r="1153">
      <c r="K1153" s="5">
        <f>IF(AND(IF($B$3="(todos)",TRUE,'ORDENES'!$O1149=$B$3),IF($D$3="(todos)",TRUE,'ORDENES'!$AH1149=$D$3),IF($F$3="(todos)",TRUE,'ORDENES'!$Z1149=$F$3),IF($H$3="(todos)",TRUE,'ORDENES'!$Y1149=$H$3),'ORDENES'!$AF1149=TRUE,'ORDENES'!$A1149&lt;&gt;""),1,0)</f>
        <v/>
      </c>
      <c r="L1153" s="5">
        <f>IF(K1153=1,IFERROR(MATCH('ORDENES'!$S1149,lista_dias,0),9)*1000000000+IFERROR(MATCH('ORDENES'!$AH1149,lista_turnos,0),9)*10000000+IFERROR(MATCH('ORDENES'!$AG1149,'TECNICOS'!$B$4:$B$19,0),99)*100000+1146,9000000000000+1146)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2">
        <f>IF(K1153=1,'ORDENES'!$J1149,"")</f>
        <v/>
      </c>
    </row>
    <row r="1154">
      <c r="K1154" s="5">
        <f>IF(AND(IF($B$3="(todos)",TRUE,'ORDENES'!$O1150=$B$3),IF($D$3="(todos)",TRUE,'ORDENES'!$AH1150=$D$3),IF($F$3="(todos)",TRUE,'ORDENES'!$Z1150=$F$3),IF($H$3="(todos)",TRUE,'ORDENES'!$Y1150=$H$3),'ORDENES'!$AF1150=TRUE,'ORDENES'!$A1150&lt;&gt;""),1,0)</f>
        <v/>
      </c>
      <c r="L1154" s="5">
        <f>IF(K1154=1,IFERROR(MATCH('ORDENES'!$S1150,lista_dias,0),9)*1000000000+IFERROR(MATCH('ORDENES'!$AH1150,lista_turnos,0),9)*10000000+IFERROR(MATCH('ORDENES'!$AG1150,'TECNICOS'!$B$4:$B$19,0),99)*100000+1147,9000000000000+1147)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2">
        <f>IF(K1154=1,'ORDENES'!$J1150,"")</f>
        <v/>
      </c>
    </row>
    <row r="1155">
      <c r="K1155" s="5">
        <f>IF(AND(IF($B$3="(todos)",TRUE,'ORDENES'!$O1151=$B$3),IF($D$3="(todos)",TRUE,'ORDENES'!$AH1151=$D$3),IF($F$3="(todos)",TRUE,'ORDENES'!$Z1151=$F$3),IF($H$3="(todos)",TRUE,'ORDENES'!$Y1151=$H$3),'ORDENES'!$AF1151=TRUE,'ORDENES'!$A1151&lt;&gt;""),1,0)</f>
        <v/>
      </c>
      <c r="L1155" s="5">
        <f>IF(K1155=1,IFERROR(MATCH('ORDENES'!$S1151,lista_dias,0),9)*1000000000+IFERROR(MATCH('ORDENES'!$AH1151,lista_turnos,0),9)*10000000+IFERROR(MATCH('ORDENES'!$AG1151,'TECNICOS'!$B$4:$B$19,0),99)*100000+1148,9000000000000+1148)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2">
        <f>IF(K1155=1,'ORDENES'!$J1151,"")</f>
        <v/>
      </c>
    </row>
    <row r="1156">
      <c r="K1156" s="5">
        <f>IF(AND(IF($B$3="(todos)",TRUE,'ORDENES'!$O1152=$B$3),IF($D$3="(todos)",TRUE,'ORDENES'!$AH1152=$D$3),IF($F$3="(todos)",TRUE,'ORDENES'!$Z1152=$F$3),IF($H$3="(todos)",TRUE,'ORDENES'!$Y1152=$H$3),'ORDENES'!$AF1152=TRUE,'ORDENES'!$A1152&lt;&gt;""),1,0)</f>
        <v/>
      </c>
      <c r="L1156" s="5">
        <f>IF(K1156=1,IFERROR(MATCH('ORDENES'!$S1152,lista_dias,0),9)*1000000000+IFERROR(MATCH('ORDENES'!$AH1152,lista_turnos,0),9)*10000000+IFERROR(MATCH('ORDENES'!$AG1152,'TECNICOS'!$B$4:$B$19,0),99)*100000+1149,9000000000000+1149)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2">
        <f>IF(K1156=1,'ORDENES'!$J1152,"")</f>
        <v/>
      </c>
    </row>
    <row r="1157">
      <c r="K1157" s="5">
        <f>IF(AND(IF($B$3="(todos)",TRUE,'ORDENES'!$O1153=$B$3),IF($D$3="(todos)",TRUE,'ORDENES'!$AH1153=$D$3),IF($F$3="(todos)",TRUE,'ORDENES'!$Z1153=$F$3),IF($H$3="(todos)",TRUE,'ORDENES'!$Y1153=$H$3),'ORDENES'!$AF1153=TRUE,'ORDENES'!$A1153&lt;&gt;""),1,0)</f>
        <v/>
      </c>
      <c r="L1157" s="5">
        <f>IF(K1157=1,IFERROR(MATCH('ORDENES'!$S1153,lista_dias,0),9)*1000000000+IFERROR(MATCH('ORDENES'!$AH1153,lista_turnos,0),9)*10000000+IFERROR(MATCH('ORDENES'!$AG1153,'TECNICOS'!$B$4:$B$19,0),99)*100000+1150,9000000000000+1150)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2">
        <f>IF(K1157=1,'ORDENES'!$J1153,"")</f>
        <v/>
      </c>
    </row>
    <row r="1158">
      <c r="K1158" s="5">
        <f>IF(AND(IF($B$3="(todos)",TRUE,'ORDENES'!$O1154=$B$3),IF($D$3="(todos)",TRUE,'ORDENES'!$AH1154=$D$3),IF($F$3="(todos)",TRUE,'ORDENES'!$Z1154=$F$3),IF($H$3="(todos)",TRUE,'ORDENES'!$Y1154=$H$3),'ORDENES'!$AF1154=TRUE,'ORDENES'!$A1154&lt;&gt;""),1,0)</f>
        <v/>
      </c>
      <c r="L1158" s="5">
        <f>IF(K1158=1,IFERROR(MATCH('ORDENES'!$S1154,lista_dias,0),9)*1000000000+IFERROR(MATCH('ORDENES'!$AH1154,lista_turnos,0),9)*10000000+IFERROR(MATCH('ORDENES'!$AG1154,'TECNICOS'!$B$4:$B$19,0),99)*100000+1151,9000000000000+1151)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2">
        <f>IF(K1158=1,'ORDENES'!$J1154,"")</f>
        <v/>
      </c>
    </row>
    <row r="1159">
      <c r="K1159" s="5">
        <f>IF(AND(IF($B$3="(todos)",TRUE,'ORDENES'!$O1155=$B$3),IF($D$3="(todos)",TRUE,'ORDENES'!$AH1155=$D$3),IF($F$3="(todos)",TRUE,'ORDENES'!$Z1155=$F$3),IF($H$3="(todos)",TRUE,'ORDENES'!$Y1155=$H$3),'ORDENES'!$AF1155=TRUE,'ORDENES'!$A1155&lt;&gt;""),1,0)</f>
        <v/>
      </c>
      <c r="L1159" s="5">
        <f>IF(K1159=1,IFERROR(MATCH('ORDENES'!$S1155,lista_dias,0),9)*1000000000+IFERROR(MATCH('ORDENES'!$AH1155,lista_turnos,0),9)*10000000+IFERROR(MATCH('ORDENES'!$AG1155,'TECNICOS'!$B$4:$B$19,0),99)*100000+1152,9000000000000+1152)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2">
        <f>IF(K1159=1,'ORDENES'!$J1155,"")</f>
        <v/>
      </c>
    </row>
    <row r="1160">
      <c r="K1160" s="5">
        <f>IF(AND(IF($B$3="(todos)",TRUE,'ORDENES'!$O1156=$B$3),IF($D$3="(todos)",TRUE,'ORDENES'!$AH1156=$D$3),IF($F$3="(todos)",TRUE,'ORDENES'!$Z1156=$F$3),IF($H$3="(todos)",TRUE,'ORDENES'!$Y1156=$H$3),'ORDENES'!$AF1156=TRUE,'ORDENES'!$A1156&lt;&gt;""),1,0)</f>
        <v/>
      </c>
      <c r="L1160" s="5">
        <f>IF(K1160=1,IFERROR(MATCH('ORDENES'!$S1156,lista_dias,0),9)*1000000000+IFERROR(MATCH('ORDENES'!$AH1156,lista_turnos,0),9)*10000000+IFERROR(MATCH('ORDENES'!$AG1156,'TECNICOS'!$B$4:$B$19,0),99)*100000+1153,9000000000000+1153)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2">
        <f>IF(K1160=1,'ORDENES'!$J1156,"")</f>
        <v/>
      </c>
    </row>
    <row r="1161">
      <c r="K1161" s="5">
        <f>IF(AND(IF($B$3="(todos)",TRUE,'ORDENES'!$O1157=$B$3),IF($D$3="(todos)",TRUE,'ORDENES'!$AH1157=$D$3),IF($F$3="(todos)",TRUE,'ORDENES'!$Z1157=$F$3),IF($H$3="(todos)",TRUE,'ORDENES'!$Y1157=$H$3),'ORDENES'!$AF1157=TRUE,'ORDENES'!$A1157&lt;&gt;""),1,0)</f>
        <v/>
      </c>
      <c r="L1161" s="5">
        <f>IF(K1161=1,IFERROR(MATCH('ORDENES'!$S1157,lista_dias,0),9)*1000000000+IFERROR(MATCH('ORDENES'!$AH1157,lista_turnos,0),9)*10000000+IFERROR(MATCH('ORDENES'!$AG1157,'TECNICOS'!$B$4:$B$19,0),99)*100000+1154,9000000000000+1154)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2">
        <f>IF(K1161=1,'ORDENES'!$J1157,"")</f>
        <v/>
      </c>
    </row>
    <row r="1162">
      <c r="K1162" s="5">
        <f>IF(AND(IF($B$3="(todos)",TRUE,'ORDENES'!$O1158=$B$3),IF($D$3="(todos)",TRUE,'ORDENES'!$AH1158=$D$3),IF($F$3="(todos)",TRUE,'ORDENES'!$Z1158=$F$3),IF($H$3="(todos)",TRUE,'ORDENES'!$Y1158=$H$3),'ORDENES'!$AF1158=TRUE,'ORDENES'!$A1158&lt;&gt;""),1,0)</f>
        <v/>
      </c>
      <c r="L1162" s="5">
        <f>IF(K1162=1,IFERROR(MATCH('ORDENES'!$S1158,lista_dias,0),9)*1000000000+IFERROR(MATCH('ORDENES'!$AH1158,lista_turnos,0),9)*10000000+IFERROR(MATCH('ORDENES'!$AG1158,'TECNICOS'!$B$4:$B$19,0),99)*100000+1155,9000000000000+1155)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2">
        <f>IF(K1162=1,'ORDENES'!$J1158,"")</f>
        <v/>
      </c>
    </row>
    <row r="1163">
      <c r="K1163" s="5">
        <f>IF(AND(IF($B$3="(todos)",TRUE,'ORDENES'!$O1159=$B$3),IF($D$3="(todos)",TRUE,'ORDENES'!$AH1159=$D$3),IF($F$3="(todos)",TRUE,'ORDENES'!$Z1159=$F$3),IF($H$3="(todos)",TRUE,'ORDENES'!$Y1159=$H$3),'ORDENES'!$AF1159=TRUE,'ORDENES'!$A1159&lt;&gt;""),1,0)</f>
        <v/>
      </c>
      <c r="L1163" s="5">
        <f>IF(K1163=1,IFERROR(MATCH('ORDENES'!$S1159,lista_dias,0),9)*1000000000+IFERROR(MATCH('ORDENES'!$AH1159,lista_turnos,0),9)*10000000+IFERROR(MATCH('ORDENES'!$AG1159,'TECNICOS'!$B$4:$B$19,0),99)*100000+1156,9000000000000+1156)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2">
        <f>IF(K1163=1,'ORDENES'!$J1159,"")</f>
        <v/>
      </c>
    </row>
    <row r="1164">
      <c r="K1164" s="5">
        <f>IF(AND(IF($B$3="(todos)",TRUE,'ORDENES'!$O1160=$B$3),IF($D$3="(todos)",TRUE,'ORDENES'!$AH1160=$D$3),IF($F$3="(todos)",TRUE,'ORDENES'!$Z1160=$F$3),IF($H$3="(todos)",TRUE,'ORDENES'!$Y1160=$H$3),'ORDENES'!$AF1160=TRUE,'ORDENES'!$A1160&lt;&gt;""),1,0)</f>
        <v/>
      </c>
      <c r="L1164" s="5">
        <f>IF(K1164=1,IFERROR(MATCH('ORDENES'!$S1160,lista_dias,0),9)*1000000000+IFERROR(MATCH('ORDENES'!$AH1160,lista_turnos,0),9)*10000000+IFERROR(MATCH('ORDENES'!$AG1160,'TECNICOS'!$B$4:$B$19,0),99)*100000+1157,9000000000000+1157)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2">
        <f>IF(K1164=1,'ORDENES'!$J1160,"")</f>
        <v/>
      </c>
    </row>
    <row r="1165">
      <c r="K1165" s="5">
        <f>IF(AND(IF($B$3="(todos)",TRUE,'ORDENES'!$O1161=$B$3),IF($D$3="(todos)",TRUE,'ORDENES'!$AH1161=$D$3),IF($F$3="(todos)",TRUE,'ORDENES'!$Z1161=$F$3),IF($H$3="(todos)",TRUE,'ORDENES'!$Y1161=$H$3),'ORDENES'!$AF1161=TRUE,'ORDENES'!$A1161&lt;&gt;""),1,0)</f>
        <v/>
      </c>
      <c r="L1165" s="5">
        <f>IF(K1165=1,IFERROR(MATCH('ORDENES'!$S1161,lista_dias,0),9)*1000000000+IFERROR(MATCH('ORDENES'!$AH1161,lista_turnos,0),9)*10000000+IFERROR(MATCH('ORDENES'!$AG1161,'TECNICOS'!$B$4:$B$19,0),99)*100000+1158,9000000000000+1158)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2">
        <f>IF(K1165=1,'ORDENES'!$J1161,"")</f>
        <v/>
      </c>
    </row>
    <row r="1166">
      <c r="K1166" s="5">
        <f>IF(AND(IF($B$3="(todos)",TRUE,'ORDENES'!$O1162=$B$3),IF($D$3="(todos)",TRUE,'ORDENES'!$AH1162=$D$3),IF($F$3="(todos)",TRUE,'ORDENES'!$Z1162=$F$3),IF($H$3="(todos)",TRUE,'ORDENES'!$Y1162=$H$3),'ORDENES'!$AF1162=TRUE,'ORDENES'!$A1162&lt;&gt;""),1,0)</f>
        <v/>
      </c>
      <c r="L1166" s="5">
        <f>IF(K1166=1,IFERROR(MATCH('ORDENES'!$S1162,lista_dias,0),9)*1000000000+IFERROR(MATCH('ORDENES'!$AH1162,lista_turnos,0),9)*10000000+IFERROR(MATCH('ORDENES'!$AG1162,'TECNICOS'!$B$4:$B$19,0),99)*100000+1159,9000000000000+1159)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2">
        <f>IF(K1166=1,'ORDENES'!$J1162,"")</f>
        <v/>
      </c>
    </row>
    <row r="1167">
      <c r="K1167" s="5">
        <f>IF(AND(IF($B$3="(todos)",TRUE,'ORDENES'!$O1163=$B$3),IF($D$3="(todos)",TRUE,'ORDENES'!$AH1163=$D$3),IF($F$3="(todos)",TRUE,'ORDENES'!$Z1163=$F$3),IF($H$3="(todos)",TRUE,'ORDENES'!$Y1163=$H$3),'ORDENES'!$AF1163=TRUE,'ORDENES'!$A1163&lt;&gt;""),1,0)</f>
        <v/>
      </c>
      <c r="L1167" s="5">
        <f>IF(K1167=1,IFERROR(MATCH('ORDENES'!$S1163,lista_dias,0),9)*1000000000+IFERROR(MATCH('ORDENES'!$AH1163,lista_turnos,0),9)*10000000+IFERROR(MATCH('ORDENES'!$AG1163,'TECNICOS'!$B$4:$B$19,0),99)*100000+1160,9000000000000+1160)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2">
        <f>IF(K1167=1,'ORDENES'!$J1163,"")</f>
        <v/>
      </c>
    </row>
    <row r="1168">
      <c r="K1168" s="5">
        <f>IF(AND(IF($B$3="(todos)",TRUE,'ORDENES'!$O1164=$B$3),IF($D$3="(todos)",TRUE,'ORDENES'!$AH1164=$D$3),IF($F$3="(todos)",TRUE,'ORDENES'!$Z1164=$F$3),IF($H$3="(todos)",TRUE,'ORDENES'!$Y1164=$H$3),'ORDENES'!$AF1164=TRUE,'ORDENES'!$A1164&lt;&gt;""),1,0)</f>
        <v/>
      </c>
      <c r="L1168" s="5">
        <f>IF(K1168=1,IFERROR(MATCH('ORDENES'!$S1164,lista_dias,0),9)*1000000000+IFERROR(MATCH('ORDENES'!$AH1164,lista_turnos,0),9)*10000000+IFERROR(MATCH('ORDENES'!$AG1164,'TECNICOS'!$B$4:$B$19,0),99)*100000+1161,9000000000000+1161)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2">
        <f>IF(K1168=1,'ORDENES'!$J1164,"")</f>
        <v/>
      </c>
    </row>
    <row r="1169">
      <c r="K1169" s="5">
        <f>IF(AND(IF($B$3="(todos)",TRUE,'ORDENES'!$O1165=$B$3),IF($D$3="(todos)",TRUE,'ORDENES'!$AH1165=$D$3),IF($F$3="(todos)",TRUE,'ORDENES'!$Z1165=$F$3),IF($H$3="(todos)",TRUE,'ORDENES'!$Y1165=$H$3),'ORDENES'!$AF1165=TRUE,'ORDENES'!$A1165&lt;&gt;""),1,0)</f>
        <v/>
      </c>
      <c r="L1169" s="5">
        <f>IF(K1169=1,IFERROR(MATCH('ORDENES'!$S1165,lista_dias,0),9)*1000000000+IFERROR(MATCH('ORDENES'!$AH1165,lista_turnos,0),9)*10000000+IFERROR(MATCH('ORDENES'!$AG1165,'TECNICOS'!$B$4:$B$19,0),99)*100000+1162,9000000000000+1162)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2">
        <f>IF(K1169=1,'ORDENES'!$J1165,"")</f>
        <v/>
      </c>
    </row>
    <row r="1170">
      <c r="K1170" s="5">
        <f>IF(AND(IF($B$3="(todos)",TRUE,'ORDENES'!$O1166=$B$3),IF($D$3="(todos)",TRUE,'ORDENES'!$AH1166=$D$3),IF($F$3="(todos)",TRUE,'ORDENES'!$Z1166=$F$3),IF($H$3="(todos)",TRUE,'ORDENES'!$Y1166=$H$3),'ORDENES'!$AF1166=TRUE,'ORDENES'!$A1166&lt;&gt;""),1,0)</f>
        <v/>
      </c>
      <c r="L1170" s="5">
        <f>IF(K1170=1,IFERROR(MATCH('ORDENES'!$S1166,lista_dias,0),9)*1000000000+IFERROR(MATCH('ORDENES'!$AH1166,lista_turnos,0),9)*10000000+IFERROR(MATCH('ORDENES'!$AG1166,'TECNICOS'!$B$4:$B$19,0),99)*100000+1163,9000000000000+1163)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2">
        <f>IF(K1170=1,'ORDENES'!$J1166,"")</f>
        <v/>
      </c>
    </row>
    <row r="1171">
      <c r="K1171" s="5">
        <f>IF(AND(IF($B$3="(todos)",TRUE,'ORDENES'!$O1167=$B$3),IF($D$3="(todos)",TRUE,'ORDENES'!$AH1167=$D$3),IF($F$3="(todos)",TRUE,'ORDENES'!$Z1167=$F$3),IF($H$3="(todos)",TRUE,'ORDENES'!$Y1167=$H$3),'ORDENES'!$AF1167=TRUE,'ORDENES'!$A1167&lt;&gt;""),1,0)</f>
        <v/>
      </c>
      <c r="L1171" s="5">
        <f>IF(K1171=1,IFERROR(MATCH('ORDENES'!$S1167,lista_dias,0),9)*1000000000+IFERROR(MATCH('ORDENES'!$AH1167,lista_turnos,0),9)*10000000+IFERROR(MATCH('ORDENES'!$AG1167,'TECNICOS'!$B$4:$B$19,0),99)*100000+1164,9000000000000+1164)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2">
        <f>IF(K1171=1,'ORDENES'!$J1167,"")</f>
        <v/>
      </c>
    </row>
    <row r="1172">
      <c r="K1172" s="5">
        <f>IF(AND(IF($B$3="(todos)",TRUE,'ORDENES'!$O1168=$B$3),IF($D$3="(todos)",TRUE,'ORDENES'!$AH1168=$D$3),IF($F$3="(todos)",TRUE,'ORDENES'!$Z1168=$F$3),IF($H$3="(todos)",TRUE,'ORDENES'!$Y1168=$H$3),'ORDENES'!$AF1168=TRUE,'ORDENES'!$A1168&lt;&gt;""),1,0)</f>
        <v/>
      </c>
      <c r="L1172" s="5">
        <f>IF(K1172=1,IFERROR(MATCH('ORDENES'!$S1168,lista_dias,0),9)*1000000000+IFERROR(MATCH('ORDENES'!$AH1168,lista_turnos,0),9)*10000000+IFERROR(MATCH('ORDENES'!$AG1168,'TECNICOS'!$B$4:$B$19,0),99)*100000+1165,9000000000000+1165)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2">
        <f>IF(K1172=1,'ORDENES'!$J1168,"")</f>
        <v/>
      </c>
    </row>
    <row r="1173">
      <c r="K1173" s="5">
        <f>IF(AND(IF($B$3="(todos)",TRUE,'ORDENES'!$O1169=$B$3),IF($D$3="(todos)",TRUE,'ORDENES'!$AH1169=$D$3),IF($F$3="(todos)",TRUE,'ORDENES'!$Z1169=$F$3),IF($H$3="(todos)",TRUE,'ORDENES'!$Y1169=$H$3),'ORDENES'!$AF1169=TRUE,'ORDENES'!$A1169&lt;&gt;""),1,0)</f>
        <v/>
      </c>
      <c r="L1173" s="5">
        <f>IF(K1173=1,IFERROR(MATCH('ORDENES'!$S1169,lista_dias,0),9)*1000000000+IFERROR(MATCH('ORDENES'!$AH1169,lista_turnos,0),9)*10000000+IFERROR(MATCH('ORDENES'!$AG1169,'TECNICOS'!$B$4:$B$19,0),99)*100000+1166,9000000000000+1166)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2">
        <f>IF(K1173=1,'ORDENES'!$J1169,"")</f>
        <v/>
      </c>
    </row>
    <row r="1174">
      <c r="K1174" s="5">
        <f>IF(AND(IF($B$3="(todos)",TRUE,'ORDENES'!$O1170=$B$3),IF($D$3="(todos)",TRUE,'ORDENES'!$AH1170=$D$3),IF($F$3="(todos)",TRUE,'ORDENES'!$Z1170=$F$3),IF($H$3="(todos)",TRUE,'ORDENES'!$Y1170=$H$3),'ORDENES'!$AF1170=TRUE,'ORDENES'!$A1170&lt;&gt;""),1,0)</f>
        <v/>
      </c>
      <c r="L1174" s="5">
        <f>IF(K1174=1,IFERROR(MATCH('ORDENES'!$S1170,lista_dias,0),9)*1000000000+IFERROR(MATCH('ORDENES'!$AH1170,lista_turnos,0),9)*10000000+IFERROR(MATCH('ORDENES'!$AG1170,'TECNICOS'!$B$4:$B$19,0),99)*100000+1167,9000000000000+1167)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2">
        <f>IF(K1174=1,'ORDENES'!$J1170,"")</f>
        <v/>
      </c>
    </row>
    <row r="1175">
      <c r="K1175" s="5">
        <f>IF(AND(IF($B$3="(todos)",TRUE,'ORDENES'!$O1171=$B$3),IF($D$3="(todos)",TRUE,'ORDENES'!$AH1171=$D$3),IF($F$3="(todos)",TRUE,'ORDENES'!$Z1171=$F$3),IF($H$3="(todos)",TRUE,'ORDENES'!$Y1171=$H$3),'ORDENES'!$AF1171=TRUE,'ORDENES'!$A1171&lt;&gt;""),1,0)</f>
        <v/>
      </c>
      <c r="L1175" s="5">
        <f>IF(K1175=1,IFERROR(MATCH('ORDENES'!$S1171,lista_dias,0),9)*1000000000+IFERROR(MATCH('ORDENES'!$AH1171,lista_turnos,0),9)*10000000+IFERROR(MATCH('ORDENES'!$AG1171,'TECNICOS'!$B$4:$B$19,0),99)*100000+1168,9000000000000+1168)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2">
        <f>IF(K1175=1,'ORDENES'!$J1171,"")</f>
        <v/>
      </c>
    </row>
    <row r="1176">
      <c r="K1176" s="5">
        <f>IF(AND(IF($B$3="(todos)",TRUE,'ORDENES'!$O1172=$B$3),IF($D$3="(todos)",TRUE,'ORDENES'!$AH1172=$D$3),IF($F$3="(todos)",TRUE,'ORDENES'!$Z1172=$F$3),IF($H$3="(todos)",TRUE,'ORDENES'!$Y1172=$H$3),'ORDENES'!$AF1172=TRUE,'ORDENES'!$A1172&lt;&gt;""),1,0)</f>
        <v/>
      </c>
      <c r="L1176" s="5">
        <f>IF(K1176=1,IFERROR(MATCH('ORDENES'!$S1172,lista_dias,0),9)*1000000000+IFERROR(MATCH('ORDENES'!$AH1172,lista_turnos,0),9)*10000000+IFERROR(MATCH('ORDENES'!$AG1172,'TECNICOS'!$B$4:$B$19,0),99)*100000+1169,9000000000000+1169)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2">
        <f>IF(K1176=1,'ORDENES'!$J1172,"")</f>
        <v/>
      </c>
    </row>
    <row r="1177">
      <c r="K1177" s="5">
        <f>IF(AND(IF($B$3="(todos)",TRUE,'ORDENES'!$O1173=$B$3),IF($D$3="(todos)",TRUE,'ORDENES'!$AH1173=$D$3),IF($F$3="(todos)",TRUE,'ORDENES'!$Z1173=$F$3),IF($H$3="(todos)",TRUE,'ORDENES'!$Y1173=$H$3),'ORDENES'!$AF1173=TRUE,'ORDENES'!$A1173&lt;&gt;""),1,0)</f>
        <v/>
      </c>
      <c r="L1177" s="5">
        <f>IF(K1177=1,IFERROR(MATCH('ORDENES'!$S1173,lista_dias,0),9)*1000000000+IFERROR(MATCH('ORDENES'!$AH1173,lista_turnos,0),9)*10000000+IFERROR(MATCH('ORDENES'!$AG1173,'TECNICOS'!$B$4:$B$19,0),99)*100000+1170,9000000000000+1170)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2">
        <f>IF(K1177=1,'ORDENES'!$J1173,"")</f>
        <v/>
      </c>
    </row>
    <row r="1178">
      <c r="K1178" s="5">
        <f>IF(AND(IF($B$3="(todos)",TRUE,'ORDENES'!$O1174=$B$3),IF($D$3="(todos)",TRUE,'ORDENES'!$AH1174=$D$3),IF($F$3="(todos)",TRUE,'ORDENES'!$Z1174=$F$3),IF($H$3="(todos)",TRUE,'ORDENES'!$Y1174=$H$3),'ORDENES'!$AF1174=TRUE,'ORDENES'!$A1174&lt;&gt;""),1,0)</f>
        <v/>
      </c>
      <c r="L1178" s="5">
        <f>IF(K1178=1,IFERROR(MATCH('ORDENES'!$S1174,lista_dias,0),9)*1000000000+IFERROR(MATCH('ORDENES'!$AH1174,lista_turnos,0),9)*10000000+IFERROR(MATCH('ORDENES'!$AG1174,'TECNICOS'!$B$4:$B$19,0),99)*100000+1171,9000000000000+1171)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2">
        <f>IF(K1178=1,'ORDENES'!$J1174,"")</f>
        <v/>
      </c>
    </row>
    <row r="1179">
      <c r="K1179" s="5">
        <f>IF(AND(IF($B$3="(todos)",TRUE,'ORDENES'!$O1175=$B$3),IF($D$3="(todos)",TRUE,'ORDENES'!$AH1175=$D$3),IF($F$3="(todos)",TRUE,'ORDENES'!$Z1175=$F$3),IF($H$3="(todos)",TRUE,'ORDENES'!$Y1175=$H$3),'ORDENES'!$AF1175=TRUE,'ORDENES'!$A1175&lt;&gt;""),1,0)</f>
        <v/>
      </c>
      <c r="L1179" s="5">
        <f>IF(K1179=1,IFERROR(MATCH('ORDENES'!$S1175,lista_dias,0),9)*1000000000+IFERROR(MATCH('ORDENES'!$AH1175,lista_turnos,0),9)*10000000+IFERROR(MATCH('ORDENES'!$AG1175,'TECNICOS'!$B$4:$B$19,0),99)*100000+1172,9000000000000+1172)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2">
        <f>IF(K1179=1,'ORDENES'!$J1175,"")</f>
        <v/>
      </c>
    </row>
    <row r="1180">
      <c r="K1180" s="5">
        <f>IF(AND(IF($B$3="(todos)",TRUE,'ORDENES'!$O1176=$B$3),IF($D$3="(todos)",TRUE,'ORDENES'!$AH1176=$D$3),IF($F$3="(todos)",TRUE,'ORDENES'!$Z1176=$F$3),IF($H$3="(todos)",TRUE,'ORDENES'!$Y1176=$H$3),'ORDENES'!$AF1176=TRUE,'ORDENES'!$A1176&lt;&gt;""),1,0)</f>
        <v/>
      </c>
      <c r="L1180" s="5">
        <f>IF(K1180=1,IFERROR(MATCH('ORDENES'!$S1176,lista_dias,0),9)*1000000000+IFERROR(MATCH('ORDENES'!$AH1176,lista_turnos,0),9)*10000000+IFERROR(MATCH('ORDENES'!$AG1176,'TECNICOS'!$B$4:$B$19,0),99)*100000+1173,9000000000000+1173)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2">
        <f>IF(K1180=1,'ORDENES'!$J1176,"")</f>
        <v/>
      </c>
    </row>
    <row r="1181">
      <c r="K1181" s="5">
        <f>IF(AND(IF($B$3="(todos)",TRUE,'ORDENES'!$O1177=$B$3),IF($D$3="(todos)",TRUE,'ORDENES'!$AH1177=$D$3),IF($F$3="(todos)",TRUE,'ORDENES'!$Z1177=$F$3),IF($H$3="(todos)",TRUE,'ORDENES'!$Y1177=$H$3),'ORDENES'!$AF1177=TRUE,'ORDENES'!$A1177&lt;&gt;""),1,0)</f>
        <v/>
      </c>
      <c r="L1181" s="5">
        <f>IF(K1181=1,IFERROR(MATCH('ORDENES'!$S1177,lista_dias,0),9)*1000000000+IFERROR(MATCH('ORDENES'!$AH1177,lista_turnos,0),9)*10000000+IFERROR(MATCH('ORDENES'!$AG1177,'TECNICOS'!$B$4:$B$19,0),99)*100000+1174,9000000000000+1174)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2">
        <f>IF(K1181=1,'ORDENES'!$J1177,"")</f>
        <v/>
      </c>
    </row>
    <row r="1182">
      <c r="K1182" s="5">
        <f>IF(AND(IF($B$3="(todos)",TRUE,'ORDENES'!$O1178=$B$3),IF($D$3="(todos)",TRUE,'ORDENES'!$AH1178=$D$3),IF($F$3="(todos)",TRUE,'ORDENES'!$Z1178=$F$3),IF($H$3="(todos)",TRUE,'ORDENES'!$Y1178=$H$3),'ORDENES'!$AF1178=TRUE,'ORDENES'!$A1178&lt;&gt;""),1,0)</f>
        <v/>
      </c>
      <c r="L1182" s="5">
        <f>IF(K1182=1,IFERROR(MATCH('ORDENES'!$S1178,lista_dias,0),9)*1000000000+IFERROR(MATCH('ORDENES'!$AH1178,lista_turnos,0),9)*10000000+IFERROR(MATCH('ORDENES'!$AG1178,'TECNICOS'!$B$4:$B$19,0),99)*100000+1175,9000000000000+1175)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2">
        <f>IF(K1182=1,'ORDENES'!$J1178,"")</f>
        <v/>
      </c>
    </row>
    <row r="1183">
      <c r="K1183" s="5">
        <f>IF(AND(IF($B$3="(todos)",TRUE,'ORDENES'!$O1179=$B$3),IF($D$3="(todos)",TRUE,'ORDENES'!$AH1179=$D$3),IF($F$3="(todos)",TRUE,'ORDENES'!$Z1179=$F$3),IF($H$3="(todos)",TRUE,'ORDENES'!$Y1179=$H$3),'ORDENES'!$AF1179=TRUE,'ORDENES'!$A1179&lt;&gt;""),1,0)</f>
        <v/>
      </c>
      <c r="L1183" s="5">
        <f>IF(K1183=1,IFERROR(MATCH('ORDENES'!$S1179,lista_dias,0),9)*1000000000+IFERROR(MATCH('ORDENES'!$AH1179,lista_turnos,0),9)*10000000+IFERROR(MATCH('ORDENES'!$AG1179,'TECNICOS'!$B$4:$B$19,0),99)*100000+1176,9000000000000+1176)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2">
        <f>IF(K1183=1,'ORDENES'!$J1179,"")</f>
        <v/>
      </c>
    </row>
    <row r="1184">
      <c r="K1184" s="5">
        <f>IF(AND(IF($B$3="(todos)",TRUE,'ORDENES'!$O1180=$B$3),IF($D$3="(todos)",TRUE,'ORDENES'!$AH1180=$D$3),IF($F$3="(todos)",TRUE,'ORDENES'!$Z1180=$F$3),IF($H$3="(todos)",TRUE,'ORDENES'!$Y1180=$H$3),'ORDENES'!$AF1180=TRUE,'ORDENES'!$A1180&lt;&gt;""),1,0)</f>
        <v/>
      </c>
      <c r="L1184" s="5">
        <f>IF(K1184=1,IFERROR(MATCH('ORDENES'!$S1180,lista_dias,0),9)*1000000000+IFERROR(MATCH('ORDENES'!$AH1180,lista_turnos,0),9)*10000000+IFERROR(MATCH('ORDENES'!$AG1180,'TECNICOS'!$B$4:$B$19,0),99)*100000+1177,9000000000000+1177)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2">
        <f>IF(K1184=1,'ORDENES'!$J1180,"")</f>
        <v/>
      </c>
    </row>
    <row r="1185">
      <c r="K1185" s="5">
        <f>IF(AND(IF($B$3="(todos)",TRUE,'ORDENES'!$O1181=$B$3),IF($D$3="(todos)",TRUE,'ORDENES'!$AH1181=$D$3),IF($F$3="(todos)",TRUE,'ORDENES'!$Z1181=$F$3),IF($H$3="(todos)",TRUE,'ORDENES'!$Y1181=$H$3),'ORDENES'!$AF1181=TRUE,'ORDENES'!$A1181&lt;&gt;""),1,0)</f>
        <v/>
      </c>
      <c r="L1185" s="5">
        <f>IF(K1185=1,IFERROR(MATCH('ORDENES'!$S1181,lista_dias,0),9)*1000000000+IFERROR(MATCH('ORDENES'!$AH1181,lista_turnos,0),9)*10000000+IFERROR(MATCH('ORDENES'!$AG1181,'TECNICOS'!$B$4:$B$19,0),99)*100000+1178,9000000000000+1178)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2">
        <f>IF(K1185=1,'ORDENES'!$J1181,"")</f>
        <v/>
      </c>
    </row>
    <row r="1186">
      <c r="K1186" s="5">
        <f>IF(AND(IF($B$3="(todos)",TRUE,'ORDENES'!$O1182=$B$3),IF($D$3="(todos)",TRUE,'ORDENES'!$AH1182=$D$3),IF($F$3="(todos)",TRUE,'ORDENES'!$Z1182=$F$3),IF($H$3="(todos)",TRUE,'ORDENES'!$Y1182=$H$3),'ORDENES'!$AF1182=TRUE,'ORDENES'!$A1182&lt;&gt;""),1,0)</f>
        <v/>
      </c>
      <c r="L1186" s="5">
        <f>IF(K1186=1,IFERROR(MATCH('ORDENES'!$S1182,lista_dias,0),9)*1000000000+IFERROR(MATCH('ORDENES'!$AH1182,lista_turnos,0),9)*10000000+IFERROR(MATCH('ORDENES'!$AG1182,'TECNICOS'!$B$4:$B$19,0),99)*100000+1179,9000000000000+1179)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2">
        <f>IF(K1186=1,'ORDENES'!$J1182,"")</f>
        <v/>
      </c>
    </row>
    <row r="1187">
      <c r="K1187" s="5">
        <f>IF(AND(IF($B$3="(todos)",TRUE,'ORDENES'!$O1183=$B$3),IF($D$3="(todos)",TRUE,'ORDENES'!$AH1183=$D$3),IF($F$3="(todos)",TRUE,'ORDENES'!$Z1183=$F$3),IF($H$3="(todos)",TRUE,'ORDENES'!$Y1183=$H$3),'ORDENES'!$AF1183=TRUE,'ORDENES'!$A1183&lt;&gt;""),1,0)</f>
        <v/>
      </c>
      <c r="L1187" s="5">
        <f>IF(K1187=1,IFERROR(MATCH('ORDENES'!$S1183,lista_dias,0),9)*1000000000+IFERROR(MATCH('ORDENES'!$AH1183,lista_turnos,0),9)*10000000+IFERROR(MATCH('ORDENES'!$AG1183,'TECNICOS'!$B$4:$B$19,0),99)*100000+1180,9000000000000+1180)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2">
        <f>IF(K1187=1,'ORDENES'!$J1183,"")</f>
        <v/>
      </c>
    </row>
    <row r="1188">
      <c r="K1188" s="5">
        <f>IF(AND(IF($B$3="(todos)",TRUE,'ORDENES'!$O1184=$B$3),IF($D$3="(todos)",TRUE,'ORDENES'!$AH1184=$D$3),IF($F$3="(todos)",TRUE,'ORDENES'!$Z1184=$F$3),IF($H$3="(todos)",TRUE,'ORDENES'!$Y1184=$H$3),'ORDENES'!$AF1184=TRUE,'ORDENES'!$A1184&lt;&gt;""),1,0)</f>
        <v/>
      </c>
      <c r="L1188" s="5">
        <f>IF(K1188=1,IFERROR(MATCH('ORDENES'!$S1184,lista_dias,0),9)*1000000000+IFERROR(MATCH('ORDENES'!$AH1184,lista_turnos,0),9)*10000000+IFERROR(MATCH('ORDENES'!$AG1184,'TECNICOS'!$B$4:$B$19,0),99)*100000+1181,9000000000000+1181)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2">
        <f>IF(K1188=1,'ORDENES'!$J1184,"")</f>
        <v/>
      </c>
    </row>
    <row r="1189">
      <c r="K1189" s="5">
        <f>IF(AND(IF($B$3="(todos)",TRUE,'ORDENES'!$O1185=$B$3),IF($D$3="(todos)",TRUE,'ORDENES'!$AH1185=$D$3),IF($F$3="(todos)",TRUE,'ORDENES'!$Z1185=$F$3),IF($H$3="(todos)",TRUE,'ORDENES'!$Y1185=$H$3),'ORDENES'!$AF1185=TRUE,'ORDENES'!$A1185&lt;&gt;""),1,0)</f>
        <v/>
      </c>
      <c r="L1189" s="5">
        <f>IF(K1189=1,IFERROR(MATCH('ORDENES'!$S1185,lista_dias,0),9)*1000000000+IFERROR(MATCH('ORDENES'!$AH1185,lista_turnos,0),9)*10000000+IFERROR(MATCH('ORDENES'!$AG1185,'TECNICOS'!$B$4:$B$19,0),99)*100000+1182,9000000000000+1182)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2">
        <f>IF(K1189=1,'ORDENES'!$J1185,"")</f>
        <v/>
      </c>
    </row>
    <row r="1190">
      <c r="K1190" s="5">
        <f>IF(AND(IF($B$3="(todos)",TRUE,'ORDENES'!$O1186=$B$3),IF($D$3="(todos)",TRUE,'ORDENES'!$AH1186=$D$3),IF($F$3="(todos)",TRUE,'ORDENES'!$Z1186=$F$3),IF($H$3="(todos)",TRUE,'ORDENES'!$Y1186=$H$3),'ORDENES'!$AF1186=TRUE,'ORDENES'!$A1186&lt;&gt;""),1,0)</f>
        <v/>
      </c>
      <c r="L1190" s="5">
        <f>IF(K1190=1,IFERROR(MATCH('ORDENES'!$S1186,lista_dias,0),9)*1000000000+IFERROR(MATCH('ORDENES'!$AH1186,lista_turnos,0),9)*10000000+IFERROR(MATCH('ORDENES'!$AG1186,'TECNICOS'!$B$4:$B$19,0),99)*100000+1183,9000000000000+1183)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2">
        <f>IF(K1190=1,'ORDENES'!$J1186,"")</f>
        <v/>
      </c>
    </row>
    <row r="1191">
      <c r="K1191" s="5">
        <f>IF(AND(IF($B$3="(todos)",TRUE,'ORDENES'!$O1187=$B$3),IF($D$3="(todos)",TRUE,'ORDENES'!$AH1187=$D$3),IF($F$3="(todos)",TRUE,'ORDENES'!$Z1187=$F$3),IF($H$3="(todos)",TRUE,'ORDENES'!$Y1187=$H$3),'ORDENES'!$AF1187=TRUE,'ORDENES'!$A1187&lt;&gt;""),1,0)</f>
        <v/>
      </c>
      <c r="L1191" s="5">
        <f>IF(K1191=1,IFERROR(MATCH('ORDENES'!$S1187,lista_dias,0),9)*1000000000+IFERROR(MATCH('ORDENES'!$AH1187,lista_turnos,0),9)*10000000+IFERROR(MATCH('ORDENES'!$AG1187,'TECNICOS'!$B$4:$B$19,0),99)*100000+1184,9000000000000+1184)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2">
        <f>IF(K1191=1,'ORDENES'!$J1187,"")</f>
        <v/>
      </c>
    </row>
    <row r="1192">
      <c r="K1192" s="5">
        <f>IF(AND(IF($B$3="(todos)",TRUE,'ORDENES'!$O1188=$B$3),IF($D$3="(todos)",TRUE,'ORDENES'!$AH1188=$D$3),IF($F$3="(todos)",TRUE,'ORDENES'!$Z1188=$F$3),IF($H$3="(todos)",TRUE,'ORDENES'!$Y1188=$H$3),'ORDENES'!$AF1188=TRUE,'ORDENES'!$A1188&lt;&gt;""),1,0)</f>
        <v/>
      </c>
      <c r="L1192" s="5">
        <f>IF(K1192=1,IFERROR(MATCH('ORDENES'!$S1188,lista_dias,0),9)*1000000000+IFERROR(MATCH('ORDENES'!$AH1188,lista_turnos,0),9)*10000000+IFERROR(MATCH('ORDENES'!$AG1188,'TECNICOS'!$B$4:$B$19,0),99)*100000+1185,9000000000000+1185)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2">
        <f>IF(K1192=1,'ORDENES'!$J1188,"")</f>
        <v/>
      </c>
    </row>
    <row r="1193">
      <c r="K1193" s="5">
        <f>IF(AND(IF($B$3="(todos)",TRUE,'ORDENES'!$O1189=$B$3),IF($D$3="(todos)",TRUE,'ORDENES'!$AH1189=$D$3),IF($F$3="(todos)",TRUE,'ORDENES'!$Z1189=$F$3),IF($H$3="(todos)",TRUE,'ORDENES'!$Y1189=$H$3),'ORDENES'!$AF1189=TRUE,'ORDENES'!$A1189&lt;&gt;""),1,0)</f>
        <v/>
      </c>
      <c r="L1193" s="5">
        <f>IF(K1193=1,IFERROR(MATCH('ORDENES'!$S1189,lista_dias,0),9)*1000000000+IFERROR(MATCH('ORDENES'!$AH1189,lista_turnos,0),9)*10000000+IFERROR(MATCH('ORDENES'!$AG1189,'TECNICOS'!$B$4:$B$19,0),99)*100000+1186,9000000000000+1186)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2">
        <f>IF(K1193=1,'ORDENES'!$J1189,"")</f>
        <v/>
      </c>
    </row>
    <row r="1194">
      <c r="K1194" s="5">
        <f>IF(AND(IF($B$3="(todos)",TRUE,'ORDENES'!$O1190=$B$3),IF($D$3="(todos)",TRUE,'ORDENES'!$AH1190=$D$3),IF($F$3="(todos)",TRUE,'ORDENES'!$Z1190=$F$3),IF($H$3="(todos)",TRUE,'ORDENES'!$Y1190=$H$3),'ORDENES'!$AF1190=TRUE,'ORDENES'!$A1190&lt;&gt;""),1,0)</f>
        <v/>
      </c>
      <c r="L1194" s="5">
        <f>IF(K1194=1,IFERROR(MATCH('ORDENES'!$S1190,lista_dias,0),9)*1000000000+IFERROR(MATCH('ORDENES'!$AH1190,lista_turnos,0),9)*10000000+IFERROR(MATCH('ORDENES'!$AG1190,'TECNICOS'!$B$4:$B$19,0),99)*100000+1187,9000000000000+1187)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2">
        <f>IF(K1194=1,'ORDENES'!$J1190,"")</f>
        <v/>
      </c>
    </row>
    <row r="1195">
      <c r="K1195" s="5">
        <f>IF(AND(IF($B$3="(todos)",TRUE,'ORDENES'!$O1191=$B$3),IF($D$3="(todos)",TRUE,'ORDENES'!$AH1191=$D$3),IF($F$3="(todos)",TRUE,'ORDENES'!$Z1191=$F$3),IF($H$3="(todos)",TRUE,'ORDENES'!$Y1191=$H$3),'ORDENES'!$AF1191=TRUE,'ORDENES'!$A1191&lt;&gt;""),1,0)</f>
        <v/>
      </c>
      <c r="L1195" s="5">
        <f>IF(K1195=1,IFERROR(MATCH('ORDENES'!$S1191,lista_dias,0),9)*1000000000+IFERROR(MATCH('ORDENES'!$AH1191,lista_turnos,0),9)*10000000+IFERROR(MATCH('ORDENES'!$AG1191,'TECNICOS'!$B$4:$B$19,0),99)*100000+1188,9000000000000+1188)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2">
        <f>IF(K1195=1,'ORDENES'!$J1191,"")</f>
        <v/>
      </c>
    </row>
    <row r="1196">
      <c r="K1196" s="5">
        <f>IF(AND(IF($B$3="(todos)",TRUE,'ORDENES'!$O1192=$B$3),IF($D$3="(todos)",TRUE,'ORDENES'!$AH1192=$D$3),IF($F$3="(todos)",TRUE,'ORDENES'!$Z1192=$F$3),IF($H$3="(todos)",TRUE,'ORDENES'!$Y1192=$H$3),'ORDENES'!$AF1192=TRUE,'ORDENES'!$A1192&lt;&gt;""),1,0)</f>
        <v/>
      </c>
      <c r="L1196" s="5">
        <f>IF(K1196=1,IFERROR(MATCH('ORDENES'!$S1192,lista_dias,0),9)*1000000000+IFERROR(MATCH('ORDENES'!$AH1192,lista_turnos,0),9)*10000000+IFERROR(MATCH('ORDENES'!$AG1192,'TECNICOS'!$B$4:$B$19,0),99)*100000+1189,9000000000000+1189)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2">
        <f>IF(K1196=1,'ORDENES'!$J1192,"")</f>
        <v/>
      </c>
    </row>
    <row r="1197">
      <c r="K1197" s="5">
        <f>IF(AND(IF($B$3="(todos)",TRUE,'ORDENES'!$O1193=$B$3),IF($D$3="(todos)",TRUE,'ORDENES'!$AH1193=$D$3),IF($F$3="(todos)",TRUE,'ORDENES'!$Z1193=$F$3),IF($H$3="(todos)",TRUE,'ORDENES'!$Y1193=$H$3),'ORDENES'!$AF1193=TRUE,'ORDENES'!$A1193&lt;&gt;""),1,0)</f>
        <v/>
      </c>
      <c r="L1197" s="5">
        <f>IF(K1197=1,IFERROR(MATCH('ORDENES'!$S1193,lista_dias,0),9)*1000000000+IFERROR(MATCH('ORDENES'!$AH1193,lista_turnos,0),9)*10000000+IFERROR(MATCH('ORDENES'!$AG1193,'TECNICOS'!$B$4:$B$19,0),99)*100000+1190,9000000000000+1190)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2">
        <f>IF(K1197=1,'ORDENES'!$J1193,"")</f>
        <v/>
      </c>
    </row>
    <row r="1198">
      <c r="K1198" s="5">
        <f>IF(AND(IF($B$3="(todos)",TRUE,'ORDENES'!$O1194=$B$3),IF($D$3="(todos)",TRUE,'ORDENES'!$AH1194=$D$3),IF($F$3="(todos)",TRUE,'ORDENES'!$Z1194=$F$3),IF($H$3="(todos)",TRUE,'ORDENES'!$Y1194=$H$3),'ORDENES'!$AF1194=TRUE,'ORDENES'!$A1194&lt;&gt;""),1,0)</f>
        <v/>
      </c>
      <c r="L1198" s="5">
        <f>IF(K1198=1,IFERROR(MATCH('ORDENES'!$S1194,lista_dias,0),9)*1000000000+IFERROR(MATCH('ORDENES'!$AH1194,lista_turnos,0),9)*10000000+IFERROR(MATCH('ORDENES'!$AG1194,'TECNICOS'!$B$4:$B$19,0),99)*100000+1191,9000000000000+1191)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2">
        <f>IF(K1198=1,'ORDENES'!$J1194,"")</f>
        <v/>
      </c>
    </row>
    <row r="1199">
      <c r="K1199" s="5">
        <f>IF(AND(IF($B$3="(todos)",TRUE,'ORDENES'!$O1195=$B$3),IF($D$3="(todos)",TRUE,'ORDENES'!$AH1195=$D$3),IF($F$3="(todos)",TRUE,'ORDENES'!$Z1195=$F$3),IF($H$3="(todos)",TRUE,'ORDENES'!$Y1195=$H$3),'ORDENES'!$AF1195=TRUE,'ORDENES'!$A1195&lt;&gt;""),1,0)</f>
        <v/>
      </c>
      <c r="L1199" s="5">
        <f>IF(K1199=1,IFERROR(MATCH('ORDENES'!$S1195,lista_dias,0),9)*1000000000+IFERROR(MATCH('ORDENES'!$AH1195,lista_turnos,0),9)*10000000+IFERROR(MATCH('ORDENES'!$AG1195,'TECNICOS'!$B$4:$B$19,0),99)*100000+1192,9000000000000+1192)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2">
        <f>IF(K1199=1,'ORDENES'!$J1195,"")</f>
        <v/>
      </c>
    </row>
    <row r="1200">
      <c r="K1200" s="5">
        <f>IF(AND(IF($B$3="(todos)",TRUE,'ORDENES'!$O1196=$B$3),IF($D$3="(todos)",TRUE,'ORDENES'!$AH1196=$D$3),IF($F$3="(todos)",TRUE,'ORDENES'!$Z1196=$F$3),IF($H$3="(todos)",TRUE,'ORDENES'!$Y1196=$H$3),'ORDENES'!$AF1196=TRUE,'ORDENES'!$A1196&lt;&gt;""),1,0)</f>
        <v/>
      </c>
      <c r="L1200" s="5">
        <f>IF(K1200=1,IFERROR(MATCH('ORDENES'!$S1196,lista_dias,0),9)*1000000000+IFERROR(MATCH('ORDENES'!$AH1196,lista_turnos,0),9)*10000000+IFERROR(MATCH('ORDENES'!$AG1196,'TECNICOS'!$B$4:$B$19,0),99)*100000+1193,9000000000000+1193)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2">
        <f>IF(K1200=1,'ORDENES'!$J1196,"")</f>
        <v/>
      </c>
    </row>
    <row r="1201">
      <c r="K1201" s="5">
        <f>IF(AND(IF($B$3="(todos)",TRUE,'ORDENES'!$O1197=$B$3),IF($D$3="(todos)",TRUE,'ORDENES'!$AH1197=$D$3),IF($F$3="(todos)",TRUE,'ORDENES'!$Z1197=$F$3),IF($H$3="(todos)",TRUE,'ORDENES'!$Y1197=$H$3),'ORDENES'!$AF1197=TRUE,'ORDENES'!$A1197&lt;&gt;""),1,0)</f>
        <v/>
      </c>
      <c r="L1201" s="5">
        <f>IF(K1201=1,IFERROR(MATCH('ORDENES'!$S1197,lista_dias,0),9)*1000000000+IFERROR(MATCH('ORDENES'!$AH1197,lista_turnos,0),9)*10000000+IFERROR(MATCH('ORDENES'!$AG1197,'TECNICOS'!$B$4:$B$19,0),99)*100000+1194,9000000000000+1194)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2">
        <f>IF(K1201=1,'ORDENES'!$J1197,"")</f>
        <v/>
      </c>
    </row>
    <row r="1202">
      <c r="K1202" s="5">
        <f>IF(AND(IF($B$3="(todos)",TRUE,'ORDENES'!$O1198=$B$3),IF($D$3="(todos)",TRUE,'ORDENES'!$AH1198=$D$3),IF($F$3="(todos)",TRUE,'ORDENES'!$Z1198=$F$3),IF($H$3="(todos)",TRUE,'ORDENES'!$Y1198=$H$3),'ORDENES'!$AF1198=TRUE,'ORDENES'!$A1198&lt;&gt;""),1,0)</f>
        <v/>
      </c>
      <c r="L1202" s="5">
        <f>IF(K1202=1,IFERROR(MATCH('ORDENES'!$S1198,lista_dias,0),9)*1000000000+IFERROR(MATCH('ORDENES'!$AH1198,lista_turnos,0),9)*10000000+IFERROR(MATCH('ORDENES'!$AG1198,'TECNICOS'!$B$4:$B$19,0),99)*100000+1195,9000000000000+1195)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2">
        <f>IF(K1202=1,'ORDENES'!$J1198,"")</f>
        <v/>
      </c>
    </row>
    <row r="1203">
      <c r="K1203" s="5">
        <f>IF(AND(IF($B$3="(todos)",TRUE,'ORDENES'!$O1199=$B$3),IF($D$3="(todos)",TRUE,'ORDENES'!$AH1199=$D$3),IF($F$3="(todos)",TRUE,'ORDENES'!$Z1199=$F$3),IF($H$3="(todos)",TRUE,'ORDENES'!$Y1199=$H$3),'ORDENES'!$AF1199=TRUE,'ORDENES'!$A1199&lt;&gt;""),1,0)</f>
        <v/>
      </c>
      <c r="L1203" s="5">
        <f>IF(K1203=1,IFERROR(MATCH('ORDENES'!$S1199,lista_dias,0),9)*1000000000+IFERROR(MATCH('ORDENES'!$AH1199,lista_turnos,0),9)*10000000+IFERROR(MATCH('ORDENES'!$AG1199,'TECNICOS'!$B$4:$B$19,0),99)*100000+1196,9000000000000+1196)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2">
        <f>IF(K1203=1,'ORDENES'!$J1199,"")</f>
        <v/>
      </c>
    </row>
    <row r="1204">
      <c r="K1204" s="5">
        <f>IF(AND(IF($B$3="(todos)",TRUE,'ORDENES'!$O1200=$B$3),IF($D$3="(todos)",TRUE,'ORDENES'!$AH1200=$D$3),IF($F$3="(todos)",TRUE,'ORDENES'!$Z1200=$F$3),IF($H$3="(todos)",TRUE,'ORDENES'!$Y1200=$H$3),'ORDENES'!$AF1200=TRUE,'ORDENES'!$A1200&lt;&gt;""),1,0)</f>
        <v/>
      </c>
      <c r="L1204" s="5">
        <f>IF(K1204=1,IFERROR(MATCH('ORDENES'!$S1200,lista_dias,0),9)*1000000000+IFERROR(MATCH('ORDENES'!$AH1200,lista_turnos,0),9)*10000000+IFERROR(MATCH('ORDENES'!$AG1200,'TECNICOS'!$B$4:$B$19,0),99)*100000+1197,9000000000000+1197)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2">
        <f>IF(K1204=1,'ORDENES'!$J1200,"")</f>
        <v/>
      </c>
    </row>
    <row r="1205">
      <c r="K1205" s="5">
        <f>IF(AND(IF($B$3="(todos)",TRUE,'ORDENES'!$O1201=$B$3),IF($D$3="(todos)",TRUE,'ORDENES'!$AH1201=$D$3),IF($F$3="(todos)",TRUE,'ORDENES'!$Z1201=$F$3),IF($H$3="(todos)",TRUE,'ORDENES'!$Y1201=$H$3),'ORDENES'!$AF1201=TRUE,'ORDENES'!$A1201&lt;&gt;""),1,0)</f>
        <v/>
      </c>
      <c r="L1205" s="5">
        <f>IF(K1205=1,IFERROR(MATCH('ORDENES'!$S1201,lista_dias,0),9)*1000000000+IFERROR(MATCH('ORDENES'!$AH1201,lista_turnos,0),9)*10000000+IFERROR(MATCH('ORDENES'!$AG1201,'TECNICOS'!$B$4:$B$19,0),99)*100000+1198,9000000000000+1198)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2">
        <f>IF(K1205=1,'ORDENES'!$J1201,"")</f>
        <v/>
      </c>
    </row>
    <row r="1206">
      <c r="K1206" s="5">
        <f>IF(AND(IF($B$3="(todos)",TRUE,'ORDENES'!$O1202=$B$3),IF($D$3="(todos)",TRUE,'ORDENES'!$AH1202=$D$3),IF($F$3="(todos)",TRUE,'ORDENES'!$Z1202=$F$3),IF($H$3="(todos)",TRUE,'ORDENES'!$Y1202=$H$3),'ORDENES'!$AF1202=TRUE,'ORDENES'!$A1202&lt;&gt;""),1,0)</f>
        <v/>
      </c>
      <c r="L1206" s="5">
        <f>IF(K1206=1,IFERROR(MATCH('ORDENES'!$S1202,lista_dias,0),9)*1000000000+IFERROR(MATCH('ORDENES'!$AH1202,lista_turnos,0),9)*10000000+IFERROR(MATCH('ORDENES'!$AG1202,'TECNICOS'!$B$4:$B$19,0),99)*100000+1199,9000000000000+1199)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2">
        <f>IF(K1206=1,'ORDENES'!$J1202,"")</f>
        <v/>
      </c>
    </row>
    <row r="1207">
      <c r="K1207" s="5">
        <f>IF(AND(IF($B$3="(todos)",TRUE,'ORDENES'!$O1203=$B$3),IF($D$3="(todos)",TRUE,'ORDENES'!$AH1203=$D$3),IF($F$3="(todos)",TRUE,'ORDENES'!$Z1203=$F$3),IF($H$3="(todos)",TRUE,'ORDENES'!$Y1203=$H$3),'ORDENES'!$AF1203=TRUE,'ORDENES'!$A1203&lt;&gt;""),1,0)</f>
        <v/>
      </c>
      <c r="L1207" s="5">
        <f>IF(K1207=1,IFERROR(MATCH('ORDENES'!$S1203,lista_dias,0),9)*1000000000+IFERROR(MATCH('ORDENES'!$AH1203,lista_turnos,0),9)*10000000+IFERROR(MATCH('ORDENES'!$AG1203,'TECNICOS'!$B$4:$B$19,0),99)*100000+1200,9000000000000+1200)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T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4" customWidth="1" min="31" max="31"/>
    <col width="12" customWidth="1" min="32" max="32"/>
    <col width="14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5" customWidth="1" min="46" max="46"/>
  </cols>
  <sheetData>
    <row r="1">
      <c r="A1" s="3" t="inlineStr">
        <is>
          <t>ORDENES — tabla madre (tblOrdenes). Azul = editable; el resto se calcula solo.</t>
        </is>
      </c>
    </row>
    <row r="3">
      <c r="A3" s="15" t="inlineStr">
        <is>
          <t>orden</t>
        </is>
      </c>
      <c r="B3" s="15" t="inlineStr">
        <is>
          <t>operacion</t>
        </is>
      </c>
      <c r="C3" s="15" t="inlineStr">
        <is>
          <t>descripcion_general</t>
        </is>
      </c>
      <c r="D3" s="15" t="inlineStr">
        <is>
          <t>descripcion_operacion</t>
        </is>
      </c>
      <c r="E3" s="15" t="inlineStr">
        <is>
          <t>equipo</t>
        </is>
      </c>
      <c r="F3" s="15" t="inlineStr">
        <is>
          <t>centro_costo</t>
        </is>
      </c>
      <c r="G3" s="15" t="inlineStr">
        <is>
          <t>puesto_trabajo</t>
        </is>
      </c>
      <c r="H3" s="15" t="inlineStr">
        <is>
          <t>cod_actividad</t>
        </is>
      </c>
      <c r="I3" s="15" t="inlineStr">
        <is>
          <t>tipo_ot</t>
        </is>
      </c>
      <c r="J3" s="15" t="inlineStr">
        <is>
          <t>fecha_inicio</t>
        </is>
      </c>
      <c r="K3" s="15" t="inlineStr">
        <is>
          <t>horas_estimadas</t>
        </is>
      </c>
      <c r="L3" s="15" t="inlineStr">
        <is>
          <t>costo_plan</t>
        </is>
      </c>
      <c r="M3" s="15" t="inlineStr">
        <is>
          <t>horas_efectivas</t>
        </is>
      </c>
      <c r="N3" s="15" t="inlineStr">
        <is>
          <t>estado</t>
        </is>
      </c>
      <c r="O3" s="15" t="inlineStr">
        <is>
          <t>semana</t>
        </is>
      </c>
      <c r="P3" s="15" t="inlineStr">
        <is>
          <t>anio</t>
        </is>
      </c>
      <c r="Q3" s="15" t="inlineStr">
        <is>
          <t>mes</t>
        </is>
      </c>
      <c r="R3" s="15" t="inlineStr">
        <is>
          <t>mes_clave</t>
        </is>
      </c>
      <c r="S3" s="15" t="inlineStr">
        <is>
          <t>dia_semana</t>
        </is>
      </c>
      <c r="T3" s="15" t="inlineStr">
        <is>
          <t>es_habil</t>
        </is>
      </c>
      <c r="U3" s="15" t="inlineStr">
        <is>
          <t>clasificacion</t>
        </is>
      </c>
      <c r="V3" s="15" t="inlineStr">
        <is>
          <t>clase_mantenimiento</t>
        </is>
      </c>
      <c r="W3" s="15" t="inlineStr">
        <is>
          <t>linea</t>
        </is>
      </c>
      <c r="X3" s="15" t="inlineStr">
        <is>
          <t>area</t>
        </is>
      </c>
      <c r="Y3" s="15" t="inlineStr">
        <is>
          <t>sub_area</t>
        </is>
      </c>
      <c r="Z3" s="15" t="inlineStr">
        <is>
          <t>coordinador</t>
        </is>
      </c>
      <c r="AA3" s="15" t="inlineStr">
        <is>
          <t>especialidad</t>
        </is>
      </c>
      <c r="AB3" s="15" t="inlineStr">
        <is>
          <t>actividad</t>
        </is>
      </c>
      <c r="AC3" s="15" t="inlineStr">
        <is>
          <t>backlog_dias</t>
        </is>
      </c>
      <c r="AD3" s="15" t="inlineStr">
        <is>
          <t>backlog_habiles</t>
        </is>
      </c>
      <c r="AE3" s="15" t="inlineStr">
        <is>
          <t>estado_backlog</t>
        </is>
      </c>
      <c r="AF3" s="15" t="inlineStr">
        <is>
          <t>en_plan</t>
        </is>
      </c>
      <c r="AG3" s="15" t="inlineStr">
        <is>
          <t>tecnico_asignado</t>
        </is>
      </c>
      <c r="AH3" s="15" t="inlineStr">
        <is>
          <t>turno_asignado</t>
        </is>
      </c>
      <c r="AI3" s="15" t="inlineStr">
        <is>
          <t>HHA</t>
        </is>
      </c>
      <c r="AJ3" s="15" t="inlineStr">
        <is>
          <t>HHD</t>
        </is>
      </c>
      <c r="AK3" s="15" t="inlineStr">
        <is>
          <t>costo_servicio</t>
        </is>
      </c>
      <c r="AL3" s="15" t="inlineStr">
        <is>
          <t>costo_materiales</t>
        </is>
      </c>
      <c r="AM3" s="15" t="inlineStr">
        <is>
          <t>costo_total</t>
        </is>
      </c>
      <c r="AN3" s="15" t="inlineStr">
        <is>
          <t>categoria_presupuesto</t>
        </is>
      </c>
      <c r="AO3" s="15" t="inlineStr">
        <is>
          <t>permiso_requerido</t>
        </is>
      </c>
      <c r="AP3" s="15" t="inlineStr">
        <is>
          <t>bloqueo_energia</t>
        </is>
      </c>
      <c r="AQ3" s="15" t="inlineStr">
        <is>
          <t>link_checklist</t>
        </is>
      </c>
      <c r="AR3" s="15" t="inlineStr">
        <is>
          <t>abrir_checklist</t>
        </is>
      </c>
      <c r="AS3" s="15" t="inlineStr">
        <is>
          <t>observaciones</t>
        </is>
      </c>
      <c r="AT3" s="15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22" t="n">
        <v>46223</v>
      </c>
      <c r="K4" s="5" t="n">
        <v>10</v>
      </c>
      <c r="L4" s="18" t="n">
        <v>250</v>
      </c>
      <c r="M4" s="5">
        <f>IF($A4="","",IFERROR(INDEX('AJUSTES'!$B$4:$B$303,MATCH($AT4,'AJUSTES'!$A$4:$A$303,0)),IF($K4="","",$K4)))</f>
        <v/>
      </c>
      <c r="N4" s="5">
        <f>IF($A4="","",IFERROR(INDEX('CAT_ESTADOS_ERP'!$B$4:$B$7,MATCH(IFERROR(INDEX('2_IMPORTAR_EJECUCION'!$C$9:$C$1208,MATCH($AT4,'2_IMPORTAR_EJECUCION'!$J$9:$J$1208,0)),""),'CAT_ESTADOS_ERP'!$A$4:$A$7,0)),"Pendiente"))</f>
        <v/>
      </c>
      <c r="O4" s="5">
        <f>IF($J4="","",YEAR($J4+4-WEEKDAY($J4,2))&amp;"-S"&amp;TEXT(_xlfn.ISOWEEKNUM($J4),"00"))</f>
        <v/>
      </c>
      <c r="P4" s="5">
        <f>IF($J4="","",YEAR($J4))</f>
        <v/>
      </c>
      <c r="Q4" s="5">
        <f>IF($J4="","",MONTH($J4))</f>
        <v/>
      </c>
      <c r="R4" s="5">
        <f>IF($J4="","",$P4&amp;"-"&amp;TEXT($Q4,"00"))</f>
        <v/>
      </c>
      <c r="S4" s="5">
        <f>IF($J4="","",INDEX(lista_dias,WEEKDAY($J4,2)))</f>
        <v/>
      </c>
      <c r="T4" s="5">
        <f>IF($J4="","",IFERROR(INDEX('CALENDARIO'!$C$15:$C$214,MATCH(TEXT($J4,"yyyy-mm-dd")&amp;"|"&amp;$X4&amp;"|"&amp;$Y4,'CALENDARIO'!$G$15:$G$214,0)),IFERROR(INDEX('CALENDARIO'!$C$15:$C$214,MATCH(TEXT($J4,"yyyy-mm-dd")&amp;"|"&amp;$X4&amp;"|",'CALENDARIO'!$G$15:$G$214,0)),IFERROR(INDEX('CALENDARIO'!$C$15:$C$214,MATCH(TEXT($J4,"yyyy-mm-dd")&amp;"||",'CALENDARIO'!$G$15:$G$214,0)),INDEX(patronHabil,WEEKDAY($J4,2))))))</f>
        <v/>
      </c>
      <c r="U4" s="5">
        <f>IF($I4="","",IFERROR(INDEX('CAT_TIPOS_OT'!$C$4:$C$8,MATCH($I4,'CAT_TIPOS_OT'!$A$4:$A$8,0)),"sin_clasificar"))</f>
        <v/>
      </c>
      <c r="V4" s="5">
        <f>IF($I4="","",IF(IFERROR(INDEX('CAT_TIPOS_OT'!$D$4:$D$8,MATCH($I4,'CAT_TIPOS_OT'!$A$4:$A$8,0)),"SIN CLASIFICAR")="","SIN CLASIFICAR",IFERROR(INDEX('CAT_TIPOS_OT'!$D$4:$D$8,MATCH($I4,'CAT_TIPOS_OT'!$A$4:$A$8,0)),"SIN CLASIFICAR")))</f>
        <v/>
      </c>
      <c r="W4" s="5">
        <f>IF($F4="","",IFERROR(INDEX('CAT_CENTROS_COSTO'!$F$4:$F$13,MATCH($F4,'CAT_CENTROS_COSTO'!$A$4:$A$13,0)),"(sin catálogo)"))</f>
        <v/>
      </c>
      <c r="X4" s="5">
        <f>IF($F4="","",IFERROR(INDEX('CAT_CENTROS_COSTO'!$D$4:$D$13,MATCH($F4,'CAT_CENTROS_COSTO'!$A$4:$A$13,0)),"(sin catálogo)"))</f>
        <v/>
      </c>
      <c r="Y4" s="5">
        <f>IF($F4="","",IF((IFERROR(INDEX('CAT_CENTROS_COSTO'!$E$4:$E$13,MATCH($F4,'CAT_CENTROS_COSTO'!$A$4:$A$13,0)),""))&lt;&gt;"",IFERROR(INDEX('CAT_CENTROS_COSTO'!$E$4:$E$13,MATCH($F4,'CAT_CENTROS_COSTO'!$A$4:$A$13,0)),""),$X4))</f>
        <v/>
      </c>
      <c r="Z4" s="5">
        <f>IF($F4="","",IFERROR(INDEX('CAT_CENTROS_COSTO'!$G$4:$G$13,MATCH($F4,'CAT_CENTROS_COSTO'!$A$4:$A$13,0)),"(sin catálogo)"))</f>
        <v/>
      </c>
      <c r="AA4" s="5">
        <f>IF($G4="","",IFERROR(INDEX('CAT_PUESTOS'!$B$4:$B$8,MATCH($G4,'CAT_PUESTOS'!$A$4:$A$8,0)),"(sin catálogo)"))</f>
        <v/>
      </c>
      <c r="AB4" s="5">
        <f>IF($H4="","",IFERROR(INDEX('CAT_ACTIVIDADES'!$B$4:$B$11,MATCH($H4,'CAT_ACTIVIDADES'!$A$4:$A$11,0)),"(sin catálogo)"))</f>
        <v/>
      </c>
      <c r="AC4" s="20">
        <f>IF($J4="","",TODAY()-$J4)</f>
        <v/>
      </c>
      <c r="AD4" s="20">
        <f>IF($J4="","",IF($J4&lt;=TODAY(),COUNTIFS(cal_fechas,"&gt;="&amp;$J4,cal_fechas,"&lt;"&amp;TODAY(),cal_habil,"sí"),-COUNTIFS(cal_fechas,"&gt;="&amp;TODAY(),cal_fechas,"&lt;"&amp;$J4,cal_habil,"sí")))</f>
        <v/>
      </c>
      <c r="AE4" s="5">
        <f>IF($AD4="","",IF($AD4&lt;0,"FUTURO",IF($AD4&gt;p_dias_backlog_max,"BACKLOG","MES CORRIENTE")))</f>
        <v/>
      </c>
      <c r="AF4" s="5">
        <f>IF($AD4="",FALSE,AND($AD4&gt;p_dias_backlog_min,$AD4&lt;=p_dias_backlog_max))</f>
        <v/>
      </c>
      <c r="AG4" s="4" t="inlineStr">
        <is>
          <t>Carlos Pérez</t>
        </is>
      </c>
      <c r="AH4" s="5">
        <f>IF($AG4="","",IF((IFERROR(INDEX('ASIGNACIONES'!$J$4:$J$451,MATCH($O4&amp;"|"&amp;$S4&amp;"|"&amp;$AG4,'ASIGNACIONES'!$N$4:$N$451,0)),""))=0,"",IFERROR(INDEX('ASIGNACIONES'!$J$4:$J$451,MATCH($O4&amp;"|"&amp;$S4&amp;"|"&amp;$AG4,'ASIGNACIONES'!$N$4:$N$451,0)),"")))</f>
        <v/>
      </c>
      <c r="AI4" s="25">
        <f>IF($AG4="","",SUMIFS('ORDENES'!$M$4:$M$1203,'ORDENES'!$AG$4:$AG$1203,$AG4,'ORDENES'!$O$4:$O$1203,$O4,'ORDENES'!$S$4:$S$1203,$S4))</f>
        <v/>
      </c>
      <c r="AJ4" s="25">
        <f>IF($AI4="","",p_factor_productividad*IFERROR(INDEX('ASIGNACIONES'!$M$4:$M$451,MATCH($O4&amp;"|"&amp;$S4&amp;"|"&amp;$AG4,'ASIGNACIONES'!$N$4:$N$451,0)),0)-$AI4)</f>
        <v/>
      </c>
      <c r="AK4" s="18">
        <f>IF($A4="","",IFERROR(INDEX('2_IMPORTAR_EJECUCION'!$F$9:$F$1208,MATCH($AT4,'2_IMPORTAR_EJECUCION'!$J$9:$J$1208,0)),0))</f>
        <v/>
      </c>
      <c r="AL4" s="18">
        <f>IF($A4="","",MAX(0,IFERROR(INDEX('2_IMPORTAR_EJECUCION'!$H$9:$H$1208,MATCH($AT4,'2_IMPORTAR_EJECUCION'!$J$9:$J$1208,0)),0)-$AK4))</f>
        <v/>
      </c>
      <c r="AM4" s="18">
        <f>IF($A4="","",$AK4+$AL4)</f>
        <v/>
      </c>
      <c r="AN4" s="5">
        <f>IF($A4="","",IF(OR((IFERROR(INDEX('CAT_ACTIVIDADES'!$D$4:$D$11,MATCH($H4,'CAT_ACTIVIDADES'!$A$4:$A$11,0)),""))=0,(IFERROR(INDEX('CAT_ACTIVIDADES'!$D$4:$D$11,MATCH($H4,'CAT_ACTIVIDADES'!$A$4:$A$11,0)),""))=""),"SIN CLASIFICAR",IFERROR(INDEX('CAT_ACTIVIDADES'!$D$4:$D$11,MATCH($H4,'CAT_ACTIVIDADES'!$A$4:$A$11,0)),"")))</f>
        <v/>
      </c>
      <c r="AO4" s="4" t="inlineStr"/>
      <c r="AP4" s="4" t="inlineStr"/>
      <c r="AQ4" s="4" t="inlineStr">
        <is>
          <t>ACT-02.pdf</t>
        </is>
      </c>
      <c r="AR4" s="5">
        <f>IF($AQ4="","",HYPERLINK(p_ruta_base_checklists&amp;$AQ4,"abrir"))</f>
        <v/>
      </c>
      <c r="AS4" s="4" t="inlineStr"/>
      <c r="AT4" s="5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22" t="n">
        <v>46224</v>
      </c>
      <c r="K5" s="5" t="n">
        <v>8</v>
      </c>
      <c r="L5" s="18" t="n">
        <v>200</v>
      </c>
      <c r="M5" s="5">
        <f>IF($A5="","",IFERROR(INDEX('AJUSTES'!$B$4:$B$303,MATCH($AT5,'AJUSTES'!$A$4:$A$303,0)),IF($K5="","",$K5)))</f>
        <v/>
      </c>
      <c r="N5" s="5">
        <f>IF($A5="","",IFERROR(INDEX('CAT_ESTADOS_ERP'!$B$4:$B$7,MATCH(IFERROR(INDEX('2_IMPORTAR_EJECUCION'!$C$9:$C$1208,MATCH($AT5,'2_IMPORTAR_EJECUCION'!$J$9:$J$1208,0)),""),'CAT_ESTADOS_ERP'!$A$4:$A$7,0)),"Pendiente"))</f>
        <v/>
      </c>
      <c r="O5" s="5">
        <f>IF($J5="","",YEAR($J5+4-WEEKDAY($J5,2))&amp;"-S"&amp;TEXT(_xlfn.ISOWEEKNUM($J5),"00"))</f>
        <v/>
      </c>
      <c r="P5" s="5">
        <f>IF($J5="","",YEAR($J5))</f>
        <v/>
      </c>
      <c r="Q5" s="5">
        <f>IF($J5="","",MONTH($J5))</f>
        <v/>
      </c>
      <c r="R5" s="5">
        <f>IF($J5="","",$P5&amp;"-"&amp;TEXT($Q5,"00"))</f>
        <v/>
      </c>
      <c r="S5" s="5">
        <f>IF($J5="","",INDEX(lista_dias,WEEKDAY($J5,2)))</f>
        <v/>
      </c>
      <c r="T5" s="5">
        <f>IF($J5="","",IFERROR(INDEX('CALENDARIO'!$C$15:$C$214,MATCH(TEXT($J5,"yyyy-mm-dd")&amp;"|"&amp;$X5&amp;"|"&amp;$Y5,'CALENDARIO'!$G$15:$G$214,0)),IFERROR(INDEX('CALENDARIO'!$C$15:$C$214,MATCH(TEXT($J5,"yyyy-mm-dd")&amp;"|"&amp;$X5&amp;"|",'CALENDARIO'!$G$15:$G$214,0)),IFERROR(INDEX('CALENDARIO'!$C$15:$C$214,MATCH(TEXT($J5,"yyyy-mm-dd")&amp;"||",'CALENDARIO'!$G$15:$G$214,0)),INDEX(patronHabil,WEEKDAY($J5,2))))))</f>
        <v/>
      </c>
      <c r="U5" s="5">
        <f>IF($I5="","",IFERROR(INDEX('CAT_TIPOS_OT'!$C$4:$C$8,MATCH($I5,'CAT_TIPOS_OT'!$A$4:$A$8,0)),"sin_clasificar"))</f>
        <v/>
      </c>
      <c r="V5" s="5">
        <f>IF($I5="","",IF(IFERROR(INDEX('CAT_TIPOS_OT'!$D$4:$D$8,MATCH($I5,'CAT_TIPOS_OT'!$A$4:$A$8,0)),"SIN CLASIFICAR")="","SIN CLASIFICAR",IFERROR(INDEX('CAT_TIPOS_OT'!$D$4:$D$8,MATCH($I5,'CAT_TIPOS_OT'!$A$4:$A$8,0)),"SIN CLASIFICAR")))</f>
        <v/>
      </c>
      <c r="W5" s="5">
        <f>IF($F5="","",IFERROR(INDEX('CAT_CENTROS_COSTO'!$F$4:$F$13,MATCH($F5,'CAT_CENTROS_COSTO'!$A$4:$A$13,0)),"(sin catálogo)"))</f>
        <v/>
      </c>
      <c r="X5" s="5">
        <f>IF($F5="","",IFERROR(INDEX('CAT_CENTROS_COSTO'!$D$4:$D$13,MATCH($F5,'CAT_CENTROS_COSTO'!$A$4:$A$13,0)),"(sin catálogo)"))</f>
        <v/>
      </c>
      <c r="Y5" s="5">
        <f>IF($F5="","",IF((IFERROR(INDEX('CAT_CENTROS_COSTO'!$E$4:$E$13,MATCH($F5,'CAT_CENTROS_COSTO'!$A$4:$A$13,0)),""))&lt;&gt;"",IFERROR(INDEX('CAT_CENTROS_COSTO'!$E$4:$E$13,MATCH($F5,'CAT_CENTROS_COSTO'!$A$4:$A$13,0)),""),$X5))</f>
        <v/>
      </c>
      <c r="Z5" s="5">
        <f>IF($F5="","",IFERROR(INDEX('CAT_CENTROS_COSTO'!$G$4:$G$13,MATCH($F5,'CAT_CENTROS_COSTO'!$A$4:$A$13,0)),"(sin catálogo)"))</f>
        <v/>
      </c>
      <c r="AA5" s="5">
        <f>IF($G5="","",IFERROR(INDEX('CAT_PUESTOS'!$B$4:$B$8,MATCH($G5,'CAT_PUESTOS'!$A$4:$A$8,0)),"(sin catálogo)"))</f>
        <v/>
      </c>
      <c r="AB5" s="5">
        <f>IF($H5="","",IFERROR(INDEX('CAT_ACTIVIDADES'!$B$4:$B$11,MATCH($H5,'CAT_ACTIVIDADES'!$A$4:$A$11,0)),"(sin catálogo)"))</f>
        <v/>
      </c>
      <c r="AC5" s="20">
        <f>IF($J5="","",TODAY()-$J5)</f>
        <v/>
      </c>
      <c r="AD5" s="20">
        <f>IF($J5="","",IF($J5&lt;=TODAY(),COUNTIFS(cal_fechas,"&gt;="&amp;$J5,cal_fechas,"&lt;"&amp;TODAY(),cal_habil,"sí"),-COUNTIFS(cal_fechas,"&gt;="&amp;TODAY(),cal_fechas,"&lt;"&amp;$J5,cal_habil,"sí")))</f>
        <v/>
      </c>
      <c r="AE5" s="5">
        <f>IF($AD5="","",IF($AD5&lt;0,"FUTURO",IF($AD5&gt;p_dias_backlog_max,"BACKLOG","MES CORRIENTE")))</f>
        <v/>
      </c>
      <c r="AF5" s="5">
        <f>IF($AD5="",FALSE,AND($AD5&gt;p_dias_backlog_min,$AD5&lt;=p_dias_backlog_max))</f>
        <v/>
      </c>
      <c r="AG5" s="4" t="inlineStr">
        <is>
          <t>María Gómez</t>
        </is>
      </c>
      <c r="AH5" s="5">
        <f>IF($AG5="","",IF((IFERROR(INDEX('ASIGNACIONES'!$J$4:$J$451,MATCH($O5&amp;"|"&amp;$S5&amp;"|"&amp;$AG5,'ASIGNACIONES'!$N$4:$N$451,0)),""))=0,"",IFERROR(INDEX('ASIGNACIONES'!$J$4:$J$451,MATCH($O5&amp;"|"&amp;$S5&amp;"|"&amp;$AG5,'ASIGNACIONES'!$N$4:$N$451,0)),"")))</f>
        <v/>
      </c>
      <c r="AI5" s="25">
        <f>IF($AG5="","",SUMIFS('ORDENES'!$M$4:$M$1203,'ORDENES'!$AG$4:$AG$1203,$AG5,'ORDENES'!$O$4:$O$1203,$O5,'ORDENES'!$S$4:$S$1203,$S5))</f>
        <v/>
      </c>
      <c r="AJ5" s="25">
        <f>IF($AI5="","",p_factor_productividad*IFERROR(INDEX('ASIGNACIONES'!$M$4:$M$451,MATCH($O5&amp;"|"&amp;$S5&amp;"|"&amp;$AG5,'ASIGNACIONES'!$N$4:$N$451,0)),0)-$AI5)</f>
        <v/>
      </c>
      <c r="AK5" s="18">
        <f>IF($A5="","",IFERROR(INDEX('2_IMPORTAR_EJECUCION'!$F$9:$F$1208,MATCH($AT5,'2_IMPORTAR_EJECUCION'!$J$9:$J$1208,0)),0))</f>
        <v/>
      </c>
      <c r="AL5" s="18">
        <f>IF($A5="","",MAX(0,IFERROR(INDEX('2_IMPORTAR_EJECUCION'!$H$9:$H$1208,MATCH($AT5,'2_IMPORTAR_EJECUCION'!$J$9:$J$1208,0)),0)-$AK5))</f>
        <v/>
      </c>
      <c r="AM5" s="18">
        <f>IF($A5="","",$AK5+$AL5)</f>
        <v/>
      </c>
      <c r="AN5" s="5">
        <f>IF($A5="","",IF(OR((IFERROR(INDEX('CAT_ACTIVIDADES'!$D$4:$D$11,MATCH($H5,'CAT_ACTIVIDADES'!$A$4:$A$11,0)),""))=0,(IFERROR(INDEX('CAT_ACTIVIDADES'!$D$4:$D$11,MATCH($H5,'CAT_ACTIVIDADES'!$A$4:$A$11,0)),""))=""),"SIN CLASIFICAR",IFERROR(INDEX('CAT_ACTIVIDADES'!$D$4:$D$11,MATCH($H5,'CAT_ACTIVIDADES'!$A$4:$A$11,0)),"")))</f>
        <v/>
      </c>
      <c r="AO5" s="4" t="inlineStr"/>
      <c r="AP5" s="4" t="inlineStr"/>
      <c r="AQ5" s="4" t="inlineStr">
        <is>
          <t>ACT-04.pdf</t>
        </is>
      </c>
      <c r="AR5" s="5">
        <f>IF($AQ5="","",HYPERLINK(p_ruta_base_checklists&amp;$AQ5,"abrir"))</f>
        <v/>
      </c>
      <c r="AS5" s="4" t="inlineStr"/>
      <c r="AT5" s="5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22" t="n">
        <v>46225</v>
      </c>
      <c r="K6" s="5" t="n">
        <v>6</v>
      </c>
      <c r="L6" s="18" t="n">
        <v>150</v>
      </c>
      <c r="M6" s="5">
        <f>IF($A6="","",IFERROR(INDEX('AJUSTES'!$B$4:$B$303,MATCH($AT6,'AJUSTES'!$A$4:$A$303,0)),IF($K6="","",$K6)))</f>
        <v/>
      </c>
      <c r="N6" s="5">
        <f>IF($A6="","",IFERROR(INDEX('CAT_ESTADOS_ERP'!$B$4:$B$7,MATCH(IFERROR(INDEX('2_IMPORTAR_EJECUCION'!$C$9:$C$1208,MATCH($AT6,'2_IMPORTAR_EJECUCION'!$J$9:$J$1208,0)),""),'CAT_ESTADOS_ERP'!$A$4:$A$7,0)),"Pendiente"))</f>
        <v/>
      </c>
      <c r="O6" s="5">
        <f>IF($J6="","",YEAR($J6+4-WEEKDAY($J6,2))&amp;"-S"&amp;TEXT(_xlfn.ISOWEEKNUM($J6),"00"))</f>
        <v/>
      </c>
      <c r="P6" s="5">
        <f>IF($J6="","",YEAR($J6))</f>
        <v/>
      </c>
      <c r="Q6" s="5">
        <f>IF($J6="","",MONTH($J6))</f>
        <v/>
      </c>
      <c r="R6" s="5">
        <f>IF($J6="","",$P6&amp;"-"&amp;TEXT($Q6,"00"))</f>
        <v/>
      </c>
      <c r="S6" s="5">
        <f>IF($J6="","",INDEX(lista_dias,WEEKDAY($J6,2)))</f>
        <v/>
      </c>
      <c r="T6" s="5">
        <f>IF($J6="","",IFERROR(INDEX('CALENDARIO'!$C$15:$C$214,MATCH(TEXT($J6,"yyyy-mm-dd")&amp;"|"&amp;$X6&amp;"|"&amp;$Y6,'CALENDARIO'!$G$15:$G$214,0)),IFERROR(INDEX('CALENDARIO'!$C$15:$C$214,MATCH(TEXT($J6,"yyyy-mm-dd")&amp;"|"&amp;$X6&amp;"|",'CALENDARIO'!$G$15:$G$214,0)),IFERROR(INDEX('CALENDARIO'!$C$15:$C$214,MATCH(TEXT($J6,"yyyy-mm-dd")&amp;"||",'CALENDARIO'!$G$15:$G$214,0)),INDEX(patronHabil,WEEKDAY($J6,2))))))</f>
        <v/>
      </c>
      <c r="U6" s="5">
        <f>IF($I6="","",IFERROR(INDEX('CAT_TIPOS_OT'!$C$4:$C$8,MATCH($I6,'CAT_TIPOS_OT'!$A$4:$A$8,0)),"sin_clasificar"))</f>
        <v/>
      </c>
      <c r="V6" s="5">
        <f>IF($I6="","",IF(IFERROR(INDEX('CAT_TIPOS_OT'!$D$4:$D$8,MATCH($I6,'CAT_TIPOS_OT'!$A$4:$A$8,0)),"SIN CLASIFICAR")="","SIN CLASIFICAR",IFERROR(INDEX('CAT_TIPOS_OT'!$D$4:$D$8,MATCH($I6,'CAT_TIPOS_OT'!$A$4:$A$8,0)),"SIN CLASIFICAR")))</f>
        <v/>
      </c>
      <c r="W6" s="5">
        <f>IF($F6="","",IFERROR(INDEX('CAT_CENTROS_COSTO'!$F$4:$F$13,MATCH($F6,'CAT_CENTROS_COSTO'!$A$4:$A$13,0)),"(sin catálogo)"))</f>
        <v/>
      </c>
      <c r="X6" s="5">
        <f>IF($F6="","",IFERROR(INDEX('CAT_CENTROS_COSTO'!$D$4:$D$13,MATCH($F6,'CAT_CENTROS_COSTO'!$A$4:$A$13,0)),"(sin catálogo)"))</f>
        <v/>
      </c>
      <c r="Y6" s="5">
        <f>IF($F6="","",IF((IFERROR(INDEX('CAT_CENTROS_COSTO'!$E$4:$E$13,MATCH($F6,'CAT_CENTROS_COSTO'!$A$4:$A$13,0)),""))&lt;&gt;"",IFERROR(INDEX('CAT_CENTROS_COSTO'!$E$4:$E$13,MATCH($F6,'CAT_CENTROS_COSTO'!$A$4:$A$13,0)),""),$X6))</f>
        <v/>
      </c>
      <c r="Z6" s="5">
        <f>IF($F6="","",IFERROR(INDEX('CAT_CENTROS_COSTO'!$G$4:$G$13,MATCH($F6,'CAT_CENTROS_COSTO'!$A$4:$A$13,0)),"(sin catálogo)"))</f>
        <v/>
      </c>
      <c r="AA6" s="5">
        <f>IF($G6="","",IFERROR(INDEX('CAT_PUESTOS'!$B$4:$B$8,MATCH($G6,'CAT_PUESTOS'!$A$4:$A$8,0)),"(sin catálogo)"))</f>
        <v/>
      </c>
      <c r="AB6" s="5">
        <f>IF($H6="","",IFERROR(INDEX('CAT_ACTIVIDADES'!$B$4:$B$11,MATCH($H6,'CAT_ACTIVIDADES'!$A$4:$A$11,0)),"(sin catálogo)"))</f>
        <v/>
      </c>
      <c r="AC6" s="20">
        <f>IF($J6="","",TODAY()-$J6)</f>
        <v/>
      </c>
      <c r="AD6" s="20">
        <f>IF($J6="","",IF($J6&lt;=TODAY(),COUNTIFS(cal_fechas,"&gt;="&amp;$J6,cal_fechas,"&lt;"&amp;TODAY(),cal_habil,"sí"),-COUNTIFS(cal_fechas,"&gt;="&amp;TODAY(),cal_fechas,"&lt;"&amp;$J6,cal_habil,"sí")))</f>
        <v/>
      </c>
      <c r="AE6" s="5">
        <f>IF($AD6="","",IF($AD6&lt;0,"FUTURO",IF($AD6&gt;p_dias_backlog_max,"BACKLOG","MES CORRIENTE")))</f>
        <v/>
      </c>
      <c r="AF6" s="5">
        <f>IF($AD6="",FALSE,AND($AD6&gt;p_dias_backlog_min,$AD6&lt;=p_dias_backlog_max))</f>
        <v/>
      </c>
      <c r="AG6" s="4" t="inlineStr">
        <is>
          <t>Luis Rodríguez</t>
        </is>
      </c>
      <c r="AH6" s="5">
        <f>IF($AG6="","",IF((IFERROR(INDEX('ASIGNACIONES'!$J$4:$J$451,MATCH($O6&amp;"|"&amp;$S6&amp;"|"&amp;$AG6,'ASIGNACIONES'!$N$4:$N$451,0)),""))=0,"",IFERROR(INDEX('ASIGNACIONES'!$J$4:$J$451,MATCH($O6&amp;"|"&amp;$S6&amp;"|"&amp;$AG6,'ASIGNACIONES'!$N$4:$N$451,0)),"")))</f>
        <v/>
      </c>
      <c r="AI6" s="25">
        <f>IF($AG6="","",SUMIFS('ORDENES'!$M$4:$M$1203,'ORDENES'!$AG$4:$AG$1203,$AG6,'ORDENES'!$O$4:$O$1203,$O6,'ORDENES'!$S$4:$S$1203,$S6))</f>
        <v/>
      </c>
      <c r="AJ6" s="25">
        <f>IF($AI6="","",p_factor_productividad*IFERROR(INDEX('ASIGNACIONES'!$M$4:$M$451,MATCH($O6&amp;"|"&amp;$S6&amp;"|"&amp;$AG6,'ASIGNACIONES'!$N$4:$N$451,0)),0)-$AI6)</f>
        <v/>
      </c>
      <c r="AK6" s="18">
        <f>IF($A6="","",IFERROR(INDEX('2_IMPORTAR_EJECUCION'!$F$9:$F$1208,MATCH($AT6,'2_IMPORTAR_EJECUCION'!$J$9:$J$1208,0)),0))</f>
        <v/>
      </c>
      <c r="AL6" s="18">
        <f>IF($A6="","",MAX(0,IFERROR(INDEX('2_IMPORTAR_EJECUCION'!$H$9:$H$1208,MATCH($AT6,'2_IMPORTAR_EJECUCION'!$J$9:$J$1208,0)),0)-$AK6))</f>
        <v/>
      </c>
      <c r="AM6" s="18">
        <f>IF($A6="","",$AK6+$AL6)</f>
        <v/>
      </c>
      <c r="AN6" s="5">
        <f>IF($A6="","",IF(OR((IFERROR(INDEX('CAT_ACTIVIDADES'!$D$4:$D$11,MATCH($H6,'CAT_ACTIVIDADES'!$A$4:$A$11,0)),""))=0,(IFERROR(INDEX('CAT_ACTIVIDADES'!$D$4:$D$11,MATCH($H6,'CAT_ACTIVIDADES'!$A$4:$A$11,0)),""))=""),"SIN CLASIFICAR",IFERROR(INDEX('CAT_ACTIVIDADES'!$D$4:$D$11,MATCH($H6,'CAT_ACTIVIDADES'!$A$4:$A$11,0)),"")))</f>
        <v/>
      </c>
      <c r="AO6" s="4" t="inlineStr"/>
      <c r="AP6" s="4" t="inlineStr"/>
      <c r="AQ6" s="4" t="inlineStr">
        <is>
          <t>ACT-01.pdf</t>
        </is>
      </c>
      <c r="AR6" s="5">
        <f>IF($AQ6="","",HYPERLINK(p_ruta_base_checklists&amp;$AQ6,"abrir"))</f>
        <v/>
      </c>
      <c r="AS6" s="4" t="inlineStr"/>
      <c r="AT6" s="5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22" t="n">
        <v>46226</v>
      </c>
      <c r="K7" s="5" t="n">
        <v>10</v>
      </c>
      <c r="L7" s="18" t="n">
        <v>250</v>
      </c>
      <c r="M7" s="5">
        <f>IF($A7="","",IFERROR(INDEX('AJUSTES'!$B$4:$B$303,MATCH($AT7,'AJUSTES'!$A$4:$A$303,0)),IF($K7="","",$K7)))</f>
        <v/>
      </c>
      <c r="N7" s="5">
        <f>IF($A7="","",IFERROR(INDEX('CAT_ESTADOS_ERP'!$B$4:$B$7,MATCH(IFERROR(INDEX('2_IMPORTAR_EJECUCION'!$C$9:$C$1208,MATCH($AT7,'2_IMPORTAR_EJECUCION'!$J$9:$J$1208,0)),""),'CAT_ESTADOS_ERP'!$A$4:$A$7,0)),"Pendiente"))</f>
        <v/>
      </c>
      <c r="O7" s="5">
        <f>IF($J7="","",YEAR($J7+4-WEEKDAY($J7,2))&amp;"-S"&amp;TEXT(_xlfn.ISOWEEKNUM($J7),"00"))</f>
        <v/>
      </c>
      <c r="P7" s="5">
        <f>IF($J7="","",YEAR($J7))</f>
        <v/>
      </c>
      <c r="Q7" s="5">
        <f>IF($J7="","",MONTH($J7))</f>
        <v/>
      </c>
      <c r="R7" s="5">
        <f>IF($J7="","",$P7&amp;"-"&amp;TEXT($Q7,"00"))</f>
        <v/>
      </c>
      <c r="S7" s="5">
        <f>IF($J7="","",INDEX(lista_dias,WEEKDAY($J7,2)))</f>
        <v/>
      </c>
      <c r="T7" s="5">
        <f>IF($J7="","",IFERROR(INDEX('CALENDARIO'!$C$15:$C$214,MATCH(TEXT($J7,"yyyy-mm-dd")&amp;"|"&amp;$X7&amp;"|"&amp;$Y7,'CALENDARIO'!$G$15:$G$214,0)),IFERROR(INDEX('CALENDARIO'!$C$15:$C$214,MATCH(TEXT($J7,"yyyy-mm-dd")&amp;"|"&amp;$X7&amp;"|",'CALENDARIO'!$G$15:$G$214,0)),IFERROR(INDEX('CALENDARIO'!$C$15:$C$214,MATCH(TEXT($J7,"yyyy-mm-dd")&amp;"||",'CALENDARIO'!$G$15:$G$214,0)),INDEX(patronHabil,WEEKDAY($J7,2))))))</f>
        <v/>
      </c>
      <c r="U7" s="5">
        <f>IF($I7="","",IFERROR(INDEX('CAT_TIPOS_OT'!$C$4:$C$8,MATCH($I7,'CAT_TIPOS_OT'!$A$4:$A$8,0)),"sin_clasificar"))</f>
        <v/>
      </c>
      <c r="V7" s="5">
        <f>IF($I7="","",IF(IFERROR(INDEX('CAT_TIPOS_OT'!$D$4:$D$8,MATCH($I7,'CAT_TIPOS_OT'!$A$4:$A$8,0)),"SIN CLASIFICAR")="","SIN CLASIFICAR",IFERROR(INDEX('CAT_TIPOS_OT'!$D$4:$D$8,MATCH($I7,'CAT_TIPOS_OT'!$A$4:$A$8,0)),"SIN CLASIFICAR")))</f>
        <v/>
      </c>
      <c r="W7" s="5">
        <f>IF($F7="","",IFERROR(INDEX('CAT_CENTROS_COSTO'!$F$4:$F$13,MATCH($F7,'CAT_CENTROS_COSTO'!$A$4:$A$13,0)),"(sin catálogo)"))</f>
        <v/>
      </c>
      <c r="X7" s="5">
        <f>IF($F7="","",IFERROR(INDEX('CAT_CENTROS_COSTO'!$D$4:$D$13,MATCH($F7,'CAT_CENTROS_COSTO'!$A$4:$A$13,0)),"(sin catálogo)"))</f>
        <v/>
      </c>
      <c r="Y7" s="5">
        <f>IF($F7="","",IF((IFERROR(INDEX('CAT_CENTROS_COSTO'!$E$4:$E$13,MATCH($F7,'CAT_CENTROS_COSTO'!$A$4:$A$13,0)),""))&lt;&gt;"",IFERROR(INDEX('CAT_CENTROS_COSTO'!$E$4:$E$13,MATCH($F7,'CAT_CENTROS_COSTO'!$A$4:$A$13,0)),""),$X7))</f>
        <v/>
      </c>
      <c r="Z7" s="5">
        <f>IF($F7="","",IFERROR(INDEX('CAT_CENTROS_COSTO'!$G$4:$G$13,MATCH($F7,'CAT_CENTROS_COSTO'!$A$4:$A$13,0)),"(sin catálogo)"))</f>
        <v/>
      </c>
      <c r="AA7" s="5">
        <f>IF($G7="","",IFERROR(INDEX('CAT_PUESTOS'!$B$4:$B$8,MATCH($G7,'CAT_PUESTOS'!$A$4:$A$8,0)),"(sin catálogo)"))</f>
        <v/>
      </c>
      <c r="AB7" s="5">
        <f>IF($H7="","",IFERROR(INDEX('CAT_ACTIVIDADES'!$B$4:$B$11,MATCH($H7,'CAT_ACTIVIDADES'!$A$4:$A$11,0)),"(sin catálogo)"))</f>
        <v/>
      </c>
      <c r="AC7" s="20">
        <f>IF($J7="","",TODAY()-$J7)</f>
        <v/>
      </c>
      <c r="AD7" s="20">
        <f>IF($J7="","",IF($J7&lt;=TODAY(),COUNTIFS(cal_fechas,"&gt;="&amp;$J7,cal_fechas,"&lt;"&amp;TODAY(),cal_habil,"sí"),-COUNTIFS(cal_fechas,"&gt;="&amp;TODAY(),cal_fechas,"&lt;"&amp;$J7,cal_habil,"sí")))</f>
        <v/>
      </c>
      <c r="AE7" s="5">
        <f>IF($AD7="","",IF($AD7&lt;0,"FUTURO",IF($AD7&gt;p_dias_backlog_max,"BACKLOG","MES CORRIENTE")))</f>
        <v/>
      </c>
      <c r="AF7" s="5">
        <f>IF($AD7="",FALSE,AND($AD7&gt;p_dias_backlog_min,$AD7&lt;=p_dias_backlog_max))</f>
        <v/>
      </c>
      <c r="AG7" s="4" t="inlineStr">
        <is>
          <t>Miguel Martínez</t>
        </is>
      </c>
      <c r="AH7" s="5">
        <f>IF($AG7="","",IF((IFERROR(INDEX('ASIGNACIONES'!$J$4:$J$451,MATCH($O7&amp;"|"&amp;$S7&amp;"|"&amp;$AG7,'ASIGNACIONES'!$N$4:$N$451,0)),""))=0,"",IFERROR(INDEX('ASIGNACIONES'!$J$4:$J$451,MATCH($O7&amp;"|"&amp;$S7&amp;"|"&amp;$AG7,'ASIGNACIONES'!$N$4:$N$451,0)),"")))</f>
        <v/>
      </c>
      <c r="AI7" s="25">
        <f>IF($AG7="","",SUMIFS('ORDENES'!$M$4:$M$1203,'ORDENES'!$AG$4:$AG$1203,$AG7,'ORDENES'!$O$4:$O$1203,$O7,'ORDENES'!$S$4:$S$1203,$S7))</f>
        <v/>
      </c>
      <c r="AJ7" s="25">
        <f>IF($AI7="","",p_factor_productividad*IFERROR(INDEX('ASIGNACIONES'!$M$4:$M$451,MATCH($O7&amp;"|"&amp;$S7&amp;"|"&amp;$AG7,'ASIGNACIONES'!$N$4:$N$451,0)),0)-$AI7)</f>
        <v/>
      </c>
      <c r="AK7" s="18">
        <f>IF($A7="","",IFERROR(INDEX('2_IMPORTAR_EJECUCION'!$F$9:$F$1208,MATCH($AT7,'2_IMPORTAR_EJECUCION'!$J$9:$J$1208,0)),0))</f>
        <v/>
      </c>
      <c r="AL7" s="18">
        <f>IF($A7="","",MAX(0,IFERROR(INDEX('2_IMPORTAR_EJECUCION'!$H$9:$H$1208,MATCH($AT7,'2_IMPORTAR_EJECUCION'!$J$9:$J$1208,0)),0)-$AK7))</f>
        <v/>
      </c>
      <c r="AM7" s="18">
        <f>IF($A7="","",$AK7+$AL7)</f>
        <v/>
      </c>
      <c r="AN7" s="5">
        <f>IF($A7="","",IF(OR((IFERROR(INDEX('CAT_ACTIVIDADES'!$D$4:$D$11,MATCH($H7,'CAT_ACTIVIDADES'!$A$4:$A$11,0)),""))=0,(IFERROR(INDEX('CAT_ACTIVIDADES'!$D$4:$D$11,MATCH($H7,'CAT_ACTIVIDADES'!$A$4:$A$11,0)),""))=""),"SIN CLASIFICAR",IFERROR(INDEX('CAT_ACTIVIDADES'!$D$4:$D$11,MATCH($H7,'CAT_ACTIVIDADES'!$A$4:$A$11,0)),"")))</f>
        <v/>
      </c>
      <c r="AO7" s="4" t="inlineStr"/>
      <c r="AP7" s="4" t="inlineStr"/>
      <c r="AQ7" s="4" t="inlineStr">
        <is>
          <t>ACT-02.pdf</t>
        </is>
      </c>
      <c r="AR7" s="5">
        <f>IF($AQ7="","",HYPERLINK(p_ruta_base_checklists&amp;$AQ7,"abrir"))</f>
        <v/>
      </c>
      <c r="AS7" s="4" t="inlineStr"/>
      <c r="AT7" s="5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22" t="n">
        <v>46227</v>
      </c>
      <c r="K8" s="5" t="n">
        <v>8</v>
      </c>
      <c r="L8" s="18" t="n">
        <v>200</v>
      </c>
      <c r="M8" s="5">
        <f>IF($A8="","",IFERROR(INDEX('AJUSTES'!$B$4:$B$303,MATCH($AT8,'AJUSTES'!$A$4:$A$303,0)),IF($K8="","",$K8)))</f>
        <v/>
      </c>
      <c r="N8" s="5">
        <f>IF($A8="","",IFERROR(INDEX('CAT_ESTADOS_ERP'!$B$4:$B$7,MATCH(IFERROR(INDEX('2_IMPORTAR_EJECUCION'!$C$9:$C$1208,MATCH($AT8,'2_IMPORTAR_EJECUCION'!$J$9:$J$1208,0)),""),'CAT_ESTADOS_ERP'!$A$4:$A$7,0)),"Pendiente"))</f>
        <v/>
      </c>
      <c r="O8" s="5">
        <f>IF($J8="","",YEAR($J8+4-WEEKDAY($J8,2))&amp;"-S"&amp;TEXT(_xlfn.ISOWEEKNUM($J8),"00"))</f>
        <v/>
      </c>
      <c r="P8" s="5">
        <f>IF($J8="","",YEAR($J8))</f>
        <v/>
      </c>
      <c r="Q8" s="5">
        <f>IF($J8="","",MONTH($J8))</f>
        <v/>
      </c>
      <c r="R8" s="5">
        <f>IF($J8="","",$P8&amp;"-"&amp;TEXT($Q8,"00"))</f>
        <v/>
      </c>
      <c r="S8" s="5">
        <f>IF($J8="","",INDEX(lista_dias,WEEKDAY($J8,2)))</f>
        <v/>
      </c>
      <c r="T8" s="5">
        <f>IF($J8="","",IFERROR(INDEX('CALENDARIO'!$C$15:$C$214,MATCH(TEXT($J8,"yyyy-mm-dd")&amp;"|"&amp;$X8&amp;"|"&amp;$Y8,'CALENDARIO'!$G$15:$G$214,0)),IFERROR(INDEX('CALENDARIO'!$C$15:$C$214,MATCH(TEXT($J8,"yyyy-mm-dd")&amp;"|"&amp;$X8&amp;"|",'CALENDARIO'!$G$15:$G$214,0)),IFERROR(INDEX('CALENDARIO'!$C$15:$C$214,MATCH(TEXT($J8,"yyyy-mm-dd")&amp;"||",'CALENDARIO'!$G$15:$G$214,0)),INDEX(patronHabil,WEEKDAY($J8,2))))))</f>
        <v/>
      </c>
      <c r="U8" s="5">
        <f>IF($I8="","",IFERROR(INDEX('CAT_TIPOS_OT'!$C$4:$C$8,MATCH($I8,'CAT_TIPOS_OT'!$A$4:$A$8,0)),"sin_clasificar"))</f>
        <v/>
      </c>
      <c r="V8" s="5">
        <f>IF($I8="","",IF(IFERROR(INDEX('CAT_TIPOS_OT'!$D$4:$D$8,MATCH($I8,'CAT_TIPOS_OT'!$A$4:$A$8,0)),"SIN CLASIFICAR")="","SIN CLASIFICAR",IFERROR(INDEX('CAT_TIPOS_OT'!$D$4:$D$8,MATCH($I8,'CAT_TIPOS_OT'!$A$4:$A$8,0)),"SIN CLASIFICAR")))</f>
        <v/>
      </c>
      <c r="W8" s="5">
        <f>IF($F8="","",IFERROR(INDEX('CAT_CENTROS_COSTO'!$F$4:$F$13,MATCH($F8,'CAT_CENTROS_COSTO'!$A$4:$A$13,0)),"(sin catálogo)"))</f>
        <v/>
      </c>
      <c r="X8" s="5">
        <f>IF($F8="","",IFERROR(INDEX('CAT_CENTROS_COSTO'!$D$4:$D$13,MATCH($F8,'CAT_CENTROS_COSTO'!$A$4:$A$13,0)),"(sin catálogo)"))</f>
        <v/>
      </c>
      <c r="Y8" s="5">
        <f>IF($F8="","",IF((IFERROR(INDEX('CAT_CENTROS_COSTO'!$E$4:$E$13,MATCH($F8,'CAT_CENTROS_COSTO'!$A$4:$A$13,0)),""))&lt;&gt;"",IFERROR(INDEX('CAT_CENTROS_COSTO'!$E$4:$E$13,MATCH($F8,'CAT_CENTROS_COSTO'!$A$4:$A$13,0)),""),$X8))</f>
        <v/>
      </c>
      <c r="Z8" s="5">
        <f>IF($F8="","",IFERROR(INDEX('CAT_CENTROS_COSTO'!$G$4:$G$13,MATCH($F8,'CAT_CENTROS_COSTO'!$A$4:$A$13,0)),"(sin catálogo)"))</f>
        <v/>
      </c>
      <c r="AA8" s="5">
        <f>IF($G8="","",IFERROR(INDEX('CAT_PUESTOS'!$B$4:$B$8,MATCH($G8,'CAT_PUESTOS'!$A$4:$A$8,0)),"(sin catálogo)"))</f>
        <v/>
      </c>
      <c r="AB8" s="5">
        <f>IF($H8="","",IFERROR(INDEX('CAT_ACTIVIDADES'!$B$4:$B$11,MATCH($H8,'CAT_ACTIVIDADES'!$A$4:$A$11,0)),"(sin catálogo)"))</f>
        <v/>
      </c>
      <c r="AC8" s="20">
        <f>IF($J8="","",TODAY()-$J8)</f>
        <v/>
      </c>
      <c r="AD8" s="20">
        <f>IF($J8="","",IF($J8&lt;=TODAY(),COUNTIFS(cal_fechas,"&gt;="&amp;$J8,cal_fechas,"&lt;"&amp;TODAY(),cal_habil,"sí"),-COUNTIFS(cal_fechas,"&gt;="&amp;TODAY(),cal_fechas,"&lt;"&amp;$J8,cal_habil,"sí")))</f>
        <v/>
      </c>
      <c r="AE8" s="5">
        <f>IF($AD8="","",IF($AD8&lt;0,"FUTURO",IF($AD8&gt;p_dias_backlog_max,"BACKLOG","MES CORRIENTE")))</f>
        <v/>
      </c>
      <c r="AF8" s="5">
        <f>IF($AD8="",FALSE,AND($AD8&gt;p_dias_backlog_min,$AD8&lt;=p_dias_backlog_max))</f>
        <v/>
      </c>
      <c r="AG8" s="4" t="inlineStr">
        <is>
          <t>Ana Sánchez</t>
        </is>
      </c>
      <c r="AH8" s="5">
        <f>IF($AG8="","",IF((IFERROR(INDEX('ASIGNACIONES'!$J$4:$J$451,MATCH($O8&amp;"|"&amp;$S8&amp;"|"&amp;$AG8,'ASIGNACIONES'!$N$4:$N$451,0)),""))=0,"",IFERROR(INDEX('ASIGNACIONES'!$J$4:$J$451,MATCH($O8&amp;"|"&amp;$S8&amp;"|"&amp;$AG8,'ASIGNACIONES'!$N$4:$N$451,0)),"")))</f>
        <v/>
      </c>
      <c r="AI8" s="25">
        <f>IF($AG8="","",SUMIFS('ORDENES'!$M$4:$M$1203,'ORDENES'!$AG$4:$AG$1203,$AG8,'ORDENES'!$O$4:$O$1203,$O8,'ORDENES'!$S$4:$S$1203,$S8))</f>
        <v/>
      </c>
      <c r="AJ8" s="25">
        <f>IF($AI8="","",p_factor_productividad*IFERROR(INDEX('ASIGNACIONES'!$M$4:$M$451,MATCH($O8&amp;"|"&amp;$S8&amp;"|"&amp;$AG8,'ASIGNACIONES'!$N$4:$N$451,0)),0)-$AI8)</f>
        <v/>
      </c>
      <c r="AK8" s="18">
        <f>IF($A8="","",IFERROR(INDEX('2_IMPORTAR_EJECUCION'!$F$9:$F$1208,MATCH($AT8,'2_IMPORTAR_EJECUCION'!$J$9:$J$1208,0)),0))</f>
        <v/>
      </c>
      <c r="AL8" s="18">
        <f>IF($A8="","",MAX(0,IFERROR(INDEX('2_IMPORTAR_EJECUCION'!$H$9:$H$1208,MATCH($AT8,'2_IMPORTAR_EJECUCION'!$J$9:$J$1208,0)),0)-$AK8))</f>
        <v/>
      </c>
      <c r="AM8" s="18">
        <f>IF($A8="","",$AK8+$AL8)</f>
        <v/>
      </c>
      <c r="AN8" s="5">
        <f>IF($A8="","",IF(OR((IFERROR(INDEX('CAT_ACTIVIDADES'!$D$4:$D$11,MATCH($H8,'CAT_ACTIVIDADES'!$A$4:$A$11,0)),""))=0,(IFERROR(INDEX('CAT_ACTIVIDADES'!$D$4:$D$11,MATCH($H8,'CAT_ACTIVIDADES'!$A$4:$A$11,0)),""))=""),"SIN CLASIFICAR",IFERROR(INDEX('CAT_ACTIVIDADES'!$D$4:$D$11,MATCH($H8,'CAT_ACTIVIDADES'!$A$4:$A$11,0)),"")))</f>
        <v/>
      </c>
      <c r="AO8" s="4" t="inlineStr"/>
      <c r="AP8" s="4" t="inlineStr"/>
      <c r="AQ8" s="4" t="inlineStr">
        <is>
          <t>ACT-04.pdf</t>
        </is>
      </c>
      <c r="AR8" s="5">
        <f>IF($AQ8="","",HYPERLINK(p_ruta_base_checklists&amp;$AQ8,"abrir"))</f>
        <v/>
      </c>
      <c r="AS8" s="4" t="inlineStr"/>
      <c r="AT8" s="5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22" t="n">
        <v>46223</v>
      </c>
      <c r="K9" s="5" t="n">
        <v>6</v>
      </c>
      <c r="L9" s="18" t="n">
        <v>150</v>
      </c>
      <c r="M9" s="5">
        <f>IF($A9="","",IFERROR(INDEX('AJUSTES'!$B$4:$B$303,MATCH($AT9,'AJUSTES'!$A$4:$A$303,0)),IF($K9="","",$K9)))</f>
        <v/>
      </c>
      <c r="N9" s="5">
        <f>IF($A9="","",IFERROR(INDEX('CAT_ESTADOS_ERP'!$B$4:$B$7,MATCH(IFERROR(INDEX('2_IMPORTAR_EJECUCION'!$C$9:$C$1208,MATCH($AT9,'2_IMPORTAR_EJECUCION'!$J$9:$J$1208,0)),""),'CAT_ESTADOS_ERP'!$A$4:$A$7,0)),"Pendiente"))</f>
        <v/>
      </c>
      <c r="O9" s="5">
        <f>IF($J9="","",YEAR($J9+4-WEEKDAY($J9,2))&amp;"-S"&amp;TEXT(_xlfn.ISOWEEKNUM($J9),"00"))</f>
        <v/>
      </c>
      <c r="P9" s="5">
        <f>IF($J9="","",YEAR($J9))</f>
        <v/>
      </c>
      <c r="Q9" s="5">
        <f>IF($J9="","",MONTH($J9))</f>
        <v/>
      </c>
      <c r="R9" s="5">
        <f>IF($J9="","",$P9&amp;"-"&amp;TEXT($Q9,"00"))</f>
        <v/>
      </c>
      <c r="S9" s="5">
        <f>IF($J9="","",INDEX(lista_dias,WEEKDAY($J9,2)))</f>
        <v/>
      </c>
      <c r="T9" s="5">
        <f>IF($J9="","",IFERROR(INDEX('CALENDARIO'!$C$15:$C$214,MATCH(TEXT($J9,"yyyy-mm-dd")&amp;"|"&amp;$X9&amp;"|"&amp;$Y9,'CALENDARIO'!$G$15:$G$214,0)),IFERROR(INDEX('CALENDARIO'!$C$15:$C$214,MATCH(TEXT($J9,"yyyy-mm-dd")&amp;"|"&amp;$X9&amp;"|",'CALENDARIO'!$G$15:$G$214,0)),IFERROR(INDEX('CALENDARIO'!$C$15:$C$214,MATCH(TEXT($J9,"yyyy-mm-dd")&amp;"||",'CALENDARIO'!$G$15:$G$214,0)),INDEX(patronHabil,WEEKDAY($J9,2))))))</f>
        <v/>
      </c>
      <c r="U9" s="5">
        <f>IF($I9="","",IFERROR(INDEX('CAT_TIPOS_OT'!$C$4:$C$8,MATCH($I9,'CAT_TIPOS_OT'!$A$4:$A$8,0)),"sin_clasificar"))</f>
        <v/>
      </c>
      <c r="V9" s="5">
        <f>IF($I9="","",IF(IFERROR(INDEX('CAT_TIPOS_OT'!$D$4:$D$8,MATCH($I9,'CAT_TIPOS_OT'!$A$4:$A$8,0)),"SIN CLASIFICAR")="","SIN CLASIFICAR",IFERROR(INDEX('CAT_TIPOS_OT'!$D$4:$D$8,MATCH($I9,'CAT_TIPOS_OT'!$A$4:$A$8,0)),"SIN CLASIFICAR")))</f>
        <v/>
      </c>
      <c r="W9" s="5">
        <f>IF($F9="","",IFERROR(INDEX('CAT_CENTROS_COSTO'!$F$4:$F$13,MATCH($F9,'CAT_CENTROS_COSTO'!$A$4:$A$13,0)),"(sin catálogo)"))</f>
        <v/>
      </c>
      <c r="X9" s="5">
        <f>IF($F9="","",IFERROR(INDEX('CAT_CENTROS_COSTO'!$D$4:$D$13,MATCH($F9,'CAT_CENTROS_COSTO'!$A$4:$A$13,0)),"(sin catálogo)"))</f>
        <v/>
      </c>
      <c r="Y9" s="5">
        <f>IF($F9="","",IF((IFERROR(INDEX('CAT_CENTROS_COSTO'!$E$4:$E$13,MATCH($F9,'CAT_CENTROS_COSTO'!$A$4:$A$13,0)),""))&lt;&gt;"",IFERROR(INDEX('CAT_CENTROS_COSTO'!$E$4:$E$13,MATCH($F9,'CAT_CENTROS_COSTO'!$A$4:$A$13,0)),""),$X9))</f>
        <v/>
      </c>
      <c r="Z9" s="5">
        <f>IF($F9="","",IFERROR(INDEX('CAT_CENTROS_COSTO'!$G$4:$G$13,MATCH($F9,'CAT_CENTROS_COSTO'!$A$4:$A$13,0)),"(sin catálogo)"))</f>
        <v/>
      </c>
      <c r="AA9" s="5">
        <f>IF($G9="","",IFERROR(INDEX('CAT_PUESTOS'!$B$4:$B$8,MATCH($G9,'CAT_PUESTOS'!$A$4:$A$8,0)),"(sin catálogo)"))</f>
        <v/>
      </c>
      <c r="AB9" s="5">
        <f>IF($H9="","",IFERROR(INDEX('CAT_ACTIVIDADES'!$B$4:$B$11,MATCH($H9,'CAT_ACTIVIDADES'!$A$4:$A$11,0)),"(sin catálogo)"))</f>
        <v/>
      </c>
      <c r="AC9" s="20">
        <f>IF($J9="","",TODAY()-$J9)</f>
        <v/>
      </c>
      <c r="AD9" s="20">
        <f>IF($J9="","",IF($J9&lt;=TODAY(),COUNTIFS(cal_fechas,"&gt;="&amp;$J9,cal_fechas,"&lt;"&amp;TODAY(),cal_habil,"sí"),-COUNTIFS(cal_fechas,"&gt;="&amp;TODAY(),cal_fechas,"&lt;"&amp;$J9,cal_habil,"sí")))</f>
        <v/>
      </c>
      <c r="AE9" s="5">
        <f>IF($AD9="","",IF($AD9&lt;0,"FUTURO",IF($AD9&gt;p_dias_backlog_max,"BACKLOG","MES CORRIENTE")))</f>
        <v/>
      </c>
      <c r="AF9" s="5">
        <f>IF($AD9="",FALSE,AND($AD9&gt;p_dias_backlog_min,$AD9&lt;=p_dias_backlog_max))</f>
        <v/>
      </c>
      <c r="AG9" s="4" t="inlineStr">
        <is>
          <t>David Torres</t>
        </is>
      </c>
      <c r="AH9" s="5">
        <f>IF($AG9="","",IF((IFERROR(INDEX('ASIGNACIONES'!$J$4:$J$451,MATCH($O9&amp;"|"&amp;$S9&amp;"|"&amp;$AG9,'ASIGNACIONES'!$N$4:$N$451,0)),""))=0,"",IFERROR(INDEX('ASIGNACIONES'!$J$4:$J$451,MATCH($O9&amp;"|"&amp;$S9&amp;"|"&amp;$AG9,'ASIGNACIONES'!$N$4:$N$451,0)),"")))</f>
        <v/>
      </c>
      <c r="AI9" s="25">
        <f>IF($AG9="","",SUMIFS('ORDENES'!$M$4:$M$1203,'ORDENES'!$AG$4:$AG$1203,$AG9,'ORDENES'!$O$4:$O$1203,$O9,'ORDENES'!$S$4:$S$1203,$S9))</f>
        <v/>
      </c>
      <c r="AJ9" s="25">
        <f>IF($AI9="","",p_factor_productividad*IFERROR(INDEX('ASIGNACIONES'!$M$4:$M$451,MATCH($O9&amp;"|"&amp;$S9&amp;"|"&amp;$AG9,'ASIGNACIONES'!$N$4:$N$451,0)),0)-$AI9)</f>
        <v/>
      </c>
      <c r="AK9" s="18">
        <f>IF($A9="","",IFERROR(INDEX('2_IMPORTAR_EJECUCION'!$F$9:$F$1208,MATCH($AT9,'2_IMPORTAR_EJECUCION'!$J$9:$J$1208,0)),0))</f>
        <v/>
      </c>
      <c r="AL9" s="18">
        <f>IF($A9="","",MAX(0,IFERROR(INDEX('2_IMPORTAR_EJECUCION'!$H$9:$H$1208,MATCH($AT9,'2_IMPORTAR_EJECUCION'!$J$9:$J$1208,0)),0)-$AK9))</f>
        <v/>
      </c>
      <c r="AM9" s="18">
        <f>IF($A9="","",$AK9+$AL9)</f>
        <v/>
      </c>
      <c r="AN9" s="5">
        <f>IF($A9="","",IF(OR((IFERROR(INDEX('CAT_ACTIVIDADES'!$D$4:$D$11,MATCH($H9,'CAT_ACTIVIDADES'!$A$4:$A$11,0)),""))=0,(IFERROR(INDEX('CAT_ACTIVIDADES'!$D$4:$D$11,MATCH($H9,'CAT_ACTIVIDADES'!$A$4:$A$11,0)),""))=""),"SIN CLASIFICAR",IFERROR(INDEX('CAT_ACTIVIDADES'!$D$4:$D$11,MATCH($H9,'CAT_ACTIVIDADES'!$A$4:$A$11,0)),"")))</f>
        <v/>
      </c>
      <c r="AO9" s="4" t="inlineStr"/>
      <c r="AP9" s="4" t="inlineStr"/>
      <c r="AQ9" s="4" t="inlineStr">
        <is>
          <t>ACT-01.pdf</t>
        </is>
      </c>
      <c r="AR9" s="5">
        <f>IF($AQ9="","",HYPERLINK(p_ruta_base_checklists&amp;$AQ9,"abrir"))</f>
        <v/>
      </c>
      <c r="AS9" s="4" t="inlineStr"/>
      <c r="AT9" s="5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22" t="n">
        <v>46224</v>
      </c>
      <c r="K10" s="5" t="n">
        <v>10</v>
      </c>
      <c r="L10" s="18" t="n">
        <v>250</v>
      </c>
      <c r="M10" s="5">
        <f>IF($A10="","",IFERROR(INDEX('AJUSTES'!$B$4:$B$303,MATCH($AT10,'AJUSTES'!$A$4:$A$303,0)),IF($K10="","",$K10)))</f>
        <v/>
      </c>
      <c r="N10" s="5">
        <f>IF($A10="","",IFERROR(INDEX('CAT_ESTADOS_ERP'!$B$4:$B$7,MATCH(IFERROR(INDEX('2_IMPORTAR_EJECUCION'!$C$9:$C$1208,MATCH($AT10,'2_IMPORTAR_EJECUCION'!$J$9:$J$1208,0)),""),'CAT_ESTADOS_ERP'!$A$4:$A$7,0)),"Pendiente"))</f>
        <v/>
      </c>
      <c r="O10" s="5">
        <f>IF($J10="","",YEAR($J10+4-WEEKDAY($J10,2))&amp;"-S"&amp;TEXT(_xlfn.ISOWEEKNUM($J10),"00"))</f>
        <v/>
      </c>
      <c r="P10" s="5">
        <f>IF($J10="","",YEAR($J10))</f>
        <v/>
      </c>
      <c r="Q10" s="5">
        <f>IF($J10="","",MONTH($J10))</f>
        <v/>
      </c>
      <c r="R10" s="5">
        <f>IF($J10="","",$P10&amp;"-"&amp;TEXT($Q10,"00"))</f>
        <v/>
      </c>
      <c r="S10" s="5">
        <f>IF($J10="","",INDEX(lista_dias,WEEKDAY($J10,2)))</f>
        <v/>
      </c>
      <c r="T10" s="5">
        <f>IF($J10="","",IFERROR(INDEX('CALENDARIO'!$C$15:$C$214,MATCH(TEXT($J10,"yyyy-mm-dd")&amp;"|"&amp;$X10&amp;"|"&amp;$Y10,'CALENDARIO'!$G$15:$G$214,0)),IFERROR(INDEX('CALENDARIO'!$C$15:$C$214,MATCH(TEXT($J10,"yyyy-mm-dd")&amp;"|"&amp;$X10&amp;"|",'CALENDARIO'!$G$15:$G$214,0)),IFERROR(INDEX('CALENDARIO'!$C$15:$C$214,MATCH(TEXT($J10,"yyyy-mm-dd")&amp;"||",'CALENDARIO'!$G$15:$G$214,0)),INDEX(patronHabil,WEEKDAY($J10,2))))))</f>
        <v/>
      </c>
      <c r="U10" s="5">
        <f>IF($I10="","",IFERROR(INDEX('CAT_TIPOS_OT'!$C$4:$C$8,MATCH($I10,'CAT_TIPOS_OT'!$A$4:$A$8,0)),"sin_clasificar"))</f>
        <v/>
      </c>
      <c r="V10" s="5">
        <f>IF($I10="","",IF(IFERROR(INDEX('CAT_TIPOS_OT'!$D$4:$D$8,MATCH($I10,'CAT_TIPOS_OT'!$A$4:$A$8,0)),"SIN CLASIFICAR")="","SIN CLASIFICAR",IFERROR(INDEX('CAT_TIPOS_OT'!$D$4:$D$8,MATCH($I10,'CAT_TIPOS_OT'!$A$4:$A$8,0)),"SIN CLASIFICAR")))</f>
        <v/>
      </c>
      <c r="W10" s="5">
        <f>IF($F10="","",IFERROR(INDEX('CAT_CENTROS_COSTO'!$F$4:$F$13,MATCH($F10,'CAT_CENTROS_COSTO'!$A$4:$A$13,0)),"(sin catálogo)"))</f>
        <v/>
      </c>
      <c r="X10" s="5">
        <f>IF($F10="","",IFERROR(INDEX('CAT_CENTROS_COSTO'!$D$4:$D$13,MATCH($F10,'CAT_CENTROS_COSTO'!$A$4:$A$13,0)),"(sin catálogo)"))</f>
        <v/>
      </c>
      <c r="Y10" s="5">
        <f>IF($F10="","",IF((IFERROR(INDEX('CAT_CENTROS_COSTO'!$E$4:$E$13,MATCH($F10,'CAT_CENTROS_COSTO'!$A$4:$A$13,0)),""))&lt;&gt;"",IFERROR(INDEX('CAT_CENTROS_COSTO'!$E$4:$E$13,MATCH($F10,'CAT_CENTROS_COSTO'!$A$4:$A$13,0)),""),$X10))</f>
        <v/>
      </c>
      <c r="Z10" s="5">
        <f>IF($F10="","",IFERROR(INDEX('CAT_CENTROS_COSTO'!$G$4:$G$13,MATCH($F10,'CAT_CENTROS_COSTO'!$A$4:$A$13,0)),"(sin catálogo)"))</f>
        <v/>
      </c>
      <c r="AA10" s="5">
        <f>IF($G10="","",IFERROR(INDEX('CAT_PUESTOS'!$B$4:$B$8,MATCH($G10,'CAT_PUESTOS'!$A$4:$A$8,0)),"(sin catálogo)"))</f>
        <v/>
      </c>
      <c r="AB10" s="5">
        <f>IF($H10="","",IFERROR(INDEX('CAT_ACTIVIDADES'!$B$4:$B$11,MATCH($H10,'CAT_ACTIVIDADES'!$A$4:$A$11,0)),"(sin catálogo)"))</f>
        <v/>
      </c>
      <c r="AC10" s="20">
        <f>IF($J10="","",TODAY()-$J10)</f>
        <v/>
      </c>
      <c r="AD10" s="20">
        <f>IF($J10="","",IF($J10&lt;=TODAY(),COUNTIFS(cal_fechas,"&gt;="&amp;$J10,cal_fechas,"&lt;"&amp;TODAY(),cal_habil,"sí"),-COUNTIFS(cal_fechas,"&gt;="&amp;TODAY(),cal_fechas,"&lt;"&amp;$J10,cal_habil,"sí")))</f>
        <v/>
      </c>
      <c r="AE10" s="5">
        <f>IF($AD10="","",IF($AD10&lt;0,"FUTURO",IF($AD10&gt;p_dias_backlog_max,"BACKLOG","MES CORRIENTE")))</f>
        <v/>
      </c>
      <c r="AF10" s="5">
        <f>IF($AD10="",FALSE,AND($AD10&gt;p_dias_backlog_min,$AD10&lt;=p_dias_backlog_max))</f>
        <v/>
      </c>
      <c r="AG10" s="4" t="inlineStr">
        <is>
          <t>Francisco Ramírez</t>
        </is>
      </c>
      <c r="AH10" s="5">
        <f>IF($AG10="","",IF((IFERROR(INDEX('ASIGNACIONES'!$J$4:$J$451,MATCH($O10&amp;"|"&amp;$S10&amp;"|"&amp;$AG10,'ASIGNACIONES'!$N$4:$N$451,0)),""))=0,"",IFERROR(INDEX('ASIGNACIONES'!$J$4:$J$451,MATCH($O10&amp;"|"&amp;$S10&amp;"|"&amp;$AG10,'ASIGNACIONES'!$N$4:$N$451,0)),"")))</f>
        <v/>
      </c>
      <c r="AI10" s="25">
        <f>IF($AG10="","",SUMIFS('ORDENES'!$M$4:$M$1203,'ORDENES'!$AG$4:$AG$1203,$AG10,'ORDENES'!$O$4:$O$1203,$O10,'ORDENES'!$S$4:$S$1203,$S10))</f>
        <v/>
      </c>
      <c r="AJ10" s="25">
        <f>IF($AI10="","",p_factor_productividad*IFERROR(INDEX('ASIGNACIONES'!$M$4:$M$451,MATCH($O10&amp;"|"&amp;$S10&amp;"|"&amp;$AG10,'ASIGNACIONES'!$N$4:$N$451,0)),0)-$AI10)</f>
        <v/>
      </c>
      <c r="AK10" s="18">
        <f>IF($A10="","",IFERROR(INDEX('2_IMPORTAR_EJECUCION'!$F$9:$F$1208,MATCH($AT10,'2_IMPORTAR_EJECUCION'!$J$9:$J$1208,0)),0))</f>
        <v/>
      </c>
      <c r="AL10" s="18">
        <f>IF($A10="","",MAX(0,IFERROR(INDEX('2_IMPORTAR_EJECUCION'!$H$9:$H$1208,MATCH($AT10,'2_IMPORTAR_EJECUCION'!$J$9:$J$1208,0)),0)-$AK10))</f>
        <v/>
      </c>
      <c r="AM10" s="18">
        <f>IF($A10="","",$AK10+$AL10)</f>
        <v/>
      </c>
      <c r="AN10" s="5">
        <f>IF($A10="","",IF(OR((IFERROR(INDEX('CAT_ACTIVIDADES'!$D$4:$D$11,MATCH($H10,'CAT_ACTIVIDADES'!$A$4:$A$11,0)),""))=0,(IFERROR(INDEX('CAT_ACTIVIDADES'!$D$4:$D$11,MATCH($H10,'CAT_ACTIVIDADES'!$A$4:$A$11,0)),""))=""),"SIN CLASIFICAR",IFERROR(INDEX('CAT_ACTIVIDADES'!$D$4:$D$11,MATCH($H10,'CAT_ACTIVIDADES'!$A$4:$A$11,0)),"")))</f>
        <v/>
      </c>
      <c r="AO10" s="4" t="inlineStr"/>
      <c r="AP10" s="4" t="inlineStr"/>
      <c r="AQ10" s="4" t="inlineStr">
        <is>
          <t>ACT-02.pdf</t>
        </is>
      </c>
      <c r="AR10" s="5">
        <f>IF($AQ10="","",HYPERLINK(p_ruta_base_checklists&amp;$AQ10,"abrir"))</f>
        <v/>
      </c>
      <c r="AS10" s="4" t="inlineStr"/>
      <c r="AT10" s="5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22" t="n">
        <v>46225</v>
      </c>
      <c r="K11" s="5" t="n">
        <v>8</v>
      </c>
      <c r="L11" s="18" t="n">
        <v>200</v>
      </c>
      <c r="M11" s="5">
        <f>IF($A11="","",IFERROR(INDEX('AJUSTES'!$B$4:$B$303,MATCH($AT11,'AJUSTES'!$A$4:$A$303,0)),IF($K11="","",$K11)))</f>
        <v/>
      </c>
      <c r="N11" s="5">
        <f>IF($A11="","",IFERROR(INDEX('CAT_ESTADOS_ERP'!$B$4:$B$7,MATCH(IFERROR(INDEX('2_IMPORTAR_EJECUCION'!$C$9:$C$1208,MATCH($AT11,'2_IMPORTAR_EJECUCION'!$J$9:$J$1208,0)),""),'CAT_ESTADOS_ERP'!$A$4:$A$7,0)),"Pendiente"))</f>
        <v/>
      </c>
      <c r="O11" s="5">
        <f>IF($J11="","",YEAR($J11+4-WEEKDAY($J11,2))&amp;"-S"&amp;TEXT(_xlfn.ISOWEEKNUM($J11),"00"))</f>
        <v/>
      </c>
      <c r="P11" s="5">
        <f>IF($J11="","",YEAR($J11))</f>
        <v/>
      </c>
      <c r="Q11" s="5">
        <f>IF($J11="","",MONTH($J11))</f>
        <v/>
      </c>
      <c r="R11" s="5">
        <f>IF($J11="","",$P11&amp;"-"&amp;TEXT($Q11,"00"))</f>
        <v/>
      </c>
      <c r="S11" s="5">
        <f>IF($J11="","",INDEX(lista_dias,WEEKDAY($J11,2)))</f>
        <v/>
      </c>
      <c r="T11" s="5">
        <f>IF($J11="","",IFERROR(INDEX('CALENDARIO'!$C$15:$C$214,MATCH(TEXT($J11,"yyyy-mm-dd")&amp;"|"&amp;$X11&amp;"|"&amp;$Y11,'CALENDARIO'!$G$15:$G$214,0)),IFERROR(INDEX('CALENDARIO'!$C$15:$C$214,MATCH(TEXT($J11,"yyyy-mm-dd")&amp;"|"&amp;$X11&amp;"|",'CALENDARIO'!$G$15:$G$214,0)),IFERROR(INDEX('CALENDARIO'!$C$15:$C$214,MATCH(TEXT($J11,"yyyy-mm-dd")&amp;"||",'CALENDARIO'!$G$15:$G$214,0)),INDEX(patronHabil,WEEKDAY($J11,2))))))</f>
        <v/>
      </c>
      <c r="U11" s="5">
        <f>IF($I11="","",IFERROR(INDEX('CAT_TIPOS_OT'!$C$4:$C$8,MATCH($I11,'CAT_TIPOS_OT'!$A$4:$A$8,0)),"sin_clasificar"))</f>
        <v/>
      </c>
      <c r="V11" s="5">
        <f>IF($I11="","",IF(IFERROR(INDEX('CAT_TIPOS_OT'!$D$4:$D$8,MATCH($I11,'CAT_TIPOS_OT'!$A$4:$A$8,0)),"SIN CLASIFICAR")="","SIN CLASIFICAR",IFERROR(INDEX('CAT_TIPOS_OT'!$D$4:$D$8,MATCH($I11,'CAT_TIPOS_OT'!$A$4:$A$8,0)),"SIN CLASIFICAR")))</f>
        <v/>
      </c>
      <c r="W11" s="5">
        <f>IF($F11="","",IFERROR(INDEX('CAT_CENTROS_COSTO'!$F$4:$F$13,MATCH($F11,'CAT_CENTROS_COSTO'!$A$4:$A$13,0)),"(sin catálogo)"))</f>
        <v/>
      </c>
      <c r="X11" s="5">
        <f>IF($F11="","",IFERROR(INDEX('CAT_CENTROS_COSTO'!$D$4:$D$13,MATCH($F11,'CAT_CENTROS_COSTO'!$A$4:$A$13,0)),"(sin catálogo)"))</f>
        <v/>
      </c>
      <c r="Y11" s="5">
        <f>IF($F11="","",IF((IFERROR(INDEX('CAT_CENTROS_COSTO'!$E$4:$E$13,MATCH($F11,'CAT_CENTROS_COSTO'!$A$4:$A$13,0)),""))&lt;&gt;"",IFERROR(INDEX('CAT_CENTROS_COSTO'!$E$4:$E$13,MATCH($F11,'CAT_CENTROS_COSTO'!$A$4:$A$13,0)),""),$X11))</f>
        <v/>
      </c>
      <c r="Z11" s="5">
        <f>IF($F11="","",IFERROR(INDEX('CAT_CENTROS_COSTO'!$G$4:$G$13,MATCH($F11,'CAT_CENTROS_COSTO'!$A$4:$A$13,0)),"(sin catálogo)"))</f>
        <v/>
      </c>
      <c r="AA11" s="5">
        <f>IF($G11="","",IFERROR(INDEX('CAT_PUESTOS'!$B$4:$B$8,MATCH($G11,'CAT_PUESTOS'!$A$4:$A$8,0)),"(sin catálogo)"))</f>
        <v/>
      </c>
      <c r="AB11" s="5">
        <f>IF($H11="","",IFERROR(INDEX('CAT_ACTIVIDADES'!$B$4:$B$11,MATCH($H11,'CAT_ACTIVIDADES'!$A$4:$A$11,0)),"(sin catálogo)"))</f>
        <v/>
      </c>
      <c r="AC11" s="20">
        <f>IF($J11="","",TODAY()-$J11)</f>
        <v/>
      </c>
      <c r="AD11" s="20">
        <f>IF($J11="","",IF($J11&lt;=TODAY(),COUNTIFS(cal_fechas,"&gt;="&amp;$J11,cal_fechas,"&lt;"&amp;TODAY(),cal_habil,"sí"),-COUNTIFS(cal_fechas,"&gt;="&amp;TODAY(),cal_fechas,"&lt;"&amp;$J11,cal_habil,"sí")))</f>
        <v/>
      </c>
      <c r="AE11" s="5">
        <f>IF($AD11="","",IF($AD11&lt;0,"FUTURO",IF($AD11&gt;p_dias_backlog_max,"BACKLOG","MES CORRIENTE")))</f>
        <v/>
      </c>
      <c r="AF11" s="5">
        <f>IF($AD11="",FALSE,AND($AD11&gt;p_dias_backlog_min,$AD11&lt;=p_dias_backlog_max))</f>
        <v/>
      </c>
      <c r="AG11" s="4" t="inlineStr">
        <is>
          <t>Carlos Pérez</t>
        </is>
      </c>
      <c r="AH11" s="5">
        <f>IF($AG11="","",IF((IFERROR(INDEX('ASIGNACIONES'!$J$4:$J$451,MATCH($O11&amp;"|"&amp;$S11&amp;"|"&amp;$AG11,'ASIGNACIONES'!$N$4:$N$451,0)),""))=0,"",IFERROR(INDEX('ASIGNACIONES'!$J$4:$J$451,MATCH($O11&amp;"|"&amp;$S11&amp;"|"&amp;$AG11,'ASIGNACIONES'!$N$4:$N$451,0)),"")))</f>
        <v/>
      </c>
      <c r="AI11" s="25">
        <f>IF($AG11="","",SUMIFS('ORDENES'!$M$4:$M$1203,'ORDENES'!$AG$4:$AG$1203,$AG11,'ORDENES'!$O$4:$O$1203,$O11,'ORDENES'!$S$4:$S$1203,$S11))</f>
        <v/>
      </c>
      <c r="AJ11" s="25">
        <f>IF($AI11="","",p_factor_productividad*IFERROR(INDEX('ASIGNACIONES'!$M$4:$M$451,MATCH($O11&amp;"|"&amp;$S11&amp;"|"&amp;$AG11,'ASIGNACIONES'!$N$4:$N$451,0)),0)-$AI11)</f>
        <v/>
      </c>
      <c r="AK11" s="18">
        <f>IF($A11="","",IFERROR(INDEX('2_IMPORTAR_EJECUCION'!$F$9:$F$1208,MATCH($AT11,'2_IMPORTAR_EJECUCION'!$J$9:$J$1208,0)),0))</f>
        <v/>
      </c>
      <c r="AL11" s="18">
        <f>IF($A11="","",MAX(0,IFERROR(INDEX('2_IMPORTAR_EJECUCION'!$H$9:$H$1208,MATCH($AT11,'2_IMPORTAR_EJECUCION'!$J$9:$J$1208,0)),0)-$AK11))</f>
        <v/>
      </c>
      <c r="AM11" s="18">
        <f>IF($A11="","",$AK11+$AL11)</f>
        <v/>
      </c>
      <c r="AN11" s="5">
        <f>IF($A11="","",IF(OR((IFERROR(INDEX('CAT_ACTIVIDADES'!$D$4:$D$11,MATCH($H11,'CAT_ACTIVIDADES'!$A$4:$A$11,0)),""))=0,(IFERROR(INDEX('CAT_ACTIVIDADES'!$D$4:$D$11,MATCH($H11,'CAT_ACTIVIDADES'!$A$4:$A$11,0)),""))=""),"SIN CLASIFICAR",IFERROR(INDEX('CAT_ACTIVIDADES'!$D$4:$D$11,MATCH($H11,'CAT_ACTIVIDADES'!$A$4:$A$11,0)),"")))</f>
        <v/>
      </c>
      <c r="AO11" s="4" t="inlineStr"/>
      <c r="AP11" s="4" t="inlineStr"/>
      <c r="AQ11" s="4" t="inlineStr">
        <is>
          <t>ACT-04.pdf</t>
        </is>
      </c>
      <c r="AR11" s="5">
        <f>IF($AQ11="","",HYPERLINK(p_ruta_base_checklists&amp;$AQ11,"abrir"))</f>
        <v/>
      </c>
      <c r="AS11" s="4" t="inlineStr"/>
      <c r="AT11" s="5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22" t="n">
        <v>46226</v>
      </c>
      <c r="K12" s="5" t="n">
        <v>6</v>
      </c>
      <c r="L12" s="18" t="n">
        <v>150</v>
      </c>
      <c r="M12" s="5">
        <f>IF($A12="","",IFERROR(INDEX('AJUSTES'!$B$4:$B$303,MATCH($AT12,'AJUSTES'!$A$4:$A$303,0)),IF($K12="","",$K12)))</f>
        <v/>
      </c>
      <c r="N12" s="5">
        <f>IF($A12="","",IFERROR(INDEX('CAT_ESTADOS_ERP'!$B$4:$B$7,MATCH(IFERROR(INDEX('2_IMPORTAR_EJECUCION'!$C$9:$C$1208,MATCH($AT12,'2_IMPORTAR_EJECUCION'!$J$9:$J$1208,0)),""),'CAT_ESTADOS_ERP'!$A$4:$A$7,0)),"Pendiente"))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IF($J12="","",$P12&amp;"-"&amp;TEXT($Q12,"00"))</f>
        <v/>
      </c>
      <c r="S12" s="5">
        <f>IF($J12="","",INDEX(lista_dias,WEEKDAY($J12,2)))</f>
        <v/>
      </c>
      <c r="T12" s="5">
        <f>IF($J12="","",IFERROR(INDEX('CALENDARIO'!$C$15:$C$214,MATCH(TEXT($J12,"yyyy-mm-dd")&amp;"|"&amp;$X12&amp;"|"&amp;$Y12,'CALENDARIO'!$G$15:$G$214,0)),IFERROR(INDEX('CALENDARIO'!$C$15:$C$214,MATCH(TEXT($J12,"yyyy-mm-dd")&amp;"|"&amp;$X12&amp;"|",'CALENDARIO'!$G$15:$G$214,0)),IFERROR(INDEX('CALENDARIO'!$C$15:$C$214,MATCH(TEXT($J12,"yyyy-mm-dd")&amp;"||",'CALENDARIO'!$G$15:$G$214,0)),INDEX(patronHabil,WEEKDAY($J12,2))))))</f>
        <v/>
      </c>
      <c r="U12" s="5">
        <f>IF($I12="","",IFERROR(INDEX('CAT_TIPOS_OT'!$C$4:$C$8,MATCH($I12,'CAT_TIPOS_OT'!$A$4:$A$8,0)),"sin_clasificar"))</f>
        <v/>
      </c>
      <c r="V12" s="5">
        <f>IF($I12="","",IF(IFERROR(INDEX('CAT_TIPOS_OT'!$D$4:$D$8,MATCH($I12,'CAT_TIPOS_OT'!$A$4:$A$8,0)),"SIN CLASIFICAR")="","SIN CLASIFICAR",IFERROR(INDEX('CAT_TIPOS_OT'!$D$4:$D$8,MATCH($I12,'CAT_TIPOS_OT'!$A$4:$A$8,0)),"SIN CLASIFICAR")))</f>
        <v/>
      </c>
      <c r="W12" s="5">
        <f>IF($F12="","",IFERROR(INDEX('CAT_CENTROS_COSTO'!$F$4:$F$13,MATCH($F12,'CAT_CENTROS_COSTO'!$A$4:$A$13,0)),"(sin catálogo)"))</f>
        <v/>
      </c>
      <c r="X12" s="5">
        <f>IF($F12="","",IFERROR(INDEX('CAT_CENTROS_COSTO'!$D$4:$D$13,MATCH($F12,'CAT_CENTROS_COSTO'!$A$4:$A$13,0)),"(sin catálogo)"))</f>
        <v/>
      </c>
      <c r="Y12" s="5">
        <f>IF($F12="","",IF((IFERROR(INDEX('CAT_CENTROS_COSTO'!$E$4:$E$13,MATCH($F12,'CAT_CENTROS_COSTO'!$A$4:$A$13,0)),""))&lt;&gt;"",IFERROR(INDEX('CAT_CENTROS_COSTO'!$E$4:$E$13,MATCH($F12,'CAT_CENTROS_COSTO'!$A$4:$A$13,0)),""),$X12))</f>
        <v/>
      </c>
      <c r="Z12" s="5">
        <f>IF($F12="","",IFERROR(INDEX('CAT_CENTROS_COSTO'!$G$4:$G$13,MATCH($F12,'CAT_CENTROS_COSTO'!$A$4:$A$13,0)),"(sin catálogo)"))</f>
        <v/>
      </c>
      <c r="AA12" s="5">
        <f>IF($G12="","",IFERROR(INDEX('CAT_PUESTOS'!$B$4:$B$8,MATCH($G12,'CAT_PUESTOS'!$A$4:$A$8,0)),"(sin catálogo)"))</f>
        <v/>
      </c>
      <c r="AB12" s="5">
        <f>IF($H12="","",IFERROR(INDEX('CAT_ACTIVIDADES'!$B$4:$B$11,MATCH($H12,'CAT_ACTIVIDADES'!$A$4:$A$11,0)),"(sin catálogo)"))</f>
        <v/>
      </c>
      <c r="AC12" s="20">
        <f>IF($J12="","",TODAY()-$J12)</f>
        <v/>
      </c>
      <c r="AD12" s="20">
        <f>IF($J12="","",IF($J12&lt;=TODAY(),COUNTIFS(cal_fechas,"&gt;="&amp;$J12,cal_fechas,"&lt;"&amp;TODAY(),cal_habil,"sí"),-COUNTIFS(cal_fechas,"&gt;="&amp;TODAY(),cal_fechas,"&lt;"&amp;$J12,cal_habil,"sí")))</f>
        <v/>
      </c>
      <c r="AE12" s="5">
        <f>IF($AD12="","",IF($AD12&lt;0,"FUTURO",IF($AD12&gt;p_dias_backlog_max,"BACKLOG","MES CORRIENTE")))</f>
        <v/>
      </c>
      <c r="AF12" s="5">
        <f>IF($AD12="",FALSE,AND($AD12&gt;p_dias_backlog_min,$AD12&lt;=p_dias_backlog_max))</f>
        <v/>
      </c>
      <c r="AG12" s="4" t="inlineStr">
        <is>
          <t>María Gómez</t>
        </is>
      </c>
      <c r="AH12" s="5">
        <f>IF($AG12="","",IF((IFERROR(INDEX('ASIGNACIONES'!$J$4:$J$451,MATCH($O12&amp;"|"&amp;$S12&amp;"|"&amp;$AG12,'ASIGNACIONES'!$N$4:$N$451,0)),""))=0,"",IFERROR(INDEX('ASIGNACIONES'!$J$4:$J$451,MATCH($O12&amp;"|"&amp;$S12&amp;"|"&amp;$AG12,'ASIGNACIONES'!$N$4:$N$451,0)),"")))</f>
        <v/>
      </c>
      <c r="AI12" s="25">
        <f>IF($AG12="","",SUMIFS('ORDENES'!$M$4:$M$1203,'ORDENES'!$AG$4:$AG$1203,$AG12,'ORDENES'!$O$4:$O$1203,$O12,'ORDENES'!$S$4:$S$1203,$S12))</f>
        <v/>
      </c>
      <c r="AJ12" s="25">
        <f>IF($AI12="","",p_factor_productividad*IFERROR(INDEX('ASIGNACIONES'!$M$4:$M$451,MATCH($O12&amp;"|"&amp;$S12&amp;"|"&amp;$AG12,'ASIGNACIONES'!$N$4:$N$451,0)),0)-$AI12)</f>
        <v/>
      </c>
      <c r="AK12" s="18">
        <f>IF($A12="","",IFERROR(INDEX('2_IMPORTAR_EJECUCION'!$F$9:$F$1208,MATCH($AT12,'2_IMPORTAR_EJECUCION'!$J$9:$J$1208,0)),0))</f>
        <v/>
      </c>
      <c r="AL12" s="18">
        <f>IF($A12="","",MAX(0,IFERROR(INDEX('2_IMPORTAR_EJECUCION'!$H$9:$H$1208,MATCH($AT12,'2_IMPORTAR_EJECUCION'!$J$9:$J$1208,0)),0)-$AK12))</f>
        <v/>
      </c>
      <c r="AM12" s="18">
        <f>IF($A12="","",$AK12+$AL12)</f>
        <v/>
      </c>
      <c r="AN12" s="5">
        <f>IF($A12="","",IF(OR((IFERROR(INDEX('CAT_ACTIVIDADES'!$D$4:$D$11,MATCH($H12,'CAT_ACTIVIDADES'!$A$4:$A$11,0)),""))=0,(IFERROR(INDEX('CAT_ACTIVIDADES'!$D$4:$D$11,MATCH($H12,'CAT_ACTIVIDADES'!$A$4:$A$11,0)),""))=""),"SIN CLASIFICAR",IFERROR(INDEX('CAT_ACTIVIDADES'!$D$4:$D$11,MATCH($H12,'CAT_ACTIVIDADES'!$A$4:$A$11,0)),"")))</f>
        <v/>
      </c>
      <c r="AO12" s="4" t="inlineStr"/>
      <c r="AP12" s="4" t="inlineStr"/>
      <c r="AQ12" s="4" t="inlineStr">
        <is>
          <t>ACT-01.pdf</t>
        </is>
      </c>
      <c r="AR12" s="5">
        <f>IF($AQ12="","",HYPERLINK(p_ruta_base_checklists&amp;$AQ12,"abrir"))</f>
        <v/>
      </c>
      <c r="AS12" s="4" t="inlineStr"/>
      <c r="AT12" s="5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22" t="n">
        <v>46227</v>
      </c>
      <c r="K13" s="5" t="n">
        <v>8</v>
      </c>
      <c r="L13" s="18" t="n">
        <v>200</v>
      </c>
      <c r="M13" s="5">
        <f>IF($A13="","",IFERROR(INDEX('AJUSTES'!$B$4:$B$303,MATCH($AT13,'AJUSTES'!$A$4:$A$303,0)),IF($K13="","",$K13)))</f>
        <v/>
      </c>
      <c r="N13" s="5">
        <f>IF($A13="","",IFERROR(INDEX('CAT_ESTADOS_ERP'!$B$4:$B$7,MATCH(IFERROR(INDEX('2_IMPORTAR_EJECUCION'!$C$9:$C$1208,MATCH($AT13,'2_IMPORTAR_EJECUCION'!$J$9:$J$1208,0)),""),'CAT_ESTADOS_ERP'!$A$4:$A$7,0)),"Pendiente"))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IF($J13="","",$P13&amp;"-"&amp;TEXT($Q13,"00"))</f>
        <v/>
      </c>
      <c r="S13" s="5">
        <f>IF($J13="","",INDEX(lista_dias,WEEKDAY($J13,2)))</f>
        <v/>
      </c>
      <c r="T13" s="5">
        <f>IF($J13="","",IFERROR(INDEX('CALENDARIO'!$C$15:$C$214,MATCH(TEXT($J13,"yyyy-mm-dd")&amp;"|"&amp;$X13&amp;"|"&amp;$Y13,'CALENDARIO'!$G$15:$G$214,0)),IFERROR(INDEX('CALENDARIO'!$C$15:$C$214,MATCH(TEXT($J13,"yyyy-mm-dd")&amp;"|"&amp;$X13&amp;"|",'CALENDARIO'!$G$15:$G$214,0)),IFERROR(INDEX('CALENDARIO'!$C$15:$C$214,MATCH(TEXT($J13,"yyyy-mm-dd")&amp;"||",'CALENDARIO'!$G$15:$G$214,0)),INDEX(patronHabil,WEEKDAY($J13,2))))))</f>
        <v/>
      </c>
      <c r="U13" s="5">
        <f>IF($I13="","",IFERROR(INDEX('CAT_TIPOS_OT'!$C$4:$C$8,MATCH($I13,'CAT_TIPOS_OT'!$A$4:$A$8,0)),"sin_clasificar"))</f>
        <v/>
      </c>
      <c r="V13" s="5">
        <f>IF($I13="","",IF(IFERROR(INDEX('CAT_TIPOS_OT'!$D$4:$D$8,MATCH($I13,'CAT_TIPOS_OT'!$A$4:$A$8,0)),"SIN CLASIFICAR")="","SIN CLASIFICAR",IFERROR(INDEX('CAT_TIPOS_OT'!$D$4:$D$8,MATCH($I13,'CAT_TIPOS_OT'!$A$4:$A$8,0)),"SIN CLASIFICAR")))</f>
        <v/>
      </c>
      <c r="W13" s="5">
        <f>IF($F13="","",IFERROR(INDEX('CAT_CENTROS_COSTO'!$F$4:$F$13,MATCH($F13,'CAT_CENTROS_COSTO'!$A$4:$A$13,0)),"(sin catálogo)"))</f>
        <v/>
      </c>
      <c r="X13" s="5">
        <f>IF($F13="","",IFERROR(INDEX('CAT_CENTROS_COSTO'!$D$4:$D$13,MATCH($F13,'CAT_CENTROS_COSTO'!$A$4:$A$13,0)),"(sin catálogo)"))</f>
        <v/>
      </c>
      <c r="Y13" s="5">
        <f>IF($F13="","",IF((IFERROR(INDEX('CAT_CENTROS_COSTO'!$E$4:$E$13,MATCH($F13,'CAT_CENTROS_COSTO'!$A$4:$A$13,0)),""))&lt;&gt;"",IFERROR(INDEX('CAT_CENTROS_COSTO'!$E$4:$E$13,MATCH($F13,'CAT_CENTROS_COSTO'!$A$4:$A$13,0)),""),$X13))</f>
        <v/>
      </c>
      <c r="Z13" s="5">
        <f>IF($F13="","",IFERROR(INDEX('CAT_CENTROS_COSTO'!$G$4:$G$13,MATCH($F13,'CAT_CENTROS_COSTO'!$A$4:$A$13,0)),"(sin catálogo)"))</f>
        <v/>
      </c>
      <c r="AA13" s="5">
        <f>IF($G13="","",IFERROR(INDEX('CAT_PUESTOS'!$B$4:$B$8,MATCH($G13,'CAT_PUESTOS'!$A$4:$A$8,0)),"(sin catálogo)"))</f>
        <v/>
      </c>
      <c r="AB13" s="5">
        <f>IF($H13="","",IFERROR(INDEX('CAT_ACTIVIDADES'!$B$4:$B$11,MATCH($H13,'CAT_ACTIVIDADES'!$A$4:$A$11,0)),"(sin catálogo)"))</f>
        <v/>
      </c>
      <c r="AC13" s="20">
        <f>IF($J13="","",TODAY()-$J13)</f>
        <v/>
      </c>
      <c r="AD13" s="20">
        <f>IF($J13="","",IF($J13&lt;=TODAY(),COUNTIFS(cal_fechas,"&gt;="&amp;$J13,cal_fechas,"&lt;"&amp;TODAY(),cal_habil,"sí"),-COUNTIFS(cal_fechas,"&gt;="&amp;TODAY(),cal_fechas,"&lt;"&amp;$J13,cal_habil,"sí")))</f>
        <v/>
      </c>
      <c r="AE13" s="5">
        <f>IF($AD13="","",IF($AD13&lt;0,"FUTURO",IF($AD13&gt;p_dias_backlog_max,"BACKLOG","MES CORRIENTE")))</f>
        <v/>
      </c>
      <c r="AF13" s="5">
        <f>IF($AD13="",FALSE,AND($AD13&gt;p_dias_backlog_min,$AD13&lt;=p_dias_backlog_max))</f>
        <v/>
      </c>
      <c r="AG13" s="4" t="inlineStr">
        <is>
          <t>Luis Rodríguez</t>
        </is>
      </c>
      <c r="AH13" s="5">
        <f>IF($AG13="","",IF((IFERROR(INDEX('ASIGNACIONES'!$J$4:$J$451,MATCH($O13&amp;"|"&amp;$S13&amp;"|"&amp;$AG13,'ASIGNACIONES'!$N$4:$N$451,0)),""))=0,"",IFERROR(INDEX('ASIGNACIONES'!$J$4:$J$451,MATCH($O13&amp;"|"&amp;$S13&amp;"|"&amp;$AG13,'ASIGNACIONES'!$N$4:$N$451,0)),"")))</f>
        <v/>
      </c>
      <c r="AI13" s="25">
        <f>IF($AG13="","",SUMIFS('ORDENES'!$M$4:$M$1203,'ORDENES'!$AG$4:$AG$1203,$AG13,'ORDENES'!$O$4:$O$1203,$O13,'ORDENES'!$S$4:$S$1203,$S13))</f>
        <v/>
      </c>
      <c r="AJ13" s="25">
        <f>IF($AI13="","",p_factor_productividad*IFERROR(INDEX('ASIGNACIONES'!$M$4:$M$451,MATCH($O13&amp;"|"&amp;$S13&amp;"|"&amp;$AG13,'ASIGNACIONES'!$N$4:$N$451,0)),0)-$AI13)</f>
        <v/>
      </c>
      <c r="AK13" s="18">
        <f>IF($A13="","",IFERROR(INDEX('2_IMPORTAR_EJECUCION'!$F$9:$F$1208,MATCH($AT13,'2_IMPORTAR_EJECUCION'!$J$9:$J$1208,0)),0))</f>
        <v/>
      </c>
      <c r="AL13" s="18">
        <f>IF($A13="","",MAX(0,IFERROR(INDEX('2_IMPORTAR_EJECUCION'!$H$9:$H$1208,MATCH($AT13,'2_IMPORTAR_EJECUCION'!$J$9:$J$1208,0)),0)-$AK13))</f>
        <v/>
      </c>
      <c r="AM13" s="18">
        <f>IF($A13="","",$AK13+$AL13)</f>
        <v/>
      </c>
      <c r="AN13" s="5">
        <f>IF($A13="","",IF(OR((IFERROR(INDEX('CAT_ACTIVIDADES'!$D$4:$D$11,MATCH($H13,'CAT_ACTIVIDADES'!$A$4:$A$11,0)),""))=0,(IFERROR(INDEX('CAT_ACTIVIDADES'!$D$4:$D$11,MATCH($H13,'CAT_ACTIVIDADES'!$A$4:$A$11,0)),""))=""),"SIN CLASIFICAR",IFERROR(INDEX('CAT_ACTIVIDADES'!$D$4:$D$11,MATCH($H13,'CAT_ACTIVIDADES'!$A$4:$A$11,0)),"")))</f>
        <v/>
      </c>
      <c r="AO13" s="4" t="inlineStr"/>
      <c r="AP13" s="4" t="inlineStr"/>
      <c r="AQ13" s="4" t="inlineStr">
        <is>
          <t>ACT-02.pdf</t>
        </is>
      </c>
      <c r="AR13" s="5">
        <f>IF($AQ13="","",HYPERLINK(p_ruta_base_checklists&amp;$AQ13,"abrir"))</f>
        <v/>
      </c>
      <c r="AS13" s="4" t="inlineStr"/>
      <c r="AT13" s="5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22" t="n">
        <v>46223</v>
      </c>
      <c r="K14" s="5" t="n">
        <v>10</v>
      </c>
      <c r="L14" s="18" t="n">
        <v>400</v>
      </c>
      <c r="M14" s="5">
        <f>IF($A14="","",IFERROR(INDEX('AJUSTES'!$B$4:$B$303,MATCH($AT14,'AJUSTES'!$A$4:$A$303,0)),IF($K14="","",$K14)))</f>
        <v/>
      </c>
      <c r="N14" s="5">
        <f>IF($A14="","",IFERROR(INDEX('CAT_ESTADOS_ERP'!$B$4:$B$7,MATCH(IFERROR(INDEX('2_IMPORTAR_EJECUCION'!$C$9:$C$1208,MATCH($AT14,'2_IMPORTAR_EJECUCION'!$J$9:$J$1208,0)),""),'CAT_ESTADOS_ERP'!$A$4:$A$7,0)),"Pendiente"))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IF($J14="","",$P14&amp;"-"&amp;TEXT($Q14,"00"))</f>
        <v/>
      </c>
      <c r="S14" s="5">
        <f>IF($J14="","",INDEX(lista_dias,WEEKDAY($J14,2)))</f>
        <v/>
      </c>
      <c r="T14" s="5">
        <f>IF($J14="","",IFERROR(INDEX('CALENDARIO'!$C$15:$C$214,MATCH(TEXT($J14,"yyyy-mm-dd")&amp;"|"&amp;$X14&amp;"|"&amp;$Y14,'CALENDARIO'!$G$15:$G$214,0)),IFERROR(INDEX('CALENDARIO'!$C$15:$C$214,MATCH(TEXT($J14,"yyyy-mm-dd")&amp;"|"&amp;$X14&amp;"|",'CALENDARIO'!$G$15:$G$214,0)),IFERROR(INDEX('CALENDARIO'!$C$15:$C$214,MATCH(TEXT($J14,"yyyy-mm-dd")&amp;"||",'CALENDARIO'!$G$15:$G$214,0)),INDEX(patronHabil,WEEKDAY($J14,2))))))</f>
        <v/>
      </c>
      <c r="U14" s="5">
        <f>IF($I14="","",IFERROR(INDEX('CAT_TIPOS_OT'!$C$4:$C$8,MATCH($I14,'CAT_TIPOS_OT'!$A$4:$A$8,0)),"sin_clasificar"))</f>
        <v/>
      </c>
      <c r="V14" s="5">
        <f>IF($I14="","",IF(IFERROR(INDEX('CAT_TIPOS_OT'!$D$4:$D$8,MATCH($I14,'CAT_TIPOS_OT'!$A$4:$A$8,0)),"SIN CLASIFICAR")="","SIN CLASIFICAR",IFERROR(INDEX('CAT_TIPOS_OT'!$D$4:$D$8,MATCH($I14,'CAT_TIPOS_OT'!$A$4:$A$8,0)),"SIN CLASIFICAR")))</f>
        <v/>
      </c>
      <c r="W14" s="5">
        <f>IF($F14="","",IFERROR(INDEX('CAT_CENTROS_COSTO'!$F$4:$F$13,MATCH($F14,'CAT_CENTROS_COSTO'!$A$4:$A$13,0)),"(sin catálogo)"))</f>
        <v/>
      </c>
      <c r="X14" s="5">
        <f>IF($F14="","",IFERROR(INDEX('CAT_CENTROS_COSTO'!$D$4:$D$13,MATCH($F14,'CAT_CENTROS_COSTO'!$A$4:$A$13,0)),"(sin catálogo)"))</f>
        <v/>
      </c>
      <c r="Y14" s="5">
        <f>IF($F14="","",IF((IFERROR(INDEX('CAT_CENTROS_COSTO'!$E$4:$E$13,MATCH($F14,'CAT_CENTROS_COSTO'!$A$4:$A$13,0)),""))&lt;&gt;"",IFERROR(INDEX('CAT_CENTROS_COSTO'!$E$4:$E$13,MATCH($F14,'CAT_CENTROS_COSTO'!$A$4:$A$13,0)),""),$X14))</f>
        <v/>
      </c>
      <c r="Z14" s="5">
        <f>IF($F14="","",IFERROR(INDEX('CAT_CENTROS_COSTO'!$G$4:$G$13,MATCH($F14,'CAT_CENTROS_COSTO'!$A$4:$A$13,0)),"(sin catálogo)"))</f>
        <v/>
      </c>
      <c r="AA14" s="5">
        <f>IF($G14="","",IFERROR(INDEX('CAT_PUESTOS'!$B$4:$B$8,MATCH($G14,'CAT_PUESTOS'!$A$4:$A$8,0)),"(sin catálogo)"))</f>
        <v/>
      </c>
      <c r="AB14" s="5">
        <f>IF($H14="","",IFERROR(INDEX('CAT_ACTIVIDADES'!$B$4:$B$11,MATCH($H14,'CAT_ACTIVIDADES'!$A$4:$A$11,0)),"(sin catálogo)"))</f>
        <v/>
      </c>
      <c r="AC14" s="20">
        <f>IF($J14="","",TODAY()-$J14)</f>
        <v/>
      </c>
      <c r="AD14" s="20">
        <f>IF($J14="","",IF($J14&lt;=TODAY(),COUNTIFS(cal_fechas,"&gt;="&amp;$J14,cal_fechas,"&lt;"&amp;TODAY(),cal_habil,"sí"),-COUNTIFS(cal_fechas,"&gt;="&amp;TODAY(),cal_fechas,"&lt;"&amp;$J14,cal_habil,"sí")))</f>
        <v/>
      </c>
      <c r="AE14" s="5">
        <f>IF($AD14="","",IF($AD14&lt;0,"FUTURO",IF($AD14&gt;p_dias_backlog_max,"BACKLOG","MES CORRIENTE")))</f>
        <v/>
      </c>
      <c r="AF14" s="5">
        <f>IF($AD14="",FALSE,AND($AD14&gt;p_dias_backlog_min,$AD14&lt;=p_dias_backlog_max))</f>
        <v/>
      </c>
      <c r="AG14" s="4" t="inlineStr">
        <is>
          <t>Miguel Martínez</t>
        </is>
      </c>
      <c r="AH14" s="5">
        <f>IF($AG14="","",IF((IFERROR(INDEX('ASIGNACIONES'!$J$4:$J$451,MATCH($O14&amp;"|"&amp;$S14&amp;"|"&amp;$AG14,'ASIGNACIONES'!$N$4:$N$451,0)),""))=0,"",IFERROR(INDEX('ASIGNACIONES'!$J$4:$J$451,MATCH($O14&amp;"|"&amp;$S14&amp;"|"&amp;$AG14,'ASIGNACIONES'!$N$4:$N$451,0)),"")))</f>
        <v/>
      </c>
      <c r="AI14" s="25">
        <f>IF($AG14="","",SUMIFS('ORDENES'!$M$4:$M$1203,'ORDENES'!$AG$4:$AG$1203,$AG14,'ORDENES'!$O$4:$O$1203,$O14,'ORDENES'!$S$4:$S$1203,$S14))</f>
        <v/>
      </c>
      <c r="AJ14" s="25">
        <f>IF($AI14="","",p_factor_productividad*IFERROR(INDEX('ASIGNACIONES'!$M$4:$M$451,MATCH($O14&amp;"|"&amp;$S14&amp;"|"&amp;$AG14,'ASIGNACIONES'!$N$4:$N$451,0)),0)-$AI14)</f>
        <v/>
      </c>
      <c r="AK14" s="18">
        <f>IF($A14="","",IFERROR(INDEX('2_IMPORTAR_EJECUCION'!$F$9:$F$1208,MATCH($AT14,'2_IMPORTAR_EJECUCION'!$J$9:$J$1208,0)),0))</f>
        <v/>
      </c>
      <c r="AL14" s="18">
        <f>IF($A14="","",MAX(0,IFERROR(INDEX('2_IMPORTAR_EJECUCION'!$H$9:$H$1208,MATCH($AT14,'2_IMPORTAR_EJECUCION'!$J$9:$J$1208,0)),0)-$AK14))</f>
        <v/>
      </c>
      <c r="AM14" s="18">
        <f>IF($A14="","",$AK14+$AL14)</f>
        <v/>
      </c>
      <c r="AN14" s="5">
        <f>IF($A14="","",IF(OR((IFERROR(INDEX('CAT_ACTIVIDADES'!$D$4:$D$11,MATCH($H14,'CAT_ACTIVIDADES'!$A$4:$A$11,0)),""))=0,(IFERROR(INDEX('CAT_ACTIVIDADES'!$D$4:$D$11,MATCH($H14,'CAT_ACTIVIDADES'!$A$4:$A$11,0)),""))=""),"SIN CLASIFICAR",IFERROR(INDEX('CAT_ACTIVIDADES'!$D$4:$D$11,MATCH($H14,'CAT_ACTIVIDADES'!$A$4:$A$11,0)),"")))</f>
        <v/>
      </c>
      <c r="AO14" s="4" t="inlineStr"/>
      <c r="AP14" s="4" t="inlineStr"/>
      <c r="AQ14" s="4" t="inlineStr"/>
      <c r="AR14" s="5">
        <f>IF($AQ14="","",HYPERLINK(p_ruta_base_checklists&amp;$AQ14,"abrir"))</f>
        <v/>
      </c>
      <c r="AS14" s="4" t="inlineStr"/>
      <c r="AT14" s="5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22" t="n">
        <v>46224</v>
      </c>
      <c r="K15" s="5" t="n">
        <v>10</v>
      </c>
      <c r="L15" s="18" t="n">
        <v>400</v>
      </c>
      <c r="M15" s="5">
        <f>IF($A15="","",IFERROR(INDEX('AJUSTES'!$B$4:$B$303,MATCH($AT15,'AJUSTES'!$A$4:$A$303,0)),IF($K15="","",$K15)))</f>
        <v/>
      </c>
      <c r="N15" s="5">
        <f>IF($A15="","",IFERROR(INDEX('CAT_ESTADOS_ERP'!$B$4:$B$7,MATCH(IFERROR(INDEX('2_IMPORTAR_EJECUCION'!$C$9:$C$1208,MATCH($AT15,'2_IMPORTAR_EJECUCION'!$J$9:$J$1208,0)),""),'CAT_ESTADOS_ERP'!$A$4:$A$7,0)),"Pendiente"))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IF($J15="","",$P15&amp;"-"&amp;TEXT($Q15,"00"))</f>
        <v/>
      </c>
      <c r="S15" s="5">
        <f>IF($J15="","",INDEX(lista_dias,WEEKDAY($J15,2)))</f>
        <v/>
      </c>
      <c r="T15" s="5">
        <f>IF($J15="","",IFERROR(INDEX('CALENDARIO'!$C$15:$C$214,MATCH(TEXT($J15,"yyyy-mm-dd")&amp;"|"&amp;$X15&amp;"|"&amp;$Y15,'CALENDARIO'!$G$15:$G$214,0)),IFERROR(INDEX('CALENDARIO'!$C$15:$C$214,MATCH(TEXT($J15,"yyyy-mm-dd")&amp;"|"&amp;$X15&amp;"|",'CALENDARIO'!$G$15:$G$214,0)),IFERROR(INDEX('CALENDARIO'!$C$15:$C$214,MATCH(TEXT($J15,"yyyy-mm-dd")&amp;"||",'CALENDARIO'!$G$15:$G$214,0)),INDEX(patronHabil,WEEKDAY($J15,2))))))</f>
        <v/>
      </c>
      <c r="U15" s="5">
        <f>IF($I15="","",IFERROR(INDEX('CAT_TIPOS_OT'!$C$4:$C$8,MATCH($I15,'CAT_TIPOS_OT'!$A$4:$A$8,0)),"sin_clasificar"))</f>
        <v/>
      </c>
      <c r="V15" s="5">
        <f>IF($I15="","",IF(IFERROR(INDEX('CAT_TIPOS_OT'!$D$4:$D$8,MATCH($I15,'CAT_TIPOS_OT'!$A$4:$A$8,0)),"SIN CLASIFICAR")="","SIN CLASIFICAR",IFERROR(INDEX('CAT_TIPOS_OT'!$D$4:$D$8,MATCH($I15,'CAT_TIPOS_OT'!$A$4:$A$8,0)),"SIN CLASIFICAR")))</f>
        <v/>
      </c>
      <c r="W15" s="5">
        <f>IF($F15="","",IFERROR(INDEX('CAT_CENTROS_COSTO'!$F$4:$F$13,MATCH($F15,'CAT_CENTROS_COSTO'!$A$4:$A$13,0)),"(sin catálogo)"))</f>
        <v/>
      </c>
      <c r="X15" s="5">
        <f>IF($F15="","",IFERROR(INDEX('CAT_CENTROS_COSTO'!$D$4:$D$13,MATCH($F15,'CAT_CENTROS_COSTO'!$A$4:$A$13,0)),"(sin catálogo)"))</f>
        <v/>
      </c>
      <c r="Y15" s="5">
        <f>IF($F15="","",IF((IFERROR(INDEX('CAT_CENTROS_COSTO'!$E$4:$E$13,MATCH($F15,'CAT_CENTROS_COSTO'!$A$4:$A$13,0)),""))&lt;&gt;"",IFERROR(INDEX('CAT_CENTROS_COSTO'!$E$4:$E$13,MATCH($F15,'CAT_CENTROS_COSTO'!$A$4:$A$13,0)),""),$X15))</f>
        <v/>
      </c>
      <c r="Z15" s="5">
        <f>IF($F15="","",IFERROR(INDEX('CAT_CENTROS_COSTO'!$G$4:$G$13,MATCH($F15,'CAT_CENTROS_COSTO'!$A$4:$A$13,0)),"(sin catálogo)"))</f>
        <v/>
      </c>
      <c r="AA15" s="5">
        <f>IF($G15="","",IFERROR(INDEX('CAT_PUESTOS'!$B$4:$B$8,MATCH($G15,'CAT_PUESTOS'!$A$4:$A$8,0)),"(sin catálogo)"))</f>
        <v/>
      </c>
      <c r="AB15" s="5">
        <f>IF($H15="","",IFERROR(INDEX('CAT_ACTIVIDADES'!$B$4:$B$11,MATCH($H15,'CAT_ACTIVIDADES'!$A$4:$A$11,0)),"(sin catálogo)"))</f>
        <v/>
      </c>
      <c r="AC15" s="20">
        <f>IF($J15="","",TODAY()-$J15)</f>
        <v/>
      </c>
      <c r="AD15" s="20">
        <f>IF($J15="","",IF($J15&lt;=TODAY(),COUNTIFS(cal_fechas,"&gt;="&amp;$J15,cal_fechas,"&lt;"&amp;TODAY(),cal_habil,"sí"),-COUNTIFS(cal_fechas,"&gt;="&amp;TODAY(),cal_fechas,"&lt;"&amp;$J15,cal_habil,"sí")))</f>
        <v/>
      </c>
      <c r="AE15" s="5">
        <f>IF($AD15="","",IF($AD15&lt;0,"FUTURO",IF($AD15&gt;p_dias_backlog_max,"BACKLOG","MES CORRIENTE")))</f>
        <v/>
      </c>
      <c r="AF15" s="5">
        <f>IF($AD15="",FALSE,AND($AD15&gt;p_dias_backlog_min,$AD15&lt;=p_dias_backlog_max))</f>
        <v/>
      </c>
      <c r="AG15" s="4" t="inlineStr"/>
      <c r="AH15" s="5">
        <f>IF($AG15="","",IF((IFERROR(INDEX('ASIGNACIONES'!$J$4:$J$451,MATCH($O15&amp;"|"&amp;$S15&amp;"|"&amp;$AG15,'ASIGNACIONES'!$N$4:$N$451,0)),""))=0,"",IFERROR(INDEX('ASIGNACIONES'!$J$4:$J$451,MATCH($O15&amp;"|"&amp;$S15&amp;"|"&amp;$AG15,'ASIGNACIONES'!$N$4:$N$451,0)),"")))</f>
        <v/>
      </c>
      <c r="AI15" s="25">
        <f>IF($AG15="","",SUMIFS('ORDENES'!$M$4:$M$1203,'ORDENES'!$AG$4:$AG$1203,$AG15,'ORDENES'!$O$4:$O$1203,$O15,'ORDENES'!$S$4:$S$1203,$S15))</f>
        <v/>
      </c>
      <c r="AJ15" s="25">
        <f>IF($AI15="","",p_factor_productividad*IFERROR(INDEX('ASIGNACIONES'!$M$4:$M$451,MATCH($O15&amp;"|"&amp;$S15&amp;"|"&amp;$AG15,'ASIGNACIONES'!$N$4:$N$451,0)),0)-$AI15)</f>
        <v/>
      </c>
      <c r="AK15" s="18">
        <f>IF($A15="","",IFERROR(INDEX('2_IMPORTAR_EJECUCION'!$F$9:$F$1208,MATCH($AT15,'2_IMPORTAR_EJECUCION'!$J$9:$J$1208,0)),0))</f>
        <v/>
      </c>
      <c r="AL15" s="18">
        <f>IF($A15="","",MAX(0,IFERROR(INDEX('2_IMPORTAR_EJECUCION'!$H$9:$H$1208,MATCH($AT15,'2_IMPORTAR_EJECUCION'!$J$9:$J$1208,0)),0)-$AK15))</f>
        <v/>
      </c>
      <c r="AM15" s="18">
        <f>IF($A15="","",$AK15+$AL15)</f>
        <v/>
      </c>
      <c r="AN15" s="5">
        <f>IF($A15="","",IF(OR((IFERROR(INDEX('CAT_ACTIVIDADES'!$D$4:$D$11,MATCH($H15,'CAT_ACTIVIDADES'!$A$4:$A$11,0)),""))=0,(IFERROR(INDEX('CAT_ACTIVIDADES'!$D$4:$D$11,MATCH($H15,'CAT_ACTIVIDADES'!$A$4:$A$11,0)),""))=""),"SIN CLASIFICAR",IFERROR(INDEX('CAT_ACTIVIDADES'!$D$4:$D$11,MATCH($H15,'CAT_ACTIVIDADES'!$A$4:$A$11,0)),"")))</f>
        <v/>
      </c>
      <c r="AO15" s="4" t="inlineStr">
        <is>
          <t>PT-CALIENTE</t>
        </is>
      </c>
      <c r="AP15" s="4" t="inlineStr">
        <is>
          <t>LOTO</t>
        </is>
      </c>
      <c r="AQ15" s="4" t="inlineStr"/>
      <c r="AR15" s="5">
        <f>IF($AQ15="","",HYPERLINK(p_ruta_base_checklists&amp;$AQ15,"abrir"))</f>
        <v/>
      </c>
      <c r="AS15" s="4" t="inlineStr"/>
      <c r="AT15" s="5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22" t="n">
        <v>46232</v>
      </c>
      <c r="K16" s="5" t="n">
        <v>8</v>
      </c>
      <c r="L16" s="18" t="n">
        <v>200</v>
      </c>
      <c r="M16" s="5">
        <f>IF($A16="","",IFERROR(INDEX('AJUSTES'!$B$4:$B$303,MATCH($AT16,'AJUSTES'!$A$4:$A$303,0)),IF($K16="","",$K16)))</f>
        <v/>
      </c>
      <c r="N16" s="5">
        <f>IF($A16="","",IFERROR(INDEX('CAT_ESTADOS_ERP'!$B$4:$B$7,MATCH(IFERROR(INDEX('2_IMPORTAR_EJECUCION'!$C$9:$C$1208,MATCH($AT16,'2_IMPORTAR_EJECUCION'!$J$9:$J$1208,0)),""),'CAT_ESTADOS_ERP'!$A$4:$A$7,0)),"Pendiente"))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IF($J16="","",$P16&amp;"-"&amp;TEXT($Q16,"00"))</f>
        <v/>
      </c>
      <c r="S16" s="5">
        <f>IF($J16="","",INDEX(lista_dias,WEEKDAY($J16,2)))</f>
        <v/>
      </c>
      <c r="T16" s="5">
        <f>IF($J16="","",IFERROR(INDEX('CALENDARIO'!$C$15:$C$214,MATCH(TEXT($J16,"yyyy-mm-dd")&amp;"|"&amp;$X16&amp;"|"&amp;$Y16,'CALENDARIO'!$G$15:$G$214,0)),IFERROR(INDEX('CALENDARIO'!$C$15:$C$214,MATCH(TEXT($J16,"yyyy-mm-dd")&amp;"|"&amp;$X16&amp;"|",'CALENDARIO'!$G$15:$G$214,0)),IFERROR(INDEX('CALENDARIO'!$C$15:$C$214,MATCH(TEXT($J16,"yyyy-mm-dd")&amp;"||",'CALENDARIO'!$G$15:$G$214,0)),INDEX(patronHabil,WEEKDAY($J16,2))))))</f>
        <v/>
      </c>
      <c r="U16" s="5">
        <f>IF($I16="","",IFERROR(INDEX('CAT_TIPOS_OT'!$C$4:$C$8,MATCH($I16,'CAT_TIPOS_OT'!$A$4:$A$8,0)),"sin_clasificar"))</f>
        <v/>
      </c>
      <c r="V16" s="5">
        <f>IF($I16="","",IF(IFERROR(INDEX('CAT_TIPOS_OT'!$D$4:$D$8,MATCH($I16,'CAT_TIPOS_OT'!$A$4:$A$8,0)),"SIN CLASIFICAR")="","SIN CLASIFICAR",IFERROR(INDEX('CAT_TIPOS_OT'!$D$4:$D$8,MATCH($I16,'CAT_TIPOS_OT'!$A$4:$A$8,0)),"SIN CLASIFICAR")))</f>
        <v/>
      </c>
      <c r="W16" s="5">
        <f>IF($F16="","",IFERROR(INDEX('CAT_CENTROS_COSTO'!$F$4:$F$13,MATCH($F16,'CAT_CENTROS_COSTO'!$A$4:$A$13,0)),"(sin catálogo)"))</f>
        <v/>
      </c>
      <c r="X16" s="5">
        <f>IF($F16="","",IFERROR(INDEX('CAT_CENTROS_COSTO'!$D$4:$D$13,MATCH($F16,'CAT_CENTROS_COSTO'!$A$4:$A$13,0)),"(sin catálogo)"))</f>
        <v/>
      </c>
      <c r="Y16" s="5">
        <f>IF($F16="","",IF((IFERROR(INDEX('CAT_CENTROS_COSTO'!$E$4:$E$13,MATCH($F16,'CAT_CENTROS_COSTO'!$A$4:$A$13,0)),""))&lt;&gt;"",IFERROR(INDEX('CAT_CENTROS_COSTO'!$E$4:$E$13,MATCH($F16,'CAT_CENTROS_COSTO'!$A$4:$A$13,0)),""),$X16))</f>
        <v/>
      </c>
      <c r="Z16" s="5">
        <f>IF($F16="","",IFERROR(INDEX('CAT_CENTROS_COSTO'!$G$4:$G$13,MATCH($F16,'CAT_CENTROS_COSTO'!$A$4:$A$13,0)),"(sin catálogo)"))</f>
        <v/>
      </c>
      <c r="AA16" s="5">
        <f>IF($G16="","",IFERROR(INDEX('CAT_PUESTOS'!$B$4:$B$8,MATCH($G16,'CAT_PUESTOS'!$A$4:$A$8,0)),"(sin catálogo)"))</f>
        <v/>
      </c>
      <c r="AB16" s="5">
        <f>IF($H16="","",IFERROR(INDEX('CAT_ACTIVIDADES'!$B$4:$B$11,MATCH($H16,'CAT_ACTIVIDADES'!$A$4:$A$11,0)),"(sin catálogo)"))</f>
        <v/>
      </c>
      <c r="AC16" s="20">
        <f>IF($J16="","",TODAY()-$J16)</f>
        <v/>
      </c>
      <c r="AD16" s="20">
        <f>IF($J16="","",IF($J16&lt;=TODAY(),COUNTIFS(cal_fechas,"&gt;="&amp;$J16,cal_fechas,"&lt;"&amp;TODAY(),cal_habil,"sí"),-COUNTIFS(cal_fechas,"&gt;="&amp;TODAY(),cal_fechas,"&lt;"&amp;$J16,cal_habil,"sí")))</f>
        <v/>
      </c>
      <c r="AE16" s="5">
        <f>IF($AD16="","",IF($AD16&lt;0,"FUTURO",IF($AD16&gt;p_dias_backlog_max,"BACKLOG","MES CORRIENTE")))</f>
        <v/>
      </c>
      <c r="AF16" s="5">
        <f>IF($AD16="",FALSE,AND($AD16&gt;p_dias_backlog_min,$AD16&lt;=p_dias_backlog_max))</f>
        <v/>
      </c>
      <c r="AG16" s="4" t="inlineStr">
        <is>
          <t>Carlos Pérez</t>
        </is>
      </c>
      <c r="AH16" s="5">
        <f>IF($AG16="","",IF((IFERROR(INDEX('ASIGNACIONES'!$J$4:$J$451,MATCH($O16&amp;"|"&amp;$S16&amp;"|"&amp;$AG16,'ASIGNACIONES'!$N$4:$N$451,0)),""))=0,"",IFERROR(INDEX('ASIGNACIONES'!$J$4:$J$451,MATCH($O16&amp;"|"&amp;$S16&amp;"|"&amp;$AG16,'ASIGNACIONES'!$N$4:$N$451,0)),"")))</f>
        <v/>
      </c>
      <c r="AI16" s="25">
        <f>IF($AG16="","",SUMIFS('ORDENES'!$M$4:$M$1203,'ORDENES'!$AG$4:$AG$1203,$AG16,'ORDENES'!$O$4:$O$1203,$O16,'ORDENES'!$S$4:$S$1203,$S16))</f>
        <v/>
      </c>
      <c r="AJ16" s="25">
        <f>IF($AI16="","",p_factor_productividad*IFERROR(INDEX('ASIGNACIONES'!$M$4:$M$451,MATCH($O16&amp;"|"&amp;$S16&amp;"|"&amp;$AG16,'ASIGNACIONES'!$N$4:$N$451,0)),0)-$AI16)</f>
        <v/>
      </c>
      <c r="AK16" s="18">
        <f>IF($A16="","",IFERROR(INDEX('2_IMPORTAR_EJECUCION'!$F$9:$F$1208,MATCH($AT16,'2_IMPORTAR_EJECUCION'!$J$9:$J$1208,0)),0))</f>
        <v/>
      </c>
      <c r="AL16" s="18">
        <f>IF($A16="","",MAX(0,IFERROR(INDEX('2_IMPORTAR_EJECUCION'!$H$9:$H$1208,MATCH($AT16,'2_IMPORTAR_EJECUCION'!$J$9:$J$1208,0)),0)-$AK16))</f>
        <v/>
      </c>
      <c r="AM16" s="18">
        <f>IF($A16="","",$AK16+$AL16)</f>
        <v/>
      </c>
      <c r="AN16" s="5">
        <f>IF($A16="","",IF(OR((IFERROR(INDEX('CAT_ACTIVIDADES'!$D$4:$D$11,MATCH($H16,'CAT_ACTIVIDADES'!$A$4:$A$11,0)),""))=0,(IFERROR(INDEX('CAT_ACTIVIDADES'!$D$4:$D$11,MATCH($H16,'CAT_ACTIVIDADES'!$A$4:$A$11,0)),""))=""),"SIN CLASIFICAR",IFERROR(INDEX('CAT_ACTIVIDADES'!$D$4:$D$11,MATCH($H16,'CAT_ACTIVIDADES'!$A$4:$A$11,0)),"")))</f>
        <v/>
      </c>
      <c r="AO16" s="4" t="inlineStr"/>
      <c r="AP16" s="4" t="inlineStr"/>
      <c r="AQ16" s="4" t="inlineStr">
        <is>
          <t>ACT-02.pdf</t>
        </is>
      </c>
      <c r="AR16" s="5">
        <f>IF($AQ16="","",HYPERLINK(p_ruta_base_checklists&amp;$AQ16,"abrir"))</f>
        <v/>
      </c>
      <c r="AS16" s="4" t="inlineStr">
        <is>
          <t>Ajuste 8 → 12 h en hoja AJUSTES</t>
        </is>
      </c>
      <c r="AT16" s="5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22" t="n">
        <v>46233</v>
      </c>
      <c r="K17" s="5" t="n">
        <v>8</v>
      </c>
      <c r="L17" s="18" t="n">
        <v>200</v>
      </c>
      <c r="M17" s="5">
        <f>IF($A17="","",IFERROR(INDEX('AJUSTES'!$B$4:$B$303,MATCH($AT17,'AJUSTES'!$A$4:$A$303,0)),IF($K17="","",$K17)))</f>
        <v/>
      </c>
      <c r="N17" s="5">
        <f>IF($A17="","",IFERROR(INDEX('CAT_ESTADOS_ERP'!$B$4:$B$7,MATCH(IFERROR(INDEX('2_IMPORTAR_EJECUCION'!$C$9:$C$1208,MATCH($AT17,'2_IMPORTAR_EJECUCION'!$J$9:$J$1208,0)),""),'CAT_ESTADOS_ERP'!$A$4:$A$7,0)),"Pendiente"))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IF($J17="","",$P17&amp;"-"&amp;TEXT($Q17,"00"))</f>
        <v/>
      </c>
      <c r="S17" s="5">
        <f>IF($J17="","",INDEX(lista_dias,WEEKDAY($J17,2)))</f>
        <v/>
      </c>
      <c r="T17" s="5">
        <f>IF($J17="","",IFERROR(INDEX('CALENDARIO'!$C$15:$C$214,MATCH(TEXT($J17,"yyyy-mm-dd")&amp;"|"&amp;$X17&amp;"|"&amp;$Y17,'CALENDARIO'!$G$15:$G$214,0)),IFERROR(INDEX('CALENDARIO'!$C$15:$C$214,MATCH(TEXT($J17,"yyyy-mm-dd")&amp;"|"&amp;$X17&amp;"|",'CALENDARIO'!$G$15:$G$214,0)),IFERROR(INDEX('CALENDARIO'!$C$15:$C$214,MATCH(TEXT($J17,"yyyy-mm-dd")&amp;"||",'CALENDARIO'!$G$15:$G$214,0)),INDEX(patronHabil,WEEKDAY($J17,2))))))</f>
        <v/>
      </c>
      <c r="U17" s="5">
        <f>IF($I17="","",IFERROR(INDEX('CAT_TIPOS_OT'!$C$4:$C$8,MATCH($I17,'CAT_TIPOS_OT'!$A$4:$A$8,0)),"sin_clasificar"))</f>
        <v/>
      </c>
      <c r="V17" s="5">
        <f>IF($I17="","",IF(IFERROR(INDEX('CAT_TIPOS_OT'!$D$4:$D$8,MATCH($I17,'CAT_TIPOS_OT'!$A$4:$A$8,0)),"SIN CLASIFICAR")="","SIN CLASIFICAR",IFERROR(INDEX('CAT_TIPOS_OT'!$D$4:$D$8,MATCH($I17,'CAT_TIPOS_OT'!$A$4:$A$8,0)),"SIN CLASIFICAR")))</f>
        <v/>
      </c>
      <c r="W17" s="5">
        <f>IF($F17="","",IFERROR(INDEX('CAT_CENTROS_COSTO'!$F$4:$F$13,MATCH($F17,'CAT_CENTROS_COSTO'!$A$4:$A$13,0)),"(sin catálogo)"))</f>
        <v/>
      </c>
      <c r="X17" s="5">
        <f>IF($F17="","",IFERROR(INDEX('CAT_CENTROS_COSTO'!$D$4:$D$13,MATCH($F17,'CAT_CENTROS_COSTO'!$A$4:$A$13,0)),"(sin catálogo)"))</f>
        <v/>
      </c>
      <c r="Y17" s="5">
        <f>IF($F17="","",IF((IFERROR(INDEX('CAT_CENTROS_COSTO'!$E$4:$E$13,MATCH($F17,'CAT_CENTROS_COSTO'!$A$4:$A$13,0)),""))&lt;&gt;"",IFERROR(INDEX('CAT_CENTROS_COSTO'!$E$4:$E$13,MATCH($F17,'CAT_CENTROS_COSTO'!$A$4:$A$13,0)),""),$X17))</f>
        <v/>
      </c>
      <c r="Z17" s="5">
        <f>IF($F17="","",IFERROR(INDEX('CAT_CENTROS_COSTO'!$G$4:$G$13,MATCH($F17,'CAT_CENTROS_COSTO'!$A$4:$A$13,0)),"(sin catálogo)"))</f>
        <v/>
      </c>
      <c r="AA17" s="5">
        <f>IF($G17="","",IFERROR(INDEX('CAT_PUESTOS'!$B$4:$B$8,MATCH($G17,'CAT_PUESTOS'!$A$4:$A$8,0)),"(sin catálogo)"))</f>
        <v/>
      </c>
      <c r="AB17" s="5">
        <f>IF($H17="","",IFERROR(INDEX('CAT_ACTIVIDADES'!$B$4:$B$11,MATCH($H17,'CAT_ACTIVIDADES'!$A$4:$A$11,0)),"(sin catálogo)"))</f>
        <v/>
      </c>
      <c r="AC17" s="20">
        <f>IF($J17="","",TODAY()-$J17)</f>
        <v/>
      </c>
      <c r="AD17" s="20">
        <f>IF($J17="","",IF($J17&lt;=TODAY(),COUNTIFS(cal_fechas,"&gt;="&amp;$J17,cal_fechas,"&lt;"&amp;TODAY(),cal_habil,"sí"),-COUNTIFS(cal_fechas,"&gt;="&amp;TODAY(),cal_fechas,"&lt;"&amp;$J17,cal_habil,"sí")))</f>
        <v/>
      </c>
      <c r="AE17" s="5">
        <f>IF($AD17="","",IF($AD17&lt;0,"FUTURO",IF($AD17&gt;p_dias_backlog_max,"BACKLOG","MES CORRIENTE")))</f>
        <v/>
      </c>
      <c r="AF17" s="5">
        <f>IF($AD17="",FALSE,AND($AD17&gt;p_dias_backlog_min,$AD17&lt;=p_dias_backlog_max))</f>
        <v/>
      </c>
      <c r="AG17" s="4" t="inlineStr">
        <is>
          <t>Francisco Ramírez</t>
        </is>
      </c>
      <c r="AH17" s="5">
        <f>IF($AG17="","",IF((IFERROR(INDEX('ASIGNACIONES'!$J$4:$J$451,MATCH($O17&amp;"|"&amp;$S17&amp;"|"&amp;$AG17,'ASIGNACIONES'!$N$4:$N$451,0)),""))=0,"",IFERROR(INDEX('ASIGNACIONES'!$J$4:$J$451,MATCH($O17&amp;"|"&amp;$S17&amp;"|"&amp;$AG17,'ASIGNACIONES'!$N$4:$N$451,0)),"")))</f>
        <v/>
      </c>
      <c r="AI17" s="25">
        <f>IF($AG17="","",SUMIFS('ORDENES'!$M$4:$M$1203,'ORDENES'!$AG$4:$AG$1203,$AG17,'ORDENES'!$O$4:$O$1203,$O17,'ORDENES'!$S$4:$S$1203,$S17))</f>
        <v/>
      </c>
      <c r="AJ17" s="25">
        <f>IF($AI17="","",p_factor_productividad*IFERROR(INDEX('ASIGNACIONES'!$M$4:$M$451,MATCH($O17&amp;"|"&amp;$S17&amp;"|"&amp;$AG17,'ASIGNACIONES'!$N$4:$N$451,0)),0)-$AI17)</f>
        <v/>
      </c>
      <c r="AK17" s="18">
        <f>IF($A17="","",IFERROR(INDEX('2_IMPORTAR_EJECUCION'!$F$9:$F$1208,MATCH($AT17,'2_IMPORTAR_EJECUCION'!$J$9:$J$1208,0)),0))</f>
        <v/>
      </c>
      <c r="AL17" s="18">
        <f>IF($A17="","",MAX(0,IFERROR(INDEX('2_IMPORTAR_EJECUCION'!$H$9:$H$1208,MATCH($AT17,'2_IMPORTAR_EJECUCION'!$J$9:$J$1208,0)),0)-$AK17))</f>
        <v/>
      </c>
      <c r="AM17" s="18">
        <f>IF($A17="","",$AK17+$AL17)</f>
        <v/>
      </c>
      <c r="AN17" s="5">
        <f>IF($A17="","",IF(OR((IFERROR(INDEX('CAT_ACTIVIDADES'!$D$4:$D$11,MATCH($H17,'CAT_ACTIVIDADES'!$A$4:$A$11,0)),""))=0,(IFERROR(INDEX('CAT_ACTIVIDADES'!$D$4:$D$11,MATCH($H17,'CAT_ACTIVIDADES'!$A$4:$A$11,0)),""))=""),"SIN CLASIFICAR",IFERROR(INDEX('CAT_ACTIVIDADES'!$D$4:$D$11,MATCH($H17,'CAT_ACTIVIDADES'!$A$4:$A$11,0)),"")))</f>
        <v/>
      </c>
      <c r="AO17" s="4" t="inlineStr"/>
      <c r="AP17" s="4" t="inlineStr"/>
      <c r="AQ17" s="4" t="inlineStr">
        <is>
          <t>ACT-04.pdf</t>
        </is>
      </c>
      <c r="AR17" s="5">
        <f>IF($AQ17="","",HYPERLINK(p_ruta_base_checklists&amp;$AQ17,"abrir"))</f>
        <v/>
      </c>
      <c r="AS17" s="4" t="inlineStr"/>
      <c r="AT17" s="5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22" t="n">
        <v>46234</v>
      </c>
      <c r="K18" s="5" t="n">
        <v>6</v>
      </c>
      <c r="L18" s="18" t="n">
        <v>150</v>
      </c>
      <c r="M18" s="5">
        <f>IF($A18="","",IFERROR(INDEX('AJUSTES'!$B$4:$B$303,MATCH($AT18,'AJUSTES'!$A$4:$A$303,0)),IF($K18="","",$K18)))</f>
        <v/>
      </c>
      <c r="N18" s="5">
        <f>IF($A18="","",IFERROR(INDEX('CAT_ESTADOS_ERP'!$B$4:$B$7,MATCH(IFERROR(INDEX('2_IMPORTAR_EJECUCION'!$C$9:$C$1208,MATCH($AT18,'2_IMPORTAR_EJECUCION'!$J$9:$J$1208,0)),""),'CAT_ESTADOS_ERP'!$A$4:$A$7,0)),"Pendiente"))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IF($J18="","",$P18&amp;"-"&amp;TEXT($Q18,"00"))</f>
        <v/>
      </c>
      <c r="S18" s="5">
        <f>IF($J18="","",INDEX(lista_dias,WEEKDAY($J18,2)))</f>
        <v/>
      </c>
      <c r="T18" s="5">
        <f>IF($J18="","",IFERROR(INDEX('CALENDARIO'!$C$15:$C$214,MATCH(TEXT($J18,"yyyy-mm-dd")&amp;"|"&amp;$X18&amp;"|"&amp;$Y18,'CALENDARIO'!$G$15:$G$214,0)),IFERROR(INDEX('CALENDARIO'!$C$15:$C$214,MATCH(TEXT($J18,"yyyy-mm-dd")&amp;"|"&amp;$X18&amp;"|",'CALENDARIO'!$G$15:$G$214,0)),IFERROR(INDEX('CALENDARIO'!$C$15:$C$214,MATCH(TEXT($J18,"yyyy-mm-dd")&amp;"||",'CALENDARIO'!$G$15:$G$214,0)),INDEX(patronHabil,WEEKDAY($J18,2))))))</f>
        <v/>
      </c>
      <c r="U18" s="5">
        <f>IF($I18="","",IFERROR(INDEX('CAT_TIPOS_OT'!$C$4:$C$8,MATCH($I18,'CAT_TIPOS_OT'!$A$4:$A$8,0)),"sin_clasificar"))</f>
        <v/>
      </c>
      <c r="V18" s="5">
        <f>IF($I18="","",IF(IFERROR(INDEX('CAT_TIPOS_OT'!$D$4:$D$8,MATCH($I18,'CAT_TIPOS_OT'!$A$4:$A$8,0)),"SIN CLASIFICAR")="","SIN CLASIFICAR",IFERROR(INDEX('CAT_TIPOS_OT'!$D$4:$D$8,MATCH($I18,'CAT_TIPOS_OT'!$A$4:$A$8,0)),"SIN CLASIFICAR")))</f>
        <v/>
      </c>
      <c r="W18" s="5">
        <f>IF($F18="","",IFERROR(INDEX('CAT_CENTROS_COSTO'!$F$4:$F$13,MATCH($F18,'CAT_CENTROS_COSTO'!$A$4:$A$13,0)),"(sin catálogo)"))</f>
        <v/>
      </c>
      <c r="X18" s="5">
        <f>IF($F18="","",IFERROR(INDEX('CAT_CENTROS_COSTO'!$D$4:$D$13,MATCH($F18,'CAT_CENTROS_COSTO'!$A$4:$A$13,0)),"(sin catálogo)"))</f>
        <v/>
      </c>
      <c r="Y18" s="5">
        <f>IF($F18="","",IF((IFERROR(INDEX('CAT_CENTROS_COSTO'!$E$4:$E$13,MATCH($F18,'CAT_CENTROS_COSTO'!$A$4:$A$13,0)),""))&lt;&gt;"",IFERROR(INDEX('CAT_CENTROS_COSTO'!$E$4:$E$13,MATCH($F18,'CAT_CENTROS_COSTO'!$A$4:$A$13,0)),""),$X18))</f>
        <v/>
      </c>
      <c r="Z18" s="5">
        <f>IF($F18="","",IFERROR(INDEX('CAT_CENTROS_COSTO'!$G$4:$G$13,MATCH($F18,'CAT_CENTROS_COSTO'!$A$4:$A$13,0)),"(sin catálogo)"))</f>
        <v/>
      </c>
      <c r="AA18" s="5">
        <f>IF($G18="","",IFERROR(INDEX('CAT_PUESTOS'!$B$4:$B$8,MATCH($G18,'CAT_PUESTOS'!$A$4:$A$8,0)),"(sin catálogo)"))</f>
        <v/>
      </c>
      <c r="AB18" s="5">
        <f>IF($H18="","",IFERROR(INDEX('CAT_ACTIVIDADES'!$B$4:$B$11,MATCH($H18,'CAT_ACTIVIDADES'!$A$4:$A$11,0)),"(sin catálogo)"))</f>
        <v/>
      </c>
      <c r="AC18" s="20">
        <f>IF($J18="","",TODAY()-$J18)</f>
        <v/>
      </c>
      <c r="AD18" s="20">
        <f>IF($J18="","",IF($J18&lt;=TODAY(),COUNTIFS(cal_fechas,"&gt;="&amp;$J18,cal_fechas,"&lt;"&amp;TODAY(),cal_habil,"sí"),-COUNTIFS(cal_fechas,"&gt;="&amp;TODAY(),cal_fechas,"&lt;"&amp;$J18,cal_habil,"sí")))</f>
        <v/>
      </c>
      <c r="AE18" s="5">
        <f>IF($AD18="","",IF($AD18&lt;0,"FUTURO",IF($AD18&gt;p_dias_backlog_max,"BACKLOG","MES CORRIENTE")))</f>
        <v/>
      </c>
      <c r="AF18" s="5">
        <f>IF($AD18="",FALSE,AND($AD18&gt;p_dias_backlog_min,$AD18&lt;=p_dias_backlog_max))</f>
        <v/>
      </c>
      <c r="AG18" s="4" t="inlineStr">
        <is>
          <t>Carlos Pérez</t>
        </is>
      </c>
      <c r="AH18" s="5">
        <f>IF($AG18="","",IF((IFERROR(INDEX('ASIGNACIONES'!$J$4:$J$451,MATCH($O18&amp;"|"&amp;$S18&amp;"|"&amp;$AG18,'ASIGNACIONES'!$N$4:$N$451,0)),""))=0,"",IFERROR(INDEX('ASIGNACIONES'!$J$4:$J$451,MATCH($O18&amp;"|"&amp;$S18&amp;"|"&amp;$AG18,'ASIGNACIONES'!$N$4:$N$451,0)),"")))</f>
        <v/>
      </c>
      <c r="AI18" s="25">
        <f>IF($AG18="","",SUMIFS('ORDENES'!$M$4:$M$1203,'ORDENES'!$AG$4:$AG$1203,$AG18,'ORDENES'!$O$4:$O$1203,$O18,'ORDENES'!$S$4:$S$1203,$S18))</f>
        <v/>
      </c>
      <c r="AJ18" s="25">
        <f>IF($AI18="","",p_factor_productividad*IFERROR(INDEX('ASIGNACIONES'!$M$4:$M$451,MATCH($O18&amp;"|"&amp;$S18&amp;"|"&amp;$AG18,'ASIGNACIONES'!$N$4:$N$451,0)),0)-$AI18)</f>
        <v/>
      </c>
      <c r="AK18" s="18">
        <f>IF($A18="","",IFERROR(INDEX('2_IMPORTAR_EJECUCION'!$F$9:$F$1208,MATCH($AT18,'2_IMPORTAR_EJECUCION'!$J$9:$J$1208,0)),0))</f>
        <v/>
      </c>
      <c r="AL18" s="18">
        <f>IF($A18="","",MAX(0,IFERROR(INDEX('2_IMPORTAR_EJECUCION'!$H$9:$H$1208,MATCH($AT18,'2_IMPORTAR_EJECUCION'!$J$9:$J$1208,0)),0)-$AK18))</f>
        <v/>
      </c>
      <c r="AM18" s="18">
        <f>IF($A18="","",$AK18+$AL18)</f>
        <v/>
      </c>
      <c r="AN18" s="5">
        <f>IF($A18="","",IF(OR((IFERROR(INDEX('CAT_ACTIVIDADES'!$D$4:$D$11,MATCH($H18,'CAT_ACTIVIDADES'!$A$4:$A$11,0)),""))=0,(IFERROR(INDEX('CAT_ACTIVIDADES'!$D$4:$D$11,MATCH($H18,'CAT_ACTIVIDADES'!$A$4:$A$11,0)),""))=""),"SIN CLASIFICAR",IFERROR(INDEX('CAT_ACTIVIDADES'!$D$4:$D$11,MATCH($H18,'CAT_ACTIVIDADES'!$A$4:$A$11,0)),"")))</f>
        <v/>
      </c>
      <c r="AO18" s="4" t="inlineStr"/>
      <c r="AP18" s="4" t="inlineStr"/>
      <c r="AQ18" s="4" t="inlineStr">
        <is>
          <t>ACT-01.pdf</t>
        </is>
      </c>
      <c r="AR18" s="5">
        <f>IF($AQ18="","",HYPERLINK(p_ruta_base_checklists&amp;$AQ18,"abrir"))</f>
        <v/>
      </c>
      <c r="AS18" s="4" t="inlineStr"/>
      <c r="AT18" s="5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22" t="n">
        <v>46230</v>
      </c>
      <c r="K19" s="5" t="n">
        <v>10</v>
      </c>
      <c r="L19" s="18" t="n">
        <v>250</v>
      </c>
      <c r="M19" s="5">
        <f>IF($A19="","",IFERROR(INDEX('AJUSTES'!$B$4:$B$303,MATCH($AT19,'AJUSTES'!$A$4:$A$303,0)),IF($K19="","",$K19)))</f>
        <v/>
      </c>
      <c r="N19" s="5">
        <f>IF($A19="","",IFERROR(INDEX('CAT_ESTADOS_ERP'!$B$4:$B$7,MATCH(IFERROR(INDEX('2_IMPORTAR_EJECUCION'!$C$9:$C$1208,MATCH($AT19,'2_IMPORTAR_EJECUCION'!$J$9:$J$1208,0)),""),'CAT_ESTADOS_ERP'!$A$4:$A$7,0)),"Pendiente"))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IF($J19="","",$P19&amp;"-"&amp;TEXT($Q19,"00"))</f>
        <v/>
      </c>
      <c r="S19" s="5">
        <f>IF($J19="","",INDEX(lista_dias,WEEKDAY($J19,2)))</f>
        <v/>
      </c>
      <c r="T19" s="5">
        <f>IF($J19="","",IFERROR(INDEX('CALENDARIO'!$C$15:$C$214,MATCH(TEXT($J19,"yyyy-mm-dd")&amp;"|"&amp;$X19&amp;"|"&amp;$Y19,'CALENDARIO'!$G$15:$G$214,0)),IFERROR(INDEX('CALENDARIO'!$C$15:$C$214,MATCH(TEXT($J19,"yyyy-mm-dd")&amp;"|"&amp;$X19&amp;"|",'CALENDARIO'!$G$15:$G$214,0)),IFERROR(INDEX('CALENDARIO'!$C$15:$C$214,MATCH(TEXT($J19,"yyyy-mm-dd")&amp;"||",'CALENDARIO'!$G$15:$G$214,0)),INDEX(patronHabil,WEEKDAY($J19,2))))))</f>
        <v/>
      </c>
      <c r="U19" s="5">
        <f>IF($I19="","",IFERROR(INDEX('CAT_TIPOS_OT'!$C$4:$C$8,MATCH($I19,'CAT_TIPOS_OT'!$A$4:$A$8,0)),"sin_clasificar"))</f>
        <v/>
      </c>
      <c r="V19" s="5">
        <f>IF($I19="","",IF(IFERROR(INDEX('CAT_TIPOS_OT'!$D$4:$D$8,MATCH($I19,'CAT_TIPOS_OT'!$A$4:$A$8,0)),"SIN CLASIFICAR")="","SIN CLASIFICAR",IFERROR(INDEX('CAT_TIPOS_OT'!$D$4:$D$8,MATCH($I19,'CAT_TIPOS_OT'!$A$4:$A$8,0)),"SIN CLASIFICAR")))</f>
        <v/>
      </c>
      <c r="W19" s="5">
        <f>IF($F19="","",IFERROR(INDEX('CAT_CENTROS_COSTO'!$F$4:$F$13,MATCH($F19,'CAT_CENTROS_COSTO'!$A$4:$A$13,0)),"(sin catálogo)"))</f>
        <v/>
      </c>
      <c r="X19" s="5">
        <f>IF($F19="","",IFERROR(INDEX('CAT_CENTROS_COSTO'!$D$4:$D$13,MATCH($F19,'CAT_CENTROS_COSTO'!$A$4:$A$13,0)),"(sin catálogo)"))</f>
        <v/>
      </c>
      <c r="Y19" s="5">
        <f>IF($F19="","",IF((IFERROR(INDEX('CAT_CENTROS_COSTO'!$E$4:$E$13,MATCH($F19,'CAT_CENTROS_COSTO'!$A$4:$A$13,0)),""))&lt;&gt;"",IFERROR(INDEX('CAT_CENTROS_COSTO'!$E$4:$E$13,MATCH($F19,'CAT_CENTROS_COSTO'!$A$4:$A$13,0)),""),$X19))</f>
        <v/>
      </c>
      <c r="Z19" s="5">
        <f>IF($F19="","",IFERROR(INDEX('CAT_CENTROS_COSTO'!$G$4:$G$13,MATCH($F19,'CAT_CENTROS_COSTO'!$A$4:$A$13,0)),"(sin catálogo)"))</f>
        <v/>
      </c>
      <c r="AA19" s="5">
        <f>IF($G19="","",IFERROR(INDEX('CAT_PUESTOS'!$B$4:$B$8,MATCH($G19,'CAT_PUESTOS'!$A$4:$A$8,0)),"(sin catálogo)"))</f>
        <v/>
      </c>
      <c r="AB19" s="5">
        <f>IF($H19="","",IFERROR(INDEX('CAT_ACTIVIDADES'!$B$4:$B$11,MATCH($H19,'CAT_ACTIVIDADES'!$A$4:$A$11,0)),"(sin catálogo)"))</f>
        <v/>
      </c>
      <c r="AC19" s="20">
        <f>IF($J19="","",TODAY()-$J19)</f>
        <v/>
      </c>
      <c r="AD19" s="20">
        <f>IF($J19="","",IF($J19&lt;=TODAY(),COUNTIFS(cal_fechas,"&gt;="&amp;$J19,cal_fechas,"&lt;"&amp;TODAY(),cal_habil,"sí"),-COUNTIFS(cal_fechas,"&gt;="&amp;TODAY(),cal_fechas,"&lt;"&amp;$J19,cal_habil,"sí")))</f>
        <v/>
      </c>
      <c r="AE19" s="5">
        <f>IF($AD19="","",IF($AD19&lt;0,"FUTURO",IF($AD19&gt;p_dias_backlog_max,"BACKLOG","MES CORRIENTE")))</f>
        <v/>
      </c>
      <c r="AF19" s="5">
        <f>IF($AD19="",FALSE,AND($AD19&gt;p_dias_backlog_min,$AD19&lt;=p_dias_backlog_max))</f>
        <v/>
      </c>
      <c r="AG19" s="4" t="inlineStr">
        <is>
          <t>María Gómez</t>
        </is>
      </c>
      <c r="AH19" s="5">
        <f>IF($AG19="","",IF((IFERROR(INDEX('ASIGNACIONES'!$J$4:$J$451,MATCH($O19&amp;"|"&amp;$S19&amp;"|"&amp;$AG19,'ASIGNACIONES'!$N$4:$N$451,0)),""))=0,"",IFERROR(INDEX('ASIGNACIONES'!$J$4:$J$451,MATCH($O19&amp;"|"&amp;$S19&amp;"|"&amp;$AG19,'ASIGNACIONES'!$N$4:$N$451,0)),"")))</f>
        <v/>
      </c>
      <c r="AI19" s="25">
        <f>IF($AG19="","",SUMIFS('ORDENES'!$M$4:$M$1203,'ORDENES'!$AG$4:$AG$1203,$AG19,'ORDENES'!$O$4:$O$1203,$O19,'ORDENES'!$S$4:$S$1203,$S19))</f>
        <v/>
      </c>
      <c r="AJ19" s="25">
        <f>IF($AI19="","",p_factor_productividad*IFERROR(INDEX('ASIGNACIONES'!$M$4:$M$451,MATCH($O19&amp;"|"&amp;$S19&amp;"|"&amp;$AG19,'ASIGNACIONES'!$N$4:$N$451,0)),0)-$AI19)</f>
        <v/>
      </c>
      <c r="AK19" s="18">
        <f>IF($A19="","",IFERROR(INDEX('2_IMPORTAR_EJECUCION'!$F$9:$F$1208,MATCH($AT19,'2_IMPORTAR_EJECUCION'!$J$9:$J$1208,0)),0))</f>
        <v/>
      </c>
      <c r="AL19" s="18">
        <f>IF($A19="","",MAX(0,IFERROR(INDEX('2_IMPORTAR_EJECUCION'!$H$9:$H$1208,MATCH($AT19,'2_IMPORTAR_EJECUCION'!$J$9:$J$1208,0)),0)-$AK19))</f>
        <v/>
      </c>
      <c r="AM19" s="18">
        <f>IF($A19="","",$AK19+$AL19)</f>
        <v/>
      </c>
      <c r="AN19" s="5">
        <f>IF($A19="","",IF(OR((IFERROR(INDEX('CAT_ACTIVIDADES'!$D$4:$D$11,MATCH($H19,'CAT_ACTIVIDADES'!$A$4:$A$11,0)),""))=0,(IFERROR(INDEX('CAT_ACTIVIDADES'!$D$4:$D$11,MATCH($H19,'CAT_ACTIVIDADES'!$A$4:$A$11,0)),""))=""),"SIN CLASIFICAR",IFERROR(INDEX('CAT_ACTIVIDADES'!$D$4:$D$11,MATCH($H19,'CAT_ACTIVIDADES'!$A$4:$A$11,0)),"")))</f>
        <v/>
      </c>
      <c r="AO19" s="4" t="inlineStr"/>
      <c r="AP19" s="4" t="inlineStr"/>
      <c r="AQ19" s="4" t="inlineStr">
        <is>
          <t>ACT-02.pdf</t>
        </is>
      </c>
      <c r="AR19" s="5">
        <f>IF($AQ19="","",HYPERLINK(p_ruta_base_checklists&amp;$AQ19,"abrir"))</f>
        <v/>
      </c>
      <c r="AS19" s="4" t="inlineStr"/>
      <c r="AT19" s="5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22" t="n">
        <v>46231</v>
      </c>
      <c r="K20" s="5" t="n">
        <v>8</v>
      </c>
      <c r="L20" s="18" t="n">
        <v>200</v>
      </c>
      <c r="M20" s="5">
        <f>IF($A20="","",IFERROR(INDEX('AJUSTES'!$B$4:$B$303,MATCH($AT20,'AJUSTES'!$A$4:$A$303,0)),IF($K20="","",$K20)))</f>
        <v/>
      </c>
      <c r="N20" s="5">
        <f>IF($A20="","",IFERROR(INDEX('CAT_ESTADOS_ERP'!$B$4:$B$7,MATCH(IFERROR(INDEX('2_IMPORTAR_EJECUCION'!$C$9:$C$1208,MATCH($AT20,'2_IMPORTAR_EJECUCION'!$J$9:$J$1208,0)),""),'CAT_ESTADOS_ERP'!$A$4:$A$7,0)),"Pendiente"))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IF($J20="","",$P20&amp;"-"&amp;TEXT($Q20,"00"))</f>
        <v/>
      </c>
      <c r="S20" s="5">
        <f>IF($J20="","",INDEX(lista_dias,WEEKDAY($J20,2)))</f>
        <v/>
      </c>
      <c r="T20" s="5">
        <f>IF($J20="","",IFERROR(INDEX('CALENDARIO'!$C$15:$C$214,MATCH(TEXT($J20,"yyyy-mm-dd")&amp;"|"&amp;$X20&amp;"|"&amp;$Y20,'CALENDARIO'!$G$15:$G$214,0)),IFERROR(INDEX('CALENDARIO'!$C$15:$C$214,MATCH(TEXT($J20,"yyyy-mm-dd")&amp;"|"&amp;$X20&amp;"|",'CALENDARIO'!$G$15:$G$214,0)),IFERROR(INDEX('CALENDARIO'!$C$15:$C$214,MATCH(TEXT($J20,"yyyy-mm-dd")&amp;"||",'CALENDARIO'!$G$15:$G$214,0)),INDEX(patronHabil,WEEKDAY($J20,2))))))</f>
        <v/>
      </c>
      <c r="U20" s="5">
        <f>IF($I20="","",IFERROR(INDEX('CAT_TIPOS_OT'!$C$4:$C$8,MATCH($I20,'CAT_TIPOS_OT'!$A$4:$A$8,0)),"sin_clasificar"))</f>
        <v/>
      </c>
      <c r="V20" s="5">
        <f>IF($I20="","",IF(IFERROR(INDEX('CAT_TIPOS_OT'!$D$4:$D$8,MATCH($I20,'CAT_TIPOS_OT'!$A$4:$A$8,0)),"SIN CLASIFICAR")="","SIN CLASIFICAR",IFERROR(INDEX('CAT_TIPOS_OT'!$D$4:$D$8,MATCH($I20,'CAT_TIPOS_OT'!$A$4:$A$8,0)),"SIN CLASIFICAR")))</f>
        <v/>
      </c>
      <c r="W20" s="5">
        <f>IF($F20="","",IFERROR(INDEX('CAT_CENTROS_COSTO'!$F$4:$F$13,MATCH($F20,'CAT_CENTROS_COSTO'!$A$4:$A$13,0)),"(sin catálogo)"))</f>
        <v/>
      </c>
      <c r="X20" s="5">
        <f>IF($F20="","",IFERROR(INDEX('CAT_CENTROS_COSTO'!$D$4:$D$13,MATCH($F20,'CAT_CENTROS_COSTO'!$A$4:$A$13,0)),"(sin catálogo)"))</f>
        <v/>
      </c>
      <c r="Y20" s="5">
        <f>IF($F20="","",IF((IFERROR(INDEX('CAT_CENTROS_COSTO'!$E$4:$E$13,MATCH($F20,'CAT_CENTROS_COSTO'!$A$4:$A$13,0)),""))&lt;&gt;"",IFERROR(INDEX('CAT_CENTROS_COSTO'!$E$4:$E$13,MATCH($F20,'CAT_CENTROS_COSTO'!$A$4:$A$13,0)),""),$X20))</f>
        <v/>
      </c>
      <c r="Z20" s="5">
        <f>IF($F20="","",IFERROR(INDEX('CAT_CENTROS_COSTO'!$G$4:$G$13,MATCH($F20,'CAT_CENTROS_COSTO'!$A$4:$A$13,0)),"(sin catálogo)"))</f>
        <v/>
      </c>
      <c r="AA20" s="5">
        <f>IF($G20="","",IFERROR(INDEX('CAT_PUESTOS'!$B$4:$B$8,MATCH($G20,'CAT_PUESTOS'!$A$4:$A$8,0)),"(sin catálogo)"))</f>
        <v/>
      </c>
      <c r="AB20" s="5">
        <f>IF($H20="","",IFERROR(INDEX('CAT_ACTIVIDADES'!$B$4:$B$11,MATCH($H20,'CAT_ACTIVIDADES'!$A$4:$A$11,0)),"(sin catálogo)"))</f>
        <v/>
      </c>
      <c r="AC20" s="20">
        <f>IF($J20="","",TODAY()-$J20)</f>
        <v/>
      </c>
      <c r="AD20" s="20">
        <f>IF($J20="","",IF($J20&lt;=TODAY(),COUNTIFS(cal_fechas,"&gt;="&amp;$J20,cal_fechas,"&lt;"&amp;TODAY(),cal_habil,"sí"),-COUNTIFS(cal_fechas,"&gt;="&amp;TODAY(),cal_fechas,"&lt;"&amp;$J20,cal_habil,"sí")))</f>
        <v/>
      </c>
      <c r="AE20" s="5">
        <f>IF($AD20="","",IF($AD20&lt;0,"FUTURO",IF($AD20&gt;p_dias_backlog_max,"BACKLOG","MES CORRIENTE")))</f>
        <v/>
      </c>
      <c r="AF20" s="5">
        <f>IF($AD20="",FALSE,AND($AD20&gt;p_dias_backlog_min,$AD20&lt;=p_dias_backlog_max))</f>
        <v/>
      </c>
      <c r="AG20" s="4" t="inlineStr">
        <is>
          <t>Luis Rodríguez</t>
        </is>
      </c>
      <c r="AH20" s="5">
        <f>IF($AG20="","",IF((IFERROR(INDEX('ASIGNACIONES'!$J$4:$J$451,MATCH($O20&amp;"|"&amp;$S20&amp;"|"&amp;$AG20,'ASIGNACIONES'!$N$4:$N$451,0)),""))=0,"",IFERROR(INDEX('ASIGNACIONES'!$J$4:$J$451,MATCH($O20&amp;"|"&amp;$S20&amp;"|"&amp;$AG20,'ASIGNACIONES'!$N$4:$N$451,0)),"")))</f>
        <v/>
      </c>
      <c r="AI20" s="25">
        <f>IF($AG20="","",SUMIFS('ORDENES'!$M$4:$M$1203,'ORDENES'!$AG$4:$AG$1203,$AG20,'ORDENES'!$O$4:$O$1203,$O20,'ORDENES'!$S$4:$S$1203,$S20))</f>
        <v/>
      </c>
      <c r="AJ20" s="25">
        <f>IF($AI20="","",p_factor_productividad*IFERROR(INDEX('ASIGNACIONES'!$M$4:$M$451,MATCH($O20&amp;"|"&amp;$S20&amp;"|"&amp;$AG20,'ASIGNACIONES'!$N$4:$N$451,0)),0)-$AI20)</f>
        <v/>
      </c>
      <c r="AK20" s="18">
        <f>IF($A20="","",IFERROR(INDEX('2_IMPORTAR_EJECUCION'!$F$9:$F$1208,MATCH($AT20,'2_IMPORTAR_EJECUCION'!$J$9:$J$1208,0)),0))</f>
        <v/>
      </c>
      <c r="AL20" s="18">
        <f>IF($A20="","",MAX(0,IFERROR(INDEX('2_IMPORTAR_EJECUCION'!$H$9:$H$1208,MATCH($AT20,'2_IMPORTAR_EJECUCION'!$J$9:$J$1208,0)),0)-$AK20))</f>
        <v/>
      </c>
      <c r="AM20" s="18">
        <f>IF($A20="","",$AK20+$AL20)</f>
        <v/>
      </c>
      <c r="AN20" s="5">
        <f>IF($A20="","",IF(OR((IFERROR(INDEX('CAT_ACTIVIDADES'!$D$4:$D$11,MATCH($H20,'CAT_ACTIVIDADES'!$A$4:$A$11,0)),""))=0,(IFERROR(INDEX('CAT_ACTIVIDADES'!$D$4:$D$11,MATCH($H20,'CAT_ACTIVIDADES'!$A$4:$A$11,0)),""))=""),"SIN CLASIFICAR",IFERROR(INDEX('CAT_ACTIVIDADES'!$D$4:$D$11,MATCH($H20,'CAT_ACTIVIDADES'!$A$4:$A$11,0)),"")))</f>
        <v/>
      </c>
      <c r="AO20" s="4" t="inlineStr"/>
      <c r="AP20" s="4" t="inlineStr"/>
      <c r="AQ20" s="4" t="inlineStr">
        <is>
          <t>ACT-04.pdf</t>
        </is>
      </c>
      <c r="AR20" s="5">
        <f>IF($AQ20="","",HYPERLINK(p_ruta_base_checklists&amp;$AQ20,"abrir"))</f>
        <v/>
      </c>
      <c r="AS20" s="4" t="inlineStr"/>
      <c r="AT20" s="5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22" t="n">
        <v>46232</v>
      </c>
      <c r="K21" s="5" t="n">
        <v>6</v>
      </c>
      <c r="L21" s="18" t="n">
        <v>150</v>
      </c>
      <c r="M21" s="5">
        <f>IF($A21="","",IFERROR(INDEX('AJUSTES'!$B$4:$B$303,MATCH($AT21,'AJUSTES'!$A$4:$A$303,0)),IF($K21="","",$K21)))</f>
        <v/>
      </c>
      <c r="N21" s="5">
        <f>IF($A21="","",IFERROR(INDEX('CAT_ESTADOS_ERP'!$B$4:$B$7,MATCH(IFERROR(INDEX('2_IMPORTAR_EJECUCION'!$C$9:$C$1208,MATCH($AT21,'2_IMPORTAR_EJECUCION'!$J$9:$J$1208,0)),""),'CAT_ESTADOS_ERP'!$A$4:$A$7,0)),"Pendiente"))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IF($J21="","",$P21&amp;"-"&amp;TEXT($Q21,"00"))</f>
        <v/>
      </c>
      <c r="S21" s="5">
        <f>IF($J21="","",INDEX(lista_dias,WEEKDAY($J21,2)))</f>
        <v/>
      </c>
      <c r="T21" s="5">
        <f>IF($J21="","",IFERROR(INDEX('CALENDARIO'!$C$15:$C$214,MATCH(TEXT($J21,"yyyy-mm-dd")&amp;"|"&amp;$X21&amp;"|"&amp;$Y21,'CALENDARIO'!$G$15:$G$214,0)),IFERROR(INDEX('CALENDARIO'!$C$15:$C$214,MATCH(TEXT($J21,"yyyy-mm-dd")&amp;"|"&amp;$X21&amp;"|",'CALENDARIO'!$G$15:$G$214,0)),IFERROR(INDEX('CALENDARIO'!$C$15:$C$214,MATCH(TEXT($J21,"yyyy-mm-dd")&amp;"||",'CALENDARIO'!$G$15:$G$214,0)),INDEX(patronHabil,WEEKDAY($J21,2))))))</f>
        <v/>
      </c>
      <c r="U21" s="5">
        <f>IF($I21="","",IFERROR(INDEX('CAT_TIPOS_OT'!$C$4:$C$8,MATCH($I21,'CAT_TIPOS_OT'!$A$4:$A$8,0)),"sin_clasificar"))</f>
        <v/>
      </c>
      <c r="V21" s="5">
        <f>IF($I21="","",IF(IFERROR(INDEX('CAT_TIPOS_OT'!$D$4:$D$8,MATCH($I21,'CAT_TIPOS_OT'!$A$4:$A$8,0)),"SIN CLASIFICAR")="","SIN CLASIFICAR",IFERROR(INDEX('CAT_TIPOS_OT'!$D$4:$D$8,MATCH($I21,'CAT_TIPOS_OT'!$A$4:$A$8,0)),"SIN CLASIFICAR")))</f>
        <v/>
      </c>
      <c r="W21" s="5">
        <f>IF($F21="","",IFERROR(INDEX('CAT_CENTROS_COSTO'!$F$4:$F$13,MATCH($F21,'CAT_CENTROS_COSTO'!$A$4:$A$13,0)),"(sin catálogo)"))</f>
        <v/>
      </c>
      <c r="X21" s="5">
        <f>IF($F21="","",IFERROR(INDEX('CAT_CENTROS_COSTO'!$D$4:$D$13,MATCH($F21,'CAT_CENTROS_COSTO'!$A$4:$A$13,0)),"(sin catálogo)"))</f>
        <v/>
      </c>
      <c r="Y21" s="5">
        <f>IF($F21="","",IF((IFERROR(INDEX('CAT_CENTROS_COSTO'!$E$4:$E$13,MATCH($F21,'CAT_CENTROS_COSTO'!$A$4:$A$13,0)),""))&lt;&gt;"",IFERROR(INDEX('CAT_CENTROS_COSTO'!$E$4:$E$13,MATCH($F21,'CAT_CENTROS_COSTO'!$A$4:$A$13,0)),""),$X21))</f>
        <v/>
      </c>
      <c r="Z21" s="5">
        <f>IF($F21="","",IFERROR(INDEX('CAT_CENTROS_COSTO'!$G$4:$G$13,MATCH($F21,'CAT_CENTROS_COSTO'!$A$4:$A$13,0)),"(sin catálogo)"))</f>
        <v/>
      </c>
      <c r="AA21" s="5">
        <f>IF($G21="","",IFERROR(INDEX('CAT_PUESTOS'!$B$4:$B$8,MATCH($G21,'CAT_PUESTOS'!$A$4:$A$8,0)),"(sin catálogo)"))</f>
        <v/>
      </c>
      <c r="AB21" s="5">
        <f>IF($H21="","",IFERROR(INDEX('CAT_ACTIVIDADES'!$B$4:$B$11,MATCH($H21,'CAT_ACTIVIDADES'!$A$4:$A$11,0)),"(sin catálogo)"))</f>
        <v/>
      </c>
      <c r="AC21" s="20">
        <f>IF($J21="","",TODAY()-$J21)</f>
        <v/>
      </c>
      <c r="AD21" s="20">
        <f>IF($J21="","",IF($J21&lt;=TODAY(),COUNTIFS(cal_fechas,"&gt;="&amp;$J21,cal_fechas,"&lt;"&amp;TODAY(),cal_habil,"sí"),-COUNTIFS(cal_fechas,"&gt;="&amp;TODAY(),cal_fechas,"&lt;"&amp;$J21,cal_habil,"sí")))</f>
        <v/>
      </c>
      <c r="AE21" s="5">
        <f>IF($AD21="","",IF($AD21&lt;0,"FUTURO",IF($AD21&gt;p_dias_backlog_max,"BACKLOG","MES CORRIENTE")))</f>
        <v/>
      </c>
      <c r="AF21" s="5">
        <f>IF($AD21="",FALSE,AND($AD21&gt;p_dias_backlog_min,$AD21&lt;=p_dias_backlog_max))</f>
        <v/>
      </c>
      <c r="AG21" s="4" t="inlineStr">
        <is>
          <t>Miguel Martínez</t>
        </is>
      </c>
      <c r="AH21" s="5">
        <f>IF($AG21="","",IF((IFERROR(INDEX('ASIGNACIONES'!$J$4:$J$451,MATCH($O21&amp;"|"&amp;$S21&amp;"|"&amp;$AG21,'ASIGNACIONES'!$N$4:$N$451,0)),""))=0,"",IFERROR(INDEX('ASIGNACIONES'!$J$4:$J$451,MATCH($O21&amp;"|"&amp;$S21&amp;"|"&amp;$AG21,'ASIGNACIONES'!$N$4:$N$451,0)),"")))</f>
        <v/>
      </c>
      <c r="AI21" s="25">
        <f>IF($AG21="","",SUMIFS('ORDENES'!$M$4:$M$1203,'ORDENES'!$AG$4:$AG$1203,$AG21,'ORDENES'!$O$4:$O$1203,$O21,'ORDENES'!$S$4:$S$1203,$S21))</f>
        <v/>
      </c>
      <c r="AJ21" s="25">
        <f>IF($AI21="","",p_factor_productividad*IFERROR(INDEX('ASIGNACIONES'!$M$4:$M$451,MATCH($O21&amp;"|"&amp;$S21&amp;"|"&amp;$AG21,'ASIGNACIONES'!$N$4:$N$451,0)),0)-$AI21)</f>
        <v/>
      </c>
      <c r="AK21" s="18">
        <f>IF($A21="","",IFERROR(INDEX('2_IMPORTAR_EJECUCION'!$F$9:$F$1208,MATCH($AT21,'2_IMPORTAR_EJECUCION'!$J$9:$J$1208,0)),0))</f>
        <v/>
      </c>
      <c r="AL21" s="18">
        <f>IF($A21="","",MAX(0,IFERROR(INDEX('2_IMPORTAR_EJECUCION'!$H$9:$H$1208,MATCH($AT21,'2_IMPORTAR_EJECUCION'!$J$9:$J$1208,0)),0)-$AK21))</f>
        <v/>
      </c>
      <c r="AM21" s="18">
        <f>IF($A21="","",$AK21+$AL21)</f>
        <v/>
      </c>
      <c r="AN21" s="5">
        <f>IF($A21="","",IF(OR((IFERROR(INDEX('CAT_ACTIVIDADES'!$D$4:$D$11,MATCH($H21,'CAT_ACTIVIDADES'!$A$4:$A$11,0)),""))=0,(IFERROR(INDEX('CAT_ACTIVIDADES'!$D$4:$D$11,MATCH($H21,'CAT_ACTIVIDADES'!$A$4:$A$11,0)),""))=""),"SIN CLASIFICAR",IFERROR(INDEX('CAT_ACTIVIDADES'!$D$4:$D$11,MATCH($H21,'CAT_ACTIVIDADES'!$A$4:$A$11,0)),"")))</f>
        <v/>
      </c>
      <c r="AO21" s="4" t="inlineStr"/>
      <c r="AP21" s="4" t="inlineStr"/>
      <c r="AQ21" s="4" t="inlineStr">
        <is>
          <t>ACT-01.pdf</t>
        </is>
      </c>
      <c r="AR21" s="5">
        <f>IF($AQ21="","",HYPERLINK(p_ruta_base_checklists&amp;$AQ21,"abrir"))</f>
        <v/>
      </c>
      <c r="AS21" s="4" t="inlineStr"/>
      <c r="AT21" s="5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22" t="n">
        <v>46233</v>
      </c>
      <c r="K22" s="5" t="n">
        <v>10</v>
      </c>
      <c r="L22" s="18" t="n">
        <v>250</v>
      </c>
      <c r="M22" s="5">
        <f>IF($A22="","",IFERROR(INDEX('AJUSTES'!$B$4:$B$303,MATCH($AT22,'AJUSTES'!$A$4:$A$303,0)),IF($K22="","",$K22)))</f>
        <v/>
      </c>
      <c r="N22" s="5">
        <f>IF($A22="","",IFERROR(INDEX('CAT_ESTADOS_ERP'!$B$4:$B$7,MATCH(IFERROR(INDEX('2_IMPORTAR_EJECUCION'!$C$9:$C$1208,MATCH($AT22,'2_IMPORTAR_EJECUCION'!$J$9:$J$1208,0)),""),'CAT_ESTADOS_ERP'!$A$4:$A$7,0)),"Pendiente"))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IF($J22="","",$P22&amp;"-"&amp;TEXT($Q22,"00"))</f>
        <v/>
      </c>
      <c r="S22" s="5">
        <f>IF($J22="","",INDEX(lista_dias,WEEKDAY($J22,2)))</f>
        <v/>
      </c>
      <c r="T22" s="5">
        <f>IF($J22="","",IFERROR(INDEX('CALENDARIO'!$C$15:$C$214,MATCH(TEXT($J22,"yyyy-mm-dd")&amp;"|"&amp;$X22&amp;"|"&amp;$Y22,'CALENDARIO'!$G$15:$G$214,0)),IFERROR(INDEX('CALENDARIO'!$C$15:$C$214,MATCH(TEXT($J22,"yyyy-mm-dd")&amp;"|"&amp;$X22&amp;"|",'CALENDARIO'!$G$15:$G$214,0)),IFERROR(INDEX('CALENDARIO'!$C$15:$C$214,MATCH(TEXT($J22,"yyyy-mm-dd")&amp;"||",'CALENDARIO'!$G$15:$G$214,0)),INDEX(patronHabil,WEEKDAY($J22,2))))))</f>
        <v/>
      </c>
      <c r="U22" s="5">
        <f>IF($I22="","",IFERROR(INDEX('CAT_TIPOS_OT'!$C$4:$C$8,MATCH($I22,'CAT_TIPOS_OT'!$A$4:$A$8,0)),"sin_clasificar"))</f>
        <v/>
      </c>
      <c r="V22" s="5">
        <f>IF($I22="","",IF(IFERROR(INDEX('CAT_TIPOS_OT'!$D$4:$D$8,MATCH($I22,'CAT_TIPOS_OT'!$A$4:$A$8,0)),"SIN CLASIFICAR")="","SIN CLASIFICAR",IFERROR(INDEX('CAT_TIPOS_OT'!$D$4:$D$8,MATCH($I22,'CAT_TIPOS_OT'!$A$4:$A$8,0)),"SIN CLASIFICAR")))</f>
        <v/>
      </c>
      <c r="W22" s="5">
        <f>IF($F22="","",IFERROR(INDEX('CAT_CENTROS_COSTO'!$F$4:$F$13,MATCH($F22,'CAT_CENTROS_COSTO'!$A$4:$A$13,0)),"(sin catálogo)"))</f>
        <v/>
      </c>
      <c r="X22" s="5">
        <f>IF($F22="","",IFERROR(INDEX('CAT_CENTROS_COSTO'!$D$4:$D$13,MATCH($F22,'CAT_CENTROS_COSTO'!$A$4:$A$13,0)),"(sin catálogo)"))</f>
        <v/>
      </c>
      <c r="Y22" s="5">
        <f>IF($F22="","",IF((IFERROR(INDEX('CAT_CENTROS_COSTO'!$E$4:$E$13,MATCH($F22,'CAT_CENTROS_COSTO'!$A$4:$A$13,0)),""))&lt;&gt;"",IFERROR(INDEX('CAT_CENTROS_COSTO'!$E$4:$E$13,MATCH($F22,'CAT_CENTROS_COSTO'!$A$4:$A$13,0)),""),$X22))</f>
        <v/>
      </c>
      <c r="Z22" s="5">
        <f>IF($F22="","",IFERROR(INDEX('CAT_CENTROS_COSTO'!$G$4:$G$13,MATCH($F22,'CAT_CENTROS_COSTO'!$A$4:$A$13,0)),"(sin catálogo)"))</f>
        <v/>
      </c>
      <c r="AA22" s="5">
        <f>IF($G22="","",IFERROR(INDEX('CAT_PUESTOS'!$B$4:$B$8,MATCH($G22,'CAT_PUESTOS'!$A$4:$A$8,0)),"(sin catálogo)"))</f>
        <v/>
      </c>
      <c r="AB22" s="5">
        <f>IF($H22="","",IFERROR(INDEX('CAT_ACTIVIDADES'!$B$4:$B$11,MATCH($H22,'CAT_ACTIVIDADES'!$A$4:$A$11,0)),"(sin catálogo)"))</f>
        <v/>
      </c>
      <c r="AC22" s="20">
        <f>IF($J22="","",TODAY()-$J22)</f>
        <v/>
      </c>
      <c r="AD22" s="20">
        <f>IF($J22="","",IF($J22&lt;=TODAY(),COUNTIFS(cal_fechas,"&gt;="&amp;$J22,cal_fechas,"&lt;"&amp;TODAY(),cal_habil,"sí"),-COUNTIFS(cal_fechas,"&gt;="&amp;TODAY(),cal_fechas,"&lt;"&amp;$J22,cal_habil,"sí")))</f>
        <v/>
      </c>
      <c r="AE22" s="5">
        <f>IF($AD22="","",IF($AD22&lt;0,"FUTURO",IF($AD22&gt;p_dias_backlog_max,"BACKLOG","MES CORRIENTE")))</f>
        <v/>
      </c>
      <c r="AF22" s="5">
        <f>IF($AD22="",FALSE,AND($AD22&gt;p_dias_backlog_min,$AD22&lt;=p_dias_backlog_max))</f>
        <v/>
      </c>
      <c r="AG22" s="4" t="inlineStr"/>
      <c r="AH22" s="5">
        <f>IF($AG22="","",IF((IFERROR(INDEX('ASIGNACIONES'!$J$4:$J$451,MATCH($O22&amp;"|"&amp;$S22&amp;"|"&amp;$AG22,'ASIGNACIONES'!$N$4:$N$451,0)),""))=0,"",IFERROR(INDEX('ASIGNACIONES'!$J$4:$J$451,MATCH($O22&amp;"|"&amp;$S22&amp;"|"&amp;$AG22,'ASIGNACIONES'!$N$4:$N$451,0)),"")))</f>
        <v/>
      </c>
      <c r="AI22" s="25">
        <f>IF($AG22="","",SUMIFS('ORDENES'!$M$4:$M$1203,'ORDENES'!$AG$4:$AG$1203,$AG22,'ORDENES'!$O$4:$O$1203,$O22,'ORDENES'!$S$4:$S$1203,$S22))</f>
        <v/>
      </c>
      <c r="AJ22" s="25">
        <f>IF($AI22="","",p_factor_productividad*IFERROR(INDEX('ASIGNACIONES'!$M$4:$M$451,MATCH($O22&amp;"|"&amp;$S22&amp;"|"&amp;$AG22,'ASIGNACIONES'!$N$4:$N$451,0)),0)-$AI22)</f>
        <v/>
      </c>
      <c r="AK22" s="18">
        <f>IF($A22="","",IFERROR(INDEX('2_IMPORTAR_EJECUCION'!$F$9:$F$1208,MATCH($AT22,'2_IMPORTAR_EJECUCION'!$J$9:$J$1208,0)),0))</f>
        <v/>
      </c>
      <c r="AL22" s="18">
        <f>IF($A22="","",MAX(0,IFERROR(INDEX('2_IMPORTAR_EJECUCION'!$H$9:$H$1208,MATCH($AT22,'2_IMPORTAR_EJECUCION'!$J$9:$J$1208,0)),0)-$AK22))</f>
        <v/>
      </c>
      <c r="AM22" s="18">
        <f>IF($A22="","",$AK22+$AL22)</f>
        <v/>
      </c>
      <c r="AN22" s="5">
        <f>IF($A22="","",IF(OR((IFERROR(INDEX('CAT_ACTIVIDADES'!$D$4:$D$11,MATCH($H22,'CAT_ACTIVIDADES'!$A$4:$A$11,0)),""))=0,(IFERROR(INDEX('CAT_ACTIVIDADES'!$D$4:$D$11,MATCH($H22,'CAT_ACTIVIDADES'!$A$4:$A$11,0)),""))=""),"SIN CLASIFICAR",IFERROR(INDEX('CAT_ACTIVIDADES'!$D$4:$D$11,MATCH($H22,'CAT_ACTIVIDADES'!$A$4:$A$11,0)),"")))</f>
        <v/>
      </c>
      <c r="AO22" s="4" t="inlineStr"/>
      <c r="AP22" s="4" t="inlineStr"/>
      <c r="AQ22" s="4" t="inlineStr">
        <is>
          <t>ACT-02.pdf</t>
        </is>
      </c>
      <c r="AR22" s="5">
        <f>IF($AQ22="","",HYPERLINK(p_ruta_base_checklists&amp;$AQ22,"abrir"))</f>
        <v/>
      </c>
      <c r="AS22" s="4" t="inlineStr"/>
      <c r="AT22" s="5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22" t="n">
        <v>46234</v>
      </c>
      <c r="K23" s="5" t="n">
        <v>8</v>
      </c>
      <c r="L23" s="18" t="n">
        <v>200</v>
      </c>
      <c r="M23" s="5">
        <f>IF($A23="","",IFERROR(INDEX('AJUSTES'!$B$4:$B$303,MATCH($AT23,'AJUSTES'!$A$4:$A$303,0)),IF($K23="","",$K23)))</f>
        <v/>
      </c>
      <c r="N23" s="5">
        <f>IF($A23="","",IFERROR(INDEX('CAT_ESTADOS_ERP'!$B$4:$B$7,MATCH(IFERROR(INDEX('2_IMPORTAR_EJECUCION'!$C$9:$C$1208,MATCH($AT23,'2_IMPORTAR_EJECUCION'!$J$9:$J$1208,0)),""),'CAT_ESTADOS_ERP'!$A$4:$A$7,0)),"Pendiente"))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IF($J23="","",$P23&amp;"-"&amp;TEXT($Q23,"00"))</f>
        <v/>
      </c>
      <c r="S23" s="5">
        <f>IF($J23="","",INDEX(lista_dias,WEEKDAY($J23,2)))</f>
        <v/>
      </c>
      <c r="T23" s="5">
        <f>IF($J23="","",IFERROR(INDEX('CALENDARIO'!$C$15:$C$214,MATCH(TEXT($J23,"yyyy-mm-dd")&amp;"|"&amp;$X23&amp;"|"&amp;$Y23,'CALENDARIO'!$G$15:$G$214,0)),IFERROR(INDEX('CALENDARIO'!$C$15:$C$214,MATCH(TEXT($J23,"yyyy-mm-dd")&amp;"|"&amp;$X23&amp;"|",'CALENDARIO'!$G$15:$G$214,0)),IFERROR(INDEX('CALENDARIO'!$C$15:$C$214,MATCH(TEXT($J23,"yyyy-mm-dd")&amp;"||",'CALENDARIO'!$G$15:$G$214,0)),INDEX(patronHabil,WEEKDAY($J23,2))))))</f>
        <v/>
      </c>
      <c r="U23" s="5">
        <f>IF($I23="","",IFERROR(INDEX('CAT_TIPOS_OT'!$C$4:$C$8,MATCH($I23,'CAT_TIPOS_OT'!$A$4:$A$8,0)),"sin_clasificar"))</f>
        <v/>
      </c>
      <c r="V23" s="5">
        <f>IF($I23="","",IF(IFERROR(INDEX('CAT_TIPOS_OT'!$D$4:$D$8,MATCH($I23,'CAT_TIPOS_OT'!$A$4:$A$8,0)),"SIN CLASIFICAR")="","SIN CLASIFICAR",IFERROR(INDEX('CAT_TIPOS_OT'!$D$4:$D$8,MATCH($I23,'CAT_TIPOS_OT'!$A$4:$A$8,0)),"SIN CLASIFICAR")))</f>
        <v/>
      </c>
      <c r="W23" s="5">
        <f>IF($F23="","",IFERROR(INDEX('CAT_CENTROS_COSTO'!$F$4:$F$13,MATCH($F23,'CAT_CENTROS_COSTO'!$A$4:$A$13,0)),"(sin catálogo)"))</f>
        <v/>
      </c>
      <c r="X23" s="5">
        <f>IF($F23="","",IFERROR(INDEX('CAT_CENTROS_COSTO'!$D$4:$D$13,MATCH($F23,'CAT_CENTROS_COSTO'!$A$4:$A$13,0)),"(sin catálogo)"))</f>
        <v/>
      </c>
      <c r="Y23" s="5">
        <f>IF($F23="","",IF((IFERROR(INDEX('CAT_CENTROS_COSTO'!$E$4:$E$13,MATCH($F23,'CAT_CENTROS_COSTO'!$A$4:$A$13,0)),""))&lt;&gt;"",IFERROR(INDEX('CAT_CENTROS_COSTO'!$E$4:$E$13,MATCH($F23,'CAT_CENTROS_COSTO'!$A$4:$A$13,0)),""),$X23))</f>
        <v/>
      </c>
      <c r="Z23" s="5">
        <f>IF($F23="","",IFERROR(INDEX('CAT_CENTROS_COSTO'!$G$4:$G$13,MATCH($F23,'CAT_CENTROS_COSTO'!$A$4:$A$13,0)),"(sin catálogo)"))</f>
        <v/>
      </c>
      <c r="AA23" s="5">
        <f>IF($G23="","",IFERROR(INDEX('CAT_PUESTOS'!$B$4:$B$8,MATCH($G23,'CAT_PUESTOS'!$A$4:$A$8,0)),"(sin catálogo)"))</f>
        <v/>
      </c>
      <c r="AB23" s="5">
        <f>IF($H23="","",IFERROR(INDEX('CAT_ACTIVIDADES'!$B$4:$B$11,MATCH($H23,'CAT_ACTIVIDADES'!$A$4:$A$11,0)),"(sin catálogo)"))</f>
        <v/>
      </c>
      <c r="AC23" s="20">
        <f>IF($J23="","",TODAY()-$J23)</f>
        <v/>
      </c>
      <c r="AD23" s="20">
        <f>IF($J23="","",IF($J23&lt;=TODAY(),COUNTIFS(cal_fechas,"&gt;="&amp;$J23,cal_fechas,"&lt;"&amp;TODAY(),cal_habil,"sí"),-COUNTIFS(cal_fechas,"&gt;="&amp;TODAY(),cal_fechas,"&lt;"&amp;$J23,cal_habil,"sí")))</f>
        <v/>
      </c>
      <c r="AE23" s="5">
        <f>IF($AD23="","",IF($AD23&lt;0,"FUTURO",IF($AD23&gt;p_dias_backlog_max,"BACKLOG","MES CORRIENTE")))</f>
        <v/>
      </c>
      <c r="AF23" s="5">
        <f>IF($AD23="",FALSE,AND($AD23&gt;p_dias_backlog_min,$AD23&lt;=p_dias_backlog_max))</f>
        <v/>
      </c>
      <c r="AG23" s="4" t="inlineStr">
        <is>
          <t>David Torres</t>
        </is>
      </c>
      <c r="AH23" s="5">
        <f>IF($AG23="","",IF((IFERROR(INDEX('ASIGNACIONES'!$J$4:$J$451,MATCH($O23&amp;"|"&amp;$S23&amp;"|"&amp;$AG23,'ASIGNACIONES'!$N$4:$N$451,0)),""))=0,"",IFERROR(INDEX('ASIGNACIONES'!$J$4:$J$451,MATCH($O23&amp;"|"&amp;$S23&amp;"|"&amp;$AG23,'ASIGNACIONES'!$N$4:$N$451,0)),"")))</f>
        <v/>
      </c>
      <c r="AI23" s="25">
        <f>IF($AG23="","",SUMIFS('ORDENES'!$M$4:$M$1203,'ORDENES'!$AG$4:$AG$1203,$AG23,'ORDENES'!$O$4:$O$1203,$O23,'ORDENES'!$S$4:$S$1203,$S23))</f>
        <v/>
      </c>
      <c r="AJ23" s="25">
        <f>IF($AI23="","",p_factor_productividad*IFERROR(INDEX('ASIGNACIONES'!$M$4:$M$451,MATCH($O23&amp;"|"&amp;$S23&amp;"|"&amp;$AG23,'ASIGNACIONES'!$N$4:$N$451,0)),0)-$AI23)</f>
        <v/>
      </c>
      <c r="AK23" s="18">
        <f>IF($A23="","",IFERROR(INDEX('2_IMPORTAR_EJECUCION'!$F$9:$F$1208,MATCH($AT23,'2_IMPORTAR_EJECUCION'!$J$9:$J$1208,0)),0))</f>
        <v/>
      </c>
      <c r="AL23" s="18">
        <f>IF($A23="","",MAX(0,IFERROR(INDEX('2_IMPORTAR_EJECUCION'!$H$9:$H$1208,MATCH($AT23,'2_IMPORTAR_EJECUCION'!$J$9:$J$1208,0)),0)-$AK23))</f>
        <v/>
      </c>
      <c r="AM23" s="18">
        <f>IF($A23="","",$AK23+$AL23)</f>
        <v/>
      </c>
      <c r="AN23" s="5">
        <f>IF($A23="","",IF(OR((IFERROR(INDEX('CAT_ACTIVIDADES'!$D$4:$D$11,MATCH($H23,'CAT_ACTIVIDADES'!$A$4:$A$11,0)),""))=0,(IFERROR(INDEX('CAT_ACTIVIDADES'!$D$4:$D$11,MATCH($H23,'CAT_ACTIVIDADES'!$A$4:$A$11,0)),""))=""),"SIN CLASIFICAR",IFERROR(INDEX('CAT_ACTIVIDADES'!$D$4:$D$11,MATCH($H23,'CAT_ACTIVIDADES'!$A$4:$A$11,0)),"")))</f>
        <v/>
      </c>
      <c r="AO23" s="4" t="inlineStr"/>
      <c r="AP23" s="4" t="inlineStr"/>
      <c r="AQ23" s="4" t="inlineStr">
        <is>
          <t>ACT-04.pdf</t>
        </is>
      </c>
      <c r="AR23" s="5">
        <f>IF($AQ23="","",HYPERLINK(p_ruta_base_checklists&amp;$AQ23,"abrir"))</f>
        <v/>
      </c>
      <c r="AS23" s="4" t="inlineStr"/>
      <c r="AT23" s="5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22" t="n">
        <v>46230</v>
      </c>
      <c r="K24" s="5" t="n">
        <v>6</v>
      </c>
      <c r="L24" s="18" t="n">
        <v>150</v>
      </c>
      <c r="M24" s="5">
        <f>IF($A24="","",IFERROR(INDEX('AJUSTES'!$B$4:$B$303,MATCH($AT24,'AJUSTES'!$A$4:$A$303,0)),IF($K24="","",$K24)))</f>
        <v/>
      </c>
      <c r="N24" s="5">
        <f>IF($A24="","",IFERROR(INDEX('CAT_ESTADOS_ERP'!$B$4:$B$7,MATCH(IFERROR(INDEX('2_IMPORTAR_EJECUCION'!$C$9:$C$1208,MATCH($AT24,'2_IMPORTAR_EJECUCION'!$J$9:$J$1208,0)),""),'CAT_ESTADOS_ERP'!$A$4:$A$7,0)),"Pendiente"))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IF($J24="","",$P24&amp;"-"&amp;TEXT($Q24,"00"))</f>
        <v/>
      </c>
      <c r="S24" s="5">
        <f>IF($J24="","",INDEX(lista_dias,WEEKDAY($J24,2)))</f>
        <v/>
      </c>
      <c r="T24" s="5">
        <f>IF($J24="","",IFERROR(INDEX('CALENDARIO'!$C$15:$C$214,MATCH(TEXT($J24,"yyyy-mm-dd")&amp;"|"&amp;$X24&amp;"|"&amp;$Y24,'CALENDARIO'!$G$15:$G$214,0)),IFERROR(INDEX('CALENDARIO'!$C$15:$C$214,MATCH(TEXT($J24,"yyyy-mm-dd")&amp;"|"&amp;$X24&amp;"|",'CALENDARIO'!$G$15:$G$214,0)),IFERROR(INDEX('CALENDARIO'!$C$15:$C$214,MATCH(TEXT($J24,"yyyy-mm-dd")&amp;"||",'CALENDARIO'!$G$15:$G$214,0)),INDEX(patronHabil,WEEKDAY($J24,2))))))</f>
        <v/>
      </c>
      <c r="U24" s="5">
        <f>IF($I24="","",IFERROR(INDEX('CAT_TIPOS_OT'!$C$4:$C$8,MATCH($I24,'CAT_TIPOS_OT'!$A$4:$A$8,0)),"sin_clasificar"))</f>
        <v/>
      </c>
      <c r="V24" s="5">
        <f>IF($I24="","",IF(IFERROR(INDEX('CAT_TIPOS_OT'!$D$4:$D$8,MATCH($I24,'CAT_TIPOS_OT'!$A$4:$A$8,0)),"SIN CLASIFICAR")="","SIN CLASIFICAR",IFERROR(INDEX('CAT_TIPOS_OT'!$D$4:$D$8,MATCH($I24,'CAT_TIPOS_OT'!$A$4:$A$8,0)),"SIN CLASIFICAR")))</f>
        <v/>
      </c>
      <c r="W24" s="5">
        <f>IF($F24="","",IFERROR(INDEX('CAT_CENTROS_COSTO'!$F$4:$F$13,MATCH($F24,'CAT_CENTROS_COSTO'!$A$4:$A$13,0)),"(sin catálogo)"))</f>
        <v/>
      </c>
      <c r="X24" s="5">
        <f>IF($F24="","",IFERROR(INDEX('CAT_CENTROS_COSTO'!$D$4:$D$13,MATCH($F24,'CAT_CENTROS_COSTO'!$A$4:$A$13,0)),"(sin catálogo)"))</f>
        <v/>
      </c>
      <c r="Y24" s="5">
        <f>IF($F24="","",IF((IFERROR(INDEX('CAT_CENTROS_COSTO'!$E$4:$E$13,MATCH($F24,'CAT_CENTROS_COSTO'!$A$4:$A$13,0)),""))&lt;&gt;"",IFERROR(INDEX('CAT_CENTROS_COSTO'!$E$4:$E$13,MATCH($F24,'CAT_CENTROS_COSTO'!$A$4:$A$13,0)),""),$X24))</f>
        <v/>
      </c>
      <c r="Z24" s="5">
        <f>IF($F24="","",IFERROR(INDEX('CAT_CENTROS_COSTO'!$G$4:$G$13,MATCH($F24,'CAT_CENTROS_COSTO'!$A$4:$A$13,0)),"(sin catálogo)"))</f>
        <v/>
      </c>
      <c r="AA24" s="5">
        <f>IF($G24="","",IFERROR(INDEX('CAT_PUESTOS'!$B$4:$B$8,MATCH($G24,'CAT_PUESTOS'!$A$4:$A$8,0)),"(sin catálogo)"))</f>
        <v/>
      </c>
      <c r="AB24" s="5">
        <f>IF($H24="","",IFERROR(INDEX('CAT_ACTIVIDADES'!$B$4:$B$11,MATCH($H24,'CAT_ACTIVIDADES'!$A$4:$A$11,0)),"(sin catálogo)"))</f>
        <v/>
      </c>
      <c r="AC24" s="20">
        <f>IF($J24="","",TODAY()-$J24)</f>
        <v/>
      </c>
      <c r="AD24" s="20">
        <f>IF($J24="","",IF($J24&lt;=TODAY(),COUNTIFS(cal_fechas,"&gt;="&amp;$J24,cal_fechas,"&lt;"&amp;TODAY(),cal_habil,"sí"),-COUNTIFS(cal_fechas,"&gt;="&amp;TODAY(),cal_fechas,"&lt;"&amp;$J24,cal_habil,"sí")))</f>
        <v/>
      </c>
      <c r="AE24" s="5">
        <f>IF($AD24="","",IF($AD24&lt;0,"FUTURO",IF($AD24&gt;p_dias_backlog_max,"BACKLOG","MES CORRIENTE")))</f>
        <v/>
      </c>
      <c r="AF24" s="5">
        <f>IF($AD24="",FALSE,AND($AD24&gt;p_dias_backlog_min,$AD24&lt;=p_dias_backlog_max))</f>
        <v/>
      </c>
      <c r="AG24" s="4" t="inlineStr">
        <is>
          <t>Francisco Ramírez</t>
        </is>
      </c>
      <c r="AH24" s="5">
        <f>IF($AG24="","",IF((IFERROR(INDEX('ASIGNACIONES'!$J$4:$J$451,MATCH($O24&amp;"|"&amp;$S24&amp;"|"&amp;$AG24,'ASIGNACIONES'!$N$4:$N$451,0)),""))=0,"",IFERROR(INDEX('ASIGNACIONES'!$J$4:$J$451,MATCH($O24&amp;"|"&amp;$S24&amp;"|"&amp;$AG24,'ASIGNACIONES'!$N$4:$N$451,0)),"")))</f>
        <v/>
      </c>
      <c r="AI24" s="25">
        <f>IF($AG24="","",SUMIFS('ORDENES'!$M$4:$M$1203,'ORDENES'!$AG$4:$AG$1203,$AG24,'ORDENES'!$O$4:$O$1203,$O24,'ORDENES'!$S$4:$S$1203,$S24))</f>
        <v/>
      </c>
      <c r="AJ24" s="25">
        <f>IF($AI24="","",p_factor_productividad*IFERROR(INDEX('ASIGNACIONES'!$M$4:$M$451,MATCH($O24&amp;"|"&amp;$S24&amp;"|"&amp;$AG24,'ASIGNACIONES'!$N$4:$N$451,0)),0)-$AI24)</f>
        <v/>
      </c>
      <c r="AK24" s="18">
        <f>IF($A24="","",IFERROR(INDEX('2_IMPORTAR_EJECUCION'!$F$9:$F$1208,MATCH($AT24,'2_IMPORTAR_EJECUCION'!$J$9:$J$1208,0)),0))</f>
        <v/>
      </c>
      <c r="AL24" s="18">
        <f>IF($A24="","",MAX(0,IFERROR(INDEX('2_IMPORTAR_EJECUCION'!$H$9:$H$1208,MATCH($AT24,'2_IMPORTAR_EJECUCION'!$J$9:$J$1208,0)),0)-$AK24))</f>
        <v/>
      </c>
      <c r="AM24" s="18">
        <f>IF($A24="","",$AK24+$AL24)</f>
        <v/>
      </c>
      <c r="AN24" s="5">
        <f>IF($A24="","",IF(OR((IFERROR(INDEX('CAT_ACTIVIDADES'!$D$4:$D$11,MATCH($H24,'CAT_ACTIVIDADES'!$A$4:$A$11,0)),""))=0,(IFERROR(INDEX('CAT_ACTIVIDADES'!$D$4:$D$11,MATCH($H24,'CAT_ACTIVIDADES'!$A$4:$A$11,0)),""))=""),"SIN CLASIFICAR",IFERROR(INDEX('CAT_ACTIVIDADES'!$D$4:$D$11,MATCH($H24,'CAT_ACTIVIDADES'!$A$4:$A$11,0)),"")))</f>
        <v/>
      </c>
      <c r="AO24" s="4" t="inlineStr"/>
      <c r="AP24" s="4" t="inlineStr"/>
      <c r="AQ24" s="4" t="inlineStr">
        <is>
          <t>ACT-01.pdf</t>
        </is>
      </c>
      <c r="AR24" s="5">
        <f>IF($AQ24="","",HYPERLINK(p_ruta_base_checklists&amp;$AQ24,"abrir"))</f>
        <v/>
      </c>
      <c r="AS24" s="4" t="inlineStr"/>
      <c r="AT24" s="5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22" t="n">
        <v>46231</v>
      </c>
      <c r="K25" s="5" t="n">
        <v>8</v>
      </c>
      <c r="L25" s="18" t="n">
        <v>200</v>
      </c>
      <c r="M25" s="5">
        <f>IF($A25="","",IFERROR(INDEX('AJUSTES'!$B$4:$B$303,MATCH($AT25,'AJUSTES'!$A$4:$A$303,0)),IF($K25="","",$K25)))</f>
        <v/>
      </c>
      <c r="N25" s="5">
        <f>IF($A25="","",IFERROR(INDEX('CAT_ESTADOS_ERP'!$B$4:$B$7,MATCH(IFERROR(INDEX('2_IMPORTAR_EJECUCION'!$C$9:$C$1208,MATCH($AT25,'2_IMPORTAR_EJECUCION'!$J$9:$J$1208,0)),""),'CAT_ESTADOS_ERP'!$A$4:$A$7,0)),"Pendiente"))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IF($J25="","",$P25&amp;"-"&amp;TEXT($Q25,"00"))</f>
        <v/>
      </c>
      <c r="S25" s="5">
        <f>IF($J25="","",INDEX(lista_dias,WEEKDAY($J25,2)))</f>
        <v/>
      </c>
      <c r="T25" s="5">
        <f>IF($J25="","",IFERROR(INDEX('CALENDARIO'!$C$15:$C$214,MATCH(TEXT($J25,"yyyy-mm-dd")&amp;"|"&amp;$X25&amp;"|"&amp;$Y25,'CALENDARIO'!$G$15:$G$214,0)),IFERROR(INDEX('CALENDARIO'!$C$15:$C$214,MATCH(TEXT($J25,"yyyy-mm-dd")&amp;"|"&amp;$X25&amp;"|",'CALENDARIO'!$G$15:$G$214,0)),IFERROR(INDEX('CALENDARIO'!$C$15:$C$214,MATCH(TEXT($J25,"yyyy-mm-dd")&amp;"||",'CALENDARIO'!$G$15:$G$214,0)),INDEX(patronHabil,WEEKDAY($J25,2))))))</f>
        <v/>
      </c>
      <c r="U25" s="5">
        <f>IF($I25="","",IFERROR(INDEX('CAT_TIPOS_OT'!$C$4:$C$8,MATCH($I25,'CAT_TIPOS_OT'!$A$4:$A$8,0)),"sin_clasificar"))</f>
        <v/>
      </c>
      <c r="V25" s="5">
        <f>IF($I25="","",IF(IFERROR(INDEX('CAT_TIPOS_OT'!$D$4:$D$8,MATCH($I25,'CAT_TIPOS_OT'!$A$4:$A$8,0)),"SIN CLASIFICAR")="","SIN CLASIFICAR",IFERROR(INDEX('CAT_TIPOS_OT'!$D$4:$D$8,MATCH($I25,'CAT_TIPOS_OT'!$A$4:$A$8,0)),"SIN CLASIFICAR")))</f>
        <v/>
      </c>
      <c r="W25" s="5">
        <f>IF($F25="","",IFERROR(INDEX('CAT_CENTROS_COSTO'!$F$4:$F$13,MATCH($F25,'CAT_CENTROS_COSTO'!$A$4:$A$13,0)),"(sin catálogo)"))</f>
        <v/>
      </c>
      <c r="X25" s="5">
        <f>IF($F25="","",IFERROR(INDEX('CAT_CENTROS_COSTO'!$D$4:$D$13,MATCH($F25,'CAT_CENTROS_COSTO'!$A$4:$A$13,0)),"(sin catálogo)"))</f>
        <v/>
      </c>
      <c r="Y25" s="5">
        <f>IF($F25="","",IF((IFERROR(INDEX('CAT_CENTROS_COSTO'!$E$4:$E$13,MATCH($F25,'CAT_CENTROS_COSTO'!$A$4:$A$13,0)),""))&lt;&gt;"",IFERROR(INDEX('CAT_CENTROS_COSTO'!$E$4:$E$13,MATCH($F25,'CAT_CENTROS_COSTO'!$A$4:$A$13,0)),""),$X25))</f>
        <v/>
      </c>
      <c r="Z25" s="5">
        <f>IF($F25="","",IFERROR(INDEX('CAT_CENTROS_COSTO'!$G$4:$G$13,MATCH($F25,'CAT_CENTROS_COSTO'!$A$4:$A$13,0)),"(sin catálogo)"))</f>
        <v/>
      </c>
      <c r="AA25" s="5">
        <f>IF($G25="","",IFERROR(INDEX('CAT_PUESTOS'!$B$4:$B$8,MATCH($G25,'CAT_PUESTOS'!$A$4:$A$8,0)),"(sin catálogo)"))</f>
        <v/>
      </c>
      <c r="AB25" s="5">
        <f>IF($H25="","",IFERROR(INDEX('CAT_ACTIVIDADES'!$B$4:$B$11,MATCH($H25,'CAT_ACTIVIDADES'!$A$4:$A$11,0)),"(sin catálogo)"))</f>
        <v/>
      </c>
      <c r="AC25" s="20">
        <f>IF($J25="","",TODAY()-$J25)</f>
        <v/>
      </c>
      <c r="AD25" s="20">
        <f>IF($J25="","",IF($J25&lt;=TODAY(),COUNTIFS(cal_fechas,"&gt;="&amp;$J25,cal_fechas,"&lt;"&amp;TODAY(),cal_habil,"sí"),-COUNTIFS(cal_fechas,"&gt;="&amp;TODAY(),cal_fechas,"&lt;"&amp;$J25,cal_habil,"sí")))</f>
        <v/>
      </c>
      <c r="AE25" s="5">
        <f>IF($AD25="","",IF($AD25&lt;0,"FUTURO",IF($AD25&gt;p_dias_backlog_max,"BACKLOG","MES CORRIENTE")))</f>
        <v/>
      </c>
      <c r="AF25" s="5">
        <f>IF($AD25="",FALSE,AND($AD25&gt;p_dias_backlog_min,$AD25&lt;=p_dias_backlog_max))</f>
        <v/>
      </c>
      <c r="AG25" s="4" t="inlineStr">
        <is>
          <t>Carlos Pérez</t>
        </is>
      </c>
      <c r="AH25" s="5">
        <f>IF($AG25="","",IF((IFERROR(INDEX('ASIGNACIONES'!$J$4:$J$451,MATCH($O25&amp;"|"&amp;$S25&amp;"|"&amp;$AG25,'ASIGNACIONES'!$N$4:$N$451,0)),""))=0,"",IFERROR(INDEX('ASIGNACIONES'!$J$4:$J$451,MATCH($O25&amp;"|"&amp;$S25&amp;"|"&amp;$AG25,'ASIGNACIONES'!$N$4:$N$451,0)),"")))</f>
        <v/>
      </c>
      <c r="AI25" s="25">
        <f>IF($AG25="","",SUMIFS('ORDENES'!$M$4:$M$1203,'ORDENES'!$AG$4:$AG$1203,$AG25,'ORDENES'!$O$4:$O$1203,$O25,'ORDENES'!$S$4:$S$1203,$S25))</f>
        <v/>
      </c>
      <c r="AJ25" s="25">
        <f>IF($AI25="","",p_factor_productividad*IFERROR(INDEX('ASIGNACIONES'!$M$4:$M$451,MATCH($O25&amp;"|"&amp;$S25&amp;"|"&amp;$AG25,'ASIGNACIONES'!$N$4:$N$451,0)),0)-$AI25)</f>
        <v/>
      </c>
      <c r="AK25" s="18">
        <f>IF($A25="","",IFERROR(INDEX('2_IMPORTAR_EJECUCION'!$F$9:$F$1208,MATCH($AT25,'2_IMPORTAR_EJECUCION'!$J$9:$J$1208,0)),0))</f>
        <v/>
      </c>
      <c r="AL25" s="18">
        <f>IF($A25="","",MAX(0,IFERROR(INDEX('2_IMPORTAR_EJECUCION'!$H$9:$H$1208,MATCH($AT25,'2_IMPORTAR_EJECUCION'!$J$9:$J$1208,0)),0)-$AK25))</f>
        <v/>
      </c>
      <c r="AM25" s="18">
        <f>IF($A25="","",$AK25+$AL25)</f>
        <v/>
      </c>
      <c r="AN25" s="5">
        <f>IF($A25="","",IF(OR((IFERROR(INDEX('CAT_ACTIVIDADES'!$D$4:$D$11,MATCH($H25,'CAT_ACTIVIDADES'!$A$4:$A$11,0)),""))=0,(IFERROR(INDEX('CAT_ACTIVIDADES'!$D$4:$D$11,MATCH($H25,'CAT_ACTIVIDADES'!$A$4:$A$11,0)),""))=""),"SIN CLASIFICAR",IFERROR(INDEX('CAT_ACTIVIDADES'!$D$4:$D$11,MATCH($H25,'CAT_ACTIVIDADES'!$A$4:$A$11,0)),"")))</f>
        <v/>
      </c>
      <c r="AO25" s="4" t="inlineStr"/>
      <c r="AP25" s="4" t="inlineStr"/>
      <c r="AQ25" s="4" t="inlineStr">
        <is>
          <t>ACT-02.pdf</t>
        </is>
      </c>
      <c r="AR25" s="5">
        <f>IF($AQ25="","",HYPERLINK(p_ruta_base_checklists&amp;$AQ25,"abrir"))</f>
        <v/>
      </c>
      <c r="AS25" s="4" t="inlineStr"/>
      <c r="AT25" s="5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22" t="n">
        <v>46232</v>
      </c>
      <c r="K26" s="5" t="n">
        <v>10</v>
      </c>
      <c r="L26" s="18" t="n">
        <v>400</v>
      </c>
      <c r="M26" s="5">
        <f>IF($A26="","",IFERROR(INDEX('AJUSTES'!$B$4:$B$303,MATCH($AT26,'AJUSTES'!$A$4:$A$303,0)),IF($K26="","",$K26)))</f>
        <v/>
      </c>
      <c r="N26" s="5">
        <f>IF($A26="","",IFERROR(INDEX('CAT_ESTADOS_ERP'!$B$4:$B$7,MATCH(IFERROR(INDEX('2_IMPORTAR_EJECUCION'!$C$9:$C$1208,MATCH($AT26,'2_IMPORTAR_EJECUCION'!$J$9:$J$1208,0)),""),'CAT_ESTADOS_ERP'!$A$4:$A$7,0)),"Pendiente"))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IF($J26="","",$P26&amp;"-"&amp;TEXT($Q26,"00"))</f>
        <v/>
      </c>
      <c r="S26" s="5">
        <f>IF($J26="","",INDEX(lista_dias,WEEKDAY($J26,2)))</f>
        <v/>
      </c>
      <c r="T26" s="5">
        <f>IF($J26="","",IFERROR(INDEX('CALENDARIO'!$C$15:$C$214,MATCH(TEXT($J26,"yyyy-mm-dd")&amp;"|"&amp;$X26&amp;"|"&amp;$Y26,'CALENDARIO'!$G$15:$G$214,0)),IFERROR(INDEX('CALENDARIO'!$C$15:$C$214,MATCH(TEXT($J26,"yyyy-mm-dd")&amp;"|"&amp;$X26&amp;"|",'CALENDARIO'!$G$15:$G$214,0)),IFERROR(INDEX('CALENDARIO'!$C$15:$C$214,MATCH(TEXT($J26,"yyyy-mm-dd")&amp;"||",'CALENDARIO'!$G$15:$G$214,0)),INDEX(patronHabil,WEEKDAY($J26,2))))))</f>
        <v/>
      </c>
      <c r="U26" s="5">
        <f>IF($I26="","",IFERROR(INDEX('CAT_TIPOS_OT'!$C$4:$C$8,MATCH($I26,'CAT_TIPOS_OT'!$A$4:$A$8,0)),"sin_clasificar"))</f>
        <v/>
      </c>
      <c r="V26" s="5">
        <f>IF($I26="","",IF(IFERROR(INDEX('CAT_TIPOS_OT'!$D$4:$D$8,MATCH($I26,'CAT_TIPOS_OT'!$A$4:$A$8,0)),"SIN CLASIFICAR")="","SIN CLASIFICAR",IFERROR(INDEX('CAT_TIPOS_OT'!$D$4:$D$8,MATCH($I26,'CAT_TIPOS_OT'!$A$4:$A$8,0)),"SIN CLASIFICAR")))</f>
        <v/>
      </c>
      <c r="W26" s="5">
        <f>IF($F26="","",IFERROR(INDEX('CAT_CENTROS_COSTO'!$F$4:$F$13,MATCH($F26,'CAT_CENTROS_COSTO'!$A$4:$A$13,0)),"(sin catálogo)"))</f>
        <v/>
      </c>
      <c r="X26" s="5">
        <f>IF($F26="","",IFERROR(INDEX('CAT_CENTROS_COSTO'!$D$4:$D$13,MATCH($F26,'CAT_CENTROS_COSTO'!$A$4:$A$13,0)),"(sin catálogo)"))</f>
        <v/>
      </c>
      <c r="Y26" s="5">
        <f>IF($F26="","",IF((IFERROR(INDEX('CAT_CENTROS_COSTO'!$E$4:$E$13,MATCH($F26,'CAT_CENTROS_COSTO'!$A$4:$A$13,0)),""))&lt;&gt;"",IFERROR(INDEX('CAT_CENTROS_COSTO'!$E$4:$E$13,MATCH($F26,'CAT_CENTROS_COSTO'!$A$4:$A$13,0)),""),$X26))</f>
        <v/>
      </c>
      <c r="Z26" s="5">
        <f>IF($F26="","",IFERROR(INDEX('CAT_CENTROS_COSTO'!$G$4:$G$13,MATCH($F26,'CAT_CENTROS_COSTO'!$A$4:$A$13,0)),"(sin catálogo)"))</f>
        <v/>
      </c>
      <c r="AA26" s="5">
        <f>IF($G26="","",IFERROR(INDEX('CAT_PUESTOS'!$B$4:$B$8,MATCH($G26,'CAT_PUESTOS'!$A$4:$A$8,0)),"(sin catálogo)"))</f>
        <v/>
      </c>
      <c r="AB26" s="5">
        <f>IF($H26="","",IFERROR(INDEX('CAT_ACTIVIDADES'!$B$4:$B$11,MATCH($H26,'CAT_ACTIVIDADES'!$A$4:$A$11,0)),"(sin catálogo)"))</f>
        <v/>
      </c>
      <c r="AC26" s="20">
        <f>IF($J26="","",TODAY()-$J26)</f>
        <v/>
      </c>
      <c r="AD26" s="20">
        <f>IF($J26="","",IF($J26&lt;=TODAY(),COUNTIFS(cal_fechas,"&gt;="&amp;$J26,cal_fechas,"&lt;"&amp;TODAY(),cal_habil,"sí"),-COUNTIFS(cal_fechas,"&gt;="&amp;TODAY(),cal_fechas,"&lt;"&amp;$J26,cal_habil,"sí")))</f>
        <v/>
      </c>
      <c r="AE26" s="5">
        <f>IF($AD26="","",IF($AD26&lt;0,"FUTURO",IF($AD26&gt;p_dias_backlog_max,"BACKLOG","MES CORRIENTE")))</f>
        <v/>
      </c>
      <c r="AF26" s="5">
        <f>IF($AD26="",FALSE,AND($AD26&gt;p_dias_backlog_min,$AD26&lt;=p_dias_backlog_max))</f>
        <v/>
      </c>
      <c r="AG26" s="4" t="inlineStr">
        <is>
          <t>María Gómez</t>
        </is>
      </c>
      <c r="AH26" s="5">
        <f>IF($AG26="","",IF((IFERROR(INDEX('ASIGNACIONES'!$J$4:$J$451,MATCH($O26&amp;"|"&amp;$S26&amp;"|"&amp;$AG26,'ASIGNACIONES'!$N$4:$N$451,0)),""))=0,"",IFERROR(INDEX('ASIGNACIONES'!$J$4:$J$451,MATCH($O26&amp;"|"&amp;$S26&amp;"|"&amp;$AG26,'ASIGNACIONES'!$N$4:$N$451,0)),"")))</f>
        <v/>
      </c>
      <c r="AI26" s="25">
        <f>IF($AG26="","",SUMIFS('ORDENES'!$M$4:$M$1203,'ORDENES'!$AG$4:$AG$1203,$AG26,'ORDENES'!$O$4:$O$1203,$O26,'ORDENES'!$S$4:$S$1203,$S26))</f>
        <v/>
      </c>
      <c r="AJ26" s="25">
        <f>IF($AI26="","",p_factor_productividad*IFERROR(INDEX('ASIGNACIONES'!$M$4:$M$451,MATCH($O26&amp;"|"&amp;$S26&amp;"|"&amp;$AG26,'ASIGNACIONES'!$N$4:$N$451,0)),0)-$AI26)</f>
        <v/>
      </c>
      <c r="AK26" s="18">
        <f>IF($A26="","",IFERROR(INDEX('2_IMPORTAR_EJECUCION'!$F$9:$F$1208,MATCH($AT26,'2_IMPORTAR_EJECUCION'!$J$9:$J$1208,0)),0))</f>
        <v/>
      </c>
      <c r="AL26" s="18">
        <f>IF($A26="","",MAX(0,IFERROR(INDEX('2_IMPORTAR_EJECUCION'!$H$9:$H$1208,MATCH($AT26,'2_IMPORTAR_EJECUCION'!$J$9:$J$1208,0)),0)-$AK26))</f>
        <v/>
      </c>
      <c r="AM26" s="18">
        <f>IF($A26="","",$AK26+$AL26)</f>
        <v/>
      </c>
      <c r="AN26" s="5">
        <f>IF($A26="","",IF(OR((IFERROR(INDEX('CAT_ACTIVIDADES'!$D$4:$D$11,MATCH($H26,'CAT_ACTIVIDADES'!$A$4:$A$11,0)),""))=0,(IFERROR(INDEX('CAT_ACTIVIDADES'!$D$4:$D$11,MATCH($H26,'CAT_ACTIVIDADES'!$A$4:$A$11,0)),""))=""),"SIN CLASIFICAR",IFERROR(INDEX('CAT_ACTIVIDADES'!$D$4:$D$11,MATCH($H26,'CAT_ACTIVIDADES'!$A$4:$A$11,0)),"")))</f>
        <v/>
      </c>
      <c r="AO26" s="4" t="inlineStr"/>
      <c r="AP26" s="4" t="inlineStr"/>
      <c r="AQ26" s="4" t="inlineStr"/>
      <c r="AR26" s="5">
        <f>IF($AQ26="","",HYPERLINK(p_ruta_base_checklists&amp;$AQ26,"abrir"))</f>
        <v/>
      </c>
      <c r="AS26" s="4" t="inlineStr"/>
      <c r="AT26" s="5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22" t="n">
        <v>46233</v>
      </c>
      <c r="K27" s="5" t="n">
        <v>8</v>
      </c>
      <c r="L27" s="18" t="n">
        <v>320</v>
      </c>
      <c r="M27" s="5">
        <f>IF($A27="","",IFERROR(INDEX('AJUSTES'!$B$4:$B$303,MATCH($AT27,'AJUSTES'!$A$4:$A$303,0)),IF($K27="","",$K27)))</f>
        <v/>
      </c>
      <c r="N27" s="5">
        <f>IF($A27="","",IFERROR(INDEX('CAT_ESTADOS_ERP'!$B$4:$B$7,MATCH(IFERROR(INDEX('2_IMPORTAR_EJECUCION'!$C$9:$C$1208,MATCH($AT27,'2_IMPORTAR_EJECUCION'!$J$9:$J$1208,0)),""),'CAT_ESTADOS_ERP'!$A$4:$A$7,0)),"Pendiente"))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IF($J27="","",$P27&amp;"-"&amp;TEXT($Q27,"00"))</f>
        <v/>
      </c>
      <c r="S27" s="5">
        <f>IF($J27="","",INDEX(lista_dias,WEEKDAY($J27,2)))</f>
        <v/>
      </c>
      <c r="T27" s="5">
        <f>IF($J27="","",IFERROR(INDEX('CALENDARIO'!$C$15:$C$214,MATCH(TEXT($J27,"yyyy-mm-dd")&amp;"|"&amp;$X27&amp;"|"&amp;$Y27,'CALENDARIO'!$G$15:$G$214,0)),IFERROR(INDEX('CALENDARIO'!$C$15:$C$214,MATCH(TEXT($J27,"yyyy-mm-dd")&amp;"|"&amp;$X27&amp;"|",'CALENDARIO'!$G$15:$G$214,0)),IFERROR(INDEX('CALENDARIO'!$C$15:$C$214,MATCH(TEXT($J27,"yyyy-mm-dd")&amp;"||",'CALENDARIO'!$G$15:$G$214,0)),INDEX(patronHabil,WEEKDAY($J27,2))))))</f>
        <v/>
      </c>
      <c r="U27" s="5">
        <f>IF($I27="","",IFERROR(INDEX('CAT_TIPOS_OT'!$C$4:$C$8,MATCH($I27,'CAT_TIPOS_OT'!$A$4:$A$8,0)),"sin_clasificar"))</f>
        <v/>
      </c>
      <c r="V27" s="5">
        <f>IF($I27="","",IF(IFERROR(INDEX('CAT_TIPOS_OT'!$D$4:$D$8,MATCH($I27,'CAT_TIPOS_OT'!$A$4:$A$8,0)),"SIN CLASIFICAR")="","SIN CLASIFICAR",IFERROR(INDEX('CAT_TIPOS_OT'!$D$4:$D$8,MATCH($I27,'CAT_TIPOS_OT'!$A$4:$A$8,0)),"SIN CLASIFICAR")))</f>
        <v/>
      </c>
      <c r="W27" s="5">
        <f>IF($F27="","",IFERROR(INDEX('CAT_CENTROS_COSTO'!$F$4:$F$13,MATCH($F27,'CAT_CENTROS_COSTO'!$A$4:$A$13,0)),"(sin catálogo)"))</f>
        <v/>
      </c>
      <c r="X27" s="5">
        <f>IF($F27="","",IFERROR(INDEX('CAT_CENTROS_COSTO'!$D$4:$D$13,MATCH($F27,'CAT_CENTROS_COSTO'!$A$4:$A$13,0)),"(sin catálogo)"))</f>
        <v/>
      </c>
      <c r="Y27" s="5">
        <f>IF($F27="","",IF((IFERROR(INDEX('CAT_CENTROS_COSTO'!$E$4:$E$13,MATCH($F27,'CAT_CENTROS_COSTO'!$A$4:$A$13,0)),""))&lt;&gt;"",IFERROR(INDEX('CAT_CENTROS_COSTO'!$E$4:$E$13,MATCH($F27,'CAT_CENTROS_COSTO'!$A$4:$A$13,0)),""),$X27))</f>
        <v/>
      </c>
      <c r="Z27" s="5">
        <f>IF($F27="","",IFERROR(INDEX('CAT_CENTROS_COSTO'!$G$4:$G$13,MATCH($F27,'CAT_CENTROS_COSTO'!$A$4:$A$13,0)),"(sin catálogo)"))</f>
        <v/>
      </c>
      <c r="AA27" s="5">
        <f>IF($G27="","",IFERROR(INDEX('CAT_PUESTOS'!$B$4:$B$8,MATCH($G27,'CAT_PUESTOS'!$A$4:$A$8,0)),"(sin catálogo)"))</f>
        <v/>
      </c>
      <c r="AB27" s="5">
        <f>IF($H27="","",IFERROR(INDEX('CAT_ACTIVIDADES'!$B$4:$B$11,MATCH($H27,'CAT_ACTIVIDADES'!$A$4:$A$11,0)),"(sin catálogo)"))</f>
        <v/>
      </c>
      <c r="AC27" s="20">
        <f>IF($J27="","",TODAY()-$J27)</f>
        <v/>
      </c>
      <c r="AD27" s="20">
        <f>IF($J27="","",IF($J27&lt;=TODAY(),COUNTIFS(cal_fechas,"&gt;="&amp;$J27,cal_fechas,"&lt;"&amp;TODAY(),cal_habil,"sí"),-COUNTIFS(cal_fechas,"&gt;="&amp;TODAY(),cal_fechas,"&lt;"&amp;$J27,cal_habil,"sí")))</f>
        <v/>
      </c>
      <c r="AE27" s="5">
        <f>IF($AD27="","",IF($AD27&lt;0,"FUTURO",IF($AD27&gt;p_dias_backlog_max,"BACKLOG","MES CORRIENTE")))</f>
        <v/>
      </c>
      <c r="AF27" s="5">
        <f>IF($AD27="",FALSE,AND($AD27&gt;p_dias_backlog_min,$AD27&lt;=p_dias_backlog_max))</f>
        <v/>
      </c>
      <c r="AG27" s="4" t="inlineStr"/>
      <c r="AH27" s="5">
        <f>IF($AG27="","",IF((IFERROR(INDEX('ASIGNACIONES'!$J$4:$J$451,MATCH($O27&amp;"|"&amp;$S27&amp;"|"&amp;$AG27,'ASIGNACIONES'!$N$4:$N$451,0)),""))=0,"",IFERROR(INDEX('ASIGNACIONES'!$J$4:$J$451,MATCH($O27&amp;"|"&amp;$S27&amp;"|"&amp;$AG27,'ASIGNACIONES'!$N$4:$N$451,0)),"")))</f>
        <v/>
      </c>
      <c r="AI27" s="25">
        <f>IF($AG27="","",SUMIFS('ORDENES'!$M$4:$M$1203,'ORDENES'!$AG$4:$AG$1203,$AG27,'ORDENES'!$O$4:$O$1203,$O27,'ORDENES'!$S$4:$S$1203,$S27))</f>
        <v/>
      </c>
      <c r="AJ27" s="25">
        <f>IF($AI27="","",p_factor_productividad*IFERROR(INDEX('ASIGNACIONES'!$M$4:$M$451,MATCH($O27&amp;"|"&amp;$S27&amp;"|"&amp;$AG27,'ASIGNACIONES'!$N$4:$N$451,0)),0)-$AI27)</f>
        <v/>
      </c>
      <c r="AK27" s="18">
        <f>IF($A27="","",IFERROR(INDEX('2_IMPORTAR_EJECUCION'!$F$9:$F$1208,MATCH($AT27,'2_IMPORTAR_EJECUCION'!$J$9:$J$1208,0)),0))</f>
        <v/>
      </c>
      <c r="AL27" s="18">
        <f>IF($A27="","",MAX(0,IFERROR(INDEX('2_IMPORTAR_EJECUCION'!$H$9:$H$1208,MATCH($AT27,'2_IMPORTAR_EJECUCION'!$J$9:$J$1208,0)),0)-$AK27))</f>
        <v/>
      </c>
      <c r="AM27" s="18">
        <f>IF($A27="","",$AK27+$AL27)</f>
        <v/>
      </c>
      <c r="AN27" s="5">
        <f>IF($A27="","",IF(OR((IFERROR(INDEX('CAT_ACTIVIDADES'!$D$4:$D$11,MATCH($H27,'CAT_ACTIVIDADES'!$A$4:$A$11,0)),""))=0,(IFERROR(INDEX('CAT_ACTIVIDADES'!$D$4:$D$11,MATCH($H27,'CAT_ACTIVIDADES'!$A$4:$A$11,0)),""))=""),"SIN CLASIFICAR",IFERROR(INDEX('CAT_ACTIVIDADES'!$D$4:$D$11,MATCH($H27,'CAT_ACTIVIDADES'!$A$4:$A$11,0)),"")))</f>
        <v/>
      </c>
      <c r="AO27" s="4" t="inlineStr">
        <is>
          <t>PT-CALIENTE</t>
        </is>
      </c>
      <c r="AP27" s="4" t="inlineStr">
        <is>
          <t>LOTO</t>
        </is>
      </c>
      <c r="AQ27" s="4" t="inlineStr"/>
      <c r="AR27" s="5">
        <f>IF($AQ27="","",HYPERLINK(p_ruta_base_checklists&amp;$AQ27,"abrir"))</f>
        <v/>
      </c>
      <c r="AS27" s="4" t="inlineStr"/>
      <c r="AT27" s="5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22" t="n">
        <v>46234</v>
      </c>
      <c r="K28" s="5" t="n">
        <v>7</v>
      </c>
      <c r="L28" s="18" t="n">
        <v>280</v>
      </c>
      <c r="M28" s="5">
        <f>IF($A28="","",IFERROR(INDEX('AJUSTES'!$B$4:$B$303,MATCH($AT28,'AJUSTES'!$A$4:$A$303,0)),IF($K28="","",$K28)))</f>
        <v/>
      </c>
      <c r="N28" s="5">
        <f>IF($A28="","",IFERROR(INDEX('CAT_ESTADOS_ERP'!$B$4:$B$7,MATCH(IFERROR(INDEX('2_IMPORTAR_EJECUCION'!$C$9:$C$1208,MATCH($AT28,'2_IMPORTAR_EJECUCION'!$J$9:$J$1208,0)),""),'CAT_ESTADOS_ERP'!$A$4:$A$7,0)),"Pendiente"))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IF($J28="","",$P28&amp;"-"&amp;TEXT($Q28,"00"))</f>
        <v/>
      </c>
      <c r="S28" s="5">
        <f>IF($J28="","",INDEX(lista_dias,WEEKDAY($J28,2)))</f>
        <v/>
      </c>
      <c r="T28" s="5">
        <f>IF($J28="","",IFERROR(INDEX('CALENDARIO'!$C$15:$C$214,MATCH(TEXT($J28,"yyyy-mm-dd")&amp;"|"&amp;$X28&amp;"|"&amp;$Y28,'CALENDARIO'!$G$15:$G$214,0)),IFERROR(INDEX('CALENDARIO'!$C$15:$C$214,MATCH(TEXT($J28,"yyyy-mm-dd")&amp;"|"&amp;$X28&amp;"|",'CALENDARIO'!$G$15:$G$214,0)),IFERROR(INDEX('CALENDARIO'!$C$15:$C$214,MATCH(TEXT($J28,"yyyy-mm-dd")&amp;"||",'CALENDARIO'!$G$15:$G$214,0)),INDEX(patronHabil,WEEKDAY($J28,2))))))</f>
        <v/>
      </c>
      <c r="U28" s="5">
        <f>IF($I28="","",IFERROR(INDEX('CAT_TIPOS_OT'!$C$4:$C$8,MATCH($I28,'CAT_TIPOS_OT'!$A$4:$A$8,0)),"sin_clasificar"))</f>
        <v/>
      </c>
      <c r="V28" s="5">
        <f>IF($I28="","",IF(IFERROR(INDEX('CAT_TIPOS_OT'!$D$4:$D$8,MATCH($I28,'CAT_TIPOS_OT'!$A$4:$A$8,0)),"SIN CLASIFICAR")="","SIN CLASIFICAR",IFERROR(INDEX('CAT_TIPOS_OT'!$D$4:$D$8,MATCH($I28,'CAT_TIPOS_OT'!$A$4:$A$8,0)),"SIN CLASIFICAR")))</f>
        <v/>
      </c>
      <c r="W28" s="5">
        <f>IF($F28="","",IFERROR(INDEX('CAT_CENTROS_COSTO'!$F$4:$F$13,MATCH($F28,'CAT_CENTROS_COSTO'!$A$4:$A$13,0)),"(sin catálogo)"))</f>
        <v/>
      </c>
      <c r="X28" s="5">
        <f>IF($F28="","",IFERROR(INDEX('CAT_CENTROS_COSTO'!$D$4:$D$13,MATCH($F28,'CAT_CENTROS_COSTO'!$A$4:$A$13,0)),"(sin catálogo)"))</f>
        <v/>
      </c>
      <c r="Y28" s="5">
        <f>IF($F28="","",IF((IFERROR(INDEX('CAT_CENTROS_COSTO'!$E$4:$E$13,MATCH($F28,'CAT_CENTROS_COSTO'!$A$4:$A$13,0)),""))&lt;&gt;"",IFERROR(INDEX('CAT_CENTROS_COSTO'!$E$4:$E$13,MATCH($F28,'CAT_CENTROS_COSTO'!$A$4:$A$13,0)),""),$X28))</f>
        <v/>
      </c>
      <c r="Z28" s="5">
        <f>IF($F28="","",IFERROR(INDEX('CAT_CENTROS_COSTO'!$G$4:$G$13,MATCH($F28,'CAT_CENTROS_COSTO'!$A$4:$A$13,0)),"(sin catálogo)"))</f>
        <v/>
      </c>
      <c r="AA28" s="5">
        <f>IF($G28="","",IFERROR(INDEX('CAT_PUESTOS'!$B$4:$B$8,MATCH($G28,'CAT_PUESTOS'!$A$4:$A$8,0)),"(sin catálogo)"))</f>
        <v/>
      </c>
      <c r="AB28" s="5">
        <f>IF($H28="","",IFERROR(INDEX('CAT_ACTIVIDADES'!$B$4:$B$11,MATCH($H28,'CAT_ACTIVIDADES'!$A$4:$A$11,0)),"(sin catálogo)"))</f>
        <v/>
      </c>
      <c r="AC28" s="20">
        <f>IF($J28="","",TODAY()-$J28)</f>
        <v/>
      </c>
      <c r="AD28" s="20">
        <f>IF($J28="","",IF($J28&lt;=TODAY(),COUNTIFS(cal_fechas,"&gt;="&amp;$J28,cal_fechas,"&lt;"&amp;TODAY(),cal_habil,"sí"),-COUNTIFS(cal_fechas,"&gt;="&amp;TODAY(),cal_fechas,"&lt;"&amp;$J28,cal_habil,"sí")))</f>
        <v/>
      </c>
      <c r="AE28" s="5">
        <f>IF($AD28="","",IF($AD28&lt;0,"FUTURO",IF($AD28&gt;p_dias_backlog_max,"BACKLOG","MES CORRIENTE")))</f>
        <v/>
      </c>
      <c r="AF28" s="5">
        <f>IF($AD28="",FALSE,AND($AD28&gt;p_dias_backlog_min,$AD28&lt;=p_dias_backlog_max))</f>
        <v/>
      </c>
      <c r="AG28" s="4" t="inlineStr">
        <is>
          <t>Miguel Martínez</t>
        </is>
      </c>
      <c r="AH28" s="5">
        <f>IF($AG28="","",IF((IFERROR(INDEX('ASIGNACIONES'!$J$4:$J$451,MATCH($O28&amp;"|"&amp;$S28&amp;"|"&amp;$AG28,'ASIGNACIONES'!$N$4:$N$451,0)),""))=0,"",IFERROR(INDEX('ASIGNACIONES'!$J$4:$J$451,MATCH($O28&amp;"|"&amp;$S28&amp;"|"&amp;$AG28,'ASIGNACIONES'!$N$4:$N$451,0)),"")))</f>
        <v/>
      </c>
      <c r="AI28" s="25">
        <f>IF($AG28="","",SUMIFS('ORDENES'!$M$4:$M$1203,'ORDENES'!$AG$4:$AG$1203,$AG28,'ORDENES'!$O$4:$O$1203,$O28,'ORDENES'!$S$4:$S$1203,$S28))</f>
        <v/>
      </c>
      <c r="AJ28" s="25">
        <f>IF($AI28="","",p_factor_productividad*IFERROR(INDEX('ASIGNACIONES'!$M$4:$M$451,MATCH($O28&amp;"|"&amp;$S28&amp;"|"&amp;$AG28,'ASIGNACIONES'!$N$4:$N$451,0)),0)-$AI28)</f>
        <v/>
      </c>
      <c r="AK28" s="18">
        <f>IF($A28="","",IFERROR(INDEX('2_IMPORTAR_EJECUCION'!$F$9:$F$1208,MATCH($AT28,'2_IMPORTAR_EJECUCION'!$J$9:$J$1208,0)),0))</f>
        <v/>
      </c>
      <c r="AL28" s="18">
        <f>IF($A28="","",MAX(0,IFERROR(INDEX('2_IMPORTAR_EJECUCION'!$H$9:$H$1208,MATCH($AT28,'2_IMPORTAR_EJECUCION'!$J$9:$J$1208,0)),0)-$AK28))</f>
        <v/>
      </c>
      <c r="AM28" s="18">
        <f>IF($A28="","",$AK28+$AL28)</f>
        <v/>
      </c>
      <c r="AN28" s="5">
        <f>IF($A28="","",IF(OR((IFERROR(INDEX('CAT_ACTIVIDADES'!$D$4:$D$11,MATCH($H28,'CAT_ACTIVIDADES'!$A$4:$A$11,0)),""))=0,(IFERROR(INDEX('CAT_ACTIVIDADES'!$D$4:$D$11,MATCH($H28,'CAT_ACTIVIDADES'!$A$4:$A$11,0)),""))=""),"SIN CLASIFICAR",IFERROR(INDEX('CAT_ACTIVIDADES'!$D$4:$D$11,MATCH($H28,'CAT_ACTIVIDADES'!$A$4:$A$11,0)),"")))</f>
        <v/>
      </c>
      <c r="AO28" s="4" t="inlineStr"/>
      <c r="AP28" s="4" t="inlineStr"/>
      <c r="AQ28" s="4" t="inlineStr"/>
      <c r="AR28" s="5">
        <f>IF($AQ28="","",HYPERLINK(p_ruta_base_checklists&amp;$AQ28,"abrir"))</f>
        <v/>
      </c>
      <c r="AS28" s="4" t="inlineStr"/>
      <c r="AT28" s="5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22" t="n">
        <v>46237</v>
      </c>
      <c r="K29" s="5" t="n">
        <v>10</v>
      </c>
      <c r="L29" s="18" t="n">
        <v>250</v>
      </c>
      <c r="M29" s="5">
        <f>IF($A29="","",IFERROR(INDEX('AJUSTES'!$B$4:$B$303,MATCH($AT29,'AJUSTES'!$A$4:$A$303,0)),IF($K29="","",$K29)))</f>
        <v/>
      </c>
      <c r="N29" s="5">
        <f>IF($A29="","",IFERROR(INDEX('CAT_ESTADOS_ERP'!$B$4:$B$7,MATCH(IFERROR(INDEX('2_IMPORTAR_EJECUCION'!$C$9:$C$1208,MATCH($AT29,'2_IMPORTAR_EJECUCION'!$J$9:$J$1208,0)),""),'CAT_ESTADOS_ERP'!$A$4:$A$7,0)),"Pendiente"))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IF($J29="","",$P29&amp;"-"&amp;TEXT($Q29,"00"))</f>
        <v/>
      </c>
      <c r="S29" s="5">
        <f>IF($J29="","",INDEX(lista_dias,WEEKDAY($J29,2)))</f>
        <v/>
      </c>
      <c r="T29" s="5">
        <f>IF($J29="","",IFERROR(INDEX('CALENDARIO'!$C$15:$C$214,MATCH(TEXT($J29,"yyyy-mm-dd")&amp;"|"&amp;$X29&amp;"|"&amp;$Y29,'CALENDARIO'!$G$15:$G$214,0)),IFERROR(INDEX('CALENDARIO'!$C$15:$C$214,MATCH(TEXT($J29,"yyyy-mm-dd")&amp;"|"&amp;$X29&amp;"|",'CALENDARIO'!$G$15:$G$214,0)),IFERROR(INDEX('CALENDARIO'!$C$15:$C$214,MATCH(TEXT($J29,"yyyy-mm-dd")&amp;"||",'CALENDARIO'!$G$15:$G$214,0)),INDEX(patronHabil,WEEKDAY($J29,2))))))</f>
        <v/>
      </c>
      <c r="U29" s="5">
        <f>IF($I29="","",IFERROR(INDEX('CAT_TIPOS_OT'!$C$4:$C$8,MATCH($I29,'CAT_TIPOS_OT'!$A$4:$A$8,0)),"sin_clasificar"))</f>
        <v/>
      </c>
      <c r="V29" s="5">
        <f>IF($I29="","",IF(IFERROR(INDEX('CAT_TIPOS_OT'!$D$4:$D$8,MATCH($I29,'CAT_TIPOS_OT'!$A$4:$A$8,0)),"SIN CLASIFICAR")="","SIN CLASIFICAR",IFERROR(INDEX('CAT_TIPOS_OT'!$D$4:$D$8,MATCH($I29,'CAT_TIPOS_OT'!$A$4:$A$8,0)),"SIN CLASIFICAR")))</f>
        <v/>
      </c>
      <c r="W29" s="5">
        <f>IF($F29="","",IFERROR(INDEX('CAT_CENTROS_COSTO'!$F$4:$F$13,MATCH($F29,'CAT_CENTROS_COSTO'!$A$4:$A$13,0)),"(sin catálogo)"))</f>
        <v/>
      </c>
      <c r="X29" s="5">
        <f>IF($F29="","",IFERROR(INDEX('CAT_CENTROS_COSTO'!$D$4:$D$13,MATCH($F29,'CAT_CENTROS_COSTO'!$A$4:$A$13,0)),"(sin catálogo)"))</f>
        <v/>
      </c>
      <c r="Y29" s="5">
        <f>IF($F29="","",IF((IFERROR(INDEX('CAT_CENTROS_COSTO'!$E$4:$E$13,MATCH($F29,'CAT_CENTROS_COSTO'!$A$4:$A$13,0)),""))&lt;&gt;"",IFERROR(INDEX('CAT_CENTROS_COSTO'!$E$4:$E$13,MATCH($F29,'CAT_CENTROS_COSTO'!$A$4:$A$13,0)),""),$X29))</f>
        <v/>
      </c>
      <c r="Z29" s="5">
        <f>IF($F29="","",IFERROR(INDEX('CAT_CENTROS_COSTO'!$G$4:$G$13,MATCH($F29,'CAT_CENTROS_COSTO'!$A$4:$A$13,0)),"(sin catálogo)"))</f>
        <v/>
      </c>
      <c r="AA29" s="5">
        <f>IF($G29="","",IFERROR(INDEX('CAT_PUESTOS'!$B$4:$B$8,MATCH($G29,'CAT_PUESTOS'!$A$4:$A$8,0)),"(sin catálogo)"))</f>
        <v/>
      </c>
      <c r="AB29" s="5">
        <f>IF($H29="","",IFERROR(INDEX('CAT_ACTIVIDADES'!$B$4:$B$11,MATCH($H29,'CAT_ACTIVIDADES'!$A$4:$A$11,0)),"(sin catálogo)"))</f>
        <v/>
      </c>
      <c r="AC29" s="20">
        <f>IF($J29="","",TODAY()-$J29)</f>
        <v/>
      </c>
      <c r="AD29" s="20">
        <f>IF($J29="","",IF($J29&lt;=TODAY(),COUNTIFS(cal_fechas,"&gt;="&amp;$J29,cal_fechas,"&lt;"&amp;TODAY(),cal_habil,"sí"),-COUNTIFS(cal_fechas,"&gt;="&amp;TODAY(),cal_fechas,"&lt;"&amp;$J29,cal_habil,"sí")))</f>
        <v/>
      </c>
      <c r="AE29" s="5">
        <f>IF($AD29="","",IF($AD29&lt;0,"FUTURO",IF($AD29&gt;p_dias_backlog_max,"BACKLOG","MES CORRIENTE")))</f>
        <v/>
      </c>
      <c r="AF29" s="5">
        <f>IF($AD29="",FALSE,AND($AD29&gt;p_dias_backlog_min,$AD29&lt;=p_dias_backlog_max))</f>
        <v/>
      </c>
      <c r="AG29" s="4" t="inlineStr">
        <is>
          <t>María Gómez</t>
        </is>
      </c>
      <c r="AH29" s="5">
        <f>IF($AG29="","",IF((IFERROR(INDEX('ASIGNACIONES'!$J$4:$J$451,MATCH($O29&amp;"|"&amp;$S29&amp;"|"&amp;$AG29,'ASIGNACIONES'!$N$4:$N$451,0)),""))=0,"",IFERROR(INDEX('ASIGNACIONES'!$J$4:$J$451,MATCH($O29&amp;"|"&amp;$S29&amp;"|"&amp;$AG29,'ASIGNACIONES'!$N$4:$N$451,0)),"")))</f>
        <v/>
      </c>
      <c r="AI29" s="25">
        <f>IF($AG29="","",SUMIFS('ORDENES'!$M$4:$M$1203,'ORDENES'!$AG$4:$AG$1203,$AG29,'ORDENES'!$O$4:$O$1203,$O29,'ORDENES'!$S$4:$S$1203,$S29))</f>
        <v/>
      </c>
      <c r="AJ29" s="25">
        <f>IF($AI29="","",p_factor_productividad*IFERROR(INDEX('ASIGNACIONES'!$M$4:$M$451,MATCH($O29&amp;"|"&amp;$S29&amp;"|"&amp;$AG29,'ASIGNACIONES'!$N$4:$N$451,0)),0)-$AI29)</f>
        <v/>
      </c>
      <c r="AK29" s="18">
        <f>IF($A29="","",IFERROR(INDEX('2_IMPORTAR_EJECUCION'!$F$9:$F$1208,MATCH($AT29,'2_IMPORTAR_EJECUCION'!$J$9:$J$1208,0)),0))</f>
        <v/>
      </c>
      <c r="AL29" s="18">
        <f>IF($A29="","",MAX(0,IFERROR(INDEX('2_IMPORTAR_EJECUCION'!$H$9:$H$1208,MATCH($AT29,'2_IMPORTAR_EJECUCION'!$J$9:$J$1208,0)),0)-$AK29))</f>
        <v/>
      </c>
      <c r="AM29" s="18">
        <f>IF($A29="","",$AK29+$AL29)</f>
        <v/>
      </c>
      <c r="AN29" s="5">
        <f>IF($A29="","",IF(OR((IFERROR(INDEX('CAT_ACTIVIDADES'!$D$4:$D$11,MATCH($H29,'CAT_ACTIVIDADES'!$A$4:$A$11,0)),""))=0,(IFERROR(INDEX('CAT_ACTIVIDADES'!$D$4:$D$11,MATCH($H29,'CAT_ACTIVIDADES'!$A$4:$A$11,0)),""))=""),"SIN CLASIFICAR",IFERROR(INDEX('CAT_ACTIVIDADES'!$D$4:$D$11,MATCH($H29,'CAT_ACTIVIDADES'!$A$4:$A$11,0)),"")))</f>
        <v/>
      </c>
      <c r="AO29" s="4" t="inlineStr"/>
      <c r="AP29" s="4" t="inlineStr"/>
      <c r="AQ29" s="4" t="inlineStr">
        <is>
          <t>ACT-04.pdf</t>
        </is>
      </c>
      <c r="AR29" s="5">
        <f>IF($AQ29="","",HYPERLINK(p_ruta_base_checklists&amp;$AQ29,"abrir"))</f>
        <v/>
      </c>
      <c r="AS29" s="4" t="inlineStr"/>
      <c r="AT29" s="5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22" t="n">
        <v>46238</v>
      </c>
      <c r="K30" s="5" t="n">
        <v>8</v>
      </c>
      <c r="L30" s="18" t="n">
        <v>200</v>
      </c>
      <c r="M30" s="5">
        <f>IF($A30="","",IFERROR(INDEX('AJUSTES'!$B$4:$B$303,MATCH($AT30,'AJUSTES'!$A$4:$A$303,0)),IF($K30="","",$K30)))</f>
        <v/>
      </c>
      <c r="N30" s="5">
        <f>IF($A30="","",IFERROR(INDEX('CAT_ESTADOS_ERP'!$B$4:$B$7,MATCH(IFERROR(INDEX('2_IMPORTAR_EJECUCION'!$C$9:$C$1208,MATCH($AT30,'2_IMPORTAR_EJECUCION'!$J$9:$J$1208,0)),""),'CAT_ESTADOS_ERP'!$A$4:$A$7,0)),"Pendiente"))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IF($J30="","",$P30&amp;"-"&amp;TEXT($Q30,"00"))</f>
        <v/>
      </c>
      <c r="S30" s="5">
        <f>IF($J30="","",INDEX(lista_dias,WEEKDAY($J30,2)))</f>
        <v/>
      </c>
      <c r="T30" s="5">
        <f>IF($J30="","",IFERROR(INDEX('CALENDARIO'!$C$15:$C$214,MATCH(TEXT($J30,"yyyy-mm-dd")&amp;"|"&amp;$X30&amp;"|"&amp;$Y30,'CALENDARIO'!$G$15:$G$214,0)),IFERROR(INDEX('CALENDARIO'!$C$15:$C$214,MATCH(TEXT($J30,"yyyy-mm-dd")&amp;"|"&amp;$X30&amp;"|",'CALENDARIO'!$G$15:$G$214,0)),IFERROR(INDEX('CALENDARIO'!$C$15:$C$214,MATCH(TEXT($J30,"yyyy-mm-dd")&amp;"||",'CALENDARIO'!$G$15:$G$214,0)),INDEX(patronHabil,WEEKDAY($J30,2))))))</f>
        <v/>
      </c>
      <c r="U30" s="5">
        <f>IF($I30="","",IFERROR(INDEX('CAT_TIPOS_OT'!$C$4:$C$8,MATCH($I30,'CAT_TIPOS_OT'!$A$4:$A$8,0)),"sin_clasificar"))</f>
        <v/>
      </c>
      <c r="V30" s="5">
        <f>IF($I30="","",IF(IFERROR(INDEX('CAT_TIPOS_OT'!$D$4:$D$8,MATCH($I30,'CAT_TIPOS_OT'!$A$4:$A$8,0)),"SIN CLASIFICAR")="","SIN CLASIFICAR",IFERROR(INDEX('CAT_TIPOS_OT'!$D$4:$D$8,MATCH($I30,'CAT_TIPOS_OT'!$A$4:$A$8,0)),"SIN CLASIFICAR")))</f>
        <v/>
      </c>
      <c r="W30" s="5">
        <f>IF($F30="","",IFERROR(INDEX('CAT_CENTROS_COSTO'!$F$4:$F$13,MATCH($F30,'CAT_CENTROS_COSTO'!$A$4:$A$13,0)),"(sin catálogo)"))</f>
        <v/>
      </c>
      <c r="X30" s="5">
        <f>IF($F30="","",IFERROR(INDEX('CAT_CENTROS_COSTO'!$D$4:$D$13,MATCH($F30,'CAT_CENTROS_COSTO'!$A$4:$A$13,0)),"(sin catálogo)"))</f>
        <v/>
      </c>
      <c r="Y30" s="5">
        <f>IF($F30="","",IF((IFERROR(INDEX('CAT_CENTROS_COSTO'!$E$4:$E$13,MATCH($F30,'CAT_CENTROS_COSTO'!$A$4:$A$13,0)),""))&lt;&gt;"",IFERROR(INDEX('CAT_CENTROS_COSTO'!$E$4:$E$13,MATCH($F30,'CAT_CENTROS_COSTO'!$A$4:$A$13,0)),""),$X30))</f>
        <v/>
      </c>
      <c r="Z30" s="5">
        <f>IF($F30="","",IFERROR(INDEX('CAT_CENTROS_COSTO'!$G$4:$G$13,MATCH($F30,'CAT_CENTROS_COSTO'!$A$4:$A$13,0)),"(sin catálogo)"))</f>
        <v/>
      </c>
      <c r="AA30" s="5">
        <f>IF($G30="","",IFERROR(INDEX('CAT_PUESTOS'!$B$4:$B$8,MATCH($G30,'CAT_PUESTOS'!$A$4:$A$8,0)),"(sin catálogo)"))</f>
        <v/>
      </c>
      <c r="AB30" s="5">
        <f>IF($H30="","",IFERROR(INDEX('CAT_ACTIVIDADES'!$B$4:$B$11,MATCH($H30,'CAT_ACTIVIDADES'!$A$4:$A$11,0)),"(sin catálogo)"))</f>
        <v/>
      </c>
      <c r="AC30" s="20">
        <f>IF($J30="","",TODAY()-$J30)</f>
        <v/>
      </c>
      <c r="AD30" s="20">
        <f>IF($J30="","",IF($J30&lt;=TODAY(),COUNTIFS(cal_fechas,"&gt;="&amp;$J30,cal_fechas,"&lt;"&amp;TODAY(),cal_habil,"sí"),-COUNTIFS(cal_fechas,"&gt;="&amp;TODAY(),cal_fechas,"&lt;"&amp;$J30,cal_habil,"sí")))</f>
        <v/>
      </c>
      <c r="AE30" s="5">
        <f>IF($AD30="","",IF($AD30&lt;0,"FUTURO",IF($AD30&gt;p_dias_backlog_max,"BACKLOG","MES CORRIENTE")))</f>
        <v/>
      </c>
      <c r="AF30" s="5">
        <f>IF($AD30="",FALSE,AND($AD30&gt;p_dias_backlog_min,$AD30&lt;=p_dias_backlog_max))</f>
        <v/>
      </c>
      <c r="AG30" s="4" t="inlineStr">
        <is>
          <t>Luis Rodríguez</t>
        </is>
      </c>
      <c r="AH30" s="5">
        <f>IF($AG30="","",IF((IFERROR(INDEX('ASIGNACIONES'!$J$4:$J$451,MATCH($O30&amp;"|"&amp;$S30&amp;"|"&amp;$AG30,'ASIGNACIONES'!$N$4:$N$451,0)),""))=0,"",IFERROR(INDEX('ASIGNACIONES'!$J$4:$J$451,MATCH($O30&amp;"|"&amp;$S30&amp;"|"&amp;$AG30,'ASIGNACIONES'!$N$4:$N$451,0)),"")))</f>
        <v/>
      </c>
      <c r="AI30" s="25">
        <f>IF($AG30="","",SUMIFS('ORDENES'!$M$4:$M$1203,'ORDENES'!$AG$4:$AG$1203,$AG30,'ORDENES'!$O$4:$O$1203,$O30,'ORDENES'!$S$4:$S$1203,$S30))</f>
        <v/>
      </c>
      <c r="AJ30" s="25">
        <f>IF($AI30="","",p_factor_productividad*IFERROR(INDEX('ASIGNACIONES'!$M$4:$M$451,MATCH($O30&amp;"|"&amp;$S30&amp;"|"&amp;$AG30,'ASIGNACIONES'!$N$4:$N$451,0)),0)-$AI30)</f>
        <v/>
      </c>
      <c r="AK30" s="18">
        <f>IF($A30="","",IFERROR(INDEX('2_IMPORTAR_EJECUCION'!$F$9:$F$1208,MATCH($AT30,'2_IMPORTAR_EJECUCION'!$J$9:$J$1208,0)),0))</f>
        <v/>
      </c>
      <c r="AL30" s="18">
        <f>IF($A30="","",MAX(0,IFERROR(INDEX('2_IMPORTAR_EJECUCION'!$H$9:$H$1208,MATCH($AT30,'2_IMPORTAR_EJECUCION'!$J$9:$J$1208,0)),0)-$AK30))</f>
        <v/>
      </c>
      <c r="AM30" s="18">
        <f>IF($A30="","",$AK30+$AL30)</f>
        <v/>
      </c>
      <c r="AN30" s="5">
        <f>IF($A30="","",IF(OR((IFERROR(INDEX('CAT_ACTIVIDADES'!$D$4:$D$11,MATCH($H30,'CAT_ACTIVIDADES'!$A$4:$A$11,0)),""))=0,(IFERROR(INDEX('CAT_ACTIVIDADES'!$D$4:$D$11,MATCH($H30,'CAT_ACTIVIDADES'!$A$4:$A$11,0)),""))=""),"SIN CLASIFICAR",IFERROR(INDEX('CAT_ACTIVIDADES'!$D$4:$D$11,MATCH($H30,'CAT_ACTIVIDADES'!$A$4:$A$11,0)),"")))</f>
        <v/>
      </c>
      <c r="AO30" s="4" t="inlineStr"/>
      <c r="AP30" s="4" t="inlineStr"/>
      <c r="AQ30" s="4" t="inlineStr">
        <is>
          <t>ACT-01.pdf</t>
        </is>
      </c>
      <c r="AR30" s="5">
        <f>IF($AQ30="","",HYPERLINK(p_ruta_base_checklists&amp;$AQ30,"abrir"))</f>
        <v/>
      </c>
      <c r="AS30" s="4" t="inlineStr"/>
      <c r="AT30" s="5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22" t="n">
        <v>46239</v>
      </c>
      <c r="K31" s="5" t="n">
        <v>6</v>
      </c>
      <c r="L31" s="18" t="n">
        <v>150</v>
      </c>
      <c r="M31" s="5">
        <f>IF($A31="","",IFERROR(INDEX('AJUSTES'!$B$4:$B$303,MATCH($AT31,'AJUSTES'!$A$4:$A$303,0)),IF($K31="","",$K31)))</f>
        <v/>
      </c>
      <c r="N31" s="5">
        <f>IF($A31="","",IFERROR(INDEX('CAT_ESTADOS_ERP'!$B$4:$B$7,MATCH(IFERROR(INDEX('2_IMPORTAR_EJECUCION'!$C$9:$C$1208,MATCH($AT31,'2_IMPORTAR_EJECUCION'!$J$9:$J$1208,0)),""),'CAT_ESTADOS_ERP'!$A$4:$A$7,0)),"Pendiente"))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IF($J31="","",$P31&amp;"-"&amp;TEXT($Q31,"00"))</f>
        <v/>
      </c>
      <c r="S31" s="5">
        <f>IF($J31="","",INDEX(lista_dias,WEEKDAY($J31,2)))</f>
        <v/>
      </c>
      <c r="T31" s="5">
        <f>IF($J31="","",IFERROR(INDEX('CALENDARIO'!$C$15:$C$214,MATCH(TEXT($J31,"yyyy-mm-dd")&amp;"|"&amp;$X31&amp;"|"&amp;$Y31,'CALENDARIO'!$G$15:$G$214,0)),IFERROR(INDEX('CALENDARIO'!$C$15:$C$214,MATCH(TEXT($J31,"yyyy-mm-dd")&amp;"|"&amp;$X31&amp;"|",'CALENDARIO'!$G$15:$G$214,0)),IFERROR(INDEX('CALENDARIO'!$C$15:$C$214,MATCH(TEXT($J31,"yyyy-mm-dd")&amp;"||",'CALENDARIO'!$G$15:$G$214,0)),INDEX(patronHabil,WEEKDAY($J31,2))))))</f>
        <v/>
      </c>
      <c r="U31" s="5">
        <f>IF($I31="","",IFERROR(INDEX('CAT_TIPOS_OT'!$C$4:$C$8,MATCH($I31,'CAT_TIPOS_OT'!$A$4:$A$8,0)),"sin_clasificar"))</f>
        <v/>
      </c>
      <c r="V31" s="5">
        <f>IF($I31="","",IF(IFERROR(INDEX('CAT_TIPOS_OT'!$D$4:$D$8,MATCH($I31,'CAT_TIPOS_OT'!$A$4:$A$8,0)),"SIN CLASIFICAR")="","SIN CLASIFICAR",IFERROR(INDEX('CAT_TIPOS_OT'!$D$4:$D$8,MATCH($I31,'CAT_TIPOS_OT'!$A$4:$A$8,0)),"SIN CLASIFICAR")))</f>
        <v/>
      </c>
      <c r="W31" s="5">
        <f>IF($F31="","",IFERROR(INDEX('CAT_CENTROS_COSTO'!$F$4:$F$13,MATCH($F31,'CAT_CENTROS_COSTO'!$A$4:$A$13,0)),"(sin catálogo)"))</f>
        <v/>
      </c>
      <c r="X31" s="5">
        <f>IF($F31="","",IFERROR(INDEX('CAT_CENTROS_COSTO'!$D$4:$D$13,MATCH($F31,'CAT_CENTROS_COSTO'!$A$4:$A$13,0)),"(sin catálogo)"))</f>
        <v/>
      </c>
      <c r="Y31" s="5">
        <f>IF($F31="","",IF((IFERROR(INDEX('CAT_CENTROS_COSTO'!$E$4:$E$13,MATCH($F31,'CAT_CENTROS_COSTO'!$A$4:$A$13,0)),""))&lt;&gt;"",IFERROR(INDEX('CAT_CENTROS_COSTO'!$E$4:$E$13,MATCH($F31,'CAT_CENTROS_COSTO'!$A$4:$A$13,0)),""),$X31))</f>
        <v/>
      </c>
      <c r="Z31" s="5">
        <f>IF($F31="","",IFERROR(INDEX('CAT_CENTROS_COSTO'!$G$4:$G$13,MATCH($F31,'CAT_CENTROS_COSTO'!$A$4:$A$13,0)),"(sin catálogo)"))</f>
        <v/>
      </c>
      <c r="AA31" s="5">
        <f>IF($G31="","",IFERROR(INDEX('CAT_PUESTOS'!$B$4:$B$8,MATCH($G31,'CAT_PUESTOS'!$A$4:$A$8,0)),"(sin catálogo)"))</f>
        <v/>
      </c>
      <c r="AB31" s="5">
        <f>IF($H31="","",IFERROR(INDEX('CAT_ACTIVIDADES'!$B$4:$B$11,MATCH($H31,'CAT_ACTIVIDADES'!$A$4:$A$11,0)),"(sin catálogo)"))</f>
        <v/>
      </c>
      <c r="AC31" s="20">
        <f>IF($J31="","",TODAY()-$J31)</f>
        <v/>
      </c>
      <c r="AD31" s="20">
        <f>IF($J31="","",IF($J31&lt;=TODAY(),COUNTIFS(cal_fechas,"&gt;="&amp;$J31,cal_fechas,"&lt;"&amp;TODAY(),cal_habil,"sí"),-COUNTIFS(cal_fechas,"&gt;="&amp;TODAY(),cal_fechas,"&lt;"&amp;$J31,cal_habil,"sí")))</f>
        <v/>
      </c>
      <c r="AE31" s="5">
        <f>IF($AD31="","",IF($AD31&lt;0,"FUTURO",IF($AD31&gt;p_dias_backlog_max,"BACKLOG","MES CORRIENTE")))</f>
        <v/>
      </c>
      <c r="AF31" s="5">
        <f>IF($AD31="",FALSE,AND($AD31&gt;p_dias_backlog_min,$AD31&lt;=p_dias_backlog_max))</f>
        <v/>
      </c>
      <c r="AG31" s="4" t="inlineStr"/>
      <c r="AH31" s="5">
        <f>IF($AG31="","",IF((IFERROR(INDEX('ASIGNACIONES'!$J$4:$J$451,MATCH($O31&amp;"|"&amp;$S31&amp;"|"&amp;$AG31,'ASIGNACIONES'!$N$4:$N$451,0)),""))=0,"",IFERROR(INDEX('ASIGNACIONES'!$J$4:$J$451,MATCH($O31&amp;"|"&amp;$S31&amp;"|"&amp;$AG31,'ASIGNACIONES'!$N$4:$N$451,0)),"")))</f>
        <v/>
      </c>
      <c r="AI31" s="25">
        <f>IF($AG31="","",SUMIFS('ORDENES'!$M$4:$M$1203,'ORDENES'!$AG$4:$AG$1203,$AG31,'ORDENES'!$O$4:$O$1203,$O31,'ORDENES'!$S$4:$S$1203,$S31))</f>
        <v/>
      </c>
      <c r="AJ31" s="25">
        <f>IF($AI31="","",p_factor_productividad*IFERROR(INDEX('ASIGNACIONES'!$M$4:$M$451,MATCH($O31&amp;"|"&amp;$S31&amp;"|"&amp;$AG31,'ASIGNACIONES'!$N$4:$N$451,0)),0)-$AI31)</f>
        <v/>
      </c>
      <c r="AK31" s="18">
        <f>IF($A31="","",IFERROR(INDEX('2_IMPORTAR_EJECUCION'!$F$9:$F$1208,MATCH($AT31,'2_IMPORTAR_EJECUCION'!$J$9:$J$1208,0)),0))</f>
        <v/>
      </c>
      <c r="AL31" s="18">
        <f>IF($A31="","",MAX(0,IFERROR(INDEX('2_IMPORTAR_EJECUCION'!$H$9:$H$1208,MATCH($AT31,'2_IMPORTAR_EJECUCION'!$J$9:$J$1208,0)),0)-$AK31))</f>
        <v/>
      </c>
      <c r="AM31" s="18">
        <f>IF($A31="","",$AK31+$AL31)</f>
        <v/>
      </c>
      <c r="AN31" s="5">
        <f>IF($A31="","",IF(OR((IFERROR(INDEX('CAT_ACTIVIDADES'!$D$4:$D$11,MATCH($H31,'CAT_ACTIVIDADES'!$A$4:$A$11,0)),""))=0,(IFERROR(INDEX('CAT_ACTIVIDADES'!$D$4:$D$11,MATCH($H31,'CAT_ACTIVIDADES'!$A$4:$A$11,0)),""))=""),"SIN CLASIFICAR",IFERROR(INDEX('CAT_ACTIVIDADES'!$D$4:$D$11,MATCH($H31,'CAT_ACTIVIDADES'!$A$4:$A$11,0)),"")))</f>
        <v/>
      </c>
      <c r="AO31" s="4" t="inlineStr"/>
      <c r="AP31" s="4" t="inlineStr"/>
      <c r="AQ31" s="4" t="inlineStr">
        <is>
          <t>ACT-02.pdf</t>
        </is>
      </c>
      <c r="AR31" s="5">
        <f>IF($AQ31="","",HYPERLINK(p_ruta_base_checklists&amp;$AQ31,"abrir"))</f>
        <v/>
      </c>
      <c r="AS31" s="4" t="inlineStr"/>
      <c r="AT31" s="5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22" t="n">
        <v>46240</v>
      </c>
      <c r="K32" s="5" t="n">
        <v>10</v>
      </c>
      <c r="L32" s="18" t="n">
        <v>250</v>
      </c>
      <c r="M32" s="5">
        <f>IF($A32="","",IFERROR(INDEX('AJUSTES'!$B$4:$B$303,MATCH($AT32,'AJUSTES'!$A$4:$A$303,0)),IF($K32="","",$K32)))</f>
        <v/>
      </c>
      <c r="N32" s="5">
        <f>IF($A32="","",IFERROR(INDEX('CAT_ESTADOS_ERP'!$B$4:$B$7,MATCH(IFERROR(INDEX('2_IMPORTAR_EJECUCION'!$C$9:$C$1208,MATCH($AT32,'2_IMPORTAR_EJECUCION'!$J$9:$J$1208,0)),""),'CAT_ESTADOS_ERP'!$A$4:$A$7,0)),"Pendiente"))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IF($J32="","",$P32&amp;"-"&amp;TEXT($Q32,"00"))</f>
        <v/>
      </c>
      <c r="S32" s="5">
        <f>IF($J32="","",INDEX(lista_dias,WEEKDAY($J32,2)))</f>
        <v/>
      </c>
      <c r="T32" s="5">
        <f>IF($J32="","",IFERROR(INDEX('CALENDARIO'!$C$15:$C$214,MATCH(TEXT($J32,"yyyy-mm-dd")&amp;"|"&amp;$X32&amp;"|"&amp;$Y32,'CALENDARIO'!$G$15:$G$214,0)),IFERROR(INDEX('CALENDARIO'!$C$15:$C$214,MATCH(TEXT($J32,"yyyy-mm-dd")&amp;"|"&amp;$X32&amp;"|",'CALENDARIO'!$G$15:$G$214,0)),IFERROR(INDEX('CALENDARIO'!$C$15:$C$214,MATCH(TEXT($J32,"yyyy-mm-dd")&amp;"||",'CALENDARIO'!$G$15:$G$214,0)),INDEX(patronHabil,WEEKDAY($J32,2))))))</f>
        <v/>
      </c>
      <c r="U32" s="5">
        <f>IF($I32="","",IFERROR(INDEX('CAT_TIPOS_OT'!$C$4:$C$8,MATCH($I32,'CAT_TIPOS_OT'!$A$4:$A$8,0)),"sin_clasificar"))</f>
        <v/>
      </c>
      <c r="V32" s="5">
        <f>IF($I32="","",IF(IFERROR(INDEX('CAT_TIPOS_OT'!$D$4:$D$8,MATCH($I32,'CAT_TIPOS_OT'!$A$4:$A$8,0)),"SIN CLASIFICAR")="","SIN CLASIFICAR",IFERROR(INDEX('CAT_TIPOS_OT'!$D$4:$D$8,MATCH($I32,'CAT_TIPOS_OT'!$A$4:$A$8,0)),"SIN CLASIFICAR")))</f>
        <v/>
      </c>
      <c r="W32" s="5">
        <f>IF($F32="","",IFERROR(INDEX('CAT_CENTROS_COSTO'!$F$4:$F$13,MATCH($F32,'CAT_CENTROS_COSTO'!$A$4:$A$13,0)),"(sin catálogo)"))</f>
        <v/>
      </c>
      <c r="X32" s="5">
        <f>IF($F32="","",IFERROR(INDEX('CAT_CENTROS_COSTO'!$D$4:$D$13,MATCH($F32,'CAT_CENTROS_COSTO'!$A$4:$A$13,0)),"(sin catálogo)"))</f>
        <v/>
      </c>
      <c r="Y32" s="5">
        <f>IF($F32="","",IF((IFERROR(INDEX('CAT_CENTROS_COSTO'!$E$4:$E$13,MATCH($F32,'CAT_CENTROS_COSTO'!$A$4:$A$13,0)),""))&lt;&gt;"",IFERROR(INDEX('CAT_CENTROS_COSTO'!$E$4:$E$13,MATCH($F32,'CAT_CENTROS_COSTO'!$A$4:$A$13,0)),""),$X32))</f>
        <v/>
      </c>
      <c r="Z32" s="5">
        <f>IF($F32="","",IFERROR(INDEX('CAT_CENTROS_COSTO'!$G$4:$G$13,MATCH($F32,'CAT_CENTROS_COSTO'!$A$4:$A$13,0)),"(sin catálogo)"))</f>
        <v/>
      </c>
      <c r="AA32" s="5">
        <f>IF($G32="","",IFERROR(INDEX('CAT_PUESTOS'!$B$4:$B$8,MATCH($G32,'CAT_PUESTOS'!$A$4:$A$8,0)),"(sin catálogo)"))</f>
        <v/>
      </c>
      <c r="AB32" s="5">
        <f>IF($H32="","",IFERROR(INDEX('CAT_ACTIVIDADES'!$B$4:$B$11,MATCH($H32,'CAT_ACTIVIDADES'!$A$4:$A$11,0)),"(sin catálogo)"))</f>
        <v/>
      </c>
      <c r="AC32" s="20">
        <f>IF($J32="","",TODAY()-$J32)</f>
        <v/>
      </c>
      <c r="AD32" s="20">
        <f>IF($J32="","",IF($J32&lt;=TODAY(),COUNTIFS(cal_fechas,"&gt;="&amp;$J32,cal_fechas,"&lt;"&amp;TODAY(),cal_habil,"sí"),-COUNTIFS(cal_fechas,"&gt;="&amp;TODAY(),cal_fechas,"&lt;"&amp;$J32,cal_habil,"sí")))</f>
        <v/>
      </c>
      <c r="AE32" s="5">
        <f>IF($AD32="","",IF($AD32&lt;0,"FUTURO",IF($AD32&gt;p_dias_backlog_max,"BACKLOG","MES CORRIENTE")))</f>
        <v/>
      </c>
      <c r="AF32" s="5">
        <f>IF($AD32="",FALSE,AND($AD32&gt;p_dias_backlog_min,$AD32&lt;=p_dias_backlog_max))</f>
        <v/>
      </c>
      <c r="AG32" s="4" t="inlineStr">
        <is>
          <t>David Torres</t>
        </is>
      </c>
      <c r="AH32" s="5">
        <f>IF($AG32="","",IF((IFERROR(INDEX('ASIGNACIONES'!$J$4:$J$451,MATCH($O32&amp;"|"&amp;$S32&amp;"|"&amp;$AG32,'ASIGNACIONES'!$N$4:$N$451,0)),""))=0,"",IFERROR(INDEX('ASIGNACIONES'!$J$4:$J$451,MATCH($O32&amp;"|"&amp;$S32&amp;"|"&amp;$AG32,'ASIGNACIONES'!$N$4:$N$451,0)),"")))</f>
        <v/>
      </c>
      <c r="AI32" s="25">
        <f>IF($AG32="","",SUMIFS('ORDENES'!$M$4:$M$1203,'ORDENES'!$AG$4:$AG$1203,$AG32,'ORDENES'!$O$4:$O$1203,$O32,'ORDENES'!$S$4:$S$1203,$S32))</f>
        <v/>
      </c>
      <c r="AJ32" s="25">
        <f>IF($AI32="","",p_factor_productividad*IFERROR(INDEX('ASIGNACIONES'!$M$4:$M$451,MATCH($O32&amp;"|"&amp;$S32&amp;"|"&amp;$AG32,'ASIGNACIONES'!$N$4:$N$451,0)),0)-$AI32)</f>
        <v/>
      </c>
      <c r="AK32" s="18">
        <f>IF($A32="","",IFERROR(INDEX('2_IMPORTAR_EJECUCION'!$F$9:$F$1208,MATCH($AT32,'2_IMPORTAR_EJECUCION'!$J$9:$J$1208,0)),0))</f>
        <v/>
      </c>
      <c r="AL32" s="18">
        <f>IF($A32="","",MAX(0,IFERROR(INDEX('2_IMPORTAR_EJECUCION'!$H$9:$H$1208,MATCH($AT32,'2_IMPORTAR_EJECUCION'!$J$9:$J$1208,0)),0)-$AK32))</f>
        <v/>
      </c>
      <c r="AM32" s="18">
        <f>IF($A32="","",$AK32+$AL32)</f>
        <v/>
      </c>
      <c r="AN32" s="5">
        <f>IF($A32="","",IF(OR((IFERROR(INDEX('CAT_ACTIVIDADES'!$D$4:$D$11,MATCH($H32,'CAT_ACTIVIDADES'!$A$4:$A$11,0)),""))=0,(IFERROR(INDEX('CAT_ACTIVIDADES'!$D$4:$D$11,MATCH($H32,'CAT_ACTIVIDADES'!$A$4:$A$11,0)),""))=""),"SIN CLASIFICAR",IFERROR(INDEX('CAT_ACTIVIDADES'!$D$4:$D$11,MATCH($H32,'CAT_ACTIVIDADES'!$A$4:$A$11,0)),"")))</f>
        <v/>
      </c>
      <c r="AO32" s="4" t="inlineStr"/>
      <c r="AP32" s="4" t="inlineStr"/>
      <c r="AQ32" s="4" t="inlineStr">
        <is>
          <t>ACT-04.pdf</t>
        </is>
      </c>
      <c r="AR32" s="5">
        <f>IF($AQ32="","",HYPERLINK(p_ruta_base_checklists&amp;$AQ32,"abrir"))</f>
        <v/>
      </c>
      <c r="AS32" s="4" t="inlineStr"/>
      <c r="AT32" s="5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22" t="n">
        <v>46241</v>
      </c>
      <c r="K33" s="5" t="n">
        <v>8</v>
      </c>
      <c r="L33" s="18" t="n">
        <v>200</v>
      </c>
      <c r="M33" s="5">
        <f>IF($A33="","",IFERROR(INDEX('AJUSTES'!$B$4:$B$303,MATCH($AT33,'AJUSTES'!$A$4:$A$303,0)),IF($K33="","",$K33)))</f>
        <v/>
      </c>
      <c r="N33" s="5">
        <f>IF($A33="","",IFERROR(INDEX('CAT_ESTADOS_ERP'!$B$4:$B$7,MATCH(IFERROR(INDEX('2_IMPORTAR_EJECUCION'!$C$9:$C$1208,MATCH($AT33,'2_IMPORTAR_EJECUCION'!$J$9:$J$1208,0)),""),'CAT_ESTADOS_ERP'!$A$4:$A$7,0)),"Pendiente"))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IF($J33="","",$P33&amp;"-"&amp;TEXT($Q33,"00"))</f>
        <v/>
      </c>
      <c r="S33" s="5">
        <f>IF($J33="","",INDEX(lista_dias,WEEKDAY($J33,2)))</f>
        <v/>
      </c>
      <c r="T33" s="5">
        <f>IF($J33="","",IFERROR(INDEX('CALENDARIO'!$C$15:$C$214,MATCH(TEXT($J33,"yyyy-mm-dd")&amp;"|"&amp;$X33&amp;"|"&amp;$Y33,'CALENDARIO'!$G$15:$G$214,0)),IFERROR(INDEX('CALENDARIO'!$C$15:$C$214,MATCH(TEXT($J33,"yyyy-mm-dd")&amp;"|"&amp;$X33&amp;"|",'CALENDARIO'!$G$15:$G$214,0)),IFERROR(INDEX('CALENDARIO'!$C$15:$C$214,MATCH(TEXT($J33,"yyyy-mm-dd")&amp;"||",'CALENDARIO'!$G$15:$G$214,0)),INDEX(patronHabil,WEEKDAY($J33,2))))))</f>
        <v/>
      </c>
      <c r="U33" s="5">
        <f>IF($I33="","",IFERROR(INDEX('CAT_TIPOS_OT'!$C$4:$C$8,MATCH($I33,'CAT_TIPOS_OT'!$A$4:$A$8,0)),"sin_clasificar"))</f>
        <v/>
      </c>
      <c r="V33" s="5">
        <f>IF($I33="","",IF(IFERROR(INDEX('CAT_TIPOS_OT'!$D$4:$D$8,MATCH($I33,'CAT_TIPOS_OT'!$A$4:$A$8,0)),"SIN CLASIFICAR")="","SIN CLASIFICAR",IFERROR(INDEX('CAT_TIPOS_OT'!$D$4:$D$8,MATCH($I33,'CAT_TIPOS_OT'!$A$4:$A$8,0)),"SIN CLASIFICAR")))</f>
        <v/>
      </c>
      <c r="W33" s="5">
        <f>IF($F33="","",IFERROR(INDEX('CAT_CENTROS_COSTO'!$F$4:$F$13,MATCH($F33,'CAT_CENTROS_COSTO'!$A$4:$A$13,0)),"(sin catálogo)"))</f>
        <v/>
      </c>
      <c r="X33" s="5">
        <f>IF($F33="","",IFERROR(INDEX('CAT_CENTROS_COSTO'!$D$4:$D$13,MATCH($F33,'CAT_CENTROS_COSTO'!$A$4:$A$13,0)),"(sin catálogo)"))</f>
        <v/>
      </c>
      <c r="Y33" s="5">
        <f>IF($F33="","",IF((IFERROR(INDEX('CAT_CENTROS_COSTO'!$E$4:$E$13,MATCH($F33,'CAT_CENTROS_COSTO'!$A$4:$A$13,0)),""))&lt;&gt;"",IFERROR(INDEX('CAT_CENTROS_COSTO'!$E$4:$E$13,MATCH($F33,'CAT_CENTROS_COSTO'!$A$4:$A$13,0)),""),$X33))</f>
        <v/>
      </c>
      <c r="Z33" s="5">
        <f>IF($F33="","",IFERROR(INDEX('CAT_CENTROS_COSTO'!$G$4:$G$13,MATCH($F33,'CAT_CENTROS_COSTO'!$A$4:$A$13,0)),"(sin catálogo)"))</f>
        <v/>
      </c>
      <c r="AA33" s="5">
        <f>IF($G33="","",IFERROR(INDEX('CAT_PUESTOS'!$B$4:$B$8,MATCH($G33,'CAT_PUESTOS'!$A$4:$A$8,0)),"(sin catálogo)"))</f>
        <v/>
      </c>
      <c r="AB33" s="5">
        <f>IF($H33="","",IFERROR(INDEX('CAT_ACTIVIDADES'!$B$4:$B$11,MATCH($H33,'CAT_ACTIVIDADES'!$A$4:$A$11,0)),"(sin catálogo)"))</f>
        <v/>
      </c>
      <c r="AC33" s="20">
        <f>IF($J33="","",TODAY()-$J33)</f>
        <v/>
      </c>
      <c r="AD33" s="20">
        <f>IF($J33="","",IF($J33&lt;=TODAY(),COUNTIFS(cal_fechas,"&gt;="&amp;$J33,cal_fechas,"&lt;"&amp;TODAY(),cal_habil,"sí"),-COUNTIFS(cal_fechas,"&gt;="&amp;TODAY(),cal_fechas,"&lt;"&amp;$J33,cal_habil,"sí")))</f>
        <v/>
      </c>
      <c r="AE33" s="5">
        <f>IF($AD33="","",IF($AD33&lt;0,"FUTURO",IF($AD33&gt;p_dias_backlog_max,"BACKLOG","MES CORRIENTE")))</f>
        <v/>
      </c>
      <c r="AF33" s="5">
        <f>IF($AD33="",FALSE,AND($AD33&gt;p_dias_backlog_min,$AD33&lt;=p_dias_backlog_max))</f>
        <v/>
      </c>
      <c r="AG33" s="4" t="inlineStr">
        <is>
          <t>Francisco Ramírez</t>
        </is>
      </c>
      <c r="AH33" s="5">
        <f>IF($AG33="","",IF((IFERROR(INDEX('ASIGNACIONES'!$J$4:$J$451,MATCH($O33&amp;"|"&amp;$S33&amp;"|"&amp;$AG33,'ASIGNACIONES'!$N$4:$N$451,0)),""))=0,"",IFERROR(INDEX('ASIGNACIONES'!$J$4:$J$451,MATCH($O33&amp;"|"&amp;$S33&amp;"|"&amp;$AG33,'ASIGNACIONES'!$N$4:$N$451,0)),"")))</f>
        <v/>
      </c>
      <c r="AI33" s="25">
        <f>IF($AG33="","",SUMIFS('ORDENES'!$M$4:$M$1203,'ORDENES'!$AG$4:$AG$1203,$AG33,'ORDENES'!$O$4:$O$1203,$O33,'ORDENES'!$S$4:$S$1203,$S33))</f>
        <v/>
      </c>
      <c r="AJ33" s="25">
        <f>IF($AI33="","",p_factor_productividad*IFERROR(INDEX('ASIGNACIONES'!$M$4:$M$451,MATCH($O33&amp;"|"&amp;$S33&amp;"|"&amp;$AG33,'ASIGNACIONES'!$N$4:$N$451,0)),0)-$AI33)</f>
        <v/>
      </c>
      <c r="AK33" s="18">
        <f>IF($A33="","",IFERROR(INDEX('2_IMPORTAR_EJECUCION'!$F$9:$F$1208,MATCH($AT33,'2_IMPORTAR_EJECUCION'!$J$9:$J$1208,0)),0))</f>
        <v/>
      </c>
      <c r="AL33" s="18">
        <f>IF($A33="","",MAX(0,IFERROR(INDEX('2_IMPORTAR_EJECUCION'!$H$9:$H$1208,MATCH($AT33,'2_IMPORTAR_EJECUCION'!$J$9:$J$1208,0)),0)-$AK33))</f>
        <v/>
      </c>
      <c r="AM33" s="18">
        <f>IF($A33="","",$AK33+$AL33)</f>
        <v/>
      </c>
      <c r="AN33" s="5">
        <f>IF($A33="","",IF(OR((IFERROR(INDEX('CAT_ACTIVIDADES'!$D$4:$D$11,MATCH($H33,'CAT_ACTIVIDADES'!$A$4:$A$11,0)),""))=0,(IFERROR(INDEX('CAT_ACTIVIDADES'!$D$4:$D$11,MATCH($H33,'CAT_ACTIVIDADES'!$A$4:$A$11,0)),""))=""),"SIN CLASIFICAR",IFERROR(INDEX('CAT_ACTIVIDADES'!$D$4:$D$11,MATCH($H33,'CAT_ACTIVIDADES'!$A$4:$A$11,0)),"")))</f>
        <v/>
      </c>
      <c r="AO33" s="4" t="inlineStr"/>
      <c r="AP33" s="4" t="inlineStr"/>
      <c r="AQ33" s="4" t="inlineStr">
        <is>
          <t>ACT-01.pdf</t>
        </is>
      </c>
      <c r="AR33" s="5">
        <f>IF($AQ33="","",HYPERLINK(p_ruta_base_checklists&amp;$AQ33,"abrir"))</f>
        <v/>
      </c>
      <c r="AS33" s="4" t="inlineStr"/>
      <c r="AT33" s="5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22" t="n">
        <v>46237</v>
      </c>
      <c r="K34" s="5" t="n">
        <v>6</v>
      </c>
      <c r="L34" s="18" t="n">
        <v>150</v>
      </c>
      <c r="M34" s="5">
        <f>IF($A34="","",IFERROR(INDEX('AJUSTES'!$B$4:$B$303,MATCH($AT34,'AJUSTES'!$A$4:$A$303,0)),IF($K34="","",$K34)))</f>
        <v/>
      </c>
      <c r="N34" s="5">
        <f>IF($A34="","",IFERROR(INDEX('CAT_ESTADOS_ERP'!$B$4:$B$7,MATCH(IFERROR(INDEX('2_IMPORTAR_EJECUCION'!$C$9:$C$1208,MATCH($AT34,'2_IMPORTAR_EJECUCION'!$J$9:$J$1208,0)),""),'CAT_ESTADOS_ERP'!$A$4:$A$7,0)),"Pendiente"))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IF($J34="","",$P34&amp;"-"&amp;TEXT($Q34,"00"))</f>
        <v/>
      </c>
      <c r="S34" s="5">
        <f>IF($J34="","",INDEX(lista_dias,WEEKDAY($J34,2)))</f>
        <v/>
      </c>
      <c r="T34" s="5">
        <f>IF($J34="","",IFERROR(INDEX('CALENDARIO'!$C$15:$C$214,MATCH(TEXT($J34,"yyyy-mm-dd")&amp;"|"&amp;$X34&amp;"|"&amp;$Y34,'CALENDARIO'!$G$15:$G$214,0)),IFERROR(INDEX('CALENDARIO'!$C$15:$C$214,MATCH(TEXT($J34,"yyyy-mm-dd")&amp;"|"&amp;$X34&amp;"|",'CALENDARIO'!$G$15:$G$214,0)),IFERROR(INDEX('CALENDARIO'!$C$15:$C$214,MATCH(TEXT($J34,"yyyy-mm-dd")&amp;"||",'CALENDARIO'!$G$15:$G$214,0)),INDEX(patronHabil,WEEKDAY($J34,2))))))</f>
        <v/>
      </c>
      <c r="U34" s="5">
        <f>IF($I34="","",IFERROR(INDEX('CAT_TIPOS_OT'!$C$4:$C$8,MATCH($I34,'CAT_TIPOS_OT'!$A$4:$A$8,0)),"sin_clasificar"))</f>
        <v/>
      </c>
      <c r="V34" s="5">
        <f>IF($I34="","",IF(IFERROR(INDEX('CAT_TIPOS_OT'!$D$4:$D$8,MATCH($I34,'CAT_TIPOS_OT'!$A$4:$A$8,0)),"SIN CLASIFICAR")="","SIN CLASIFICAR",IFERROR(INDEX('CAT_TIPOS_OT'!$D$4:$D$8,MATCH($I34,'CAT_TIPOS_OT'!$A$4:$A$8,0)),"SIN CLASIFICAR")))</f>
        <v/>
      </c>
      <c r="W34" s="5">
        <f>IF($F34="","",IFERROR(INDEX('CAT_CENTROS_COSTO'!$F$4:$F$13,MATCH($F34,'CAT_CENTROS_COSTO'!$A$4:$A$13,0)),"(sin catálogo)"))</f>
        <v/>
      </c>
      <c r="X34" s="5">
        <f>IF($F34="","",IFERROR(INDEX('CAT_CENTROS_COSTO'!$D$4:$D$13,MATCH($F34,'CAT_CENTROS_COSTO'!$A$4:$A$13,0)),"(sin catálogo)"))</f>
        <v/>
      </c>
      <c r="Y34" s="5">
        <f>IF($F34="","",IF((IFERROR(INDEX('CAT_CENTROS_COSTO'!$E$4:$E$13,MATCH($F34,'CAT_CENTROS_COSTO'!$A$4:$A$13,0)),""))&lt;&gt;"",IFERROR(INDEX('CAT_CENTROS_COSTO'!$E$4:$E$13,MATCH($F34,'CAT_CENTROS_COSTO'!$A$4:$A$13,0)),""),$X34))</f>
        <v/>
      </c>
      <c r="Z34" s="5">
        <f>IF($F34="","",IFERROR(INDEX('CAT_CENTROS_COSTO'!$G$4:$G$13,MATCH($F34,'CAT_CENTROS_COSTO'!$A$4:$A$13,0)),"(sin catálogo)"))</f>
        <v/>
      </c>
      <c r="AA34" s="5">
        <f>IF($G34="","",IFERROR(INDEX('CAT_PUESTOS'!$B$4:$B$8,MATCH($G34,'CAT_PUESTOS'!$A$4:$A$8,0)),"(sin catálogo)"))</f>
        <v/>
      </c>
      <c r="AB34" s="5">
        <f>IF($H34="","",IFERROR(INDEX('CAT_ACTIVIDADES'!$B$4:$B$11,MATCH($H34,'CAT_ACTIVIDADES'!$A$4:$A$11,0)),"(sin catálogo)"))</f>
        <v/>
      </c>
      <c r="AC34" s="20">
        <f>IF($J34="","",TODAY()-$J34)</f>
        <v/>
      </c>
      <c r="AD34" s="20">
        <f>IF($J34="","",IF($J34&lt;=TODAY(),COUNTIFS(cal_fechas,"&gt;="&amp;$J34,cal_fechas,"&lt;"&amp;TODAY(),cal_habil,"sí"),-COUNTIFS(cal_fechas,"&gt;="&amp;TODAY(),cal_fechas,"&lt;"&amp;$J34,cal_habil,"sí")))</f>
        <v/>
      </c>
      <c r="AE34" s="5">
        <f>IF($AD34="","",IF($AD34&lt;0,"FUTURO",IF($AD34&gt;p_dias_backlog_max,"BACKLOG","MES CORRIENTE")))</f>
        <v/>
      </c>
      <c r="AF34" s="5">
        <f>IF($AD34="",FALSE,AND($AD34&gt;p_dias_backlog_min,$AD34&lt;=p_dias_backlog_max))</f>
        <v/>
      </c>
      <c r="AG34" s="4" t="inlineStr">
        <is>
          <t>Carlos Pérez</t>
        </is>
      </c>
      <c r="AH34" s="5">
        <f>IF($AG34="","",IF((IFERROR(INDEX('ASIGNACIONES'!$J$4:$J$451,MATCH($O34&amp;"|"&amp;$S34&amp;"|"&amp;$AG34,'ASIGNACIONES'!$N$4:$N$451,0)),""))=0,"",IFERROR(INDEX('ASIGNACIONES'!$J$4:$J$451,MATCH($O34&amp;"|"&amp;$S34&amp;"|"&amp;$AG34,'ASIGNACIONES'!$N$4:$N$451,0)),"")))</f>
        <v/>
      </c>
      <c r="AI34" s="25">
        <f>IF($AG34="","",SUMIFS('ORDENES'!$M$4:$M$1203,'ORDENES'!$AG$4:$AG$1203,$AG34,'ORDENES'!$O$4:$O$1203,$O34,'ORDENES'!$S$4:$S$1203,$S34))</f>
        <v/>
      </c>
      <c r="AJ34" s="25">
        <f>IF($AI34="","",p_factor_productividad*IFERROR(INDEX('ASIGNACIONES'!$M$4:$M$451,MATCH($O34&amp;"|"&amp;$S34&amp;"|"&amp;$AG34,'ASIGNACIONES'!$N$4:$N$451,0)),0)-$AI34)</f>
        <v/>
      </c>
      <c r="AK34" s="18">
        <f>IF($A34="","",IFERROR(INDEX('2_IMPORTAR_EJECUCION'!$F$9:$F$1208,MATCH($AT34,'2_IMPORTAR_EJECUCION'!$J$9:$J$1208,0)),0))</f>
        <v/>
      </c>
      <c r="AL34" s="18">
        <f>IF($A34="","",MAX(0,IFERROR(INDEX('2_IMPORTAR_EJECUCION'!$H$9:$H$1208,MATCH($AT34,'2_IMPORTAR_EJECUCION'!$J$9:$J$1208,0)),0)-$AK34))</f>
        <v/>
      </c>
      <c r="AM34" s="18">
        <f>IF($A34="","",$AK34+$AL34)</f>
        <v/>
      </c>
      <c r="AN34" s="5">
        <f>IF($A34="","",IF(OR((IFERROR(INDEX('CAT_ACTIVIDADES'!$D$4:$D$11,MATCH($H34,'CAT_ACTIVIDADES'!$A$4:$A$11,0)),""))=0,(IFERROR(INDEX('CAT_ACTIVIDADES'!$D$4:$D$11,MATCH($H34,'CAT_ACTIVIDADES'!$A$4:$A$11,0)),""))=""),"SIN CLASIFICAR",IFERROR(INDEX('CAT_ACTIVIDADES'!$D$4:$D$11,MATCH($H34,'CAT_ACTIVIDADES'!$A$4:$A$11,0)),"")))</f>
        <v/>
      </c>
      <c r="AO34" s="4" t="inlineStr"/>
      <c r="AP34" s="4" t="inlineStr"/>
      <c r="AQ34" s="4" t="inlineStr">
        <is>
          <t>ACT-02.pdf</t>
        </is>
      </c>
      <c r="AR34" s="5">
        <f>IF($AQ34="","",HYPERLINK(p_ruta_base_checklists&amp;$AQ34,"abrir"))</f>
        <v/>
      </c>
      <c r="AS34" s="4" t="inlineStr"/>
      <c r="AT34" s="5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22" t="n">
        <v>46238</v>
      </c>
      <c r="K35" s="5" t="n">
        <v>10</v>
      </c>
      <c r="L35" s="18" t="n">
        <v>250</v>
      </c>
      <c r="M35" s="5">
        <f>IF($A35="","",IFERROR(INDEX('AJUSTES'!$B$4:$B$303,MATCH($AT35,'AJUSTES'!$A$4:$A$303,0)),IF($K35="","",$K35)))</f>
        <v/>
      </c>
      <c r="N35" s="5">
        <f>IF($A35="","",IFERROR(INDEX('CAT_ESTADOS_ERP'!$B$4:$B$7,MATCH(IFERROR(INDEX('2_IMPORTAR_EJECUCION'!$C$9:$C$1208,MATCH($AT35,'2_IMPORTAR_EJECUCION'!$J$9:$J$1208,0)),""),'CAT_ESTADOS_ERP'!$A$4:$A$7,0)),"Pendiente"))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IF($J35="","",$P35&amp;"-"&amp;TEXT($Q35,"00"))</f>
        <v/>
      </c>
      <c r="S35" s="5">
        <f>IF($J35="","",INDEX(lista_dias,WEEKDAY($J35,2)))</f>
        <v/>
      </c>
      <c r="T35" s="5">
        <f>IF($J35="","",IFERROR(INDEX('CALENDARIO'!$C$15:$C$214,MATCH(TEXT($J35,"yyyy-mm-dd")&amp;"|"&amp;$X35&amp;"|"&amp;$Y35,'CALENDARIO'!$G$15:$G$214,0)),IFERROR(INDEX('CALENDARIO'!$C$15:$C$214,MATCH(TEXT($J35,"yyyy-mm-dd")&amp;"|"&amp;$X35&amp;"|",'CALENDARIO'!$G$15:$G$214,0)),IFERROR(INDEX('CALENDARIO'!$C$15:$C$214,MATCH(TEXT($J35,"yyyy-mm-dd")&amp;"||",'CALENDARIO'!$G$15:$G$214,0)),INDEX(patronHabil,WEEKDAY($J35,2))))))</f>
        <v/>
      </c>
      <c r="U35" s="5">
        <f>IF($I35="","",IFERROR(INDEX('CAT_TIPOS_OT'!$C$4:$C$8,MATCH($I35,'CAT_TIPOS_OT'!$A$4:$A$8,0)),"sin_clasificar"))</f>
        <v/>
      </c>
      <c r="V35" s="5">
        <f>IF($I35="","",IF(IFERROR(INDEX('CAT_TIPOS_OT'!$D$4:$D$8,MATCH($I35,'CAT_TIPOS_OT'!$A$4:$A$8,0)),"SIN CLASIFICAR")="","SIN CLASIFICAR",IFERROR(INDEX('CAT_TIPOS_OT'!$D$4:$D$8,MATCH($I35,'CAT_TIPOS_OT'!$A$4:$A$8,0)),"SIN CLASIFICAR")))</f>
        <v/>
      </c>
      <c r="W35" s="5">
        <f>IF($F35="","",IFERROR(INDEX('CAT_CENTROS_COSTO'!$F$4:$F$13,MATCH($F35,'CAT_CENTROS_COSTO'!$A$4:$A$13,0)),"(sin catálogo)"))</f>
        <v/>
      </c>
      <c r="X35" s="5">
        <f>IF($F35="","",IFERROR(INDEX('CAT_CENTROS_COSTO'!$D$4:$D$13,MATCH($F35,'CAT_CENTROS_COSTO'!$A$4:$A$13,0)),"(sin catálogo)"))</f>
        <v/>
      </c>
      <c r="Y35" s="5">
        <f>IF($F35="","",IF((IFERROR(INDEX('CAT_CENTROS_COSTO'!$E$4:$E$13,MATCH($F35,'CAT_CENTROS_COSTO'!$A$4:$A$13,0)),""))&lt;&gt;"",IFERROR(INDEX('CAT_CENTROS_COSTO'!$E$4:$E$13,MATCH($F35,'CAT_CENTROS_COSTO'!$A$4:$A$13,0)),""),$X35))</f>
        <v/>
      </c>
      <c r="Z35" s="5">
        <f>IF($F35="","",IFERROR(INDEX('CAT_CENTROS_COSTO'!$G$4:$G$13,MATCH($F35,'CAT_CENTROS_COSTO'!$A$4:$A$13,0)),"(sin catálogo)"))</f>
        <v/>
      </c>
      <c r="AA35" s="5">
        <f>IF($G35="","",IFERROR(INDEX('CAT_PUESTOS'!$B$4:$B$8,MATCH($G35,'CAT_PUESTOS'!$A$4:$A$8,0)),"(sin catálogo)"))</f>
        <v/>
      </c>
      <c r="AB35" s="5">
        <f>IF($H35="","",IFERROR(INDEX('CAT_ACTIVIDADES'!$B$4:$B$11,MATCH($H35,'CAT_ACTIVIDADES'!$A$4:$A$11,0)),"(sin catálogo)"))</f>
        <v/>
      </c>
      <c r="AC35" s="20">
        <f>IF($J35="","",TODAY()-$J35)</f>
        <v/>
      </c>
      <c r="AD35" s="20">
        <f>IF($J35="","",IF($J35&lt;=TODAY(),COUNTIFS(cal_fechas,"&gt;="&amp;$J35,cal_fechas,"&lt;"&amp;TODAY(),cal_habil,"sí"),-COUNTIFS(cal_fechas,"&gt;="&amp;TODAY(),cal_fechas,"&lt;"&amp;$J35,cal_habil,"sí")))</f>
        <v/>
      </c>
      <c r="AE35" s="5">
        <f>IF($AD35="","",IF($AD35&lt;0,"FUTURO",IF($AD35&gt;p_dias_backlog_max,"BACKLOG","MES CORRIENTE")))</f>
        <v/>
      </c>
      <c r="AF35" s="5">
        <f>IF($AD35="",FALSE,AND($AD35&gt;p_dias_backlog_min,$AD35&lt;=p_dias_backlog_max))</f>
        <v/>
      </c>
      <c r="AG35" s="4" t="inlineStr">
        <is>
          <t>María Gómez</t>
        </is>
      </c>
      <c r="AH35" s="5">
        <f>IF($AG35="","",IF((IFERROR(INDEX('ASIGNACIONES'!$J$4:$J$451,MATCH($O35&amp;"|"&amp;$S35&amp;"|"&amp;$AG35,'ASIGNACIONES'!$N$4:$N$451,0)),""))=0,"",IFERROR(INDEX('ASIGNACIONES'!$J$4:$J$451,MATCH($O35&amp;"|"&amp;$S35&amp;"|"&amp;$AG35,'ASIGNACIONES'!$N$4:$N$451,0)),"")))</f>
        <v/>
      </c>
      <c r="AI35" s="25">
        <f>IF($AG35="","",SUMIFS('ORDENES'!$M$4:$M$1203,'ORDENES'!$AG$4:$AG$1203,$AG35,'ORDENES'!$O$4:$O$1203,$O35,'ORDENES'!$S$4:$S$1203,$S35))</f>
        <v/>
      </c>
      <c r="AJ35" s="25">
        <f>IF($AI35="","",p_factor_productividad*IFERROR(INDEX('ASIGNACIONES'!$M$4:$M$451,MATCH($O35&amp;"|"&amp;$S35&amp;"|"&amp;$AG35,'ASIGNACIONES'!$N$4:$N$451,0)),0)-$AI35)</f>
        <v/>
      </c>
      <c r="AK35" s="18">
        <f>IF($A35="","",IFERROR(INDEX('2_IMPORTAR_EJECUCION'!$F$9:$F$1208,MATCH($AT35,'2_IMPORTAR_EJECUCION'!$J$9:$J$1208,0)),0))</f>
        <v/>
      </c>
      <c r="AL35" s="18">
        <f>IF($A35="","",MAX(0,IFERROR(INDEX('2_IMPORTAR_EJECUCION'!$H$9:$H$1208,MATCH($AT35,'2_IMPORTAR_EJECUCION'!$J$9:$J$1208,0)),0)-$AK35))</f>
        <v/>
      </c>
      <c r="AM35" s="18">
        <f>IF($A35="","",$AK35+$AL35)</f>
        <v/>
      </c>
      <c r="AN35" s="5">
        <f>IF($A35="","",IF(OR((IFERROR(INDEX('CAT_ACTIVIDADES'!$D$4:$D$11,MATCH($H35,'CAT_ACTIVIDADES'!$A$4:$A$11,0)),""))=0,(IFERROR(INDEX('CAT_ACTIVIDADES'!$D$4:$D$11,MATCH($H35,'CAT_ACTIVIDADES'!$A$4:$A$11,0)),""))=""),"SIN CLASIFICAR",IFERROR(INDEX('CAT_ACTIVIDADES'!$D$4:$D$11,MATCH($H35,'CAT_ACTIVIDADES'!$A$4:$A$11,0)),"")))</f>
        <v/>
      </c>
      <c r="AO35" s="4" t="inlineStr"/>
      <c r="AP35" s="4" t="inlineStr"/>
      <c r="AQ35" s="4" t="inlineStr">
        <is>
          <t>ACT-04.pdf</t>
        </is>
      </c>
      <c r="AR35" s="5">
        <f>IF($AQ35="","",HYPERLINK(p_ruta_base_checklists&amp;$AQ35,"abrir"))</f>
        <v/>
      </c>
      <c r="AS35" s="4" t="inlineStr"/>
      <c r="AT35" s="5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22" t="n">
        <v>46239</v>
      </c>
      <c r="K36" s="5" t="n">
        <v>8</v>
      </c>
      <c r="L36" s="18" t="n">
        <v>200</v>
      </c>
      <c r="M36" s="5">
        <f>IF($A36="","",IFERROR(INDEX('AJUSTES'!$B$4:$B$303,MATCH($AT36,'AJUSTES'!$A$4:$A$303,0)),IF($K36="","",$K36)))</f>
        <v/>
      </c>
      <c r="N36" s="5">
        <f>IF($A36="","",IFERROR(INDEX('CAT_ESTADOS_ERP'!$B$4:$B$7,MATCH(IFERROR(INDEX('2_IMPORTAR_EJECUCION'!$C$9:$C$1208,MATCH($AT36,'2_IMPORTAR_EJECUCION'!$J$9:$J$1208,0)),""),'CAT_ESTADOS_ERP'!$A$4:$A$7,0)),"Pendiente"))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IF($J36="","",$P36&amp;"-"&amp;TEXT($Q36,"00"))</f>
        <v/>
      </c>
      <c r="S36" s="5">
        <f>IF($J36="","",INDEX(lista_dias,WEEKDAY($J36,2)))</f>
        <v/>
      </c>
      <c r="T36" s="5">
        <f>IF($J36="","",IFERROR(INDEX('CALENDARIO'!$C$15:$C$214,MATCH(TEXT($J36,"yyyy-mm-dd")&amp;"|"&amp;$X36&amp;"|"&amp;$Y36,'CALENDARIO'!$G$15:$G$214,0)),IFERROR(INDEX('CALENDARIO'!$C$15:$C$214,MATCH(TEXT($J36,"yyyy-mm-dd")&amp;"|"&amp;$X36&amp;"|",'CALENDARIO'!$G$15:$G$214,0)),IFERROR(INDEX('CALENDARIO'!$C$15:$C$214,MATCH(TEXT($J36,"yyyy-mm-dd")&amp;"||",'CALENDARIO'!$G$15:$G$214,0)),INDEX(patronHabil,WEEKDAY($J36,2))))))</f>
        <v/>
      </c>
      <c r="U36" s="5">
        <f>IF($I36="","",IFERROR(INDEX('CAT_TIPOS_OT'!$C$4:$C$8,MATCH($I36,'CAT_TIPOS_OT'!$A$4:$A$8,0)),"sin_clasificar"))</f>
        <v/>
      </c>
      <c r="V36" s="5">
        <f>IF($I36="","",IF(IFERROR(INDEX('CAT_TIPOS_OT'!$D$4:$D$8,MATCH($I36,'CAT_TIPOS_OT'!$A$4:$A$8,0)),"SIN CLASIFICAR")="","SIN CLASIFICAR",IFERROR(INDEX('CAT_TIPOS_OT'!$D$4:$D$8,MATCH($I36,'CAT_TIPOS_OT'!$A$4:$A$8,0)),"SIN CLASIFICAR")))</f>
        <v/>
      </c>
      <c r="W36" s="5">
        <f>IF($F36="","",IFERROR(INDEX('CAT_CENTROS_COSTO'!$F$4:$F$13,MATCH($F36,'CAT_CENTROS_COSTO'!$A$4:$A$13,0)),"(sin catálogo)"))</f>
        <v/>
      </c>
      <c r="X36" s="5">
        <f>IF($F36="","",IFERROR(INDEX('CAT_CENTROS_COSTO'!$D$4:$D$13,MATCH($F36,'CAT_CENTROS_COSTO'!$A$4:$A$13,0)),"(sin catálogo)"))</f>
        <v/>
      </c>
      <c r="Y36" s="5">
        <f>IF($F36="","",IF((IFERROR(INDEX('CAT_CENTROS_COSTO'!$E$4:$E$13,MATCH($F36,'CAT_CENTROS_COSTO'!$A$4:$A$13,0)),""))&lt;&gt;"",IFERROR(INDEX('CAT_CENTROS_COSTO'!$E$4:$E$13,MATCH($F36,'CAT_CENTROS_COSTO'!$A$4:$A$13,0)),""),$X36))</f>
        <v/>
      </c>
      <c r="Z36" s="5">
        <f>IF($F36="","",IFERROR(INDEX('CAT_CENTROS_COSTO'!$G$4:$G$13,MATCH($F36,'CAT_CENTROS_COSTO'!$A$4:$A$13,0)),"(sin catálogo)"))</f>
        <v/>
      </c>
      <c r="AA36" s="5">
        <f>IF($G36="","",IFERROR(INDEX('CAT_PUESTOS'!$B$4:$B$8,MATCH($G36,'CAT_PUESTOS'!$A$4:$A$8,0)),"(sin catálogo)"))</f>
        <v/>
      </c>
      <c r="AB36" s="5">
        <f>IF($H36="","",IFERROR(INDEX('CAT_ACTIVIDADES'!$B$4:$B$11,MATCH($H36,'CAT_ACTIVIDADES'!$A$4:$A$11,0)),"(sin catálogo)"))</f>
        <v/>
      </c>
      <c r="AC36" s="20">
        <f>IF($J36="","",TODAY()-$J36)</f>
        <v/>
      </c>
      <c r="AD36" s="20">
        <f>IF($J36="","",IF($J36&lt;=TODAY(),COUNTIFS(cal_fechas,"&gt;="&amp;$J36,cal_fechas,"&lt;"&amp;TODAY(),cal_habil,"sí"),-COUNTIFS(cal_fechas,"&gt;="&amp;TODAY(),cal_fechas,"&lt;"&amp;$J36,cal_habil,"sí")))</f>
        <v/>
      </c>
      <c r="AE36" s="5">
        <f>IF($AD36="","",IF($AD36&lt;0,"FUTURO",IF($AD36&gt;p_dias_backlog_max,"BACKLOG","MES CORRIENTE")))</f>
        <v/>
      </c>
      <c r="AF36" s="5">
        <f>IF($AD36="",FALSE,AND($AD36&gt;p_dias_backlog_min,$AD36&lt;=p_dias_backlog_max))</f>
        <v/>
      </c>
      <c r="AG36" s="4" t="inlineStr">
        <is>
          <t>Luis Rodríguez</t>
        </is>
      </c>
      <c r="AH36" s="5">
        <f>IF($AG36="","",IF((IFERROR(INDEX('ASIGNACIONES'!$J$4:$J$451,MATCH($O36&amp;"|"&amp;$S36&amp;"|"&amp;$AG36,'ASIGNACIONES'!$N$4:$N$451,0)),""))=0,"",IFERROR(INDEX('ASIGNACIONES'!$J$4:$J$451,MATCH($O36&amp;"|"&amp;$S36&amp;"|"&amp;$AG36,'ASIGNACIONES'!$N$4:$N$451,0)),"")))</f>
        <v/>
      </c>
      <c r="AI36" s="25">
        <f>IF($AG36="","",SUMIFS('ORDENES'!$M$4:$M$1203,'ORDENES'!$AG$4:$AG$1203,$AG36,'ORDENES'!$O$4:$O$1203,$O36,'ORDENES'!$S$4:$S$1203,$S36))</f>
        <v/>
      </c>
      <c r="AJ36" s="25">
        <f>IF($AI36="","",p_factor_productividad*IFERROR(INDEX('ASIGNACIONES'!$M$4:$M$451,MATCH($O36&amp;"|"&amp;$S36&amp;"|"&amp;$AG36,'ASIGNACIONES'!$N$4:$N$451,0)),0)-$AI36)</f>
        <v/>
      </c>
      <c r="AK36" s="18">
        <f>IF($A36="","",IFERROR(INDEX('2_IMPORTAR_EJECUCION'!$F$9:$F$1208,MATCH($AT36,'2_IMPORTAR_EJECUCION'!$J$9:$J$1208,0)),0))</f>
        <v/>
      </c>
      <c r="AL36" s="18">
        <f>IF($A36="","",MAX(0,IFERROR(INDEX('2_IMPORTAR_EJECUCION'!$H$9:$H$1208,MATCH($AT36,'2_IMPORTAR_EJECUCION'!$J$9:$J$1208,0)),0)-$AK36))</f>
        <v/>
      </c>
      <c r="AM36" s="18">
        <f>IF($A36="","",$AK36+$AL36)</f>
        <v/>
      </c>
      <c r="AN36" s="5">
        <f>IF($A36="","",IF(OR((IFERROR(INDEX('CAT_ACTIVIDADES'!$D$4:$D$11,MATCH($H36,'CAT_ACTIVIDADES'!$A$4:$A$11,0)),""))=0,(IFERROR(INDEX('CAT_ACTIVIDADES'!$D$4:$D$11,MATCH($H36,'CAT_ACTIVIDADES'!$A$4:$A$11,0)),""))=""),"SIN CLASIFICAR",IFERROR(INDEX('CAT_ACTIVIDADES'!$D$4:$D$11,MATCH($H36,'CAT_ACTIVIDADES'!$A$4:$A$11,0)),"")))</f>
        <v/>
      </c>
      <c r="AO36" s="4" t="inlineStr"/>
      <c r="AP36" s="4" t="inlineStr"/>
      <c r="AQ36" s="4" t="inlineStr">
        <is>
          <t>ACT-01.pdf</t>
        </is>
      </c>
      <c r="AR36" s="5">
        <f>IF($AQ36="","",HYPERLINK(p_ruta_base_checklists&amp;$AQ36,"abrir"))</f>
        <v/>
      </c>
      <c r="AS36" s="4" t="inlineStr"/>
      <c r="AT36" s="5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22" t="n">
        <v>46240</v>
      </c>
      <c r="K37" s="5" t="n">
        <v>6</v>
      </c>
      <c r="L37" s="18" t="n">
        <v>150</v>
      </c>
      <c r="M37" s="5">
        <f>IF($A37="","",IFERROR(INDEX('AJUSTES'!$B$4:$B$303,MATCH($AT37,'AJUSTES'!$A$4:$A$303,0)),IF($K37="","",$K37)))</f>
        <v/>
      </c>
      <c r="N37" s="5">
        <f>IF($A37="","",IFERROR(INDEX('CAT_ESTADOS_ERP'!$B$4:$B$7,MATCH(IFERROR(INDEX('2_IMPORTAR_EJECUCION'!$C$9:$C$1208,MATCH($AT37,'2_IMPORTAR_EJECUCION'!$J$9:$J$1208,0)),""),'CAT_ESTADOS_ERP'!$A$4:$A$7,0)),"Pendiente"))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IF($J37="","",$P37&amp;"-"&amp;TEXT($Q37,"00"))</f>
        <v/>
      </c>
      <c r="S37" s="5">
        <f>IF($J37="","",INDEX(lista_dias,WEEKDAY($J37,2)))</f>
        <v/>
      </c>
      <c r="T37" s="5">
        <f>IF($J37="","",IFERROR(INDEX('CALENDARIO'!$C$15:$C$214,MATCH(TEXT($J37,"yyyy-mm-dd")&amp;"|"&amp;$X37&amp;"|"&amp;$Y37,'CALENDARIO'!$G$15:$G$214,0)),IFERROR(INDEX('CALENDARIO'!$C$15:$C$214,MATCH(TEXT($J37,"yyyy-mm-dd")&amp;"|"&amp;$X37&amp;"|",'CALENDARIO'!$G$15:$G$214,0)),IFERROR(INDEX('CALENDARIO'!$C$15:$C$214,MATCH(TEXT($J37,"yyyy-mm-dd")&amp;"||",'CALENDARIO'!$G$15:$G$214,0)),INDEX(patronHabil,WEEKDAY($J37,2))))))</f>
        <v/>
      </c>
      <c r="U37" s="5">
        <f>IF($I37="","",IFERROR(INDEX('CAT_TIPOS_OT'!$C$4:$C$8,MATCH($I37,'CAT_TIPOS_OT'!$A$4:$A$8,0)),"sin_clasificar"))</f>
        <v/>
      </c>
      <c r="V37" s="5">
        <f>IF($I37="","",IF(IFERROR(INDEX('CAT_TIPOS_OT'!$D$4:$D$8,MATCH($I37,'CAT_TIPOS_OT'!$A$4:$A$8,0)),"SIN CLASIFICAR")="","SIN CLASIFICAR",IFERROR(INDEX('CAT_TIPOS_OT'!$D$4:$D$8,MATCH($I37,'CAT_TIPOS_OT'!$A$4:$A$8,0)),"SIN CLASIFICAR")))</f>
        <v/>
      </c>
      <c r="W37" s="5">
        <f>IF($F37="","",IFERROR(INDEX('CAT_CENTROS_COSTO'!$F$4:$F$13,MATCH($F37,'CAT_CENTROS_COSTO'!$A$4:$A$13,0)),"(sin catálogo)"))</f>
        <v/>
      </c>
      <c r="X37" s="5">
        <f>IF($F37="","",IFERROR(INDEX('CAT_CENTROS_COSTO'!$D$4:$D$13,MATCH($F37,'CAT_CENTROS_COSTO'!$A$4:$A$13,0)),"(sin catálogo)"))</f>
        <v/>
      </c>
      <c r="Y37" s="5">
        <f>IF($F37="","",IF((IFERROR(INDEX('CAT_CENTROS_COSTO'!$E$4:$E$13,MATCH($F37,'CAT_CENTROS_COSTO'!$A$4:$A$13,0)),""))&lt;&gt;"",IFERROR(INDEX('CAT_CENTROS_COSTO'!$E$4:$E$13,MATCH($F37,'CAT_CENTROS_COSTO'!$A$4:$A$13,0)),""),$X37))</f>
        <v/>
      </c>
      <c r="Z37" s="5">
        <f>IF($F37="","",IFERROR(INDEX('CAT_CENTROS_COSTO'!$G$4:$G$13,MATCH($F37,'CAT_CENTROS_COSTO'!$A$4:$A$13,0)),"(sin catálogo)"))</f>
        <v/>
      </c>
      <c r="AA37" s="5">
        <f>IF($G37="","",IFERROR(INDEX('CAT_PUESTOS'!$B$4:$B$8,MATCH($G37,'CAT_PUESTOS'!$A$4:$A$8,0)),"(sin catálogo)"))</f>
        <v/>
      </c>
      <c r="AB37" s="5">
        <f>IF($H37="","",IFERROR(INDEX('CAT_ACTIVIDADES'!$B$4:$B$11,MATCH($H37,'CAT_ACTIVIDADES'!$A$4:$A$11,0)),"(sin catálogo)"))</f>
        <v/>
      </c>
      <c r="AC37" s="20">
        <f>IF($J37="","",TODAY()-$J37)</f>
        <v/>
      </c>
      <c r="AD37" s="20">
        <f>IF($J37="","",IF($J37&lt;=TODAY(),COUNTIFS(cal_fechas,"&gt;="&amp;$J37,cal_fechas,"&lt;"&amp;TODAY(),cal_habil,"sí"),-COUNTIFS(cal_fechas,"&gt;="&amp;TODAY(),cal_fechas,"&lt;"&amp;$J37,cal_habil,"sí")))</f>
        <v/>
      </c>
      <c r="AE37" s="5">
        <f>IF($AD37="","",IF($AD37&lt;0,"FUTURO",IF($AD37&gt;p_dias_backlog_max,"BACKLOG","MES CORRIENTE")))</f>
        <v/>
      </c>
      <c r="AF37" s="5">
        <f>IF($AD37="",FALSE,AND($AD37&gt;p_dias_backlog_min,$AD37&lt;=p_dias_backlog_max))</f>
        <v/>
      </c>
      <c r="AG37" s="4" t="inlineStr"/>
      <c r="AH37" s="5">
        <f>IF($AG37="","",IF((IFERROR(INDEX('ASIGNACIONES'!$J$4:$J$451,MATCH($O37&amp;"|"&amp;$S37&amp;"|"&amp;$AG37,'ASIGNACIONES'!$N$4:$N$451,0)),""))=0,"",IFERROR(INDEX('ASIGNACIONES'!$J$4:$J$451,MATCH($O37&amp;"|"&amp;$S37&amp;"|"&amp;$AG37,'ASIGNACIONES'!$N$4:$N$451,0)),"")))</f>
        <v/>
      </c>
      <c r="AI37" s="25">
        <f>IF($AG37="","",SUMIFS('ORDENES'!$M$4:$M$1203,'ORDENES'!$AG$4:$AG$1203,$AG37,'ORDENES'!$O$4:$O$1203,$O37,'ORDENES'!$S$4:$S$1203,$S37))</f>
        <v/>
      </c>
      <c r="AJ37" s="25">
        <f>IF($AI37="","",p_factor_productividad*IFERROR(INDEX('ASIGNACIONES'!$M$4:$M$451,MATCH($O37&amp;"|"&amp;$S37&amp;"|"&amp;$AG37,'ASIGNACIONES'!$N$4:$N$451,0)),0)-$AI37)</f>
        <v/>
      </c>
      <c r="AK37" s="18">
        <f>IF($A37="","",IFERROR(INDEX('2_IMPORTAR_EJECUCION'!$F$9:$F$1208,MATCH($AT37,'2_IMPORTAR_EJECUCION'!$J$9:$J$1208,0)),0))</f>
        <v/>
      </c>
      <c r="AL37" s="18">
        <f>IF($A37="","",MAX(0,IFERROR(INDEX('2_IMPORTAR_EJECUCION'!$H$9:$H$1208,MATCH($AT37,'2_IMPORTAR_EJECUCION'!$J$9:$J$1208,0)),0)-$AK37))</f>
        <v/>
      </c>
      <c r="AM37" s="18">
        <f>IF($A37="","",$AK37+$AL37)</f>
        <v/>
      </c>
      <c r="AN37" s="5">
        <f>IF($A37="","",IF(OR((IFERROR(INDEX('CAT_ACTIVIDADES'!$D$4:$D$11,MATCH($H37,'CAT_ACTIVIDADES'!$A$4:$A$11,0)),""))=0,(IFERROR(INDEX('CAT_ACTIVIDADES'!$D$4:$D$11,MATCH($H37,'CAT_ACTIVIDADES'!$A$4:$A$11,0)),""))=""),"SIN CLASIFICAR",IFERROR(INDEX('CAT_ACTIVIDADES'!$D$4:$D$11,MATCH($H37,'CAT_ACTIVIDADES'!$A$4:$A$11,0)),"")))</f>
        <v/>
      </c>
      <c r="AO37" s="4" t="inlineStr"/>
      <c r="AP37" s="4" t="inlineStr"/>
      <c r="AQ37" s="4" t="inlineStr">
        <is>
          <t>ACT-02.pdf</t>
        </is>
      </c>
      <c r="AR37" s="5">
        <f>IF($AQ37="","",HYPERLINK(p_ruta_base_checklists&amp;$AQ37,"abrir"))</f>
        <v/>
      </c>
      <c r="AS37" s="4" t="inlineStr"/>
      <c r="AT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22" t="n">
        <v>46241</v>
      </c>
      <c r="K38" s="5" t="n">
        <v>8</v>
      </c>
      <c r="L38" s="18" t="n">
        <v>200</v>
      </c>
      <c r="M38" s="5">
        <f>IF($A38="","",IFERROR(INDEX('AJUSTES'!$B$4:$B$303,MATCH($AT38,'AJUSTES'!$A$4:$A$303,0)),IF($K38="","",$K38)))</f>
        <v/>
      </c>
      <c r="N38" s="5">
        <f>IF($A38="","",IFERROR(INDEX('CAT_ESTADOS_ERP'!$B$4:$B$7,MATCH(IFERROR(INDEX('2_IMPORTAR_EJECUCION'!$C$9:$C$1208,MATCH($AT38,'2_IMPORTAR_EJECUCION'!$J$9:$J$1208,0)),""),'CAT_ESTADOS_ERP'!$A$4:$A$7,0)),"Pendiente"))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IF($J38="","",$P38&amp;"-"&amp;TEXT($Q38,"00"))</f>
        <v/>
      </c>
      <c r="S38" s="5">
        <f>IF($J38="","",INDEX(lista_dias,WEEKDAY($J38,2)))</f>
        <v/>
      </c>
      <c r="T38" s="5">
        <f>IF($J38="","",IFERROR(INDEX('CALENDARIO'!$C$15:$C$214,MATCH(TEXT($J38,"yyyy-mm-dd")&amp;"|"&amp;$X38&amp;"|"&amp;$Y38,'CALENDARIO'!$G$15:$G$214,0)),IFERROR(INDEX('CALENDARIO'!$C$15:$C$214,MATCH(TEXT($J38,"yyyy-mm-dd")&amp;"|"&amp;$X38&amp;"|",'CALENDARIO'!$G$15:$G$214,0)),IFERROR(INDEX('CALENDARIO'!$C$15:$C$214,MATCH(TEXT($J38,"yyyy-mm-dd")&amp;"||",'CALENDARIO'!$G$15:$G$214,0)),INDEX(patronHabil,WEEKDAY($J38,2))))))</f>
        <v/>
      </c>
      <c r="U38" s="5">
        <f>IF($I38="","",IFERROR(INDEX('CAT_TIPOS_OT'!$C$4:$C$8,MATCH($I38,'CAT_TIPOS_OT'!$A$4:$A$8,0)),"sin_clasificar"))</f>
        <v/>
      </c>
      <c r="V38" s="5">
        <f>IF($I38="","",IF(IFERROR(INDEX('CAT_TIPOS_OT'!$D$4:$D$8,MATCH($I38,'CAT_TIPOS_OT'!$A$4:$A$8,0)),"SIN CLASIFICAR")="","SIN CLASIFICAR",IFERROR(INDEX('CAT_TIPOS_OT'!$D$4:$D$8,MATCH($I38,'CAT_TIPOS_OT'!$A$4:$A$8,0)),"SIN CLASIFICAR")))</f>
        <v/>
      </c>
      <c r="W38" s="5">
        <f>IF($F38="","",IFERROR(INDEX('CAT_CENTROS_COSTO'!$F$4:$F$13,MATCH($F38,'CAT_CENTROS_COSTO'!$A$4:$A$13,0)),"(sin catálogo)"))</f>
        <v/>
      </c>
      <c r="X38" s="5">
        <f>IF($F38="","",IFERROR(INDEX('CAT_CENTROS_COSTO'!$D$4:$D$13,MATCH($F38,'CAT_CENTROS_COSTO'!$A$4:$A$13,0)),"(sin catálogo)"))</f>
        <v/>
      </c>
      <c r="Y38" s="5">
        <f>IF($F38="","",IF((IFERROR(INDEX('CAT_CENTROS_COSTO'!$E$4:$E$13,MATCH($F38,'CAT_CENTROS_COSTO'!$A$4:$A$13,0)),""))&lt;&gt;"",IFERROR(INDEX('CAT_CENTROS_COSTO'!$E$4:$E$13,MATCH($F38,'CAT_CENTROS_COSTO'!$A$4:$A$13,0)),""),$X38))</f>
        <v/>
      </c>
      <c r="Z38" s="5">
        <f>IF($F38="","",IFERROR(INDEX('CAT_CENTROS_COSTO'!$G$4:$G$13,MATCH($F38,'CAT_CENTROS_COSTO'!$A$4:$A$13,0)),"(sin catálogo)"))</f>
        <v/>
      </c>
      <c r="AA38" s="5">
        <f>IF($G38="","",IFERROR(INDEX('CAT_PUESTOS'!$B$4:$B$8,MATCH($G38,'CAT_PUESTOS'!$A$4:$A$8,0)),"(sin catálogo)"))</f>
        <v/>
      </c>
      <c r="AB38" s="5">
        <f>IF($H38="","",IFERROR(INDEX('CAT_ACTIVIDADES'!$B$4:$B$11,MATCH($H38,'CAT_ACTIVIDADES'!$A$4:$A$11,0)),"(sin catálogo)"))</f>
        <v/>
      </c>
      <c r="AC38" s="20">
        <f>IF($J38="","",TODAY()-$J38)</f>
        <v/>
      </c>
      <c r="AD38" s="20">
        <f>IF($J38="","",IF($J38&lt;=TODAY(),COUNTIFS(cal_fechas,"&gt;="&amp;$J38,cal_fechas,"&lt;"&amp;TODAY(),cal_habil,"sí"),-COUNTIFS(cal_fechas,"&gt;="&amp;TODAY(),cal_fechas,"&lt;"&amp;$J38,cal_habil,"sí")))</f>
        <v/>
      </c>
      <c r="AE38" s="5">
        <f>IF($AD38="","",IF($AD38&lt;0,"FUTURO",IF($AD38&gt;p_dias_backlog_max,"BACKLOG","MES CORRIENTE")))</f>
        <v/>
      </c>
      <c r="AF38" s="5">
        <f>IF($AD38="",FALSE,AND($AD38&gt;p_dias_backlog_min,$AD38&lt;=p_dias_backlog_max))</f>
        <v/>
      </c>
      <c r="AG38" s="4" t="inlineStr">
        <is>
          <t>David Torres</t>
        </is>
      </c>
      <c r="AH38" s="5">
        <f>IF($AG38="","",IF((IFERROR(INDEX('ASIGNACIONES'!$J$4:$J$451,MATCH($O38&amp;"|"&amp;$S38&amp;"|"&amp;$AG38,'ASIGNACIONES'!$N$4:$N$451,0)),""))=0,"",IFERROR(INDEX('ASIGNACIONES'!$J$4:$J$451,MATCH($O38&amp;"|"&amp;$S38&amp;"|"&amp;$AG38,'ASIGNACIONES'!$N$4:$N$451,0)),"")))</f>
        <v/>
      </c>
      <c r="AI38" s="25">
        <f>IF($AG38="","",SUMIFS('ORDENES'!$M$4:$M$1203,'ORDENES'!$AG$4:$AG$1203,$AG38,'ORDENES'!$O$4:$O$1203,$O38,'ORDENES'!$S$4:$S$1203,$S38))</f>
        <v/>
      </c>
      <c r="AJ38" s="25">
        <f>IF($AI38="","",p_factor_productividad*IFERROR(INDEX('ASIGNACIONES'!$M$4:$M$451,MATCH($O38&amp;"|"&amp;$S38&amp;"|"&amp;$AG38,'ASIGNACIONES'!$N$4:$N$451,0)),0)-$AI38)</f>
        <v/>
      </c>
      <c r="AK38" s="18">
        <f>IF($A38="","",IFERROR(INDEX('2_IMPORTAR_EJECUCION'!$F$9:$F$1208,MATCH($AT38,'2_IMPORTAR_EJECUCION'!$J$9:$J$1208,0)),0))</f>
        <v/>
      </c>
      <c r="AL38" s="18">
        <f>IF($A38="","",MAX(0,IFERROR(INDEX('2_IMPORTAR_EJECUCION'!$H$9:$H$1208,MATCH($AT38,'2_IMPORTAR_EJECUCION'!$J$9:$J$1208,0)),0)-$AK38))</f>
        <v/>
      </c>
      <c r="AM38" s="18">
        <f>IF($A38="","",$AK38+$AL38)</f>
        <v/>
      </c>
      <c r="AN38" s="5">
        <f>IF($A38="","",IF(OR((IFERROR(INDEX('CAT_ACTIVIDADES'!$D$4:$D$11,MATCH($H38,'CAT_ACTIVIDADES'!$A$4:$A$11,0)),""))=0,(IFERROR(INDEX('CAT_ACTIVIDADES'!$D$4:$D$11,MATCH($H38,'CAT_ACTIVIDADES'!$A$4:$A$11,0)),""))=""),"SIN CLASIFICAR",IFERROR(INDEX('CAT_ACTIVIDADES'!$D$4:$D$11,MATCH($H38,'CAT_ACTIVIDADES'!$A$4:$A$11,0)),"")))</f>
        <v/>
      </c>
      <c r="AO38" s="4" t="inlineStr"/>
      <c r="AP38" s="4" t="inlineStr"/>
      <c r="AQ38" s="4" t="inlineStr">
        <is>
          <t>ACT-04.pdf</t>
        </is>
      </c>
      <c r="AR38" s="5">
        <f>IF($AQ38="","",HYPERLINK(p_ruta_base_checklists&amp;$AQ38,"abrir"))</f>
        <v/>
      </c>
      <c r="AS38" s="4" t="inlineStr"/>
      <c r="AT38" s="5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22" t="n">
        <v>46237</v>
      </c>
      <c r="K39" s="5" t="n">
        <v>10</v>
      </c>
      <c r="L39" s="18" t="n">
        <v>400</v>
      </c>
      <c r="M39" s="5">
        <f>IF($A39="","",IFERROR(INDEX('AJUSTES'!$B$4:$B$303,MATCH($AT39,'AJUSTES'!$A$4:$A$303,0)),IF($K39="","",$K39)))</f>
        <v/>
      </c>
      <c r="N39" s="5">
        <f>IF($A39="","",IFERROR(INDEX('CAT_ESTADOS_ERP'!$B$4:$B$7,MATCH(IFERROR(INDEX('2_IMPORTAR_EJECUCION'!$C$9:$C$1208,MATCH($AT39,'2_IMPORTAR_EJECUCION'!$J$9:$J$1208,0)),""),'CAT_ESTADOS_ERP'!$A$4:$A$7,0)),"Pendiente"))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IF($J39="","",$P39&amp;"-"&amp;TEXT($Q39,"00"))</f>
        <v/>
      </c>
      <c r="S39" s="5">
        <f>IF($J39="","",INDEX(lista_dias,WEEKDAY($J39,2)))</f>
        <v/>
      </c>
      <c r="T39" s="5">
        <f>IF($J39="","",IFERROR(INDEX('CALENDARIO'!$C$15:$C$214,MATCH(TEXT($J39,"yyyy-mm-dd")&amp;"|"&amp;$X39&amp;"|"&amp;$Y39,'CALENDARIO'!$G$15:$G$214,0)),IFERROR(INDEX('CALENDARIO'!$C$15:$C$214,MATCH(TEXT($J39,"yyyy-mm-dd")&amp;"|"&amp;$X39&amp;"|",'CALENDARIO'!$G$15:$G$214,0)),IFERROR(INDEX('CALENDARIO'!$C$15:$C$214,MATCH(TEXT($J39,"yyyy-mm-dd")&amp;"||",'CALENDARIO'!$G$15:$G$214,0)),INDEX(patronHabil,WEEKDAY($J39,2))))))</f>
        <v/>
      </c>
      <c r="U39" s="5">
        <f>IF($I39="","",IFERROR(INDEX('CAT_TIPOS_OT'!$C$4:$C$8,MATCH($I39,'CAT_TIPOS_OT'!$A$4:$A$8,0)),"sin_clasificar"))</f>
        <v/>
      </c>
      <c r="V39" s="5">
        <f>IF($I39="","",IF(IFERROR(INDEX('CAT_TIPOS_OT'!$D$4:$D$8,MATCH($I39,'CAT_TIPOS_OT'!$A$4:$A$8,0)),"SIN CLASIFICAR")="","SIN CLASIFICAR",IFERROR(INDEX('CAT_TIPOS_OT'!$D$4:$D$8,MATCH($I39,'CAT_TIPOS_OT'!$A$4:$A$8,0)),"SIN CLASIFICAR")))</f>
        <v/>
      </c>
      <c r="W39" s="5">
        <f>IF($F39="","",IFERROR(INDEX('CAT_CENTROS_COSTO'!$F$4:$F$13,MATCH($F39,'CAT_CENTROS_COSTO'!$A$4:$A$13,0)),"(sin catálogo)"))</f>
        <v/>
      </c>
      <c r="X39" s="5">
        <f>IF($F39="","",IFERROR(INDEX('CAT_CENTROS_COSTO'!$D$4:$D$13,MATCH($F39,'CAT_CENTROS_COSTO'!$A$4:$A$13,0)),"(sin catálogo)"))</f>
        <v/>
      </c>
      <c r="Y39" s="5">
        <f>IF($F39="","",IF((IFERROR(INDEX('CAT_CENTROS_COSTO'!$E$4:$E$13,MATCH($F39,'CAT_CENTROS_COSTO'!$A$4:$A$13,0)),""))&lt;&gt;"",IFERROR(INDEX('CAT_CENTROS_COSTO'!$E$4:$E$13,MATCH($F39,'CAT_CENTROS_COSTO'!$A$4:$A$13,0)),""),$X39))</f>
        <v/>
      </c>
      <c r="Z39" s="5">
        <f>IF($F39="","",IFERROR(INDEX('CAT_CENTROS_COSTO'!$G$4:$G$13,MATCH($F39,'CAT_CENTROS_COSTO'!$A$4:$A$13,0)),"(sin catálogo)"))</f>
        <v/>
      </c>
      <c r="AA39" s="5">
        <f>IF($G39="","",IFERROR(INDEX('CAT_PUESTOS'!$B$4:$B$8,MATCH($G39,'CAT_PUESTOS'!$A$4:$A$8,0)),"(sin catálogo)"))</f>
        <v/>
      </c>
      <c r="AB39" s="5">
        <f>IF($H39="","",IFERROR(INDEX('CAT_ACTIVIDADES'!$B$4:$B$11,MATCH($H39,'CAT_ACTIVIDADES'!$A$4:$A$11,0)),"(sin catálogo)"))</f>
        <v/>
      </c>
      <c r="AC39" s="20">
        <f>IF($J39="","",TODAY()-$J39)</f>
        <v/>
      </c>
      <c r="AD39" s="20">
        <f>IF($J39="","",IF($J39&lt;=TODAY(),COUNTIFS(cal_fechas,"&gt;="&amp;$J39,cal_fechas,"&lt;"&amp;TODAY(),cal_habil,"sí"),-COUNTIFS(cal_fechas,"&gt;="&amp;TODAY(),cal_fechas,"&lt;"&amp;$J39,cal_habil,"sí")))</f>
        <v/>
      </c>
      <c r="AE39" s="5">
        <f>IF($AD39="","",IF($AD39&lt;0,"FUTURO",IF($AD39&gt;p_dias_backlog_max,"BACKLOG","MES CORRIENTE")))</f>
        <v/>
      </c>
      <c r="AF39" s="5">
        <f>IF($AD39="",FALSE,AND($AD39&gt;p_dias_backlog_min,$AD39&lt;=p_dias_backlog_max))</f>
        <v/>
      </c>
      <c r="AG39" s="4" t="inlineStr"/>
      <c r="AH39" s="5">
        <f>IF($AG39="","",IF((IFERROR(INDEX('ASIGNACIONES'!$J$4:$J$451,MATCH($O39&amp;"|"&amp;$S39&amp;"|"&amp;$AG39,'ASIGNACIONES'!$N$4:$N$451,0)),""))=0,"",IFERROR(INDEX('ASIGNACIONES'!$J$4:$J$451,MATCH($O39&amp;"|"&amp;$S39&amp;"|"&amp;$AG39,'ASIGNACIONES'!$N$4:$N$451,0)),"")))</f>
        <v/>
      </c>
      <c r="AI39" s="25">
        <f>IF($AG39="","",SUMIFS('ORDENES'!$M$4:$M$1203,'ORDENES'!$AG$4:$AG$1203,$AG39,'ORDENES'!$O$4:$O$1203,$O39,'ORDENES'!$S$4:$S$1203,$S39))</f>
        <v/>
      </c>
      <c r="AJ39" s="25">
        <f>IF($AI39="","",p_factor_productividad*IFERROR(INDEX('ASIGNACIONES'!$M$4:$M$451,MATCH($O39&amp;"|"&amp;$S39&amp;"|"&amp;$AG39,'ASIGNACIONES'!$N$4:$N$451,0)),0)-$AI39)</f>
        <v/>
      </c>
      <c r="AK39" s="18">
        <f>IF($A39="","",IFERROR(INDEX('2_IMPORTAR_EJECUCION'!$F$9:$F$1208,MATCH($AT39,'2_IMPORTAR_EJECUCION'!$J$9:$J$1208,0)),0))</f>
        <v/>
      </c>
      <c r="AL39" s="18">
        <f>IF($A39="","",MAX(0,IFERROR(INDEX('2_IMPORTAR_EJECUCION'!$H$9:$H$1208,MATCH($AT39,'2_IMPORTAR_EJECUCION'!$J$9:$J$1208,0)),0)-$AK39))</f>
        <v/>
      </c>
      <c r="AM39" s="18">
        <f>IF($A39="","",$AK39+$AL39)</f>
        <v/>
      </c>
      <c r="AN39" s="5">
        <f>IF($A39="","",IF(OR((IFERROR(INDEX('CAT_ACTIVIDADES'!$D$4:$D$11,MATCH($H39,'CAT_ACTIVIDADES'!$A$4:$A$11,0)),""))=0,(IFERROR(INDEX('CAT_ACTIVIDADES'!$D$4:$D$11,MATCH($H39,'CAT_ACTIVIDADES'!$A$4:$A$11,0)),""))=""),"SIN CLASIFICAR",IFERROR(INDEX('CAT_ACTIVIDADES'!$D$4:$D$11,MATCH($H39,'CAT_ACTIVIDADES'!$A$4:$A$11,0)),"")))</f>
        <v/>
      </c>
      <c r="AO39" s="4" t="inlineStr">
        <is>
          <t>PT-CALIENTE</t>
        </is>
      </c>
      <c r="AP39" s="4" t="inlineStr">
        <is>
          <t>LOTO</t>
        </is>
      </c>
      <c r="AQ39" s="4" t="inlineStr"/>
      <c r="AR39" s="5">
        <f>IF($AQ39="","",HYPERLINK(p_ruta_base_checklists&amp;$AQ39,"abrir"))</f>
        <v/>
      </c>
      <c r="AS39" s="4" t="inlineStr"/>
      <c r="AT39" s="5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22" t="n">
        <v>46238</v>
      </c>
      <c r="K40" s="5" t="n">
        <v>10</v>
      </c>
      <c r="L40" s="18" t="n">
        <v>400</v>
      </c>
      <c r="M40" s="5">
        <f>IF($A40="","",IFERROR(INDEX('AJUSTES'!$B$4:$B$303,MATCH($AT40,'AJUSTES'!$A$4:$A$303,0)),IF($K40="","",$K40)))</f>
        <v/>
      </c>
      <c r="N40" s="5">
        <f>IF($A40="","",IFERROR(INDEX('CAT_ESTADOS_ERP'!$B$4:$B$7,MATCH(IFERROR(INDEX('2_IMPORTAR_EJECUCION'!$C$9:$C$1208,MATCH($AT40,'2_IMPORTAR_EJECUCION'!$J$9:$J$1208,0)),""),'CAT_ESTADOS_ERP'!$A$4:$A$7,0)),"Pendiente"))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IF($J40="","",$P40&amp;"-"&amp;TEXT($Q40,"00"))</f>
        <v/>
      </c>
      <c r="S40" s="5">
        <f>IF($J40="","",INDEX(lista_dias,WEEKDAY($J40,2)))</f>
        <v/>
      </c>
      <c r="T40" s="5">
        <f>IF($J40="","",IFERROR(INDEX('CALENDARIO'!$C$15:$C$214,MATCH(TEXT($J40,"yyyy-mm-dd")&amp;"|"&amp;$X40&amp;"|"&amp;$Y40,'CALENDARIO'!$G$15:$G$214,0)),IFERROR(INDEX('CALENDARIO'!$C$15:$C$214,MATCH(TEXT($J40,"yyyy-mm-dd")&amp;"|"&amp;$X40&amp;"|",'CALENDARIO'!$G$15:$G$214,0)),IFERROR(INDEX('CALENDARIO'!$C$15:$C$214,MATCH(TEXT($J40,"yyyy-mm-dd")&amp;"||",'CALENDARIO'!$G$15:$G$214,0)),INDEX(patronHabil,WEEKDAY($J40,2))))))</f>
        <v/>
      </c>
      <c r="U40" s="5">
        <f>IF($I40="","",IFERROR(INDEX('CAT_TIPOS_OT'!$C$4:$C$8,MATCH($I40,'CAT_TIPOS_OT'!$A$4:$A$8,0)),"sin_clasificar"))</f>
        <v/>
      </c>
      <c r="V40" s="5">
        <f>IF($I40="","",IF(IFERROR(INDEX('CAT_TIPOS_OT'!$D$4:$D$8,MATCH($I40,'CAT_TIPOS_OT'!$A$4:$A$8,0)),"SIN CLASIFICAR")="","SIN CLASIFICAR",IFERROR(INDEX('CAT_TIPOS_OT'!$D$4:$D$8,MATCH($I40,'CAT_TIPOS_OT'!$A$4:$A$8,0)),"SIN CLASIFICAR")))</f>
        <v/>
      </c>
      <c r="W40" s="5">
        <f>IF($F40="","",IFERROR(INDEX('CAT_CENTROS_COSTO'!$F$4:$F$13,MATCH($F40,'CAT_CENTROS_COSTO'!$A$4:$A$13,0)),"(sin catálogo)"))</f>
        <v/>
      </c>
      <c r="X40" s="5">
        <f>IF($F40="","",IFERROR(INDEX('CAT_CENTROS_COSTO'!$D$4:$D$13,MATCH($F40,'CAT_CENTROS_COSTO'!$A$4:$A$13,0)),"(sin catálogo)"))</f>
        <v/>
      </c>
      <c r="Y40" s="5">
        <f>IF($F40="","",IF((IFERROR(INDEX('CAT_CENTROS_COSTO'!$E$4:$E$13,MATCH($F40,'CAT_CENTROS_COSTO'!$A$4:$A$13,0)),""))&lt;&gt;"",IFERROR(INDEX('CAT_CENTROS_COSTO'!$E$4:$E$13,MATCH($F40,'CAT_CENTROS_COSTO'!$A$4:$A$13,0)),""),$X40))</f>
        <v/>
      </c>
      <c r="Z40" s="5">
        <f>IF($F40="","",IFERROR(INDEX('CAT_CENTROS_COSTO'!$G$4:$G$13,MATCH($F40,'CAT_CENTROS_COSTO'!$A$4:$A$13,0)),"(sin catálogo)"))</f>
        <v/>
      </c>
      <c r="AA40" s="5">
        <f>IF($G40="","",IFERROR(INDEX('CAT_PUESTOS'!$B$4:$B$8,MATCH($G40,'CAT_PUESTOS'!$A$4:$A$8,0)),"(sin catálogo)"))</f>
        <v/>
      </c>
      <c r="AB40" s="5">
        <f>IF($H40="","",IFERROR(INDEX('CAT_ACTIVIDADES'!$B$4:$B$11,MATCH($H40,'CAT_ACTIVIDADES'!$A$4:$A$11,0)),"(sin catálogo)"))</f>
        <v/>
      </c>
      <c r="AC40" s="20">
        <f>IF($J40="","",TODAY()-$J40)</f>
        <v/>
      </c>
      <c r="AD40" s="20">
        <f>IF($J40="","",IF($J40&lt;=TODAY(),COUNTIFS(cal_fechas,"&gt;="&amp;$J40,cal_fechas,"&lt;"&amp;TODAY(),cal_habil,"sí"),-COUNTIFS(cal_fechas,"&gt;="&amp;TODAY(),cal_fechas,"&lt;"&amp;$J40,cal_habil,"sí")))</f>
        <v/>
      </c>
      <c r="AE40" s="5">
        <f>IF($AD40="","",IF($AD40&lt;0,"FUTURO",IF($AD40&gt;p_dias_backlog_max,"BACKLOG","MES CORRIENTE")))</f>
        <v/>
      </c>
      <c r="AF40" s="5">
        <f>IF($AD40="",FALSE,AND($AD40&gt;p_dias_backlog_min,$AD40&lt;=p_dias_backlog_max))</f>
        <v/>
      </c>
      <c r="AG40" s="4" t="inlineStr">
        <is>
          <t>Carlos Pérez</t>
        </is>
      </c>
      <c r="AH40" s="5">
        <f>IF($AG40="","",IF((IFERROR(INDEX('ASIGNACIONES'!$J$4:$J$451,MATCH($O40&amp;"|"&amp;$S40&amp;"|"&amp;$AG40,'ASIGNACIONES'!$N$4:$N$451,0)),""))=0,"",IFERROR(INDEX('ASIGNACIONES'!$J$4:$J$451,MATCH($O40&amp;"|"&amp;$S40&amp;"|"&amp;$AG40,'ASIGNACIONES'!$N$4:$N$451,0)),"")))</f>
        <v/>
      </c>
      <c r="AI40" s="25">
        <f>IF($AG40="","",SUMIFS('ORDENES'!$M$4:$M$1203,'ORDENES'!$AG$4:$AG$1203,$AG40,'ORDENES'!$O$4:$O$1203,$O40,'ORDENES'!$S$4:$S$1203,$S40))</f>
        <v/>
      </c>
      <c r="AJ40" s="25">
        <f>IF($AI40="","",p_factor_productividad*IFERROR(INDEX('ASIGNACIONES'!$M$4:$M$451,MATCH($O40&amp;"|"&amp;$S40&amp;"|"&amp;$AG40,'ASIGNACIONES'!$N$4:$N$451,0)),0)-$AI40)</f>
        <v/>
      </c>
      <c r="AK40" s="18">
        <f>IF($A40="","",IFERROR(INDEX('2_IMPORTAR_EJECUCION'!$F$9:$F$1208,MATCH($AT40,'2_IMPORTAR_EJECUCION'!$J$9:$J$1208,0)),0))</f>
        <v/>
      </c>
      <c r="AL40" s="18">
        <f>IF($A40="","",MAX(0,IFERROR(INDEX('2_IMPORTAR_EJECUCION'!$H$9:$H$1208,MATCH($AT40,'2_IMPORTAR_EJECUCION'!$J$9:$J$1208,0)),0)-$AK40))</f>
        <v/>
      </c>
      <c r="AM40" s="18">
        <f>IF($A40="","",$AK40+$AL40)</f>
        <v/>
      </c>
      <c r="AN40" s="5">
        <f>IF($A40="","",IF(OR((IFERROR(INDEX('CAT_ACTIVIDADES'!$D$4:$D$11,MATCH($H40,'CAT_ACTIVIDADES'!$A$4:$A$11,0)),""))=0,(IFERROR(INDEX('CAT_ACTIVIDADES'!$D$4:$D$11,MATCH($H40,'CAT_ACTIVIDADES'!$A$4:$A$11,0)),""))=""),"SIN CLASIFICAR",IFERROR(INDEX('CAT_ACTIVIDADES'!$D$4:$D$11,MATCH($H40,'CAT_ACTIVIDADES'!$A$4:$A$11,0)),"")))</f>
        <v/>
      </c>
      <c r="AO40" s="4" t="inlineStr"/>
      <c r="AP40" s="4" t="inlineStr"/>
      <c r="AQ40" s="4" t="inlineStr"/>
      <c r="AR40" s="5">
        <f>IF($AQ40="","",HYPERLINK(p_ruta_base_checklists&amp;$AQ40,"abrir"))</f>
        <v/>
      </c>
      <c r="AS40" s="4" t="inlineStr"/>
      <c r="AT40" s="5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22" t="n">
        <v>46246</v>
      </c>
      <c r="K41" s="5" t="n">
        <v>10</v>
      </c>
      <c r="L41" s="18" t="n">
        <v>250</v>
      </c>
      <c r="M41" s="5">
        <f>IF($A41="","",IFERROR(INDEX('AJUSTES'!$B$4:$B$303,MATCH($AT41,'AJUSTES'!$A$4:$A$303,0)),IF($K41="","",$K41)))</f>
        <v/>
      </c>
      <c r="N41" s="5">
        <f>IF($A41="","",IFERROR(INDEX('CAT_ESTADOS_ERP'!$B$4:$B$7,MATCH(IFERROR(INDEX('2_IMPORTAR_EJECUCION'!$C$9:$C$1208,MATCH($AT41,'2_IMPORTAR_EJECUCION'!$J$9:$J$1208,0)),""),'CAT_ESTADOS_ERP'!$A$4:$A$7,0)),"Pendiente"))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IF($J41="","",$P41&amp;"-"&amp;TEXT($Q41,"00"))</f>
        <v/>
      </c>
      <c r="S41" s="5">
        <f>IF($J41="","",INDEX(lista_dias,WEEKDAY($J41,2)))</f>
        <v/>
      </c>
      <c r="T41" s="5">
        <f>IF($J41="","",IFERROR(INDEX('CALENDARIO'!$C$15:$C$214,MATCH(TEXT($J41,"yyyy-mm-dd")&amp;"|"&amp;$X41&amp;"|"&amp;$Y41,'CALENDARIO'!$G$15:$G$214,0)),IFERROR(INDEX('CALENDARIO'!$C$15:$C$214,MATCH(TEXT($J41,"yyyy-mm-dd")&amp;"|"&amp;$X41&amp;"|",'CALENDARIO'!$G$15:$G$214,0)),IFERROR(INDEX('CALENDARIO'!$C$15:$C$214,MATCH(TEXT($J41,"yyyy-mm-dd")&amp;"||",'CALENDARIO'!$G$15:$G$214,0)),INDEX(patronHabil,WEEKDAY($J41,2))))))</f>
        <v/>
      </c>
      <c r="U41" s="5">
        <f>IF($I41="","",IFERROR(INDEX('CAT_TIPOS_OT'!$C$4:$C$8,MATCH($I41,'CAT_TIPOS_OT'!$A$4:$A$8,0)),"sin_clasificar"))</f>
        <v/>
      </c>
      <c r="V41" s="5">
        <f>IF($I41="","",IF(IFERROR(INDEX('CAT_TIPOS_OT'!$D$4:$D$8,MATCH($I41,'CAT_TIPOS_OT'!$A$4:$A$8,0)),"SIN CLASIFICAR")="","SIN CLASIFICAR",IFERROR(INDEX('CAT_TIPOS_OT'!$D$4:$D$8,MATCH($I41,'CAT_TIPOS_OT'!$A$4:$A$8,0)),"SIN CLASIFICAR")))</f>
        <v/>
      </c>
      <c r="W41" s="5">
        <f>IF($F41="","",IFERROR(INDEX('CAT_CENTROS_COSTO'!$F$4:$F$13,MATCH($F41,'CAT_CENTROS_COSTO'!$A$4:$A$13,0)),"(sin catálogo)"))</f>
        <v/>
      </c>
      <c r="X41" s="5">
        <f>IF($F41="","",IFERROR(INDEX('CAT_CENTROS_COSTO'!$D$4:$D$13,MATCH($F41,'CAT_CENTROS_COSTO'!$A$4:$A$13,0)),"(sin catálogo)"))</f>
        <v/>
      </c>
      <c r="Y41" s="5">
        <f>IF($F41="","",IF((IFERROR(INDEX('CAT_CENTROS_COSTO'!$E$4:$E$13,MATCH($F41,'CAT_CENTROS_COSTO'!$A$4:$A$13,0)),""))&lt;&gt;"",IFERROR(INDEX('CAT_CENTROS_COSTO'!$E$4:$E$13,MATCH($F41,'CAT_CENTROS_COSTO'!$A$4:$A$13,0)),""),$X41))</f>
        <v/>
      </c>
      <c r="Z41" s="5">
        <f>IF($F41="","",IFERROR(INDEX('CAT_CENTROS_COSTO'!$G$4:$G$13,MATCH($F41,'CAT_CENTROS_COSTO'!$A$4:$A$13,0)),"(sin catálogo)"))</f>
        <v/>
      </c>
      <c r="AA41" s="5">
        <f>IF($G41="","",IFERROR(INDEX('CAT_PUESTOS'!$B$4:$B$8,MATCH($G41,'CAT_PUESTOS'!$A$4:$A$8,0)),"(sin catálogo)"))</f>
        <v/>
      </c>
      <c r="AB41" s="5">
        <f>IF($H41="","",IFERROR(INDEX('CAT_ACTIVIDADES'!$B$4:$B$11,MATCH($H41,'CAT_ACTIVIDADES'!$A$4:$A$11,0)),"(sin catálogo)"))</f>
        <v/>
      </c>
      <c r="AC41" s="20">
        <f>IF($J41="","",TODAY()-$J41)</f>
        <v/>
      </c>
      <c r="AD41" s="20">
        <f>IF($J41="","",IF($J41&lt;=TODAY(),COUNTIFS(cal_fechas,"&gt;="&amp;$J41,cal_fechas,"&lt;"&amp;TODAY(),cal_habil,"sí"),-COUNTIFS(cal_fechas,"&gt;="&amp;TODAY(),cal_fechas,"&lt;"&amp;$J41,cal_habil,"sí")))</f>
        <v/>
      </c>
      <c r="AE41" s="5">
        <f>IF($AD41="","",IF($AD41&lt;0,"FUTURO",IF($AD41&gt;p_dias_backlog_max,"BACKLOG","MES CORRIENTE")))</f>
        <v/>
      </c>
      <c r="AF41" s="5">
        <f>IF($AD41="",FALSE,AND($AD41&gt;p_dias_backlog_min,$AD41&lt;=p_dias_backlog_max))</f>
        <v/>
      </c>
      <c r="AG41" s="4" t="inlineStr">
        <is>
          <t>Luis Rodríguez</t>
        </is>
      </c>
      <c r="AH41" s="5">
        <f>IF($AG41="","",IF((IFERROR(INDEX('ASIGNACIONES'!$J$4:$J$451,MATCH($O41&amp;"|"&amp;$S41&amp;"|"&amp;$AG41,'ASIGNACIONES'!$N$4:$N$451,0)),""))=0,"",IFERROR(INDEX('ASIGNACIONES'!$J$4:$J$451,MATCH($O41&amp;"|"&amp;$S41&amp;"|"&amp;$AG41,'ASIGNACIONES'!$N$4:$N$451,0)),"")))</f>
        <v/>
      </c>
      <c r="AI41" s="25">
        <f>IF($AG41="","",SUMIFS('ORDENES'!$M$4:$M$1203,'ORDENES'!$AG$4:$AG$1203,$AG41,'ORDENES'!$O$4:$O$1203,$O41,'ORDENES'!$S$4:$S$1203,$S41))</f>
        <v/>
      </c>
      <c r="AJ41" s="25">
        <f>IF($AI41="","",p_factor_productividad*IFERROR(INDEX('ASIGNACIONES'!$M$4:$M$451,MATCH($O41&amp;"|"&amp;$S41&amp;"|"&amp;$AG41,'ASIGNACIONES'!$N$4:$N$451,0)),0)-$AI41)</f>
        <v/>
      </c>
      <c r="AK41" s="18">
        <f>IF($A41="","",IFERROR(INDEX('2_IMPORTAR_EJECUCION'!$F$9:$F$1208,MATCH($AT41,'2_IMPORTAR_EJECUCION'!$J$9:$J$1208,0)),0))</f>
        <v/>
      </c>
      <c r="AL41" s="18">
        <f>IF($A41="","",MAX(0,IFERROR(INDEX('2_IMPORTAR_EJECUCION'!$H$9:$H$1208,MATCH($AT41,'2_IMPORTAR_EJECUCION'!$J$9:$J$1208,0)),0)-$AK41))</f>
        <v/>
      </c>
      <c r="AM41" s="18">
        <f>IF($A41="","",$AK41+$AL41)</f>
        <v/>
      </c>
      <c r="AN41" s="5">
        <f>IF($A41="","",IF(OR((IFERROR(INDEX('CAT_ACTIVIDADES'!$D$4:$D$11,MATCH($H41,'CAT_ACTIVIDADES'!$A$4:$A$11,0)),""))=0,(IFERROR(INDEX('CAT_ACTIVIDADES'!$D$4:$D$11,MATCH($H41,'CAT_ACTIVIDADES'!$A$4:$A$11,0)),""))=""),"SIN CLASIFICAR",IFERROR(INDEX('CAT_ACTIVIDADES'!$D$4:$D$11,MATCH($H41,'CAT_ACTIVIDADES'!$A$4:$A$11,0)),"")))</f>
        <v/>
      </c>
      <c r="AO41" s="4" t="inlineStr"/>
      <c r="AP41" s="4" t="inlineStr"/>
      <c r="AQ41" s="4" t="inlineStr">
        <is>
          <t>ACT-04.pdf</t>
        </is>
      </c>
      <c r="AR41" s="5">
        <f>IF($AQ41="","",HYPERLINK(p_ruta_base_checklists&amp;$AQ41,"abrir"))</f>
        <v/>
      </c>
      <c r="AS41" s="4" t="inlineStr"/>
      <c r="AT41" s="5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22" t="n">
        <v>46247</v>
      </c>
      <c r="K42" s="5" t="n">
        <v>8</v>
      </c>
      <c r="L42" s="18" t="n">
        <v>200</v>
      </c>
      <c r="M42" s="5">
        <f>IF($A42="","",IFERROR(INDEX('AJUSTES'!$B$4:$B$303,MATCH($AT42,'AJUSTES'!$A$4:$A$303,0)),IF($K42="","",$K42)))</f>
        <v/>
      </c>
      <c r="N42" s="5">
        <f>IF($A42="","",IFERROR(INDEX('CAT_ESTADOS_ERP'!$B$4:$B$7,MATCH(IFERROR(INDEX('2_IMPORTAR_EJECUCION'!$C$9:$C$1208,MATCH($AT42,'2_IMPORTAR_EJECUCION'!$J$9:$J$1208,0)),""),'CAT_ESTADOS_ERP'!$A$4:$A$7,0)),"Pendiente"))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IF($J42="","",$P42&amp;"-"&amp;TEXT($Q42,"00"))</f>
        <v/>
      </c>
      <c r="S42" s="5">
        <f>IF($J42="","",INDEX(lista_dias,WEEKDAY($J42,2)))</f>
        <v/>
      </c>
      <c r="T42" s="5">
        <f>IF($J42="","",IFERROR(INDEX('CALENDARIO'!$C$15:$C$214,MATCH(TEXT($J42,"yyyy-mm-dd")&amp;"|"&amp;$X42&amp;"|"&amp;$Y42,'CALENDARIO'!$G$15:$G$214,0)),IFERROR(INDEX('CALENDARIO'!$C$15:$C$214,MATCH(TEXT($J42,"yyyy-mm-dd")&amp;"|"&amp;$X42&amp;"|",'CALENDARIO'!$G$15:$G$214,0)),IFERROR(INDEX('CALENDARIO'!$C$15:$C$214,MATCH(TEXT($J42,"yyyy-mm-dd")&amp;"||",'CALENDARIO'!$G$15:$G$214,0)),INDEX(patronHabil,WEEKDAY($J42,2))))))</f>
        <v/>
      </c>
      <c r="U42" s="5">
        <f>IF($I42="","",IFERROR(INDEX('CAT_TIPOS_OT'!$C$4:$C$8,MATCH($I42,'CAT_TIPOS_OT'!$A$4:$A$8,0)),"sin_clasificar"))</f>
        <v/>
      </c>
      <c r="V42" s="5">
        <f>IF($I42="","",IF(IFERROR(INDEX('CAT_TIPOS_OT'!$D$4:$D$8,MATCH($I42,'CAT_TIPOS_OT'!$A$4:$A$8,0)),"SIN CLASIFICAR")="","SIN CLASIFICAR",IFERROR(INDEX('CAT_TIPOS_OT'!$D$4:$D$8,MATCH($I42,'CAT_TIPOS_OT'!$A$4:$A$8,0)),"SIN CLASIFICAR")))</f>
        <v/>
      </c>
      <c r="W42" s="5">
        <f>IF($F42="","",IFERROR(INDEX('CAT_CENTROS_COSTO'!$F$4:$F$13,MATCH($F42,'CAT_CENTROS_COSTO'!$A$4:$A$13,0)),"(sin catálogo)"))</f>
        <v/>
      </c>
      <c r="X42" s="5">
        <f>IF($F42="","",IFERROR(INDEX('CAT_CENTROS_COSTO'!$D$4:$D$13,MATCH($F42,'CAT_CENTROS_COSTO'!$A$4:$A$13,0)),"(sin catálogo)"))</f>
        <v/>
      </c>
      <c r="Y42" s="5">
        <f>IF($F42="","",IF((IFERROR(INDEX('CAT_CENTROS_COSTO'!$E$4:$E$13,MATCH($F42,'CAT_CENTROS_COSTO'!$A$4:$A$13,0)),""))&lt;&gt;"",IFERROR(INDEX('CAT_CENTROS_COSTO'!$E$4:$E$13,MATCH($F42,'CAT_CENTROS_COSTO'!$A$4:$A$13,0)),""),$X42))</f>
        <v/>
      </c>
      <c r="Z42" s="5">
        <f>IF($F42="","",IFERROR(INDEX('CAT_CENTROS_COSTO'!$G$4:$G$13,MATCH($F42,'CAT_CENTROS_COSTO'!$A$4:$A$13,0)),"(sin catálogo)"))</f>
        <v/>
      </c>
      <c r="AA42" s="5">
        <f>IF($G42="","",IFERROR(INDEX('CAT_PUESTOS'!$B$4:$B$8,MATCH($G42,'CAT_PUESTOS'!$A$4:$A$8,0)),"(sin catálogo)"))</f>
        <v/>
      </c>
      <c r="AB42" s="5">
        <f>IF($H42="","",IFERROR(INDEX('CAT_ACTIVIDADES'!$B$4:$B$11,MATCH($H42,'CAT_ACTIVIDADES'!$A$4:$A$11,0)),"(sin catálogo)"))</f>
        <v/>
      </c>
      <c r="AC42" s="20">
        <f>IF($J42="","",TODAY()-$J42)</f>
        <v/>
      </c>
      <c r="AD42" s="20">
        <f>IF($J42="","",IF($J42&lt;=TODAY(),COUNTIFS(cal_fechas,"&gt;="&amp;$J42,cal_fechas,"&lt;"&amp;TODAY(),cal_habil,"sí"),-COUNTIFS(cal_fechas,"&gt;="&amp;TODAY(),cal_fechas,"&lt;"&amp;$J42,cal_habil,"sí")))</f>
        <v/>
      </c>
      <c r="AE42" s="5">
        <f>IF($AD42="","",IF($AD42&lt;0,"FUTURO",IF($AD42&gt;p_dias_backlog_max,"BACKLOG","MES CORRIENTE")))</f>
        <v/>
      </c>
      <c r="AF42" s="5">
        <f>IF($AD42="",FALSE,AND($AD42&gt;p_dias_backlog_min,$AD42&lt;=p_dias_backlog_max))</f>
        <v/>
      </c>
      <c r="AG42" s="4" t="inlineStr">
        <is>
          <t>Miguel Martínez</t>
        </is>
      </c>
      <c r="AH42" s="5">
        <f>IF($AG42="","",IF((IFERROR(INDEX('ASIGNACIONES'!$J$4:$J$451,MATCH($O42&amp;"|"&amp;$S42&amp;"|"&amp;$AG42,'ASIGNACIONES'!$N$4:$N$451,0)),""))=0,"",IFERROR(INDEX('ASIGNACIONES'!$J$4:$J$451,MATCH($O42&amp;"|"&amp;$S42&amp;"|"&amp;$AG42,'ASIGNACIONES'!$N$4:$N$451,0)),"")))</f>
        <v/>
      </c>
      <c r="AI42" s="25">
        <f>IF($AG42="","",SUMIFS('ORDENES'!$M$4:$M$1203,'ORDENES'!$AG$4:$AG$1203,$AG42,'ORDENES'!$O$4:$O$1203,$O42,'ORDENES'!$S$4:$S$1203,$S42))</f>
        <v/>
      </c>
      <c r="AJ42" s="25">
        <f>IF($AI42="","",p_factor_productividad*IFERROR(INDEX('ASIGNACIONES'!$M$4:$M$451,MATCH($O42&amp;"|"&amp;$S42&amp;"|"&amp;$AG42,'ASIGNACIONES'!$N$4:$N$451,0)),0)-$AI42)</f>
        <v/>
      </c>
      <c r="AK42" s="18">
        <f>IF($A42="","",IFERROR(INDEX('2_IMPORTAR_EJECUCION'!$F$9:$F$1208,MATCH($AT42,'2_IMPORTAR_EJECUCION'!$J$9:$J$1208,0)),0))</f>
        <v/>
      </c>
      <c r="AL42" s="18">
        <f>IF($A42="","",MAX(0,IFERROR(INDEX('2_IMPORTAR_EJECUCION'!$H$9:$H$1208,MATCH($AT42,'2_IMPORTAR_EJECUCION'!$J$9:$J$1208,0)),0)-$AK42))</f>
        <v/>
      </c>
      <c r="AM42" s="18">
        <f>IF($A42="","",$AK42+$AL42)</f>
        <v/>
      </c>
      <c r="AN42" s="5">
        <f>IF($A42="","",IF(OR((IFERROR(INDEX('CAT_ACTIVIDADES'!$D$4:$D$11,MATCH($H42,'CAT_ACTIVIDADES'!$A$4:$A$11,0)),""))=0,(IFERROR(INDEX('CAT_ACTIVIDADES'!$D$4:$D$11,MATCH($H42,'CAT_ACTIVIDADES'!$A$4:$A$11,0)),""))=""),"SIN CLASIFICAR",IFERROR(INDEX('CAT_ACTIVIDADES'!$D$4:$D$11,MATCH($H42,'CAT_ACTIVIDADES'!$A$4:$A$11,0)),"")))</f>
        <v/>
      </c>
      <c r="AO42" s="4" t="inlineStr"/>
      <c r="AP42" s="4" t="inlineStr"/>
      <c r="AQ42" s="4" t="inlineStr">
        <is>
          <t>ACT-01.pdf</t>
        </is>
      </c>
      <c r="AR42" s="5">
        <f>IF($AQ42="","",HYPERLINK(p_ruta_base_checklists&amp;$AQ42,"abrir"))</f>
        <v/>
      </c>
      <c r="AS42" s="4" t="inlineStr"/>
      <c r="AT42" s="5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22" t="n">
        <v>46248</v>
      </c>
      <c r="K43" s="5" t="n">
        <v>6</v>
      </c>
      <c r="L43" s="18" t="n">
        <v>150</v>
      </c>
      <c r="M43" s="5">
        <f>IF($A43="","",IFERROR(INDEX('AJUSTES'!$B$4:$B$303,MATCH($AT43,'AJUSTES'!$A$4:$A$303,0)),IF($K43="","",$K43)))</f>
        <v/>
      </c>
      <c r="N43" s="5">
        <f>IF($A43="","",IFERROR(INDEX('CAT_ESTADOS_ERP'!$B$4:$B$7,MATCH(IFERROR(INDEX('2_IMPORTAR_EJECUCION'!$C$9:$C$1208,MATCH($AT43,'2_IMPORTAR_EJECUCION'!$J$9:$J$1208,0)),""),'CAT_ESTADOS_ERP'!$A$4:$A$7,0)),"Pendiente"))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IF($J43="","",$P43&amp;"-"&amp;TEXT($Q43,"00"))</f>
        <v/>
      </c>
      <c r="S43" s="5">
        <f>IF($J43="","",INDEX(lista_dias,WEEKDAY($J43,2)))</f>
        <v/>
      </c>
      <c r="T43" s="5">
        <f>IF($J43="","",IFERROR(INDEX('CALENDARIO'!$C$15:$C$214,MATCH(TEXT($J43,"yyyy-mm-dd")&amp;"|"&amp;$X43&amp;"|"&amp;$Y43,'CALENDARIO'!$G$15:$G$214,0)),IFERROR(INDEX('CALENDARIO'!$C$15:$C$214,MATCH(TEXT($J43,"yyyy-mm-dd")&amp;"|"&amp;$X43&amp;"|",'CALENDARIO'!$G$15:$G$214,0)),IFERROR(INDEX('CALENDARIO'!$C$15:$C$214,MATCH(TEXT($J43,"yyyy-mm-dd")&amp;"||",'CALENDARIO'!$G$15:$G$214,0)),INDEX(patronHabil,WEEKDAY($J43,2))))))</f>
        <v/>
      </c>
      <c r="U43" s="5">
        <f>IF($I43="","",IFERROR(INDEX('CAT_TIPOS_OT'!$C$4:$C$8,MATCH($I43,'CAT_TIPOS_OT'!$A$4:$A$8,0)),"sin_clasificar"))</f>
        <v/>
      </c>
      <c r="V43" s="5">
        <f>IF($I43="","",IF(IFERROR(INDEX('CAT_TIPOS_OT'!$D$4:$D$8,MATCH($I43,'CAT_TIPOS_OT'!$A$4:$A$8,0)),"SIN CLASIFICAR")="","SIN CLASIFICAR",IFERROR(INDEX('CAT_TIPOS_OT'!$D$4:$D$8,MATCH($I43,'CAT_TIPOS_OT'!$A$4:$A$8,0)),"SIN CLASIFICAR")))</f>
        <v/>
      </c>
      <c r="W43" s="5">
        <f>IF($F43="","",IFERROR(INDEX('CAT_CENTROS_COSTO'!$F$4:$F$13,MATCH($F43,'CAT_CENTROS_COSTO'!$A$4:$A$13,0)),"(sin catálogo)"))</f>
        <v/>
      </c>
      <c r="X43" s="5">
        <f>IF($F43="","",IFERROR(INDEX('CAT_CENTROS_COSTO'!$D$4:$D$13,MATCH($F43,'CAT_CENTROS_COSTO'!$A$4:$A$13,0)),"(sin catálogo)"))</f>
        <v/>
      </c>
      <c r="Y43" s="5">
        <f>IF($F43="","",IF((IFERROR(INDEX('CAT_CENTROS_COSTO'!$E$4:$E$13,MATCH($F43,'CAT_CENTROS_COSTO'!$A$4:$A$13,0)),""))&lt;&gt;"",IFERROR(INDEX('CAT_CENTROS_COSTO'!$E$4:$E$13,MATCH($F43,'CAT_CENTROS_COSTO'!$A$4:$A$13,0)),""),$X43))</f>
        <v/>
      </c>
      <c r="Z43" s="5">
        <f>IF($F43="","",IFERROR(INDEX('CAT_CENTROS_COSTO'!$G$4:$G$13,MATCH($F43,'CAT_CENTROS_COSTO'!$A$4:$A$13,0)),"(sin catálogo)"))</f>
        <v/>
      </c>
      <c r="AA43" s="5">
        <f>IF($G43="","",IFERROR(INDEX('CAT_PUESTOS'!$B$4:$B$8,MATCH($G43,'CAT_PUESTOS'!$A$4:$A$8,0)),"(sin catálogo)"))</f>
        <v/>
      </c>
      <c r="AB43" s="5">
        <f>IF($H43="","",IFERROR(INDEX('CAT_ACTIVIDADES'!$B$4:$B$11,MATCH($H43,'CAT_ACTIVIDADES'!$A$4:$A$11,0)),"(sin catálogo)"))</f>
        <v/>
      </c>
      <c r="AC43" s="20">
        <f>IF($J43="","",TODAY()-$J43)</f>
        <v/>
      </c>
      <c r="AD43" s="20">
        <f>IF($J43="","",IF($J43&lt;=TODAY(),COUNTIFS(cal_fechas,"&gt;="&amp;$J43,cal_fechas,"&lt;"&amp;TODAY(),cal_habil,"sí"),-COUNTIFS(cal_fechas,"&gt;="&amp;TODAY(),cal_fechas,"&lt;"&amp;$J43,cal_habil,"sí")))</f>
        <v/>
      </c>
      <c r="AE43" s="5">
        <f>IF($AD43="","",IF($AD43&lt;0,"FUTURO",IF($AD43&gt;p_dias_backlog_max,"BACKLOG","MES CORRIENTE")))</f>
        <v/>
      </c>
      <c r="AF43" s="5">
        <f>IF($AD43="",FALSE,AND($AD43&gt;p_dias_backlog_min,$AD43&lt;=p_dias_backlog_max))</f>
        <v/>
      </c>
      <c r="AG43" s="4" t="inlineStr"/>
      <c r="AH43" s="5">
        <f>IF($AG43="","",IF((IFERROR(INDEX('ASIGNACIONES'!$J$4:$J$451,MATCH($O43&amp;"|"&amp;$S43&amp;"|"&amp;$AG43,'ASIGNACIONES'!$N$4:$N$451,0)),""))=0,"",IFERROR(INDEX('ASIGNACIONES'!$J$4:$J$451,MATCH($O43&amp;"|"&amp;$S43&amp;"|"&amp;$AG43,'ASIGNACIONES'!$N$4:$N$451,0)),"")))</f>
        <v/>
      </c>
      <c r="AI43" s="25">
        <f>IF($AG43="","",SUMIFS('ORDENES'!$M$4:$M$1203,'ORDENES'!$AG$4:$AG$1203,$AG43,'ORDENES'!$O$4:$O$1203,$O43,'ORDENES'!$S$4:$S$1203,$S43))</f>
        <v/>
      </c>
      <c r="AJ43" s="25">
        <f>IF($AI43="","",p_factor_productividad*IFERROR(INDEX('ASIGNACIONES'!$M$4:$M$451,MATCH($O43&amp;"|"&amp;$S43&amp;"|"&amp;$AG43,'ASIGNACIONES'!$N$4:$N$451,0)),0)-$AI43)</f>
        <v/>
      </c>
      <c r="AK43" s="18">
        <f>IF($A43="","",IFERROR(INDEX('2_IMPORTAR_EJECUCION'!$F$9:$F$1208,MATCH($AT43,'2_IMPORTAR_EJECUCION'!$J$9:$J$1208,0)),0))</f>
        <v/>
      </c>
      <c r="AL43" s="18">
        <f>IF($A43="","",MAX(0,IFERROR(INDEX('2_IMPORTAR_EJECUCION'!$H$9:$H$1208,MATCH($AT43,'2_IMPORTAR_EJECUCION'!$J$9:$J$1208,0)),0)-$AK43))</f>
        <v/>
      </c>
      <c r="AM43" s="18">
        <f>IF($A43="","",$AK43+$AL43)</f>
        <v/>
      </c>
      <c r="AN43" s="5">
        <f>IF($A43="","",IF(OR((IFERROR(INDEX('CAT_ACTIVIDADES'!$D$4:$D$11,MATCH($H43,'CAT_ACTIVIDADES'!$A$4:$A$11,0)),""))=0,(IFERROR(INDEX('CAT_ACTIVIDADES'!$D$4:$D$11,MATCH($H43,'CAT_ACTIVIDADES'!$A$4:$A$11,0)),""))=""),"SIN CLASIFICAR",IFERROR(INDEX('CAT_ACTIVIDADES'!$D$4:$D$11,MATCH($H43,'CAT_ACTIVIDADES'!$A$4:$A$11,0)),"")))</f>
        <v/>
      </c>
      <c r="AO43" s="4" t="inlineStr"/>
      <c r="AP43" s="4" t="inlineStr"/>
      <c r="AQ43" s="4" t="inlineStr">
        <is>
          <t>ACT-02.pdf</t>
        </is>
      </c>
      <c r="AR43" s="5">
        <f>IF($AQ43="","",HYPERLINK(p_ruta_base_checklists&amp;$AQ43,"abrir"))</f>
        <v/>
      </c>
      <c r="AS43" s="4" t="inlineStr"/>
      <c r="AT43" s="5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22" t="n">
        <v>46244</v>
      </c>
      <c r="K44" s="5" t="n">
        <v>10</v>
      </c>
      <c r="L44" s="18" t="n">
        <v>250</v>
      </c>
      <c r="M44" s="5">
        <f>IF($A44="","",IFERROR(INDEX('AJUSTES'!$B$4:$B$303,MATCH($AT44,'AJUSTES'!$A$4:$A$303,0)),IF($K44="","",$K44)))</f>
        <v/>
      </c>
      <c r="N44" s="5">
        <f>IF($A44="","",IFERROR(INDEX('CAT_ESTADOS_ERP'!$B$4:$B$7,MATCH(IFERROR(INDEX('2_IMPORTAR_EJECUCION'!$C$9:$C$1208,MATCH($AT44,'2_IMPORTAR_EJECUCION'!$J$9:$J$1208,0)),""),'CAT_ESTADOS_ERP'!$A$4:$A$7,0)),"Pendiente"))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IF($J44="","",$P44&amp;"-"&amp;TEXT($Q44,"00"))</f>
        <v/>
      </c>
      <c r="S44" s="5">
        <f>IF($J44="","",INDEX(lista_dias,WEEKDAY($J44,2)))</f>
        <v/>
      </c>
      <c r="T44" s="5">
        <f>IF($J44="","",IFERROR(INDEX('CALENDARIO'!$C$15:$C$214,MATCH(TEXT($J44,"yyyy-mm-dd")&amp;"|"&amp;$X44&amp;"|"&amp;$Y44,'CALENDARIO'!$G$15:$G$214,0)),IFERROR(INDEX('CALENDARIO'!$C$15:$C$214,MATCH(TEXT($J44,"yyyy-mm-dd")&amp;"|"&amp;$X44&amp;"|",'CALENDARIO'!$G$15:$G$214,0)),IFERROR(INDEX('CALENDARIO'!$C$15:$C$214,MATCH(TEXT($J44,"yyyy-mm-dd")&amp;"||",'CALENDARIO'!$G$15:$G$214,0)),INDEX(patronHabil,WEEKDAY($J44,2))))))</f>
        <v/>
      </c>
      <c r="U44" s="5">
        <f>IF($I44="","",IFERROR(INDEX('CAT_TIPOS_OT'!$C$4:$C$8,MATCH($I44,'CAT_TIPOS_OT'!$A$4:$A$8,0)),"sin_clasificar"))</f>
        <v/>
      </c>
      <c r="V44" s="5">
        <f>IF($I44="","",IF(IFERROR(INDEX('CAT_TIPOS_OT'!$D$4:$D$8,MATCH($I44,'CAT_TIPOS_OT'!$A$4:$A$8,0)),"SIN CLASIFICAR")="","SIN CLASIFICAR",IFERROR(INDEX('CAT_TIPOS_OT'!$D$4:$D$8,MATCH($I44,'CAT_TIPOS_OT'!$A$4:$A$8,0)),"SIN CLASIFICAR")))</f>
        <v/>
      </c>
      <c r="W44" s="5">
        <f>IF($F44="","",IFERROR(INDEX('CAT_CENTROS_COSTO'!$F$4:$F$13,MATCH($F44,'CAT_CENTROS_COSTO'!$A$4:$A$13,0)),"(sin catálogo)"))</f>
        <v/>
      </c>
      <c r="X44" s="5">
        <f>IF($F44="","",IFERROR(INDEX('CAT_CENTROS_COSTO'!$D$4:$D$13,MATCH($F44,'CAT_CENTROS_COSTO'!$A$4:$A$13,0)),"(sin catálogo)"))</f>
        <v/>
      </c>
      <c r="Y44" s="5">
        <f>IF($F44="","",IF((IFERROR(INDEX('CAT_CENTROS_COSTO'!$E$4:$E$13,MATCH($F44,'CAT_CENTROS_COSTO'!$A$4:$A$13,0)),""))&lt;&gt;"",IFERROR(INDEX('CAT_CENTROS_COSTO'!$E$4:$E$13,MATCH($F44,'CAT_CENTROS_COSTO'!$A$4:$A$13,0)),""),$X44))</f>
        <v/>
      </c>
      <c r="Z44" s="5">
        <f>IF($F44="","",IFERROR(INDEX('CAT_CENTROS_COSTO'!$G$4:$G$13,MATCH($F44,'CAT_CENTROS_COSTO'!$A$4:$A$13,0)),"(sin catálogo)"))</f>
        <v/>
      </c>
      <c r="AA44" s="5">
        <f>IF($G44="","",IFERROR(INDEX('CAT_PUESTOS'!$B$4:$B$8,MATCH($G44,'CAT_PUESTOS'!$A$4:$A$8,0)),"(sin catálogo)"))</f>
        <v/>
      </c>
      <c r="AB44" s="5">
        <f>IF($H44="","",IFERROR(INDEX('CAT_ACTIVIDADES'!$B$4:$B$11,MATCH($H44,'CAT_ACTIVIDADES'!$A$4:$A$11,0)),"(sin catálogo)"))</f>
        <v/>
      </c>
      <c r="AC44" s="20">
        <f>IF($J44="","",TODAY()-$J44)</f>
        <v/>
      </c>
      <c r="AD44" s="20">
        <f>IF($J44="","",IF($J44&lt;=TODAY(),COUNTIFS(cal_fechas,"&gt;="&amp;$J44,cal_fechas,"&lt;"&amp;TODAY(),cal_habil,"sí"),-COUNTIFS(cal_fechas,"&gt;="&amp;TODAY(),cal_fechas,"&lt;"&amp;$J44,cal_habil,"sí")))</f>
        <v/>
      </c>
      <c r="AE44" s="5">
        <f>IF($AD44="","",IF($AD44&lt;0,"FUTURO",IF($AD44&gt;p_dias_backlog_max,"BACKLOG","MES CORRIENTE")))</f>
        <v/>
      </c>
      <c r="AF44" s="5">
        <f>IF($AD44="",FALSE,AND($AD44&gt;p_dias_backlog_min,$AD44&lt;=p_dias_backlog_max))</f>
        <v/>
      </c>
      <c r="AG44" s="4" t="inlineStr">
        <is>
          <t>David Torres</t>
        </is>
      </c>
      <c r="AH44" s="5">
        <f>IF($AG44="","",IF((IFERROR(INDEX('ASIGNACIONES'!$J$4:$J$451,MATCH($O44&amp;"|"&amp;$S44&amp;"|"&amp;$AG44,'ASIGNACIONES'!$N$4:$N$451,0)),""))=0,"",IFERROR(INDEX('ASIGNACIONES'!$J$4:$J$451,MATCH($O44&amp;"|"&amp;$S44&amp;"|"&amp;$AG44,'ASIGNACIONES'!$N$4:$N$451,0)),"")))</f>
        <v/>
      </c>
      <c r="AI44" s="25">
        <f>IF($AG44="","",SUMIFS('ORDENES'!$M$4:$M$1203,'ORDENES'!$AG$4:$AG$1203,$AG44,'ORDENES'!$O$4:$O$1203,$O44,'ORDENES'!$S$4:$S$1203,$S44))</f>
        <v/>
      </c>
      <c r="AJ44" s="25">
        <f>IF($AI44="","",p_factor_productividad*IFERROR(INDEX('ASIGNACIONES'!$M$4:$M$451,MATCH($O44&amp;"|"&amp;$S44&amp;"|"&amp;$AG44,'ASIGNACIONES'!$N$4:$N$451,0)),0)-$AI44)</f>
        <v/>
      </c>
      <c r="AK44" s="18">
        <f>IF($A44="","",IFERROR(INDEX('2_IMPORTAR_EJECUCION'!$F$9:$F$1208,MATCH($AT44,'2_IMPORTAR_EJECUCION'!$J$9:$J$1208,0)),0))</f>
        <v/>
      </c>
      <c r="AL44" s="18">
        <f>IF($A44="","",MAX(0,IFERROR(INDEX('2_IMPORTAR_EJECUCION'!$H$9:$H$1208,MATCH($AT44,'2_IMPORTAR_EJECUCION'!$J$9:$J$1208,0)),0)-$AK44))</f>
        <v/>
      </c>
      <c r="AM44" s="18">
        <f>IF($A44="","",$AK44+$AL44)</f>
        <v/>
      </c>
      <c r="AN44" s="5">
        <f>IF($A44="","",IF(OR((IFERROR(INDEX('CAT_ACTIVIDADES'!$D$4:$D$11,MATCH($H44,'CAT_ACTIVIDADES'!$A$4:$A$11,0)),""))=0,(IFERROR(INDEX('CAT_ACTIVIDADES'!$D$4:$D$11,MATCH($H44,'CAT_ACTIVIDADES'!$A$4:$A$11,0)),""))=""),"SIN CLASIFICAR",IFERROR(INDEX('CAT_ACTIVIDADES'!$D$4:$D$11,MATCH($H44,'CAT_ACTIVIDADES'!$A$4:$A$11,0)),"")))</f>
        <v/>
      </c>
      <c r="AO44" s="4" t="inlineStr"/>
      <c r="AP44" s="4" t="inlineStr"/>
      <c r="AQ44" s="4" t="inlineStr">
        <is>
          <t>ACT-04.pdf</t>
        </is>
      </c>
      <c r="AR44" s="5">
        <f>IF($AQ44="","",HYPERLINK(p_ruta_base_checklists&amp;$AQ44,"abrir"))</f>
        <v/>
      </c>
      <c r="AS44" s="4" t="inlineStr"/>
      <c r="AT44" s="5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22" t="n">
        <v>46245</v>
      </c>
      <c r="K45" s="5" t="n">
        <v>8</v>
      </c>
      <c r="L45" s="18" t="n">
        <v>200</v>
      </c>
      <c r="M45" s="5">
        <f>IF($A45="","",IFERROR(INDEX('AJUSTES'!$B$4:$B$303,MATCH($AT45,'AJUSTES'!$A$4:$A$303,0)),IF($K45="","",$K45)))</f>
        <v/>
      </c>
      <c r="N45" s="5">
        <f>IF($A45="","",IFERROR(INDEX('CAT_ESTADOS_ERP'!$B$4:$B$7,MATCH(IFERROR(INDEX('2_IMPORTAR_EJECUCION'!$C$9:$C$1208,MATCH($AT45,'2_IMPORTAR_EJECUCION'!$J$9:$J$1208,0)),""),'CAT_ESTADOS_ERP'!$A$4:$A$7,0)),"Pendiente"))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IF($J45="","",$P45&amp;"-"&amp;TEXT($Q45,"00"))</f>
        <v/>
      </c>
      <c r="S45" s="5">
        <f>IF($J45="","",INDEX(lista_dias,WEEKDAY($J45,2)))</f>
        <v/>
      </c>
      <c r="T45" s="5">
        <f>IF($J45="","",IFERROR(INDEX('CALENDARIO'!$C$15:$C$214,MATCH(TEXT($J45,"yyyy-mm-dd")&amp;"|"&amp;$X45&amp;"|"&amp;$Y45,'CALENDARIO'!$G$15:$G$214,0)),IFERROR(INDEX('CALENDARIO'!$C$15:$C$214,MATCH(TEXT($J45,"yyyy-mm-dd")&amp;"|"&amp;$X45&amp;"|",'CALENDARIO'!$G$15:$G$214,0)),IFERROR(INDEX('CALENDARIO'!$C$15:$C$214,MATCH(TEXT($J45,"yyyy-mm-dd")&amp;"||",'CALENDARIO'!$G$15:$G$214,0)),INDEX(patronHabil,WEEKDAY($J45,2))))))</f>
        <v/>
      </c>
      <c r="U45" s="5">
        <f>IF($I45="","",IFERROR(INDEX('CAT_TIPOS_OT'!$C$4:$C$8,MATCH($I45,'CAT_TIPOS_OT'!$A$4:$A$8,0)),"sin_clasificar"))</f>
        <v/>
      </c>
      <c r="V45" s="5">
        <f>IF($I45="","",IF(IFERROR(INDEX('CAT_TIPOS_OT'!$D$4:$D$8,MATCH($I45,'CAT_TIPOS_OT'!$A$4:$A$8,0)),"SIN CLASIFICAR")="","SIN CLASIFICAR",IFERROR(INDEX('CAT_TIPOS_OT'!$D$4:$D$8,MATCH($I45,'CAT_TIPOS_OT'!$A$4:$A$8,0)),"SIN CLASIFICAR")))</f>
        <v/>
      </c>
      <c r="W45" s="5">
        <f>IF($F45="","",IFERROR(INDEX('CAT_CENTROS_COSTO'!$F$4:$F$13,MATCH($F45,'CAT_CENTROS_COSTO'!$A$4:$A$13,0)),"(sin catálogo)"))</f>
        <v/>
      </c>
      <c r="X45" s="5">
        <f>IF($F45="","",IFERROR(INDEX('CAT_CENTROS_COSTO'!$D$4:$D$13,MATCH($F45,'CAT_CENTROS_COSTO'!$A$4:$A$13,0)),"(sin catálogo)"))</f>
        <v/>
      </c>
      <c r="Y45" s="5">
        <f>IF($F45="","",IF((IFERROR(INDEX('CAT_CENTROS_COSTO'!$E$4:$E$13,MATCH($F45,'CAT_CENTROS_COSTO'!$A$4:$A$13,0)),""))&lt;&gt;"",IFERROR(INDEX('CAT_CENTROS_COSTO'!$E$4:$E$13,MATCH($F45,'CAT_CENTROS_COSTO'!$A$4:$A$13,0)),""),$X45))</f>
        <v/>
      </c>
      <c r="Z45" s="5">
        <f>IF($F45="","",IFERROR(INDEX('CAT_CENTROS_COSTO'!$G$4:$G$13,MATCH($F45,'CAT_CENTROS_COSTO'!$A$4:$A$13,0)),"(sin catálogo)"))</f>
        <v/>
      </c>
      <c r="AA45" s="5">
        <f>IF($G45="","",IFERROR(INDEX('CAT_PUESTOS'!$B$4:$B$8,MATCH($G45,'CAT_PUESTOS'!$A$4:$A$8,0)),"(sin catálogo)"))</f>
        <v/>
      </c>
      <c r="AB45" s="5">
        <f>IF($H45="","",IFERROR(INDEX('CAT_ACTIVIDADES'!$B$4:$B$11,MATCH($H45,'CAT_ACTIVIDADES'!$A$4:$A$11,0)),"(sin catálogo)"))</f>
        <v/>
      </c>
      <c r="AC45" s="20">
        <f>IF($J45="","",TODAY()-$J45)</f>
        <v/>
      </c>
      <c r="AD45" s="20">
        <f>IF($J45="","",IF($J45&lt;=TODAY(),COUNTIFS(cal_fechas,"&gt;="&amp;$J45,cal_fechas,"&lt;"&amp;TODAY(),cal_habil,"sí"),-COUNTIFS(cal_fechas,"&gt;="&amp;TODAY(),cal_fechas,"&lt;"&amp;$J45,cal_habil,"sí")))</f>
        <v/>
      </c>
      <c r="AE45" s="5">
        <f>IF($AD45="","",IF($AD45&lt;0,"FUTURO",IF($AD45&gt;p_dias_backlog_max,"BACKLOG","MES CORRIENTE")))</f>
        <v/>
      </c>
      <c r="AF45" s="5">
        <f>IF($AD45="",FALSE,AND($AD45&gt;p_dias_backlog_min,$AD45&lt;=p_dias_backlog_max))</f>
        <v/>
      </c>
      <c r="AG45" s="4" t="inlineStr">
        <is>
          <t>Francisco Ramírez</t>
        </is>
      </c>
      <c r="AH45" s="5">
        <f>IF($AG45="","",IF((IFERROR(INDEX('ASIGNACIONES'!$J$4:$J$451,MATCH($O45&amp;"|"&amp;$S45&amp;"|"&amp;$AG45,'ASIGNACIONES'!$N$4:$N$451,0)),""))=0,"",IFERROR(INDEX('ASIGNACIONES'!$J$4:$J$451,MATCH($O45&amp;"|"&amp;$S45&amp;"|"&amp;$AG45,'ASIGNACIONES'!$N$4:$N$451,0)),"")))</f>
        <v/>
      </c>
      <c r="AI45" s="25">
        <f>IF($AG45="","",SUMIFS('ORDENES'!$M$4:$M$1203,'ORDENES'!$AG$4:$AG$1203,$AG45,'ORDENES'!$O$4:$O$1203,$O45,'ORDENES'!$S$4:$S$1203,$S45))</f>
        <v/>
      </c>
      <c r="AJ45" s="25">
        <f>IF($AI45="","",p_factor_productividad*IFERROR(INDEX('ASIGNACIONES'!$M$4:$M$451,MATCH($O45&amp;"|"&amp;$S45&amp;"|"&amp;$AG45,'ASIGNACIONES'!$N$4:$N$451,0)),0)-$AI45)</f>
        <v/>
      </c>
      <c r="AK45" s="18">
        <f>IF($A45="","",IFERROR(INDEX('2_IMPORTAR_EJECUCION'!$F$9:$F$1208,MATCH($AT45,'2_IMPORTAR_EJECUCION'!$J$9:$J$1208,0)),0))</f>
        <v/>
      </c>
      <c r="AL45" s="18">
        <f>IF($A45="","",MAX(0,IFERROR(INDEX('2_IMPORTAR_EJECUCION'!$H$9:$H$1208,MATCH($AT45,'2_IMPORTAR_EJECUCION'!$J$9:$J$1208,0)),0)-$AK45))</f>
        <v/>
      </c>
      <c r="AM45" s="18">
        <f>IF($A45="","",$AK45+$AL45)</f>
        <v/>
      </c>
      <c r="AN45" s="5">
        <f>IF($A45="","",IF(OR((IFERROR(INDEX('CAT_ACTIVIDADES'!$D$4:$D$11,MATCH($H45,'CAT_ACTIVIDADES'!$A$4:$A$11,0)),""))=0,(IFERROR(INDEX('CAT_ACTIVIDADES'!$D$4:$D$11,MATCH($H45,'CAT_ACTIVIDADES'!$A$4:$A$11,0)),""))=""),"SIN CLASIFICAR",IFERROR(INDEX('CAT_ACTIVIDADES'!$D$4:$D$11,MATCH($H45,'CAT_ACTIVIDADES'!$A$4:$A$11,0)),"")))</f>
        <v/>
      </c>
      <c r="AO45" s="4" t="inlineStr"/>
      <c r="AP45" s="4" t="inlineStr"/>
      <c r="AQ45" s="4" t="inlineStr">
        <is>
          <t>ACT-01.pdf</t>
        </is>
      </c>
      <c r="AR45" s="5">
        <f>IF($AQ45="","",HYPERLINK(p_ruta_base_checklists&amp;$AQ45,"abrir"))</f>
        <v/>
      </c>
      <c r="AS45" s="4" t="inlineStr"/>
      <c r="AT45" s="5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22" t="n">
        <v>46246</v>
      </c>
      <c r="K46" s="5" t="n">
        <v>6</v>
      </c>
      <c r="L46" s="18" t="n">
        <v>150</v>
      </c>
      <c r="M46" s="5">
        <f>IF($A46="","",IFERROR(INDEX('AJUSTES'!$B$4:$B$303,MATCH($AT46,'AJUSTES'!$A$4:$A$303,0)),IF($K46="","",$K46)))</f>
        <v/>
      </c>
      <c r="N46" s="5">
        <f>IF($A46="","",IFERROR(INDEX('CAT_ESTADOS_ERP'!$B$4:$B$7,MATCH(IFERROR(INDEX('2_IMPORTAR_EJECUCION'!$C$9:$C$1208,MATCH($AT46,'2_IMPORTAR_EJECUCION'!$J$9:$J$1208,0)),""),'CAT_ESTADOS_ERP'!$A$4:$A$7,0)),"Pendiente"))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IF($J46="","",$P46&amp;"-"&amp;TEXT($Q46,"00"))</f>
        <v/>
      </c>
      <c r="S46" s="5">
        <f>IF($J46="","",INDEX(lista_dias,WEEKDAY($J46,2)))</f>
        <v/>
      </c>
      <c r="T46" s="5">
        <f>IF($J46="","",IFERROR(INDEX('CALENDARIO'!$C$15:$C$214,MATCH(TEXT($J46,"yyyy-mm-dd")&amp;"|"&amp;$X46&amp;"|"&amp;$Y46,'CALENDARIO'!$G$15:$G$214,0)),IFERROR(INDEX('CALENDARIO'!$C$15:$C$214,MATCH(TEXT($J46,"yyyy-mm-dd")&amp;"|"&amp;$X46&amp;"|",'CALENDARIO'!$G$15:$G$214,0)),IFERROR(INDEX('CALENDARIO'!$C$15:$C$214,MATCH(TEXT($J46,"yyyy-mm-dd")&amp;"||",'CALENDARIO'!$G$15:$G$214,0)),INDEX(patronHabil,WEEKDAY($J46,2))))))</f>
        <v/>
      </c>
      <c r="U46" s="5">
        <f>IF($I46="","",IFERROR(INDEX('CAT_TIPOS_OT'!$C$4:$C$8,MATCH($I46,'CAT_TIPOS_OT'!$A$4:$A$8,0)),"sin_clasificar"))</f>
        <v/>
      </c>
      <c r="V46" s="5">
        <f>IF($I46="","",IF(IFERROR(INDEX('CAT_TIPOS_OT'!$D$4:$D$8,MATCH($I46,'CAT_TIPOS_OT'!$A$4:$A$8,0)),"SIN CLASIFICAR")="","SIN CLASIFICAR",IFERROR(INDEX('CAT_TIPOS_OT'!$D$4:$D$8,MATCH($I46,'CAT_TIPOS_OT'!$A$4:$A$8,0)),"SIN CLASIFICAR")))</f>
        <v/>
      </c>
      <c r="W46" s="5">
        <f>IF($F46="","",IFERROR(INDEX('CAT_CENTROS_COSTO'!$F$4:$F$13,MATCH($F46,'CAT_CENTROS_COSTO'!$A$4:$A$13,0)),"(sin catálogo)"))</f>
        <v/>
      </c>
      <c r="X46" s="5">
        <f>IF($F46="","",IFERROR(INDEX('CAT_CENTROS_COSTO'!$D$4:$D$13,MATCH($F46,'CAT_CENTROS_COSTO'!$A$4:$A$13,0)),"(sin catálogo)"))</f>
        <v/>
      </c>
      <c r="Y46" s="5">
        <f>IF($F46="","",IF((IFERROR(INDEX('CAT_CENTROS_COSTO'!$E$4:$E$13,MATCH($F46,'CAT_CENTROS_COSTO'!$A$4:$A$13,0)),""))&lt;&gt;"",IFERROR(INDEX('CAT_CENTROS_COSTO'!$E$4:$E$13,MATCH($F46,'CAT_CENTROS_COSTO'!$A$4:$A$13,0)),""),$X46))</f>
        <v/>
      </c>
      <c r="Z46" s="5">
        <f>IF($F46="","",IFERROR(INDEX('CAT_CENTROS_COSTO'!$G$4:$G$13,MATCH($F46,'CAT_CENTROS_COSTO'!$A$4:$A$13,0)),"(sin catálogo)"))</f>
        <v/>
      </c>
      <c r="AA46" s="5">
        <f>IF($G46="","",IFERROR(INDEX('CAT_PUESTOS'!$B$4:$B$8,MATCH($G46,'CAT_PUESTOS'!$A$4:$A$8,0)),"(sin catálogo)"))</f>
        <v/>
      </c>
      <c r="AB46" s="5">
        <f>IF($H46="","",IFERROR(INDEX('CAT_ACTIVIDADES'!$B$4:$B$11,MATCH($H46,'CAT_ACTIVIDADES'!$A$4:$A$11,0)),"(sin catálogo)"))</f>
        <v/>
      </c>
      <c r="AC46" s="20">
        <f>IF($J46="","",TODAY()-$J46)</f>
        <v/>
      </c>
      <c r="AD46" s="20">
        <f>IF($J46="","",IF($J46&lt;=TODAY(),COUNTIFS(cal_fechas,"&gt;="&amp;$J46,cal_fechas,"&lt;"&amp;TODAY(),cal_habil,"sí"),-COUNTIFS(cal_fechas,"&gt;="&amp;TODAY(),cal_fechas,"&lt;"&amp;$J46,cal_habil,"sí")))</f>
        <v/>
      </c>
      <c r="AE46" s="5">
        <f>IF($AD46="","",IF($AD46&lt;0,"FUTURO",IF($AD46&gt;p_dias_backlog_max,"BACKLOG","MES CORRIENTE")))</f>
        <v/>
      </c>
      <c r="AF46" s="5">
        <f>IF($AD46="",FALSE,AND($AD46&gt;p_dias_backlog_min,$AD46&lt;=p_dias_backlog_max))</f>
        <v/>
      </c>
      <c r="AG46" s="4" t="inlineStr">
        <is>
          <t>Carlos Pérez</t>
        </is>
      </c>
      <c r="AH46" s="5">
        <f>IF($AG46="","",IF((IFERROR(INDEX('ASIGNACIONES'!$J$4:$J$451,MATCH($O46&amp;"|"&amp;$S46&amp;"|"&amp;$AG46,'ASIGNACIONES'!$N$4:$N$451,0)),""))=0,"",IFERROR(INDEX('ASIGNACIONES'!$J$4:$J$451,MATCH($O46&amp;"|"&amp;$S46&amp;"|"&amp;$AG46,'ASIGNACIONES'!$N$4:$N$451,0)),"")))</f>
        <v/>
      </c>
      <c r="AI46" s="25">
        <f>IF($AG46="","",SUMIFS('ORDENES'!$M$4:$M$1203,'ORDENES'!$AG$4:$AG$1203,$AG46,'ORDENES'!$O$4:$O$1203,$O46,'ORDENES'!$S$4:$S$1203,$S46))</f>
        <v/>
      </c>
      <c r="AJ46" s="25">
        <f>IF($AI46="","",p_factor_productividad*IFERROR(INDEX('ASIGNACIONES'!$M$4:$M$451,MATCH($O46&amp;"|"&amp;$S46&amp;"|"&amp;$AG46,'ASIGNACIONES'!$N$4:$N$451,0)),0)-$AI46)</f>
        <v/>
      </c>
      <c r="AK46" s="18">
        <f>IF($A46="","",IFERROR(INDEX('2_IMPORTAR_EJECUCION'!$F$9:$F$1208,MATCH($AT46,'2_IMPORTAR_EJECUCION'!$J$9:$J$1208,0)),0))</f>
        <v/>
      </c>
      <c r="AL46" s="18">
        <f>IF($A46="","",MAX(0,IFERROR(INDEX('2_IMPORTAR_EJECUCION'!$H$9:$H$1208,MATCH($AT46,'2_IMPORTAR_EJECUCION'!$J$9:$J$1208,0)),0)-$AK46))</f>
        <v/>
      </c>
      <c r="AM46" s="18">
        <f>IF($A46="","",$AK46+$AL46)</f>
        <v/>
      </c>
      <c r="AN46" s="5">
        <f>IF($A46="","",IF(OR((IFERROR(INDEX('CAT_ACTIVIDADES'!$D$4:$D$11,MATCH($H46,'CAT_ACTIVIDADES'!$A$4:$A$11,0)),""))=0,(IFERROR(INDEX('CAT_ACTIVIDADES'!$D$4:$D$11,MATCH($H46,'CAT_ACTIVIDADES'!$A$4:$A$11,0)),""))=""),"SIN CLASIFICAR",IFERROR(INDEX('CAT_ACTIVIDADES'!$D$4:$D$11,MATCH($H46,'CAT_ACTIVIDADES'!$A$4:$A$11,0)),"")))</f>
        <v/>
      </c>
      <c r="AO46" s="4" t="inlineStr"/>
      <c r="AP46" s="4" t="inlineStr"/>
      <c r="AQ46" s="4" t="inlineStr">
        <is>
          <t>ACT-02.pdf</t>
        </is>
      </c>
      <c r="AR46" s="5">
        <f>IF($AQ46="","",HYPERLINK(p_ruta_base_checklists&amp;$AQ46,"abrir"))</f>
        <v/>
      </c>
      <c r="AS46" s="4" t="inlineStr"/>
      <c r="AT46" s="5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22" t="n">
        <v>46247</v>
      </c>
      <c r="K47" s="5" t="n">
        <v>10</v>
      </c>
      <c r="L47" s="18" t="n">
        <v>250</v>
      </c>
      <c r="M47" s="5">
        <f>IF($A47="","",IFERROR(INDEX('AJUSTES'!$B$4:$B$303,MATCH($AT47,'AJUSTES'!$A$4:$A$303,0)),IF($K47="","",$K47)))</f>
        <v/>
      </c>
      <c r="N47" s="5">
        <f>IF($A47="","",IFERROR(INDEX('CAT_ESTADOS_ERP'!$B$4:$B$7,MATCH(IFERROR(INDEX('2_IMPORTAR_EJECUCION'!$C$9:$C$1208,MATCH($AT47,'2_IMPORTAR_EJECUCION'!$J$9:$J$1208,0)),""),'CAT_ESTADOS_ERP'!$A$4:$A$7,0)),"Pendiente"))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IF($J47="","",$P47&amp;"-"&amp;TEXT($Q47,"00"))</f>
        <v/>
      </c>
      <c r="S47" s="5">
        <f>IF($J47="","",INDEX(lista_dias,WEEKDAY($J47,2)))</f>
        <v/>
      </c>
      <c r="T47" s="5">
        <f>IF($J47="","",IFERROR(INDEX('CALENDARIO'!$C$15:$C$214,MATCH(TEXT($J47,"yyyy-mm-dd")&amp;"|"&amp;$X47&amp;"|"&amp;$Y47,'CALENDARIO'!$G$15:$G$214,0)),IFERROR(INDEX('CALENDARIO'!$C$15:$C$214,MATCH(TEXT($J47,"yyyy-mm-dd")&amp;"|"&amp;$X47&amp;"|",'CALENDARIO'!$G$15:$G$214,0)),IFERROR(INDEX('CALENDARIO'!$C$15:$C$214,MATCH(TEXT($J47,"yyyy-mm-dd")&amp;"||",'CALENDARIO'!$G$15:$G$214,0)),INDEX(patronHabil,WEEKDAY($J47,2))))))</f>
        <v/>
      </c>
      <c r="U47" s="5">
        <f>IF($I47="","",IFERROR(INDEX('CAT_TIPOS_OT'!$C$4:$C$8,MATCH($I47,'CAT_TIPOS_OT'!$A$4:$A$8,0)),"sin_clasificar"))</f>
        <v/>
      </c>
      <c r="V47" s="5">
        <f>IF($I47="","",IF(IFERROR(INDEX('CAT_TIPOS_OT'!$D$4:$D$8,MATCH($I47,'CAT_TIPOS_OT'!$A$4:$A$8,0)),"SIN CLASIFICAR")="","SIN CLASIFICAR",IFERROR(INDEX('CAT_TIPOS_OT'!$D$4:$D$8,MATCH($I47,'CAT_TIPOS_OT'!$A$4:$A$8,0)),"SIN CLASIFICAR")))</f>
        <v/>
      </c>
      <c r="W47" s="5">
        <f>IF($F47="","",IFERROR(INDEX('CAT_CENTROS_COSTO'!$F$4:$F$13,MATCH($F47,'CAT_CENTROS_COSTO'!$A$4:$A$13,0)),"(sin catálogo)"))</f>
        <v/>
      </c>
      <c r="X47" s="5">
        <f>IF($F47="","",IFERROR(INDEX('CAT_CENTROS_COSTO'!$D$4:$D$13,MATCH($F47,'CAT_CENTROS_COSTO'!$A$4:$A$13,0)),"(sin catálogo)"))</f>
        <v/>
      </c>
      <c r="Y47" s="5">
        <f>IF($F47="","",IF((IFERROR(INDEX('CAT_CENTROS_COSTO'!$E$4:$E$13,MATCH($F47,'CAT_CENTROS_COSTO'!$A$4:$A$13,0)),""))&lt;&gt;"",IFERROR(INDEX('CAT_CENTROS_COSTO'!$E$4:$E$13,MATCH($F47,'CAT_CENTROS_COSTO'!$A$4:$A$13,0)),""),$X47))</f>
        <v/>
      </c>
      <c r="Z47" s="5">
        <f>IF($F47="","",IFERROR(INDEX('CAT_CENTROS_COSTO'!$G$4:$G$13,MATCH($F47,'CAT_CENTROS_COSTO'!$A$4:$A$13,0)),"(sin catálogo)"))</f>
        <v/>
      </c>
      <c r="AA47" s="5">
        <f>IF($G47="","",IFERROR(INDEX('CAT_PUESTOS'!$B$4:$B$8,MATCH($G47,'CAT_PUESTOS'!$A$4:$A$8,0)),"(sin catálogo)"))</f>
        <v/>
      </c>
      <c r="AB47" s="5">
        <f>IF($H47="","",IFERROR(INDEX('CAT_ACTIVIDADES'!$B$4:$B$11,MATCH($H47,'CAT_ACTIVIDADES'!$A$4:$A$11,0)),"(sin catálogo)"))</f>
        <v/>
      </c>
      <c r="AC47" s="20">
        <f>IF($J47="","",TODAY()-$J47)</f>
        <v/>
      </c>
      <c r="AD47" s="20">
        <f>IF($J47="","",IF($J47&lt;=TODAY(),COUNTIFS(cal_fechas,"&gt;="&amp;$J47,cal_fechas,"&lt;"&amp;TODAY(),cal_habil,"sí"),-COUNTIFS(cal_fechas,"&gt;="&amp;TODAY(),cal_fechas,"&lt;"&amp;$J47,cal_habil,"sí")))</f>
        <v/>
      </c>
      <c r="AE47" s="5">
        <f>IF($AD47="","",IF($AD47&lt;0,"FUTURO",IF($AD47&gt;p_dias_backlog_max,"BACKLOG","MES CORRIENTE")))</f>
        <v/>
      </c>
      <c r="AF47" s="5">
        <f>IF($AD47="",FALSE,AND($AD47&gt;p_dias_backlog_min,$AD47&lt;=p_dias_backlog_max))</f>
        <v/>
      </c>
      <c r="AG47" s="4" t="inlineStr">
        <is>
          <t>María Gómez</t>
        </is>
      </c>
      <c r="AH47" s="5">
        <f>IF($AG47="","",IF((IFERROR(INDEX('ASIGNACIONES'!$J$4:$J$451,MATCH($O47&amp;"|"&amp;$S47&amp;"|"&amp;$AG47,'ASIGNACIONES'!$N$4:$N$451,0)),""))=0,"",IFERROR(INDEX('ASIGNACIONES'!$J$4:$J$451,MATCH($O47&amp;"|"&amp;$S47&amp;"|"&amp;$AG47,'ASIGNACIONES'!$N$4:$N$451,0)),"")))</f>
        <v/>
      </c>
      <c r="AI47" s="25">
        <f>IF($AG47="","",SUMIFS('ORDENES'!$M$4:$M$1203,'ORDENES'!$AG$4:$AG$1203,$AG47,'ORDENES'!$O$4:$O$1203,$O47,'ORDENES'!$S$4:$S$1203,$S47))</f>
        <v/>
      </c>
      <c r="AJ47" s="25">
        <f>IF($AI47="","",p_factor_productividad*IFERROR(INDEX('ASIGNACIONES'!$M$4:$M$451,MATCH($O47&amp;"|"&amp;$S47&amp;"|"&amp;$AG47,'ASIGNACIONES'!$N$4:$N$451,0)),0)-$AI47)</f>
        <v/>
      </c>
      <c r="AK47" s="18">
        <f>IF($A47="","",IFERROR(INDEX('2_IMPORTAR_EJECUCION'!$F$9:$F$1208,MATCH($AT47,'2_IMPORTAR_EJECUCION'!$J$9:$J$1208,0)),0))</f>
        <v/>
      </c>
      <c r="AL47" s="18">
        <f>IF($A47="","",MAX(0,IFERROR(INDEX('2_IMPORTAR_EJECUCION'!$H$9:$H$1208,MATCH($AT47,'2_IMPORTAR_EJECUCION'!$J$9:$J$1208,0)),0)-$AK47))</f>
        <v/>
      </c>
      <c r="AM47" s="18">
        <f>IF($A47="","",$AK47+$AL47)</f>
        <v/>
      </c>
      <c r="AN47" s="5">
        <f>IF($A47="","",IF(OR((IFERROR(INDEX('CAT_ACTIVIDADES'!$D$4:$D$11,MATCH($H47,'CAT_ACTIVIDADES'!$A$4:$A$11,0)),""))=0,(IFERROR(INDEX('CAT_ACTIVIDADES'!$D$4:$D$11,MATCH($H47,'CAT_ACTIVIDADES'!$A$4:$A$11,0)),""))=""),"SIN CLASIFICAR",IFERROR(INDEX('CAT_ACTIVIDADES'!$D$4:$D$11,MATCH($H47,'CAT_ACTIVIDADES'!$A$4:$A$11,0)),"")))</f>
        <v/>
      </c>
      <c r="AO47" s="4" t="inlineStr"/>
      <c r="AP47" s="4" t="inlineStr"/>
      <c r="AQ47" s="4" t="inlineStr">
        <is>
          <t>ACT-04.pdf</t>
        </is>
      </c>
      <c r="AR47" s="5">
        <f>IF($AQ47="","",HYPERLINK(p_ruta_base_checklists&amp;$AQ47,"abrir"))</f>
        <v/>
      </c>
      <c r="AS47" s="4" t="inlineStr"/>
      <c r="AT47" s="5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22" t="n">
        <v>46248</v>
      </c>
      <c r="K48" s="5" t="n">
        <v>8</v>
      </c>
      <c r="L48" s="18" t="n">
        <v>200</v>
      </c>
      <c r="M48" s="5">
        <f>IF($A48="","",IFERROR(INDEX('AJUSTES'!$B$4:$B$303,MATCH($AT48,'AJUSTES'!$A$4:$A$303,0)),IF($K48="","",$K48)))</f>
        <v/>
      </c>
      <c r="N48" s="5">
        <f>IF($A48="","",IFERROR(INDEX('CAT_ESTADOS_ERP'!$B$4:$B$7,MATCH(IFERROR(INDEX('2_IMPORTAR_EJECUCION'!$C$9:$C$1208,MATCH($AT48,'2_IMPORTAR_EJECUCION'!$J$9:$J$1208,0)),""),'CAT_ESTADOS_ERP'!$A$4:$A$7,0)),"Pendiente"))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IF($J48="","",$P48&amp;"-"&amp;TEXT($Q48,"00"))</f>
        <v/>
      </c>
      <c r="S48" s="5">
        <f>IF($J48="","",INDEX(lista_dias,WEEKDAY($J48,2)))</f>
        <v/>
      </c>
      <c r="T48" s="5">
        <f>IF($J48="","",IFERROR(INDEX('CALENDARIO'!$C$15:$C$214,MATCH(TEXT($J48,"yyyy-mm-dd")&amp;"|"&amp;$X48&amp;"|"&amp;$Y48,'CALENDARIO'!$G$15:$G$214,0)),IFERROR(INDEX('CALENDARIO'!$C$15:$C$214,MATCH(TEXT($J48,"yyyy-mm-dd")&amp;"|"&amp;$X48&amp;"|",'CALENDARIO'!$G$15:$G$214,0)),IFERROR(INDEX('CALENDARIO'!$C$15:$C$214,MATCH(TEXT($J48,"yyyy-mm-dd")&amp;"||",'CALENDARIO'!$G$15:$G$214,0)),INDEX(patronHabil,WEEKDAY($J48,2))))))</f>
        <v/>
      </c>
      <c r="U48" s="5">
        <f>IF($I48="","",IFERROR(INDEX('CAT_TIPOS_OT'!$C$4:$C$8,MATCH($I48,'CAT_TIPOS_OT'!$A$4:$A$8,0)),"sin_clasificar"))</f>
        <v/>
      </c>
      <c r="V48" s="5">
        <f>IF($I48="","",IF(IFERROR(INDEX('CAT_TIPOS_OT'!$D$4:$D$8,MATCH($I48,'CAT_TIPOS_OT'!$A$4:$A$8,0)),"SIN CLASIFICAR")="","SIN CLASIFICAR",IFERROR(INDEX('CAT_TIPOS_OT'!$D$4:$D$8,MATCH($I48,'CAT_TIPOS_OT'!$A$4:$A$8,0)),"SIN CLASIFICAR")))</f>
        <v/>
      </c>
      <c r="W48" s="5">
        <f>IF($F48="","",IFERROR(INDEX('CAT_CENTROS_COSTO'!$F$4:$F$13,MATCH($F48,'CAT_CENTROS_COSTO'!$A$4:$A$13,0)),"(sin catálogo)"))</f>
        <v/>
      </c>
      <c r="X48" s="5">
        <f>IF($F48="","",IFERROR(INDEX('CAT_CENTROS_COSTO'!$D$4:$D$13,MATCH($F48,'CAT_CENTROS_COSTO'!$A$4:$A$13,0)),"(sin catálogo)"))</f>
        <v/>
      </c>
      <c r="Y48" s="5">
        <f>IF($F48="","",IF((IFERROR(INDEX('CAT_CENTROS_COSTO'!$E$4:$E$13,MATCH($F48,'CAT_CENTROS_COSTO'!$A$4:$A$13,0)),""))&lt;&gt;"",IFERROR(INDEX('CAT_CENTROS_COSTO'!$E$4:$E$13,MATCH($F48,'CAT_CENTROS_COSTO'!$A$4:$A$13,0)),""),$X48))</f>
        <v/>
      </c>
      <c r="Z48" s="5">
        <f>IF($F48="","",IFERROR(INDEX('CAT_CENTROS_COSTO'!$G$4:$G$13,MATCH($F48,'CAT_CENTROS_COSTO'!$A$4:$A$13,0)),"(sin catálogo)"))</f>
        <v/>
      </c>
      <c r="AA48" s="5">
        <f>IF($G48="","",IFERROR(INDEX('CAT_PUESTOS'!$B$4:$B$8,MATCH($G48,'CAT_PUESTOS'!$A$4:$A$8,0)),"(sin catálogo)"))</f>
        <v/>
      </c>
      <c r="AB48" s="5">
        <f>IF($H48="","",IFERROR(INDEX('CAT_ACTIVIDADES'!$B$4:$B$11,MATCH($H48,'CAT_ACTIVIDADES'!$A$4:$A$11,0)),"(sin catálogo)"))</f>
        <v/>
      </c>
      <c r="AC48" s="20">
        <f>IF($J48="","",TODAY()-$J48)</f>
        <v/>
      </c>
      <c r="AD48" s="20">
        <f>IF($J48="","",IF($J48&lt;=TODAY(),COUNTIFS(cal_fechas,"&gt;="&amp;$J48,cal_fechas,"&lt;"&amp;TODAY(),cal_habil,"sí"),-COUNTIFS(cal_fechas,"&gt;="&amp;TODAY(),cal_fechas,"&lt;"&amp;$J48,cal_habil,"sí")))</f>
        <v/>
      </c>
      <c r="AE48" s="5">
        <f>IF($AD48="","",IF($AD48&lt;0,"FUTURO",IF($AD48&gt;p_dias_backlog_max,"BACKLOG","MES CORRIENTE")))</f>
        <v/>
      </c>
      <c r="AF48" s="5">
        <f>IF($AD48="",FALSE,AND($AD48&gt;p_dias_backlog_min,$AD48&lt;=p_dias_backlog_max))</f>
        <v/>
      </c>
      <c r="AG48" s="4" t="inlineStr">
        <is>
          <t>Luis Rodríguez</t>
        </is>
      </c>
      <c r="AH48" s="5">
        <f>IF($AG48="","",IF((IFERROR(INDEX('ASIGNACIONES'!$J$4:$J$451,MATCH($O48&amp;"|"&amp;$S48&amp;"|"&amp;$AG48,'ASIGNACIONES'!$N$4:$N$451,0)),""))=0,"",IFERROR(INDEX('ASIGNACIONES'!$J$4:$J$451,MATCH($O48&amp;"|"&amp;$S48&amp;"|"&amp;$AG48,'ASIGNACIONES'!$N$4:$N$451,0)),"")))</f>
        <v/>
      </c>
      <c r="AI48" s="25">
        <f>IF($AG48="","",SUMIFS('ORDENES'!$M$4:$M$1203,'ORDENES'!$AG$4:$AG$1203,$AG48,'ORDENES'!$O$4:$O$1203,$O48,'ORDENES'!$S$4:$S$1203,$S48))</f>
        <v/>
      </c>
      <c r="AJ48" s="25">
        <f>IF($AI48="","",p_factor_productividad*IFERROR(INDEX('ASIGNACIONES'!$M$4:$M$451,MATCH($O48&amp;"|"&amp;$S48&amp;"|"&amp;$AG48,'ASIGNACIONES'!$N$4:$N$451,0)),0)-$AI48)</f>
        <v/>
      </c>
      <c r="AK48" s="18">
        <f>IF($A48="","",IFERROR(INDEX('2_IMPORTAR_EJECUCION'!$F$9:$F$1208,MATCH($AT48,'2_IMPORTAR_EJECUCION'!$J$9:$J$1208,0)),0))</f>
        <v/>
      </c>
      <c r="AL48" s="18">
        <f>IF($A48="","",MAX(0,IFERROR(INDEX('2_IMPORTAR_EJECUCION'!$H$9:$H$1208,MATCH($AT48,'2_IMPORTAR_EJECUCION'!$J$9:$J$1208,0)),0)-$AK48))</f>
        <v/>
      </c>
      <c r="AM48" s="18">
        <f>IF($A48="","",$AK48+$AL48)</f>
        <v/>
      </c>
      <c r="AN48" s="5">
        <f>IF($A48="","",IF(OR((IFERROR(INDEX('CAT_ACTIVIDADES'!$D$4:$D$11,MATCH($H48,'CAT_ACTIVIDADES'!$A$4:$A$11,0)),""))=0,(IFERROR(INDEX('CAT_ACTIVIDADES'!$D$4:$D$11,MATCH($H48,'CAT_ACTIVIDADES'!$A$4:$A$11,0)),""))=""),"SIN CLASIFICAR",IFERROR(INDEX('CAT_ACTIVIDADES'!$D$4:$D$11,MATCH($H48,'CAT_ACTIVIDADES'!$A$4:$A$11,0)),"")))</f>
        <v/>
      </c>
      <c r="AO48" s="4" t="inlineStr"/>
      <c r="AP48" s="4" t="inlineStr"/>
      <c r="AQ48" s="4" t="inlineStr">
        <is>
          <t>ACT-01.pdf</t>
        </is>
      </c>
      <c r="AR48" s="5">
        <f>IF($AQ48="","",HYPERLINK(p_ruta_base_checklists&amp;$AQ48,"abrir"))</f>
        <v/>
      </c>
      <c r="AS48" s="4" t="inlineStr"/>
      <c r="AT48" s="5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22" t="n">
        <v>46244</v>
      </c>
      <c r="K49" s="5" t="n">
        <v>4</v>
      </c>
      <c r="L49" s="18" t="n">
        <v>100</v>
      </c>
      <c r="M49" s="5">
        <f>IF($A49="","",IFERROR(INDEX('AJUSTES'!$B$4:$B$303,MATCH($AT49,'AJUSTES'!$A$4:$A$303,0)),IF($K49="","",$K49)))</f>
        <v/>
      </c>
      <c r="N49" s="5">
        <f>IF($A49="","",IFERROR(INDEX('CAT_ESTADOS_ERP'!$B$4:$B$7,MATCH(IFERROR(INDEX('2_IMPORTAR_EJECUCION'!$C$9:$C$1208,MATCH($AT49,'2_IMPORTAR_EJECUCION'!$J$9:$J$1208,0)),""),'CAT_ESTADOS_ERP'!$A$4:$A$7,0)),"Pendiente"))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IF($J49="","",$P49&amp;"-"&amp;TEXT($Q49,"00"))</f>
        <v/>
      </c>
      <c r="S49" s="5">
        <f>IF($J49="","",INDEX(lista_dias,WEEKDAY($J49,2)))</f>
        <v/>
      </c>
      <c r="T49" s="5">
        <f>IF($J49="","",IFERROR(INDEX('CALENDARIO'!$C$15:$C$214,MATCH(TEXT($J49,"yyyy-mm-dd")&amp;"|"&amp;$X49&amp;"|"&amp;$Y49,'CALENDARIO'!$G$15:$G$214,0)),IFERROR(INDEX('CALENDARIO'!$C$15:$C$214,MATCH(TEXT($J49,"yyyy-mm-dd")&amp;"|"&amp;$X49&amp;"|",'CALENDARIO'!$G$15:$G$214,0)),IFERROR(INDEX('CALENDARIO'!$C$15:$C$214,MATCH(TEXT($J49,"yyyy-mm-dd")&amp;"||",'CALENDARIO'!$G$15:$G$214,0)),INDEX(patronHabil,WEEKDAY($J49,2))))))</f>
        <v/>
      </c>
      <c r="U49" s="5">
        <f>IF($I49="","",IFERROR(INDEX('CAT_TIPOS_OT'!$C$4:$C$8,MATCH($I49,'CAT_TIPOS_OT'!$A$4:$A$8,0)),"sin_clasificar"))</f>
        <v/>
      </c>
      <c r="V49" s="5">
        <f>IF($I49="","",IF(IFERROR(INDEX('CAT_TIPOS_OT'!$D$4:$D$8,MATCH($I49,'CAT_TIPOS_OT'!$A$4:$A$8,0)),"SIN CLASIFICAR")="","SIN CLASIFICAR",IFERROR(INDEX('CAT_TIPOS_OT'!$D$4:$D$8,MATCH($I49,'CAT_TIPOS_OT'!$A$4:$A$8,0)),"SIN CLASIFICAR")))</f>
        <v/>
      </c>
      <c r="W49" s="5">
        <f>IF($F49="","",IFERROR(INDEX('CAT_CENTROS_COSTO'!$F$4:$F$13,MATCH($F49,'CAT_CENTROS_COSTO'!$A$4:$A$13,0)),"(sin catálogo)"))</f>
        <v/>
      </c>
      <c r="X49" s="5">
        <f>IF($F49="","",IFERROR(INDEX('CAT_CENTROS_COSTO'!$D$4:$D$13,MATCH($F49,'CAT_CENTROS_COSTO'!$A$4:$A$13,0)),"(sin catálogo)"))</f>
        <v/>
      </c>
      <c r="Y49" s="5">
        <f>IF($F49="","",IF((IFERROR(INDEX('CAT_CENTROS_COSTO'!$E$4:$E$13,MATCH($F49,'CAT_CENTROS_COSTO'!$A$4:$A$13,0)),""))&lt;&gt;"",IFERROR(INDEX('CAT_CENTROS_COSTO'!$E$4:$E$13,MATCH($F49,'CAT_CENTROS_COSTO'!$A$4:$A$13,0)),""),$X49))</f>
        <v/>
      </c>
      <c r="Z49" s="5">
        <f>IF($F49="","",IFERROR(INDEX('CAT_CENTROS_COSTO'!$G$4:$G$13,MATCH($F49,'CAT_CENTROS_COSTO'!$A$4:$A$13,0)),"(sin catálogo)"))</f>
        <v/>
      </c>
      <c r="AA49" s="5">
        <f>IF($G49="","",IFERROR(INDEX('CAT_PUESTOS'!$B$4:$B$8,MATCH($G49,'CAT_PUESTOS'!$A$4:$A$8,0)),"(sin catálogo)"))</f>
        <v/>
      </c>
      <c r="AB49" s="5">
        <f>IF($H49="","",IFERROR(INDEX('CAT_ACTIVIDADES'!$B$4:$B$11,MATCH($H49,'CAT_ACTIVIDADES'!$A$4:$A$11,0)),"(sin catálogo)"))</f>
        <v/>
      </c>
      <c r="AC49" s="20">
        <f>IF($J49="","",TODAY()-$J49)</f>
        <v/>
      </c>
      <c r="AD49" s="20">
        <f>IF($J49="","",IF($J49&lt;=TODAY(),COUNTIFS(cal_fechas,"&gt;="&amp;$J49,cal_fechas,"&lt;"&amp;TODAY(),cal_habil,"sí"),-COUNTIFS(cal_fechas,"&gt;="&amp;TODAY(),cal_fechas,"&lt;"&amp;$J49,cal_habil,"sí")))</f>
        <v/>
      </c>
      <c r="AE49" s="5">
        <f>IF($AD49="","",IF($AD49&lt;0,"FUTURO",IF($AD49&gt;p_dias_backlog_max,"BACKLOG","MES CORRIENTE")))</f>
        <v/>
      </c>
      <c r="AF49" s="5">
        <f>IF($AD49="",FALSE,AND($AD49&gt;p_dias_backlog_min,$AD49&lt;=p_dias_backlog_max))</f>
        <v/>
      </c>
      <c r="AG49" s="4" t="inlineStr">
        <is>
          <t>Miguel Martínez</t>
        </is>
      </c>
      <c r="AH49" s="5">
        <f>IF($AG49="","",IF((IFERROR(INDEX('ASIGNACIONES'!$J$4:$J$451,MATCH($O49&amp;"|"&amp;$S49&amp;"|"&amp;$AG49,'ASIGNACIONES'!$N$4:$N$451,0)),""))=0,"",IFERROR(INDEX('ASIGNACIONES'!$J$4:$J$451,MATCH($O49&amp;"|"&amp;$S49&amp;"|"&amp;$AG49,'ASIGNACIONES'!$N$4:$N$451,0)),"")))</f>
        <v/>
      </c>
      <c r="AI49" s="25">
        <f>IF($AG49="","",SUMIFS('ORDENES'!$M$4:$M$1203,'ORDENES'!$AG$4:$AG$1203,$AG49,'ORDENES'!$O$4:$O$1203,$O49,'ORDENES'!$S$4:$S$1203,$S49))</f>
        <v/>
      </c>
      <c r="AJ49" s="25">
        <f>IF($AI49="","",p_factor_productividad*IFERROR(INDEX('ASIGNACIONES'!$M$4:$M$451,MATCH($O49&amp;"|"&amp;$S49&amp;"|"&amp;$AG49,'ASIGNACIONES'!$N$4:$N$451,0)),0)-$AI49)</f>
        <v/>
      </c>
      <c r="AK49" s="18">
        <f>IF($A49="","",IFERROR(INDEX('2_IMPORTAR_EJECUCION'!$F$9:$F$1208,MATCH($AT49,'2_IMPORTAR_EJECUCION'!$J$9:$J$1208,0)),0))</f>
        <v/>
      </c>
      <c r="AL49" s="18">
        <f>IF($A49="","",MAX(0,IFERROR(INDEX('2_IMPORTAR_EJECUCION'!$H$9:$H$1208,MATCH($AT49,'2_IMPORTAR_EJECUCION'!$J$9:$J$1208,0)),0)-$AK49))</f>
        <v/>
      </c>
      <c r="AM49" s="18">
        <f>IF($A49="","",$AK49+$AL49)</f>
        <v/>
      </c>
      <c r="AN49" s="5">
        <f>IF($A49="","",IF(OR((IFERROR(INDEX('CAT_ACTIVIDADES'!$D$4:$D$11,MATCH($H49,'CAT_ACTIVIDADES'!$A$4:$A$11,0)),""))=0,(IFERROR(INDEX('CAT_ACTIVIDADES'!$D$4:$D$11,MATCH($H49,'CAT_ACTIVIDADES'!$A$4:$A$11,0)),""))=""),"SIN CLASIFICAR",IFERROR(INDEX('CAT_ACTIVIDADES'!$D$4:$D$11,MATCH($H49,'CAT_ACTIVIDADES'!$A$4:$A$11,0)),"")))</f>
        <v/>
      </c>
      <c r="AO49" s="4" t="inlineStr"/>
      <c r="AP49" s="4" t="inlineStr"/>
      <c r="AQ49" s="4" t="inlineStr">
        <is>
          <t>ACT-02.pdf</t>
        </is>
      </c>
      <c r="AR49" s="5">
        <f>IF($AQ49="","",HYPERLINK(p_ruta_base_checklists&amp;$AQ49,"abrir"))</f>
        <v/>
      </c>
      <c r="AS49" s="4" t="inlineStr"/>
      <c r="AT49" s="5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22" t="n">
        <v>46245</v>
      </c>
      <c r="K50" s="5" t="n">
        <v>10</v>
      </c>
      <c r="L50" s="18" t="n">
        <v>400</v>
      </c>
      <c r="M50" s="5">
        <f>IF($A50="","",IFERROR(INDEX('AJUSTES'!$B$4:$B$303,MATCH($AT50,'AJUSTES'!$A$4:$A$303,0)),IF($K50="","",$K50)))</f>
        <v/>
      </c>
      <c r="N50" s="5">
        <f>IF($A50="","",IFERROR(INDEX('CAT_ESTADOS_ERP'!$B$4:$B$7,MATCH(IFERROR(INDEX('2_IMPORTAR_EJECUCION'!$C$9:$C$1208,MATCH($AT50,'2_IMPORTAR_EJECUCION'!$J$9:$J$1208,0)),""),'CAT_ESTADOS_ERP'!$A$4:$A$7,0)),"Pendiente"))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IF($J50="","",$P50&amp;"-"&amp;TEXT($Q50,"00"))</f>
        <v/>
      </c>
      <c r="S50" s="5">
        <f>IF($J50="","",INDEX(lista_dias,WEEKDAY($J50,2)))</f>
        <v/>
      </c>
      <c r="T50" s="5">
        <f>IF($J50="","",IFERROR(INDEX('CALENDARIO'!$C$15:$C$214,MATCH(TEXT($J50,"yyyy-mm-dd")&amp;"|"&amp;$X50&amp;"|"&amp;$Y50,'CALENDARIO'!$G$15:$G$214,0)),IFERROR(INDEX('CALENDARIO'!$C$15:$C$214,MATCH(TEXT($J50,"yyyy-mm-dd")&amp;"|"&amp;$X50&amp;"|",'CALENDARIO'!$G$15:$G$214,0)),IFERROR(INDEX('CALENDARIO'!$C$15:$C$214,MATCH(TEXT($J50,"yyyy-mm-dd")&amp;"||",'CALENDARIO'!$G$15:$G$214,0)),INDEX(patronHabil,WEEKDAY($J50,2))))))</f>
        <v/>
      </c>
      <c r="U50" s="5">
        <f>IF($I50="","",IFERROR(INDEX('CAT_TIPOS_OT'!$C$4:$C$8,MATCH($I50,'CAT_TIPOS_OT'!$A$4:$A$8,0)),"sin_clasificar"))</f>
        <v/>
      </c>
      <c r="V50" s="5">
        <f>IF($I50="","",IF(IFERROR(INDEX('CAT_TIPOS_OT'!$D$4:$D$8,MATCH($I50,'CAT_TIPOS_OT'!$A$4:$A$8,0)),"SIN CLASIFICAR")="","SIN CLASIFICAR",IFERROR(INDEX('CAT_TIPOS_OT'!$D$4:$D$8,MATCH($I50,'CAT_TIPOS_OT'!$A$4:$A$8,0)),"SIN CLASIFICAR")))</f>
        <v/>
      </c>
      <c r="W50" s="5">
        <f>IF($F50="","",IFERROR(INDEX('CAT_CENTROS_COSTO'!$F$4:$F$13,MATCH($F50,'CAT_CENTROS_COSTO'!$A$4:$A$13,0)),"(sin catálogo)"))</f>
        <v/>
      </c>
      <c r="X50" s="5">
        <f>IF($F50="","",IFERROR(INDEX('CAT_CENTROS_COSTO'!$D$4:$D$13,MATCH($F50,'CAT_CENTROS_COSTO'!$A$4:$A$13,0)),"(sin catálogo)"))</f>
        <v/>
      </c>
      <c r="Y50" s="5">
        <f>IF($F50="","",IF((IFERROR(INDEX('CAT_CENTROS_COSTO'!$E$4:$E$13,MATCH($F50,'CAT_CENTROS_COSTO'!$A$4:$A$13,0)),""))&lt;&gt;"",IFERROR(INDEX('CAT_CENTROS_COSTO'!$E$4:$E$13,MATCH($F50,'CAT_CENTROS_COSTO'!$A$4:$A$13,0)),""),$X50))</f>
        <v/>
      </c>
      <c r="Z50" s="5">
        <f>IF($F50="","",IFERROR(INDEX('CAT_CENTROS_COSTO'!$G$4:$G$13,MATCH($F50,'CAT_CENTROS_COSTO'!$A$4:$A$13,0)),"(sin catálogo)"))</f>
        <v/>
      </c>
      <c r="AA50" s="5">
        <f>IF($G50="","",IFERROR(INDEX('CAT_PUESTOS'!$B$4:$B$8,MATCH($G50,'CAT_PUESTOS'!$A$4:$A$8,0)),"(sin catálogo)"))</f>
        <v/>
      </c>
      <c r="AB50" s="5">
        <f>IF($H50="","",IFERROR(INDEX('CAT_ACTIVIDADES'!$B$4:$B$11,MATCH($H50,'CAT_ACTIVIDADES'!$A$4:$A$11,0)),"(sin catálogo)"))</f>
        <v/>
      </c>
      <c r="AC50" s="20">
        <f>IF($J50="","",TODAY()-$J50)</f>
        <v/>
      </c>
      <c r="AD50" s="20">
        <f>IF($J50="","",IF($J50&lt;=TODAY(),COUNTIFS(cal_fechas,"&gt;="&amp;$J50,cal_fechas,"&lt;"&amp;TODAY(),cal_habil,"sí"),-COUNTIFS(cal_fechas,"&gt;="&amp;TODAY(),cal_fechas,"&lt;"&amp;$J50,cal_habil,"sí")))</f>
        <v/>
      </c>
      <c r="AE50" s="5">
        <f>IF($AD50="","",IF($AD50&lt;0,"FUTURO",IF($AD50&gt;p_dias_backlog_max,"BACKLOG","MES CORRIENTE")))</f>
        <v/>
      </c>
      <c r="AF50" s="5">
        <f>IF($AD50="",FALSE,AND($AD50&gt;p_dias_backlog_min,$AD50&lt;=p_dias_backlog_max))</f>
        <v/>
      </c>
      <c r="AG50" s="4" t="inlineStr"/>
      <c r="AH50" s="5">
        <f>IF($AG50="","",IF((IFERROR(INDEX('ASIGNACIONES'!$J$4:$J$451,MATCH($O50&amp;"|"&amp;$S50&amp;"|"&amp;$AG50,'ASIGNACIONES'!$N$4:$N$451,0)),""))=0,"",IFERROR(INDEX('ASIGNACIONES'!$J$4:$J$451,MATCH($O50&amp;"|"&amp;$S50&amp;"|"&amp;$AG50,'ASIGNACIONES'!$N$4:$N$451,0)),"")))</f>
        <v/>
      </c>
      <c r="AI50" s="25">
        <f>IF($AG50="","",SUMIFS('ORDENES'!$M$4:$M$1203,'ORDENES'!$AG$4:$AG$1203,$AG50,'ORDENES'!$O$4:$O$1203,$O50,'ORDENES'!$S$4:$S$1203,$S50))</f>
        <v/>
      </c>
      <c r="AJ50" s="25">
        <f>IF($AI50="","",p_factor_productividad*IFERROR(INDEX('ASIGNACIONES'!$M$4:$M$451,MATCH($O50&amp;"|"&amp;$S50&amp;"|"&amp;$AG50,'ASIGNACIONES'!$N$4:$N$451,0)),0)-$AI50)</f>
        <v/>
      </c>
      <c r="AK50" s="18">
        <f>IF($A50="","",IFERROR(INDEX('2_IMPORTAR_EJECUCION'!$F$9:$F$1208,MATCH($AT50,'2_IMPORTAR_EJECUCION'!$J$9:$J$1208,0)),0))</f>
        <v/>
      </c>
      <c r="AL50" s="18">
        <f>IF($A50="","",MAX(0,IFERROR(INDEX('2_IMPORTAR_EJECUCION'!$H$9:$H$1208,MATCH($AT50,'2_IMPORTAR_EJECUCION'!$J$9:$J$1208,0)),0)-$AK50))</f>
        <v/>
      </c>
      <c r="AM50" s="18">
        <f>IF($A50="","",$AK50+$AL50)</f>
        <v/>
      </c>
      <c r="AN50" s="5">
        <f>IF($A50="","",IF(OR((IFERROR(INDEX('CAT_ACTIVIDADES'!$D$4:$D$11,MATCH($H50,'CAT_ACTIVIDADES'!$A$4:$A$11,0)),""))=0,(IFERROR(INDEX('CAT_ACTIVIDADES'!$D$4:$D$11,MATCH($H50,'CAT_ACTIVIDADES'!$A$4:$A$11,0)),""))=""),"SIN CLASIFICAR",IFERROR(INDEX('CAT_ACTIVIDADES'!$D$4:$D$11,MATCH($H50,'CAT_ACTIVIDADES'!$A$4:$A$11,0)),"")))</f>
        <v/>
      </c>
      <c r="AO50" s="4" t="inlineStr"/>
      <c r="AP50" s="4" t="inlineStr"/>
      <c r="AQ50" s="4" t="inlineStr"/>
      <c r="AR50" s="5">
        <f>IF($AQ50="","",HYPERLINK(p_ruta_base_checklists&amp;$AQ50,"abrir"))</f>
        <v/>
      </c>
      <c r="AS50" s="4" t="inlineStr"/>
      <c r="AT50" s="5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22" t="n">
        <v>46246</v>
      </c>
      <c r="K51" s="5" t="n">
        <v>4</v>
      </c>
      <c r="L51" s="18" t="n">
        <v>160</v>
      </c>
      <c r="M51" s="5">
        <f>IF($A51="","",IFERROR(INDEX('AJUSTES'!$B$4:$B$303,MATCH($AT51,'AJUSTES'!$A$4:$A$303,0)),IF($K51="","",$K51)))</f>
        <v/>
      </c>
      <c r="N51" s="5">
        <f>IF($A51="","",IFERROR(INDEX('CAT_ESTADOS_ERP'!$B$4:$B$7,MATCH(IFERROR(INDEX('2_IMPORTAR_EJECUCION'!$C$9:$C$1208,MATCH($AT51,'2_IMPORTAR_EJECUCION'!$J$9:$J$1208,0)),""),'CAT_ESTADOS_ERP'!$A$4:$A$7,0)),"Pendiente"))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IF($J51="","",$P51&amp;"-"&amp;TEXT($Q51,"00"))</f>
        <v/>
      </c>
      <c r="S51" s="5">
        <f>IF($J51="","",INDEX(lista_dias,WEEKDAY($J51,2)))</f>
        <v/>
      </c>
      <c r="T51" s="5">
        <f>IF($J51="","",IFERROR(INDEX('CALENDARIO'!$C$15:$C$214,MATCH(TEXT($J51,"yyyy-mm-dd")&amp;"|"&amp;$X51&amp;"|"&amp;$Y51,'CALENDARIO'!$G$15:$G$214,0)),IFERROR(INDEX('CALENDARIO'!$C$15:$C$214,MATCH(TEXT($J51,"yyyy-mm-dd")&amp;"|"&amp;$X51&amp;"|",'CALENDARIO'!$G$15:$G$214,0)),IFERROR(INDEX('CALENDARIO'!$C$15:$C$214,MATCH(TEXT($J51,"yyyy-mm-dd")&amp;"||",'CALENDARIO'!$G$15:$G$214,0)),INDEX(patronHabil,WEEKDAY($J51,2))))))</f>
        <v/>
      </c>
      <c r="U51" s="5">
        <f>IF($I51="","",IFERROR(INDEX('CAT_TIPOS_OT'!$C$4:$C$8,MATCH($I51,'CAT_TIPOS_OT'!$A$4:$A$8,0)),"sin_clasificar"))</f>
        <v/>
      </c>
      <c r="V51" s="5">
        <f>IF($I51="","",IF(IFERROR(INDEX('CAT_TIPOS_OT'!$D$4:$D$8,MATCH($I51,'CAT_TIPOS_OT'!$A$4:$A$8,0)),"SIN CLASIFICAR")="","SIN CLASIFICAR",IFERROR(INDEX('CAT_TIPOS_OT'!$D$4:$D$8,MATCH($I51,'CAT_TIPOS_OT'!$A$4:$A$8,0)),"SIN CLASIFICAR")))</f>
        <v/>
      </c>
      <c r="W51" s="5">
        <f>IF($F51="","",IFERROR(INDEX('CAT_CENTROS_COSTO'!$F$4:$F$13,MATCH($F51,'CAT_CENTROS_COSTO'!$A$4:$A$13,0)),"(sin catálogo)"))</f>
        <v/>
      </c>
      <c r="X51" s="5">
        <f>IF($F51="","",IFERROR(INDEX('CAT_CENTROS_COSTO'!$D$4:$D$13,MATCH($F51,'CAT_CENTROS_COSTO'!$A$4:$A$13,0)),"(sin catálogo)"))</f>
        <v/>
      </c>
      <c r="Y51" s="5">
        <f>IF($F51="","",IF((IFERROR(INDEX('CAT_CENTROS_COSTO'!$E$4:$E$13,MATCH($F51,'CAT_CENTROS_COSTO'!$A$4:$A$13,0)),""))&lt;&gt;"",IFERROR(INDEX('CAT_CENTROS_COSTO'!$E$4:$E$13,MATCH($F51,'CAT_CENTROS_COSTO'!$A$4:$A$13,0)),""),$X51))</f>
        <v/>
      </c>
      <c r="Z51" s="5">
        <f>IF($F51="","",IFERROR(INDEX('CAT_CENTROS_COSTO'!$G$4:$G$13,MATCH($F51,'CAT_CENTROS_COSTO'!$A$4:$A$13,0)),"(sin catálogo)"))</f>
        <v/>
      </c>
      <c r="AA51" s="5">
        <f>IF($G51="","",IFERROR(INDEX('CAT_PUESTOS'!$B$4:$B$8,MATCH($G51,'CAT_PUESTOS'!$A$4:$A$8,0)),"(sin catálogo)"))</f>
        <v/>
      </c>
      <c r="AB51" s="5">
        <f>IF($H51="","",IFERROR(INDEX('CAT_ACTIVIDADES'!$B$4:$B$11,MATCH($H51,'CAT_ACTIVIDADES'!$A$4:$A$11,0)),"(sin catálogo)"))</f>
        <v/>
      </c>
      <c r="AC51" s="20">
        <f>IF($J51="","",TODAY()-$J51)</f>
        <v/>
      </c>
      <c r="AD51" s="20">
        <f>IF($J51="","",IF($J51&lt;=TODAY(),COUNTIFS(cal_fechas,"&gt;="&amp;$J51,cal_fechas,"&lt;"&amp;TODAY(),cal_habil,"sí"),-COUNTIFS(cal_fechas,"&gt;="&amp;TODAY(),cal_fechas,"&lt;"&amp;$J51,cal_habil,"sí")))</f>
        <v/>
      </c>
      <c r="AE51" s="5">
        <f>IF($AD51="","",IF($AD51&lt;0,"FUTURO",IF($AD51&gt;p_dias_backlog_max,"BACKLOG","MES CORRIENTE")))</f>
        <v/>
      </c>
      <c r="AF51" s="5">
        <f>IF($AD51="",FALSE,AND($AD51&gt;p_dias_backlog_min,$AD51&lt;=p_dias_backlog_max))</f>
        <v/>
      </c>
      <c r="AG51" s="4" t="inlineStr"/>
      <c r="AH51" s="5">
        <f>IF($AG51="","",IF((IFERROR(INDEX('ASIGNACIONES'!$J$4:$J$451,MATCH($O51&amp;"|"&amp;$S51&amp;"|"&amp;$AG51,'ASIGNACIONES'!$N$4:$N$451,0)),""))=0,"",IFERROR(INDEX('ASIGNACIONES'!$J$4:$J$451,MATCH($O51&amp;"|"&amp;$S51&amp;"|"&amp;$AG51,'ASIGNACIONES'!$N$4:$N$451,0)),"")))</f>
        <v/>
      </c>
      <c r="AI51" s="25">
        <f>IF($AG51="","",SUMIFS('ORDENES'!$M$4:$M$1203,'ORDENES'!$AG$4:$AG$1203,$AG51,'ORDENES'!$O$4:$O$1203,$O51,'ORDENES'!$S$4:$S$1203,$S51))</f>
        <v/>
      </c>
      <c r="AJ51" s="25">
        <f>IF($AI51="","",p_factor_productividad*IFERROR(INDEX('ASIGNACIONES'!$M$4:$M$451,MATCH($O51&amp;"|"&amp;$S51&amp;"|"&amp;$AG51,'ASIGNACIONES'!$N$4:$N$451,0)),0)-$AI51)</f>
        <v/>
      </c>
      <c r="AK51" s="18">
        <f>IF($A51="","",IFERROR(INDEX('2_IMPORTAR_EJECUCION'!$F$9:$F$1208,MATCH($AT51,'2_IMPORTAR_EJECUCION'!$J$9:$J$1208,0)),0))</f>
        <v/>
      </c>
      <c r="AL51" s="18">
        <f>IF($A51="","",MAX(0,IFERROR(INDEX('2_IMPORTAR_EJECUCION'!$H$9:$H$1208,MATCH($AT51,'2_IMPORTAR_EJECUCION'!$J$9:$J$1208,0)),0)-$AK51))</f>
        <v/>
      </c>
      <c r="AM51" s="18">
        <f>IF($A51="","",$AK51+$AL51)</f>
        <v/>
      </c>
      <c r="AN51" s="5">
        <f>IF($A51="","",IF(OR((IFERROR(INDEX('CAT_ACTIVIDADES'!$D$4:$D$11,MATCH($H51,'CAT_ACTIVIDADES'!$A$4:$A$11,0)),""))=0,(IFERROR(INDEX('CAT_ACTIVIDADES'!$D$4:$D$11,MATCH($H51,'CAT_ACTIVIDADES'!$A$4:$A$11,0)),""))=""),"SIN CLASIFICAR",IFERROR(INDEX('CAT_ACTIVIDADES'!$D$4:$D$11,MATCH($H51,'CAT_ACTIVIDADES'!$A$4:$A$11,0)),"")))</f>
        <v/>
      </c>
      <c r="AO51" s="4" t="inlineStr">
        <is>
          <t>PT-CALIENTE</t>
        </is>
      </c>
      <c r="AP51" s="4" t="inlineStr">
        <is>
          <t>LOTO</t>
        </is>
      </c>
      <c r="AQ51" s="4" t="inlineStr"/>
      <c r="AR51" s="5">
        <f>IF($AQ51="","",HYPERLINK(p_ruta_base_checklists&amp;$AQ51,"abrir"))</f>
        <v/>
      </c>
      <c r="AS51" s="4" t="inlineStr"/>
      <c r="AT51" s="5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22" t="n">
        <v>46226</v>
      </c>
      <c r="K52" s="5" t="n">
        <v>10</v>
      </c>
      <c r="L52" s="18" t="n">
        <v>250</v>
      </c>
      <c r="M52" s="5">
        <f>IF($A52="","",IFERROR(INDEX('AJUSTES'!$B$4:$B$303,MATCH($AT52,'AJUSTES'!$A$4:$A$303,0)),IF($K52="","",$K52)))</f>
        <v/>
      </c>
      <c r="N52" s="5">
        <f>IF($A52="","",IFERROR(INDEX('CAT_ESTADOS_ERP'!$B$4:$B$7,MATCH(IFERROR(INDEX('2_IMPORTAR_EJECUCION'!$C$9:$C$1208,MATCH($AT52,'2_IMPORTAR_EJECUCION'!$J$9:$J$1208,0)),""),'CAT_ESTADOS_ERP'!$A$4:$A$7,0)),"Pendiente"))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IF($J52="","",$P52&amp;"-"&amp;TEXT($Q52,"00"))</f>
        <v/>
      </c>
      <c r="S52" s="5">
        <f>IF($J52="","",INDEX(lista_dias,WEEKDAY($J52,2)))</f>
        <v/>
      </c>
      <c r="T52" s="5">
        <f>IF($J52="","",IFERROR(INDEX('CALENDARIO'!$C$15:$C$214,MATCH(TEXT($J52,"yyyy-mm-dd")&amp;"|"&amp;$X52&amp;"|"&amp;$Y52,'CALENDARIO'!$G$15:$G$214,0)),IFERROR(INDEX('CALENDARIO'!$C$15:$C$214,MATCH(TEXT($J52,"yyyy-mm-dd")&amp;"|"&amp;$X52&amp;"|",'CALENDARIO'!$G$15:$G$214,0)),IFERROR(INDEX('CALENDARIO'!$C$15:$C$214,MATCH(TEXT($J52,"yyyy-mm-dd")&amp;"||",'CALENDARIO'!$G$15:$G$214,0)),INDEX(patronHabil,WEEKDAY($J52,2))))))</f>
        <v/>
      </c>
      <c r="U52" s="5">
        <f>IF($I52="","",IFERROR(INDEX('CAT_TIPOS_OT'!$C$4:$C$8,MATCH($I52,'CAT_TIPOS_OT'!$A$4:$A$8,0)),"sin_clasificar"))</f>
        <v/>
      </c>
      <c r="V52" s="5">
        <f>IF($I52="","",IF(IFERROR(INDEX('CAT_TIPOS_OT'!$D$4:$D$8,MATCH($I52,'CAT_TIPOS_OT'!$A$4:$A$8,0)),"SIN CLASIFICAR")="","SIN CLASIFICAR",IFERROR(INDEX('CAT_TIPOS_OT'!$D$4:$D$8,MATCH($I52,'CAT_TIPOS_OT'!$A$4:$A$8,0)),"SIN CLASIFICAR")))</f>
        <v/>
      </c>
      <c r="W52" s="5">
        <f>IF($F52="","",IFERROR(INDEX('CAT_CENTROS_COSTO'!$F$4:$F$13,MATCH($F52,'CAT_CENTROS_COSTO'!$A$4:$A$13,0)),"(sin catálogo)"))</f>
        <v/>
      </c>
      <c r="X52" s="5">
        <f>IF($F52="","",IFERROR(INDEX('CAT_CENTROS_COSTO'!$D$4:$D$13,MATCH($F52,'CAT_CENTROS_COSTO'!$A$4:$A$13,0)),"(sin catálogo)"))</f>
        <v/>
      </c>
      <c r="Y52" s="5">
        <f>IF($F52="","",IF((IFERROR(INDEX('CAT_CENTROS_COSTO'!$E$4:$E$13,MATCH($F52,'CAT_CENTROS_COSTO'!$A$4:$A$13,0)),""))&lt;&gt;"",IFERROR(INDEX('CAT_CENTROS_COSTO'!$E$4:$E$13,MATCH($F52,'CAT_CENTROS_COSTO'!$A$4:$A$13,0)),""),$X52))</f>
        <v/>
      </c>
      <c r="Z52" s="5">
        <f>IF($F52="","",IFERROR(INDEX('CAT_CENTROS_COSTO'!$G$4:$G$13,MATCH($F52,'CAT_CENTROS_COSTO'!$A$4:$A$13,0)),"(sin catálogo)"))</f>
        <v/>
      </c>
      <c r="AA52" s="5">
        <f>IF($G52="","",IFERROR(INDEX('CAT_PUESTOS'!$B$4:$B$8,MATCH($G52,'CAT_PUESTOS'!$A$4:$A$8,0)),"(sin catálogo)"))</f>
        <v/>
      </c>
      <c r="AB52" s="5">
        <f>IF($H52="","",IFERROR(INDEX('CAT_ACTIVIDADES'!$B$4:$B$11,MATCH($H52,'CAT_ACTIVIDADES'!$A$4:$A$11,0)),"(sin catálogo)"))</f>
        <v/>
      </c>
      <c r="AC52" s="20">
        <f>IF($J52="","",TODAY()-$J52)</f>
        <v/>
      </c>
      <c r="AD52" s="20">
        <f>IF($J52="","",IF($J52&lt;=TODAY(),COUNTIFS(cal_fechas,"&gt;="&amp;$J52,cal_fechas,"&lt;"&amp;TODAY(),cal_habil,"sí"),-COUNTIFS(cal_fechas,"&gt;="&amp;TODAY(),cal_fechas,"&lt;"&amp;$J52,cal_habil,"sí")))</f>
        <v/>
      </c>
      <c r="AE52" s="5">
        <f>IF($AD52="","",IF($AD52&lt;0,"FUTURO",IF($AD52&gt;p_dias_backlog_max,"BACKLOG","MES CORRIENTE")))</f>
        <v/>
      </c>
      <c r="AF52" s="5">
        <f>IF($AD52="",FALSE,AND($AD52&gt;p_dias_backlog_min,$AD52&lt;=p_dias_backlog_max))</f>
        <v/>
      </c>
      <c r="AG52" s="4" t="inlineStr">
        <is>
          <t>Fernando Mendoza</t>
        </is>
      </c>
      <c r="AH52" s="5">
        <f>IF($AG52="","",IF((IFERROR(INDEX('ASIGNACIONES'!$J$4:$J$451,MATCH($O52&amp;"|"&amp;$S52&amp;"|"&amp;$AG52,'ASIGNACIONES'!$N$4:$N$451,0)),""))=0,"",IFERROR(INDEX('ASIGNACIONES'!$J$4:$J$451,MATCH($O52&amp;"|"&amp;$S52&amp;"|"&amp;$AG52,'ASIGNACIONES'!$N$4:$N$451,0)),"")))</f>
        <v/>
      </c>
      <c r="AI52" s="25">
        <f>IF($AG52="","",SUMIFS('ORDENES'!$M$4:$M$1203,'ORDENES'!$AG$4:$AG$1203,$AG52,'ORDENES'!$O$4:$O$1203,$O52,'ORDENES'!$S$4:$S$1203,$S52))</f>
        <v/>
      </c>
      <c r="AJ52" s="25">
        <f>IF($AI52="","",p_factor_productividad*IFERROR(INDEX('ASIGNACIONES'!$M$4:$M$451,MATCH($O52&amp;"|"&amp;$S52&amp;"|"&amp;$AG52,'ASIGNACIONES'!$N$4:$N$451,0)),0)-$AI52)</f>
        <v/>
      </c>
      <c r="AK52" s="18">
        <f>IF($A52="","",IFERROR(INDEX('2_IMPORTAR_EJECUCION'!$F$9:$F$1208,MATCH($AT52,'2_IMPORTAR_EJECUCION'!$J$9:$J$1208,0)),0))</f>
        <v/>
      </c>
      <c r="AL52" s="18">
        <f>IF($A52="","",MAX(0,IFERROR(INDEX('2_IMPORTAR_EJECUCION'!$H$9:$H$1208,MATCH($AT52,'2_IMPORTAR_EJECUCION'!$J$9:$J$1208,0)),0)-$AK52))</f>
        <v/>
      </c>
      <c r="AM52" s="18">
        <f>IF($A52="","",$AK52+$AL52)</f>
        <v/>
      </c>
      <c r="AN52" s="5">
        <f>IF($A52="","",IF(OR((IFERROR(INDEX('CAT_ACTIVIDADES'!$D$4:$D$11,MATCH($H52,'CAT_ACTIVIDADES'!$A$4:$A$11,0)),""))=0,(IFERROR(INDEX('CAT_ACTIVIDADES'!$D$4:$D$11,MATCH($H52,'CAT_ACTIVIDADES'!$A$4:$A$11,0)),""))=""),"SIN CLASIFICAR",IFERROR(INDEX('CAT_ACTIVIDADES'!$D$4:$D$11,MATCH($H52,'CAT_ACTIVIDADES'!$A$4:$A$11,0)),"")))</f>
        <v/>
      </c>
      <c r="AO52" s="4" t="inlineStr"/>
      <c r="AP52" s="4" t="inlineStr"/>
      <c r="AQ52" s="4" t="inlineStr">
        <is>
          <t>ACT-02.pdf</t>
        </is>
      </c>
      <c r="AR52" s="5">
        <f>IF($AQ52="","",HYPERLINK(p_ruta_base_checklists&amp;$AQ52,"abrir"))</f>
        <v/>
      </c>
      <c r="AS52" s="4" t="inlineStr"/>
      <c r="AT52" s="5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22" t="n">
        <v>46227</v>
      </c>
      <c r="K53" s="5" t="n">
        <v>8</v>
      </c>
      <c r="L53" s="18" t="n">
        <v>200</v>
      </c>
      <c r="M53" s="5">
        <f>IF($A53="","",IFERROR(INDEX('AJUSTES'!$B$4:$B$303,MATCH($AT53,'AJUSTES'!$A$4:$A$303,0)),IF($K53="","",$K53)))</f>
        <v/>
      </c>
      <c r="N53" s="5">
        <f>IF($A53="","",IFERROR(INDEX('CAT_ESTADOS_ERP'!$B$4:$B$7,MATCH(IFERROR(INDEX('2_IMPORTAR_EJECUCION'!$C$9:$C$1208,MATCH($AT53,'2_IMPORTAR_EJECUCION'!$J$9:$J$1208,0)),""),'CAT_ESTADOS_ERP'!$A$4:$A$7,0)),"Pendiente"))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IF($J53="","",$P53&amp;"-"&amp;TEXT($Q53,"00"))</f>
        <v/>
      </c>
      <c r="S53" s="5">
        <f>IF($J53="","",INDEX(lista_dias,WEEKDAY($J53,2)))</f>
        <v/>
      </c>
      <c r="T53" s="5">
        <f>IF($J53="","",IFERROR(INDEX('CALENDARIO'!$C$15:$C$214,MATCH(TEXT($J53,"yyyy-mm-dd")&amp;"|"&amp;$X53&amp;"|"&amp;$Y53,'CALENDARIO'!$G$15:$G$214,0)),IFERROR(INDEX('CALENDARIO'!$C$15:$C$214,MATCH(TEXT($J53,"yyyy-mm-dd")&amp;"|"&amp;$X53&amp;"|",'CALENDARIO'!$G$15:$G$214,0)),IFERROR(INDEX('CALENDARIO'!$C$15:$C$214,MATCH(TEXT($J53,"yyyy-mm-dd")&amp;"||",'CALENDARIO'!$G$15:$G$214,0)),INDEX(patronHabil,WEEKDAY($J53,2))))))</f>
        <v/>
      </c>
      <c r="U53" s="5">
        <f>IF($I53="","",IFERROR(INDEX('CAT_TIPOS_OT'!$C$4:$C$8,MATCH($I53,'CAT_TIPOS_OT'!$A$4:$A$8,0)),"sin_clasificar"))</f>
        <v/>
      </c>
      <c r="V53" s="5">
        <f>IF($I53="","",IF(IFERROR(INDEX('CAT_TIPOS_OT'!$D$4:$D$8,MATCH($I53,'CAT_TIPOS_OT'!$A$4:$A$8,0)),"SIN CLASIFICAR")="","SIN CLASIFICAR",IFERROR(INDEX('CAT_TIPOS_OT'!$D$4:$D$8,MATCH($I53,'CAT_TIPOS_OT'!$A$4:$A$8,0)),"SIN CLASIFICAR")))</f>
        <v/>
      </c>
      <c r="W53" s="5">
        <f>IF($F53="","",IFERROR(INDEX('CAT_CENTROS_COSTO'!$F$4:$F$13,MATCH($F53,'CAT_CENTROS_COSTO'!$A$4:$A$13,0)),"(sin catálogo)"))</f>
        <v/>
      </c>
      <c r="X53" s="5">
        <f>IF($F53="","",IFERROR(INDEX('CAT_CENTROS_COSTO'!$D$4:$D$13,MATCH($F53,'CAT_CENTROS_COSTO'!$A$4:$A$13,0)),"(sin catálogo)"))</f>
        <v/>
      </c>
      <c r="Y53" s="5">
        <f>IF($F53="","",IF((IFERROR(INDEX('CAT_CENTROS_COSTO'!$E$4:$E$13,MATCH($F53,'CAT_CENTROS_COSTO'!$A$4:$A$13,0)),""))&lt;&gt;"",IFERROR(INDEX('CAT_CENTROS_COSTO'!$E$4:$E$13,MATCH($F53,'CAT_CENTROS_COSTO'!$A$4:$A$13,0)),""),$X53))</f>
        <v/>
      </c>
      <c r="Z53" s="5">
        <f>IF($F53="","",IFERROR(INDEX('CAT_CENTROS_COSTO'!$G$4:$G$13,MATCH($F53,'CAT_CENTROS_COSTO'!$A$4:$A$13,0)),"(sin catálogo)"))</f>
        <v/>
      </c>
      <c r="AA53" s="5">
        <f>IF($G53="","",IFERROR(INDEX('CAT_PUESTOS'!$B$4:$B$8,MATCH($G53,'CAT_PUESTOS'!$A$4:$A$8,0)),"(sin catálogo)"))</f>
        <v/>
      </c>
      <c r="AB53" s="5">
        <f>IF($H53="","",IFERROR(INDEX('CAT_ACTIVIDADES'!$B$4:$B$11,MATCH($H53,'CAT_ACTIVIDADES'!$A$4:$A$11,0)),"(sin catálogo)"))</f>
        <v/>
      </c>
      <c r="AC53" s="20">
        <f>IF($J53="","",TODAY()-$J53)</f>
        <v/>
      </c>
      <c r="AD53" s="20">
        <f>IF($J53="","",IF($J53&lt;=TODAY(),COUNTIFS(cal_fechas,"&gt;="&amp;$J53,cal_fechas,"&lt;"&amp;TODAY(),cal_habil,"sí"),-COUNTIFS(cal_fechas,"&gt;="&amp;TODAY(),cal_fechas,"&lt;"&amp;$J53,cal_habil,"sí")))</f>
        <v/>
      </c>
      <c r="AE53" s="5">
        <f>IF($AD53="","",IF($AD53&lt;0,"FUTURO",IF($AD53&gt;p_dias_backlog_max,"BACKLOG","MES CORRIENTE")))</f>
        <v/>
      </c>
      <c r="AF53" s="5">
        <f>IF($AD53="",FALSE,AND($AD53&gt;p_dias_backlog_min,$AD53&lt;=p_dias_backlog_max))</f>
        <v/>
      </c>
      <c r="AG53" s="4" t="inlineStr">
        <is>
          <t>Jorge Díaz</t>
        </is>
      </c>
      <c r="AH53" s="5">
        <f>IF($AG53="","",IF((IFERROR(INDEX('ASIGNACIONES'!$J$4:$J$451,MATCH($O53&amp;"|"&amp;$S53&amp;"|"&amp;$AG53,'ASIGNACIONES'!$N$4:$N$451,0)),""))=0,"",IFERROR(INDEX('ASIGNACIONES'!$J$4:$J$451,MATCH($O53&amp;"|"&amp;$S53&amp;"|"&amp;$AG53,'ASIGNACIONES'!$N$4:$N$451,0)),"")))</f>
        <v/>
      </c>
      <c r="AI53" s="25">
        <f>IF($AG53="","",SUMIFS('ORDENES'!$M$4:$M$1203,'ORDENES'!$AG$4:$AG$1203,$AG53,'ORDENES'!$O$4:$O$1203,$O53,'ORDENES'!$S$4:$S$1203,$S53))</f>
        <v/>
      </c>
      <c r="AJ53" s="25">
        <f>IF($AI53="","",p_factor_productividad*IFERROR(INDEX('ASIGNACIONES'!$M$4:$M$451,MATCH($O53&amp;"|"&amp;$S53&amp;"|"&amp;$AG53,'ASIGNACIONES'!$N$4:$N$451,0)),0)-$AI53)</f>
        <v/>
      </c>
      <c r="AK53" s="18">
        <f>IF($A53="","",IFERROR(INDEX('2_IMPORTAR_EJECUCION'!$F$9:$F$1208,MATCH($AT53,'2_IMPORTAR_EJECUCION'!$J$9:$J$1208,0)),0))</f>
        <v/>
      </c>
      <c r="AL53" s="18">
        <f>IF($A53="","",MAX(0,IFERROR(INDEX('2_IMPORTAR_EJECUCION'!$H$9:$H$1208,MATCH($AT53,'2_IMPORTAR_EJECUCION'!$J$9:$J$1208,0)),0)-$AK53))</f>
        <v/>
      </c>
      <c r="AM53" s="18">
        <f>IF($A53="","",$AK53+$AL53)</f>
        <v/>
      </c>
      <c r="AN53" s="5">
        <f>IF($A53="","",IF(OR((IFERROR(INDEX('CAT_ACTIVIDADES'!$D$4:$D$11,MATCH($H53,'CAT_ACTIVIDADES'!$A$4:$A$11,0)),""))=0,(IFERROR(INDEX('CAT_ACTIVIDADES'!$D$4:$D$11,MATCH($H53,'CAT_ACTIVIDADES'!$A$4:$A$11,0)),""))=""),"SIN CLASIFICAR",IFERROR(INDEX('CAT_ACTIVIDADES'!$D$4:$D$11,MATCH($H53,'CAT_ACTIVIDADES'!$A$4:$A$11,0)),"")))</f>
        <v/>
      </c>
      <c r="AO53" s="4" t="inlineStr"/>
      <c r="AP53" s="4" t="inlineStr"/>
      <c r="AQ53" s="4" t="inlineStr">
        <is>
          <t>ACT-04.pdf</t>
        </is>
      </c>
      <c r="AR53" s="5">
        <f>IF($AQ53="","",HYPERLINK(p_ruta_base_checklists&amp;$AQ53,"abrir"))</f>
        <v/>
      </c>
      <c r="AS53" s="4" t="inlineStr"/>
      <c r="AT53" s="5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22" t="n">
        <v>46223</v>
      </c>
      <c r="K54" s="5" t="n">
        <v>6</v>
      </c>
      <c r="L54" s="18" t="n">
        <v>150</v>
      </c>
      <c r="M54" s="5">
        <f>IF($A54="","",IFERROR(INDEX('AJUSTES'!$B$4:$B$303,MATCH($AT54,'AJUSTES'!$A$4:$A$303,0)),IF($K54="","",$K54)))</f>
        <v/>
      </c>
      <c r="N54" s="5">
        <f>IF($A54="","",IFERROR(INDEX('CAT_ESTADOS_ERP'!$B$4:$B$7,MATCH(IFERROR(INDEX('2_IMPORTAR_EJECUCION'!$C$9:$C$1208,MATCH($AT54,'2_IMPORTAR_EJECUCION'!$J$9:$J$1208,0)),""),'CAT_ESTADOS_ERP'!$A$4:$A$7,0)),"Pendiente"))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IF($J54="","",$P54&amp;"-"&amp;TEXT($Q54,"00"))</f>
        <v/>
      </c>
      <c r="S54" s="5">
        <f>IF($J54="","",INDEX(lista_dias,WEEKDAY($J54,2)))</f>
        <v/>
      </c>
      <c r="T54" s="5">
        <f>IF($J54="","",IFERROR(INDEX('CALENDARIO'!$C$15:$C$214,MATCH(TEXT($J54,"yyyy-mm-dd")&amp;"|"&amp;$X54&amp;"|"&amp;$Y54,'CALENDARIO'!$G$15:$G$214,0)),IFERROR(INDEX('CALENDARIO'!$C$15:$C$214,MATCH(TEXT($J54,"yyyy-mm-dd")&amp;"|"&amp;$X54&amp;"|",'CALENDARIO'!$G$15:$G$214,0)),IFERROR(INDEX('CALENDARIO'!$C$15:$C$214,MATCH(TEXT($J54,"yyyy-mm-dd")&amp;"||",'CALENDARIO'!$G$15:$G$214,0)),INDEX(patronHabil,WEEKDAY($J54,2))))))</f>
        <v/>
      </c>
      <c r="U54" s="5">
        <f>IF($I54="","",IFERROR(INDEX('CAT_TIPOS_OT'!$C$4:$C$8,MATCH($I54,'CAT_TIPOS_OT'!$A$4:$A$8,0)),"sin_clasificar"))</f>
        <v/>
      </c>
      <c r="V54" s="5">
        <f>IF($I54="","",IF(IFERROR(INDEX('CAT_TIPOS_OT'!$D$4:$D$8,MATCH($I54,'CAT_TIPOS_OT'!$A$4:$A$8,0)),"SIN CLASIFICAR")="","SIN CLASIFICAR",IFERROR(INDEX('CAT_TIPOS_OT'!$D$4:$D$8,MATCH($I54,'CAT_TIPOS_OT'!$A$4:$A$8,0)),"SIN CLASIFICAR")))</f>
        <v/>
      </c>
      <c r="W54" s="5">
        <f>IF($F54="","",IFERROR(INDEX('CAT_CENTROS_COSTO'!$F$4:$F$13,MATCH($F54,'CAT_CENTROS_COSTO'!$A$4:$A$13,0)),"(sin catálogo)"))</f>
        <v/>
      </c>
      <c r="X54" s="5">
        <f>IF($F54="","",IFERROR(INDEX('CAT_CENTROS_COSTO'!$D$4:$D$13,MATCH($F54,'CAT_CENTROS_COSTO'!$A$4:$A$13,0)),"(sin catálogo)"))</f>
        <v/>
      </c>
      <c r="Y54" s="5">
        <f>IF($F54="","",IF((IFERROR(INDEX('CAT_CENTROS_COSTO'!$E$4:$E$13,MATCH($F54,'CAT_CENTROS_COSTO'!$A$4:$A$13,0)),""))&lt;&gt;"",IFERROR(INDEX('CAT_CENTROS_COSTO'!$E$4:$E$13,MATCH($F54,'CAT_CENTROS_COSTO'!$A$4:$A$13,0)),""),$X54))</f>
        <v/>
      </c>
      <c r="Z54" s="5">
        <f>IF($F54="","",IFERROR(INDEX('CAT_CENTROS_COSTO'!$G$4:$G$13,MATCH($F54,'CAT_CENTROS_COSTO'!$A$4:$A$13,0)),"(sin catálogo)"))</f>
        <v/>
      </c>
      <c r="AA54" s="5">
        <f>IF($G54="","",IFERROR(INDEX('CAT_PUESTOS'!$B$4:$B$8,MATCH($G54,'CAT_PUESTOS'!$A$4:$A$8,0)),"(sin catálogo)"))</f>
        <v/>
      </c>
      <c r="AB54" s="5">
        <f>IF($H54="","",IFERROR(INDEX('CAT_ACTIVIDADES'!$B$4:$B$11,MATCH($H54,'CAT_ACTIVIDADES'!$A$4:$A$11,0)),"(sin catálogo)"))</f>
        <v/>
      </c>
      <c r="AC54" s="20">
        <f>IF($J54="","",TODAY()-$J54)</f>
        <v/>
      </c>
      <c r="AD54" s="20">
        <f>IF($J54="","",IF($J54&lt;=TODAY(),COUNTIFS(cal_fechas,"&gt;="&amp;$J54,cal_fechas,"&lt;"&amp;TODAY(),cal_habil,"sí"),-COUNTIFS(cal_fechas,"&gt;="&amp;TODAY(),cal_fechas,"&lt;"&amp;$J54,cal_habil,"sí")))</f>
        <v/>
      </c>
      <c r="AE54" s="5">
        <f>IF($AD54="","",IF($AD54&lt;0,"FUTURO",IF($AD54&gt;p_dias_backlog_max,"BACKLOG","MES CORRIENTE")))</f>
        <v/>
      </c>
      <c r="AF54" s="5">
        <f>IF($AD54="",FALSE,AND($AD54&gt;p_dias_backlog_min,$AD54&lt;=p_dias_backlog_max))</f>
        <v/>
      </c>
      <c r="AG54" s="4" t="inlineStr">
        <is>
          <t>Roberto Castro</t>
        </is>
      </c>
      <c r="AH54" s="5">
        <f>IF($AG54="","",IF((IFERROR(INDEX('ASIGNACIONES'!$J$4:$J$451,MATCH($O54&amp;"|"&amp;$S54&amp;"|"&amp;$AG54,'ASIGNACIONES'!$N$4:$N$451,0)),""))=0,"",IFERROR(INDEX('ASIGNACIONES'!$J$4:$J$451,MATCH($O54&amp;"|"&amp;$S54&amp;"|"&amp;$AG54,'ASIGNACIONES'!$N$4:$N$451,0)),"")))</f>
        <v/>
      </c>
      <c r="AI54" s="25">
        <f>IF($AG54="","",SUMIFS('ORDENES'!$M$4:$M$1203,'ORDENES'!$AG$4:$AG$1203,$AG54,'ORDENES'!$O$4:$O$1203,$O54,'ORDENES'!$S$4:$S$1203,$S54))</f>
        <v/>
      </c>
      <c r="AJ54" s="25">
        <f>IF($AI54="","",p_factor_productividad*IFERROR(INDEX('ASIGNACIONES'!$M$4:$M$451,MATCH($O54&amp;"|"&amp;$S54&amp;"|"&amp;$AG54,'ASIGNACIONES'!$N$4:$N$451,0)),0)-$AI54)</f>
        <v/>
      </c>
      <c r="AK54" s="18">
        <f>IF($A54="","",IFERROR(INDEX('2_IMPORTAR_EJECUCION'!$F$9:$F$1208,MATCH($AT54,'2_IMPORTAR_EJECUCION'!$J$9:$J$1208,0)),0))</f>
        <v/>
      </c>
      <c r="AL54" s="18">
        <f>IF($A54="","",MAX(0,IFERROR(INDEX('2_IMPORTAR_EJECUCION'!$H$9:$H$1208,MATCH($AT54,'2_IMPORTAR_EJECUCION'!$J$9:$J$1208,0)),0)-$AK54))</f>
        <v/>
      </c>
      <c r="AM54" s="18">
        <f>IF($A54="","",$AK54+$AL54)</f>
        <v/>
      </c>
      <c r="AN54" s="5">
        <f>IF($A54="","",IF(OR((IFERROR(INDEX('CAT_ACTIVIDADES'!$D$4:$D$11,MATCH($H54,'CAT_ACTIVIDADES'!$A$4:$A$11,0)),""))=0,(IFERROR(INDEX('CAT_ACTIVIDADES'!$D$4:$D$11,MATCH($H54,'CAT_ACTIVIDADES'!$A$4:$A$11,0)),""))=""),"SIN CLASIFICAR",IFERROR(INDEX('CAT_ACTIVIDADES'!$D$4:$D$11,MATCH($H54,'CAT_ACTIVIDADES'!$A$4:$A$11,0)),"")))</f>
        <v/>
      </c>
      <c r="AO54" s="4" t="inlineStr"/>
      <c r="AP54" s="4" t="inlineStr"/>
      <c r="AQ54" s="4" t="inlineStr">
        <is>
          <t>ACT-01.pdf</t>
        </is>
      </c>
      <c r="AR54" s="5">
        <f>IF($AQ54="","",HYPERLINK(p_ruta_base_checklists&amp;$AQ54,"abrir"))</f>
        <v/>
      </c>
      <c r="AS54" s="4" t="inlineStr"/>
      <c r="AT54" s="5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22" t="n">
        <v>46224</v>
      </c>
      <c r="K55" s="5" t="n">
        <v>10</v>
      </c>
      <c r="L55" s="18" t="n">
        <v>250</v>
      </c>
      <c r="M55" s="5">
        <f>IF($A55="","",IFERROR(INDEX('AJUSTES'!$B$4:$B$303,MATCH($AT55,'AJUSTES'!$A$4:$A$303,0)),IF($K55="","",$K55)))</f>
        <v/>
      </c>
      <c r="N55" s="5">
        <f>IF($A55="","",IFERROR(INDEX('CAT_ESTADOS_ERP'!$B$4:$B$7,MATCH(IFERROR(INDEX('2_IMPORTAR_EJECUCION'!$C$9:$C$1208,MATCH($AT55,'2_IMPORTAR_EJECUCION'!$J$9:$J$1208,0)),""),'CAT_ESTADOS_ERP'!$A$4:$A$7,0)),"Pendiente"))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IF($J55="","",$P55&amp;"-"&amp;TEXT($Q55,"00"))</f>
        <v/>
      </c>
      <c r="S55" s="5">
        <f>IF($J55="","",INDEX(lista_dias,WEEKDAY($J55,2)))</f>
        <v/>
      </c>
      <c r="T55" s="5">
        <f>IF($J55="","",IFERROR(INDEX('CALENDARIO'!$C$15:$C$214,MATCH(TEXT($J55,"yyyy-mm-dd")&amp;"|"&amp;$X55&amp;"|"&amp;$Y55,'CALENDARIO'!$G$15:$G$214,0)),IFERROR(INDEX('CALENDARIO'!$C$15:$C$214,MATCH(TEXT($J55,"yyyy-mm-dd")&amp;"|"&amp;$X55&amp;"|",'CALENDARIO'!$G$15:$G$214,0)),IFERROR(INDEX('CALENDARIO'!$C$15:$C$214,MATCH(TEXT($J55,"yyyy-mm-dd")&amp;"||",'CALENDARIO'!$G$15:$G$214,0)),INDEX(patronHabil,WEEKDAY($J55,2))))))</f>
        <v/>
      </c>
      <c r="U55" s="5">
        <f>IF($I55="","",IFERROR(INDEX('CAT_TIPOS_OT'!$C$4:$C$8,MATCH($I55,'CAT_TIPOS_OT'!$A$4:$A$8,0)),"sin_clasificar"))</f>
        <v/>
      </c>
      <c r="V55" s="5">
        <f>IF($I55="","",IF(IFERROR(INDEX('CAT_TIPOS_OT'!$D$4:$D$8,MATCH($I55,'CAT_TIPOS_OT'!$A$4:$A$8,0)),"SIN CLASIFICAR")="","SIN CLASIFICAR",IFERROR(INDEX('CAT_TIPOS_OT'!$D$4:$D$8,MATCH($I55,'CAT_TIPOS_OT'!$A$4:$A$8,0)),"SIN CLASIFICAR")))</f>
        <v/>
      </c>
      <c r="W55" s="5">
        <f>IF($F55="","",IFERROR(INDEX('CAT_CENTROS_COSTO'!$F$4:$F$13,MATCH($F55,'CAT_CENTROS_COSTO'!$A$4:$A$13,0)),"(sin catálogo)"))</f>
        <v/>
      </c>
      <c r="X55" s="5">
        <f>IF($F55="","",IFERROR(INDEX('CAT_CENTROS_COSTO'!$D$4:$D$13,MATCH($F55,'CAT_CENTROS_COSTO'!$A$4:$A$13,0)),"(sin catálogo)"))</f>
        <v/>
      </c>
      <c r="Y55" s="5">
        <f>IF($F55="","",IF((IFERROR(INDEX('CAT_CENTROS_COSTO'!$E$4:$E$13,MATCH($F55,'CAT_CENTROS_COSTO'!$A$4:$A$13,0)),""))&lt;&gt;"",IFERROR(INDEX('CAT_CENTROS_COSTO'!$E$4:$E$13,MATCH($F55,'CAT_CENTROS_COSTO'!$A$4:$A$13,0)),""),$X55))</f>
        <v/>
      </c>
      <c r="Z55" s="5">
        <f>IF($F55="","",IFERROR(INDEX('CAT_CENTROS_COSTO'!$G$4:$G$13,MATCH($F55,'CAT_CENTROS_COSTO'!$A$4:$A$13,0)),"(sin catálogo)"))</f>
        <v/>
      </c>
      <c r="AA55" s="5">
        <f>IF($G55="","",IFERROR(INDEX('CAT_PUESTOS'!$B$4:$B$8,MATCH($G55,'CAT_PUESTOS'!$A$4:$A$8,0)),"(sin catálogo)"))</f>
        <v/>
      </c>
      <c r="AB55" s="5">
        <f>IF($H55="","",IFERROR(INDEX('CAT_ACTIVIDADES'!$B$4:$B$11,MATCH($H55,'CAT_ACTIVIDADES'!$A$4:$A$11,0)),"(sin catálogo)"))</f>
        <v/>
      </c>
      <c r="AC55" s="20">
        <f>IF($J55="","",TODAY()-$J55)</f>
        <v/>
      </c>
      <c r="AD55" s="20">
        <f>IF($J55="","",IF($J55&lt;=TODAY(),COUNTIFS(cal_fechas,"&gt;="&amp;$J55,cal_fechas,"&lt;"&amp;TODAY(),cal_habil,"sí"),-COUNTIFS(cal_fechas,"&gt;="&amp;TODAY(),cal_fechas,"&lt;"&amp;$J55,cal_habil,"sí")))</f>
        <v/>
      </c>
      <c r="AE55" s="5">
        <f>IF($AD55="","",IF($AD55&lt;0,"FUTURO",IF($AD55&gt;p_dias_backlog_max,"BACKLOG","MES CORRIENTE")))</f>
        <v/>
      </c>
      <c r="AF55" s="5">
        <f>IF($AD55="",FALSE,AND($AD55&gt;p_dias_backlog_min,$AD55&lt;=p_dias_backlog_max))</f>
        <v/>
      </c>
      <c r="AG55" s="4" t="inlineStr">
        <is>
          <t>Laura Morales</t>
        </is>
      </c>
      <c r="AH55" s="5">
        <f>IF($AG55="","",IF((IFERROR(INDEX('ASIGNACIONES'!$J$4:$J$451,MATCH($O55&amp;"|"&amp;$S55&amp;"|"&amp;$AG55,'ASIGNACIONES'!$N$4:$N$451,0)),""))=0,"",IFERROR(INDEX('ASIGNACIONES'!$J$4:$J$451,MATCH($O55&amp;"|"&amp;$S55&amp;"|"&amp;$AG55,'ASIGNACIONES'!$N$4:$N$451,0)),"")))</f>
        <v/>
      </c>
      <c r="AI55" s="25">
        <f>IF($AG55="","",SUMIFS('ORDENES'!$M$4:$M$1203,'ORDENES'!$AG$4:$AG$1203,$AG55,'ORDENES'!$O$4:$O$1203,$O55,'ORDENES'!$S$4:$S$1203,$S55))</f>
        <v/>
      </c>
      <c r="AJ55" s="25">
        <f>IF($AI55="","",p_factor_productividad*IFERROR(INDEX('ASIGNACIONES'!$M$4:$M$451,MATCH($O55&amp;"|"&amp;$S55&amp;"|"&amp;$AG55,'ASIGNACIONES'!$N$4:$N$451,0)),0)-$AI55)</f>
        <v/>
      </c>
      <c r="AK55" s="18">
        <f>IF($A55="","",IFERROR(INDEX('2_IMPORTAR_EJECUCION'!$F$9:$F$1208,MATCH($AT55,'2_IMPORTAR_EJECUCION'!$J$9:$J$1208,0)),0))</f>
        <v/>
      </c>
      <c r="AL55" s="18">
        <f>IF($A55="","",MAX(0,IFERROR(INDEX('2_IMPORTAR_EJECUCION'!$H$9:$H$1208,MATCH($AT55,'2_IMPORTAR_EJECUCION'!$J$9:$J$1208,0)),0)-$AK55))</f>
        <v/>
      </c>
      <c r="AM55" s="18">
        <f>IF($A55="","",$AK55+$AL55)</f>
        <v/>
      </c>
      <c r="AN55" s="5">
        <f>IF($A55="","",IF(OR((IFERROR(INDEX('CAT_ACTIVIDADES'!$D$4:$D$11,MATCH($H55,'CAT_ACTIVIDADES'!$A$4:$A$11,0)),""))=0,(IFERROR(INDEX('CAT_ACTIVIDADES'!$D$4:$D$11,MATCH($H55,'CAT_ACTIVIDADES'!$A$4:$A$11,0)),""))=""),"SIN CLASIFICAR",IFERROR(INDEX('CAT_ACTIVIDADES'!$D$4:$D$11,MATCH($H55,'CAT_ACTIVIDADES'!$A$4:$A$11,0)),"")))</f>
        <v/>
      </c>
      <c r="AO55" s="4" t="inlineStr"/>
      <c r="AP55" s="4" t="inlineStr"/>
      <c r="AQ55" s="4" t="inlineStr">
        <is>
          <t>ACT-02.pdf</t>
        </is>
      </c>
      <c r="AR55" s="5">
        <f>IF($AQ55="","",HYPERLINK(p_ruta_base_checklists&amp;$AQ55,"abrir"))</f>
        <v/>
      </c>
      <c r="AS55" s="4" t="inlineStr"/>
      <c r="AT55" s="5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22" t="n">
        <v>46225</v>
      </c>
      <c r="K56" s="5" t="n">
        <v>8</v>
      </c>
      <c r="L56" s="18" t="n">
        <v>200</v>
      </c>
      <c r="M56" s="5">
        <f>IF($A56="","",IFERROR(INDEX('AJUSTES'!$B$4:$B$303,MATCH($AT56,'AJUSTES'!$A$4:$A$303,0)),IF($K56="","",$K56)))</f>
        <v/>
      </c>
      <c r="N56" s="5">
        <f>IF($A56="","",IFERROR(INDEX('CAT_ESTADOS_ERP'!$B$4:$B$7,MATCH(IFERROR(INDEX('2_IMPORTAR_EJECUCION'!$C$9:$C$1208,MATCH($AT56,'2_IMPORTAR_EJECUCION'!$J$9:$J$1208,0)),""),'CAT_ESTADOS_ERP'!$A$4:$A$7,0)),"Pendiente"))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IF($J56="","",$P56&amp;"-"&amp;TEXT($Q56,"00"))</f>
        <v/>
      </c>
      <c r="S56" s="5">
        <f>IF($J56="","",INDEX(lista_dias,WEEKDAY($J56,2)))</f>
        <v/>
      </c>
      <c r="T56" s="5">
        <f>IF($J56="","",IFERROR(INDEX('CALENDARIO'!$C$15:$C$214,MATCH(TEXT($J56,"yyyy-mm-dd")&amp;"|"&amp;$X56&amp;"|"&amp;$Y56,'CALENDARIO'!$G$15:$G$214,0)),IFERROR(INDEX('CALENDARIO'!$C$15:$C$214,MATCH(TEXT($J56,"yyyy-mm-dd")&amp;"|"&amp;$X56&amp;"|",'CALENDARIO'!$G$15:$G$214,0)),IFERROR(INDEX('CALENDARIO'!$C$15:$C$214,MATCH(TEXT($J56,"yyyy-mm-dd")&amp;"||",'CALENDARIO'!$G$15:$G$214,0)),INDEX(patronHabil,WEEKDAY($J56,2))))))</f>
        <v/>
      </c>
      <c r="U56" s="5">
        <f>IF($I56="","",IFERROR(INDEX('CAT_TIPOS_OT'!$C$4:$C$8,MATCH($I56,'CAT_TIPOS_OT'!$A$4:$A$8,0)),"sin_clasificar"))</f>
        <v/>
      </c>
      <c r="V56" s="5">
        <f>IF($I56="","",IF(IFERROR(INDEX('CAT_TIPOS_OT'!$D$4:$D$8,MATCH($I56,'CAT_TIPOS_OT'!$A$4:$A$8,0)),"SIN CLASIFICAR")="","SIN CLASIFICAR",IFERROR(INDEX('CAT_TIPOS_OT'!$D$4:$D$8,MATCH($I56,'CAT_TIPOS_OT'!$A$4:$A$8,0)),"SIN CLASIFICAR")))</f>
        <v/>
      </c>
      <c r="W56" s="5">
        <f>IF($F56="","",IFERROR(INDEX('CAT_CENTROS_COSTO'!$F$4:$F$13,MATCH($F56,'CAT_CENTROS_COSTO'!$A$4:$A$13,0)),"(sin catálogo)"))</f>
        <v/>
      </c>
      <c r="X56" s="5">
        <f>IF($F56="","",IFERROR(INDEX('CAT_CENTROS_COSTO'!$D$4:$D$13,MATCH($F56,'CAT_CENTROS_COSTO'!$A$4:$A$13,0)),"(sin catálogo)"))</f>
        <v/>
      </c>
      <c r="Y56" s="5">
        <f>IF($F56="","",IF((IFERROR(INDEX('CAT_CENTROS_COSTO'!$E$4:$E$13,MATCH($F56,'CAT_CENTROS_COSTO'!$A$4:$A$13,0)),""))&lt;&gt;"",IFERROR(INDEX('CAT_CENTROS_COSTO'!$E$4:$E$13,MATCH($F56,'CAT_CENTROS_COSTO'!$A$4:$A$13,0)),""),$X56))</f>
        <v/>
      </c>
      <c r="Z56" s="5">
        <f>IF($F56="","",IFERROR(INDEX('CAT_CENTROS_COSTO'!$G$4:$G$13,MATCH($F56,'CAT_CENTROS_COSTO'!$A$4:$A$13,0)),"(sin catálogo)"))</f>
        <v/>
      </c>
      <c r="AA56" s="5">
        <f>IF($G56="","",IFERROR(INDEX('CAT_PUESTOS'!$B$4:$B$8,MATCH($G56,'CAT_PUESTOS'!$A$4:$A$8,0)),"(sin catálogo)"))</f>
        <v/>
      </c>
      <c r="AB56" s="5">
        <f>IF($H56="","",IFERROR(INDEX('CAT_ACTIVIDADES'!$B$4:$B$11,MATCH($H56,'CAT_ACTIVIDADES'!$A$4:$A$11,0)),"(sin catálogo)"))</f>
        <v/>
      </c>
      <c r="AC56" s="20">
        <f>IF($J56="","",TODAY()-$J56)</f>
        <v/>
      </c>
      <c r="AD56" s="20">
        <f>IF($J56="","",IF($J56&lt;=TODAY(),COUNTIFS(cal_fechas,"&gt;="&amp;$J56,cal_fechas,"&lt;"&amp;TODAY(),cal_habil,"sí"),-COUNTIFS(cal_fechas,"&gt;="&amp;TODAY(),cal_fechas,"&lt;"&amp;$J56,cal_habil,"sí")))</f>
        <v/>
      </c>
      <c r="AE56" s="5">
        <f>IF($AD56="","",IF($AD56&lt;0,"FUTURO",IF($AD56&gt;p_dias_backlog_max,"BACKLOG","MES CORRIENTE")))</f>
        <v/>
      </c>
      <c r="AF56" s="5">
        <f>IF($AD56="",FALSE,AND($AD56&gt;p_dias_backlog_min,$AD56&lt;=p_dias_backlog_max))</f>
        <v/>
      </c>
      <c r="AG56" s="4" t="inlineStr">
        <is>
          <t>Ricardo Ortiz</t>
        </is>
      </c>
      <c r="AH56" s="5">
        <f>IF($AG56="","",IF((IFERROR(INDEX('ASIGNACIONES'!$J$4:$J$451,MATCH($O56&amp;"|"&amp;$S56&amp;"|"&amp;$AG56,'ASIGNACIONES'!$N$4:$N$451,0)),""))=0,"",IFERROR(INDEX('ASIGNACIONES'!$J$4:$J$451,MATCH($O56&amp;"|"&amp;$S56&amp;"|"&amp;$AG56,'ASIGNACIONES'!$N$4:$N$451,0)),"")))</f>
        <v/>
      </c>
      <c r="AI56" s="25">
        <f>IF($AG56="","",SUMIFS('ORDENES'!$M$4:$M$1203,'ORDENES'!$AG$4:$AG$1203,$AG56,'ORDENES'!$O$4:$O$1203,$O56,'ORDENES'!$S$4:$S$1203,$S56))</f>
        <v/>
      </c>
      <c r="AJ56" s="25">
        <f>IF($AI56="","",p_factor_productividad*IFERROR(INDEX('ASIGNACIONES'!$M$4:$M$451,MATCH($O56&amp;"|"&amp;$S56&amp;"|"&amp;$AG56,'ASIGNACIONES'!$N$4:$N$451,0)),0)-$AI56)</f>
        <v/>
      </c>
      <c r="AK56" s="18">
        <f>IF($A56="","",IFERROR(INDEX('2_IMPORTAR_EJECUCION'!$F$9:$F$1208,MATCH($AT56,'2_IMPORTAR_EJECUCION'!$J$9:$J$1208,0)),0))</f>
        <v/>
      </c>
      <c r="AL56" s="18">
        <f>IF($A56="","",MAX(0,IFERROR(INDEX('2_IMPORTAR_EJECUCION'!$H$9:$H$1208,MATCH($AT56,'2_IMPORTAR_EJECUCION'!$J$9:$J$1208,0)),0)-$AK56))</f>
        <v/>
      </c>
      <c r="AM56" s="18">
        <f>IF($A56="","",$AK56+$AL56)</f>
        <v/>
      </c>
      <c r="AN56" s="5">
        <f>IF($A56="","",IF(OR((IFERROR(INDEX('CAT_ACTIVIDADES'!$D$4:$D$11,MATCH($H56,'CAT_ACTIVIDADES'!$A$4:$A$11,0)),""))=0,(IFERROR(INDEX('CAT_ACTIVIDADES'!$D$4:$D$11,MATCH($H56,'CAT_ACTIVIDADES'!$A$4:$A$11,0)),""))=""),"SIN CLASIFICAR",IFERROR(INDEX('CAT_ACTIVIDADES'!$D$4:$D$11,MATCH($H56,'CAT_ACTIVIDADES'!$A$4:$A$11,0)),"")))</f>
        <v/>
      </c>
      <c r="AO56" s="4" t="inlineStr"/>
      <c r="AP56" s="4" t="inlineStr"/>
      <c r="AQ56" s="4" t="inlineStr">
        <is>
          <t>ACT-04.pdf</t>
        </is>
      </c>
      <c r="AR56" s="5">
        <f>IF($AQ56="","",HYPERLINK(p_ruta_base_checklists&amp;$AQ56,"abrir"))</f>
        <v/>
      </c>
      <c r="AS56" s="4" t="inlineStr"/>
      <c r="AT56" s="5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22" t="n">
        <v>46226</v>
      </c>
      <c r="K57" s="5" t="n">
        <v>6</v>
      </c>
      <c r="L57" s="18" t="n">
        <v>150</v>
      </c>
      <c r="M57" s="5">
        <f>IF($A57="","",IFERROR(INDEX('AJUSTES'!$B$4:$B$303,MATCH($AT57,'AJUSTES'!$A$4:$A$303,0)),IF($K57="","",$K57)))</f>
        <v/>
      </c>
      <c r="N57" s="5">
        <f>IF($A57="","",IFERROR(INDEX('CAT_ESTADOS_ERP'!$B$4:$B$7,MATCH(IFERROR(INDEX('2_IMPORTAR_EJECUCION'!$C$9:$C$1208,MATCH($AT57,'2_IMPORTAR_EJECUCION'!$J$9:$J$1208,0)),""),'CAT_ESTADOS_ERP'!$A$4:$A$7,0)),"Pendiente"))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IF($J57="","",$P57&amp;"-"&amp;TEXT($Q57,"00"))</f>
        <v/>
      </c>
      <c r="S57" s="5">
        <f>IF($J57="","",INDEX(lista_dias,WEEKDAY($J57,2)))</f>
        <v/>
      </c>
      <c r="T57" s="5">
        <f>IF($J57="","",IFERROR(INDEX('CALENDARIO'!$C$15:$C$214,MATCH(TEXT($J57,"yyyy-mm-dd")&amp;"|"&amp;$X57&amp;"|"&amp;$Y57,'CALENDARIO'!$G$15:$G$214,0)),IFERROR(INDEX('CALENDARIO'!$C$15:$C$214,MATCH(TEXT($J57,"yyyy-mm-dd")&amp;"|"&amp;$X57&amp;"|",'CALENDARIO'!$G$15:$G$214,0)),IFERROR(INDEX('CALENDARIO'!$C$15:$C$214,MATCH(TEXT($J57,"yyyy-mm-dd")&amp;"||",'CALENDARIO'!$G$15:$G$214,0)),INDEX(patronHabil,WEEKDAY($J57,2))))))</f>
        <v/>
      </c>
      <c r="U57" s="5">
        <f>IF($I57="","",IFERROR(INDEX('CAT_TIPOS_OT'!$C$4:$C$8,MATCH($I57,'CAT_TIPOS_OT'!$A$4:$A$8,0)),"sin_clasificar"))</f>
        <v/>
      </c>
      <c r="V57" s="5">
        <f>IF($I57="","",IF(IFERROR(INDEX('CAT_TIPOS_OT'!$D$4:$D$8,MATCH($I57,'CAT_TIPOS_OT'!$A$4:$A$8,0)),"SIN CLASIFICAR")="","SIN CLASIFICAR",IFERROR(INDEX('CAT_TIPOS_OT'!$D$4:$D$8,MATCH($I57,'CAT_TIPOS_OT'!$A$4:$A$8,0)),"SIN CLASIFICAR")))</f>
        <v/>
      </c>
      <c r="W57" s="5">
        <f>IF($F57="","",IFERROR(INDEX('CAT_CENTROS_COSTO'!$F$4:$F$13,MATCH($F57,'CAT_CENTROS_COSTO'!$A$4:$A$13,0)),"(sin catálogo)"))</f>
        <v/>
      </c>
      <c r="X57" s="5">
        <f>IF($F57="","",IFERROR(INDEX('CAT_CENTROS_COSTO'!$D$4:$D$13,MATCH($F57,'CAT_CENTROS_COSTO'!$A$4:$A$13,0)),"(sin catálogo)"))</f>
        <v/>
      </c>
      <c r="Y57" s="5">
        <f>IF($F57="","",IF((IFERROR(INDEX('CAT_CENTROS_COSTO'!$E$4:$E$13,MATCH($F57,'CAT_CENTROS_COSTO'!$A$4:$A$13,0)),""))&lt;&gt;"",IFERROR(INDEX('CAT_CENTROS_COSTO'!$E$4:$E$13,MATCH($F57,'CAT_CENTROS_COSTO'!$A$4:$A$13,0)),""),$X57))</f>
        <v/>
      </c>
      <c r="Z57" s="5">
        <f>IF($F57="","",IFERROR(INDEX('CAT_CENTROS_COSTO'!$G$4:$G$13,MATCH($F57,'CAT_CENTROS_COSTO'!$A$4:$A$13,0)),"(sin catálogo)"))</f>
        <v/>
      </c>
      <c r="AA57" s="5">
        <f>IF($G57="","",IFERROR(INDEX('CAT_PUESTOS'!$B$4:$B$8,MATCH($G57,'CAT_PUESTOS'!$A$4:$A$8,0)),"(sin catálogo)"))</f>
        <v/>
      </c>
      <c r="AB57" s="5">
        <f>IF($H57="","",IFERROR(INDEX('CAT_ACTIVIDADES'!$B$4:$B$11,MATCH($H57,'CAT_ACTIVIDADES'!$A$4:$A$11,0)),"(sin catálogo)"))</f>
        <v/>
      </c>
      <c r="AC57" s="20">
        <f>IF($J57="","",TODAY()-$J57)</f>
        <v/>
      </c>
      <c r="AD57" s="20">
        <f>IF($J57="","",IF($J57&lt;=TODAY(),COUNTIFS(cal_fechas,"&gt;="&amp;$J57,cal_fechas,"&lt;"&amp;TODAY(),cal_habil,"sí"),-COUNTIFS(cal_fechas,"&gt;="&amp;TODAY(),cal_fechas,"&lt;"&amp;$J57,cal_habil,"sí")))</f>
        <v/>
      </c>
      <c r="AE57" s="5">
        <f>IF($AD57="","",IF($AD57&lt;0,"FUTURO",IF($AD57&gt;p_dias_backlog_max,"BACKLOG","MES CORRIENTE")))</f>
        <v/>
      </c>
      <c r="AF57" s="5">
        <f>IF($AD57="",FALSE,AND($AD57&gt;p_dias_backlog_min,$AD57&lt;=p_dias_backlog_max))</f>
        <v/>
      </c>
      <c r="AG57" s="4" t="inlineStr">
        <is>
          <t>Eduardo Silva</t>
        </is>
      </c>
      <c r="AH57" s="5">
        <f>IF($AG57="","",IF((IFERROR(INDEX('ASIGNACIONES'!$J$4:$J$451,MATCH($O57&amp;"|"&amp;$S57&amp;"|"&amp;$AG57,'ASIGNACIONES'!$N$4:$N$451,0)),""))=0,"",IFERROR(INDEX('ASIGNACIONES'!$J$4:$J$451,MATCH($O57&amp;"|"&amp;$S57&amp;"|"&amp;$AG57,'ASIGNACIONES'!$N$4:$N$451,0)),"")))</f>
        <v/>
      </c>
      <c r="AI57" s="25">
        <f>IF($AG57="","",SUMIFS('ORDENES'!$M$4:$M$1203,'ORDENES'!$AG$4:$AG$1203,$AG57,'ORDENES'!$O$4:$O$1203,$O57,'ORDENES'!$S$4:$S$1203,$S57))</f>
        <v/>
      </c>
      <c r="AJ57" s="25">
        <f>IF($AI57="","",p_factor_productividad*IFERROR(INDEX('ASIGNACIONES'!$M$4:$M$451,MATCH($O57&amp;"|"&amp;$S57&amp;"|"&amp;$AG57,'ASIGNACIONES'!$N$4:$N$451,0)),0)-$AI57)</f>
        <v/>
      </c>
      <c r="AK57" s="18">
        <f>IF($A57="","",IFERROR(INDEX('2_IMPORTAR_EJECUCION'!$F$9:$F$1208,MATCH($AT57,'2_IMPORTAR_EJECUCION'!$J$9:$J$1208,0)),0))</f>
        <v/>
      </c>
      <c r="AL57" s="18">
        <f>IF($A57="","",MAX(0,IFERROR(INDEX('2_IMPORTAR_EJECUCION'!$H$9:$H$1208,MATCH($AT57,'2_IMPORTAR_EJECUCION'!$J$9:$J$1208,0)),0)-$AK57))</f>
        <v/>
      </c>
      <c r="AM57" s="18">
        <f>IF($A57="","",$AK57+$AL57)</f>
        <v/>
      </c>
      <c r="AN57" s="5">
        <f>IF($A57="","",IF(OR((IFERROR(INDEX('CAT_ACTIVIDADES'!$D$4:$D$11,MATCH($H57,'CAT_ACTIVIDADES'!$A$4:$A$11,0)),""))=0,(IFERROR(INDEX('CAT_ACTIVIDADES'!$D$4:$D$11,MATCH($H57,'CAT_ACTIVIDADES'!$A$4:$A$11,0)),""))=""),"SIN CLASIFICAR",IFERROR(INDEX('CAT_ACTIVIDADES'!$D$4:$D$11,MATCH($H57,'CAT_ACTIVIDADES'!$A$4:$A$11,0)),"")))</f>
        <v/>
      </c>
      <c r="AO57" s="4" t="inlineStr"/>
      <c r="AP57" s="4" t="inlineStr"/>
      <c r="AQ57" s="4" t="inlineStr">
        <is>
          <t>ACT-01.pdf</t>
        </is>
      </c>
      <c r="AR57" s="5">
        <f>IF($AQ57="","",HYPERLINK(p_ruta_base_checklists&amp;$AQ57,"abrir"))</f>
        <v/>
      </c>
      <c r="AS57" s="4" t="inlineStr"/>
      <c r="AT57" s="5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22" t="n">
        <v>46227</v>
      </c>
      <c r="K58" s="5" t="n">
        <v>10</v>
      </c>
      <c r="L58" s="18" t="n">
        <v>250</v>
      </c>
      <c r="M58" s="5">
        <f>IF($A58="","",IFERROR(INDEX('AJUSTES'!$B$4:$B$303,MATCH($AT58,'AJUSTES'!$A$4:$A$303,0)),IF($K58="","",$K58)))</f>
        <v/>
      </c>
      <c r="N58" s="5">
        <f>IF($A58="","",IFERROR(INDEX('CAT_ESTADOS_ERP'!$B$4:$B$7,MATCH(IFERROR(INDEX('2_IMPORTAR_EJECUCION'!$C$9:$C$1208,MATCH($AT58,'2_IMPORTAR_EJECUCION'!$J$9:$J$1208,0)),""),'CAT_ESTADOS_ERP'!$A$4:$A$7,0)),"Pendiente"))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IF($J58="","",$P58&amp;"-"&amp;TEXT($Q58,"00"))</f>
        <v/>
      </c>
      <c r="S58" s="5">
        <f>IF($J58="","",INDEX(lista_dias,WEEKDAY($J58,2)))</f>
        <v/>
      </c>
      <c r="T58" s="5">
        <f>IF($J58="","",IFERROR(INDEX('CALENDARIO'!$C$15:$C$214,MATCH(TEXT($J58,"yyyy-mm-dd")&amp;"|"&amp;$X58&amp;"|"&amp;$Y58,'CALENDARIO'!$G$15:$G$214,0)),IFERROR(INDEX('CALENDARIO'!$C$15:$C$214,MATCH(TEXT($J58,"yyyy-mm-dd")&amp;"|"&amp;$X58&amp;"|",'CALENDARIO'!$G$15:$G$214,0)),IFERROR(INDEX('CALENDARIO'!$C$15:$C$214,MATCH(TEXT($J58,"yyyy-mm-dd")&amp;"||",'CALENDARIO'!$G$15:$G$214,0)),INDEX(patronHabil,WEEKDAY($J58,2))))))</f>
        <v/>
      </c>
      <c r="U58" s="5">
        <f>IF($I58="","",IFERROR(INDEX('CAT_TIPOS_OT'!$C$4:$C$8,MATCH($I58,'CAT_TIPOS_OT'!$A$4:$A$8,0)),"sin_clasificar"))</f>
        <v/>
      </c>
      <c r="V58" s="5">
        <f>IF($I58="","",IF(IFERROR(INDEX('CAT_TIPOS_OT'!$D$4:$D$8,MATCH($I58,'CAT_TIPOS_OT'!$A$4:$A$8,0)),"SIN CLASIFICAR")="","SIN CLASIFICAR",IFERROR(INDEX('CAT_TIPOS_OT'!$D$4:$D$8,MATCH($I58,'CAT_TIPOS_OT'!$A$4:$A$8,0)),"SIN CLASIFICAR")))</f>
        <v/>
      </c>
      <c r="W58" s="5">
        <f>IF($F58="","",IFERROR(INDEX('CAT_CENTROS_COSTO'!$F$4:$F$13,MATCH($F58,'CAT_CENTROS_COSTO'!$A$4:$A$13,0)),"(sin catálogo)"))</f>
        <v/>
      </c>
      <c r="X58" s="5">
        <f>IF($F58="","",IFERROR(INDEX('CAT_CENTROS_COSTO'!$D$4:$D$13,MATCH($F58,'CAT_CENTROS_COSTO'!$A$4:$A$13,0)),"(sin catálogo)"))</f>
        <v/>
      </c>
      <c r="Y58" s="5">
        <f>IF($F58="","",IF((IFERROR(INDEX('CAT_CENTROS_COSTO'!$E$4:$E$13,MATCH($F58,'CAT_CENTROS_COSTO'!$A$4:$A$13,0)),""))&lt;&gt;"",IFERROR(INDEX('CAT_CENTROS_COSTO'!$E$4:$E$13,MATCH($F58,'CAT_CENTROS_COSTO'!$A$4:$A$13,0)),""),$X58))</f>
        <v/>
      </c>
      <c r="Z58" s="5">
        <f>IF($F58="","",IFERROR(INDEX('CAT_CENTROS_COSTO'!$G$4:$G$13,MATCH($F58,'CAT_CENTROS_COSTO'!$A$4:$A$13,0)),"(sin catálogo)"))</f>
        <v/>
      </c>
      <c r="AA58" s="5">
        <f>IF($G58="","",IFERROR(INDEX('CAT_PUESTOS'!$B$4:$B$8,MATCH($G58,'CAT_PUESTOS'!$A$4:$A$8,0)),"(sin catálogo)"))</f>
        <v/>
      </c>
      <c r="AB58" s="5">
        <f>IF($H58="","",IFERROR(INDEX('CAT_ACTIVIDADES'!$B$4:$B$11,MATCH($H58,'CAT_ACTIVIDADES'!$A$4:$A$11,0)),"(sin catálogo)"))</f>
        <v/>
      </c>
      <c r="AC58" s="20">
        <f>IF($J58="","",TODAY()-$J58)</f>
        <v/>
      </c>
      <c r="AD58" s="20">
        <f>IF($J58="","",IF($J58&lt;=TODAY(),COUNTIFS(cal_fechas,"&gt;="&amp;$J58,cal_fechas,"&lt;"&amp;TODAY(),cal_habil,"sí"),-COUNTIFS(cal_fechas,"&gt;="&amp;TODAY(),cal_fechas,"&lt;"&amp;$J58,cal_habil,"sí")))</f>
        <v/>
      </c>
      <c r="AE58" s="5">
        <f>IF($AD58="","",IF($AD58&lt;0,"FUTURO",IF($AD58&gt;p_dias_backlog_max,"BACKLOG","MES CORRIENTE")))</f>
        <v/>
      </c>
      <c r="AF58" s="5">
        <f>IF($AD58="",FALSE,AND($AD58&gt;p_dias_backlog_min,$AD58&lt;=p_dias_backlog_max))</f>
        <v/>
      </c>
      <c r="AG58" s="4" t="inlineStr">
        <is>
          <t>Gabriela Rojas</t>
        </is>
      </c>
      <c r="AH58" s="5">
        <f>IF($AG58="","",IF((IFERROR(INDEX('ASIGNACIONES'!$J$4:$J$451,MATCH($O58&amp;"|"&amp;$S58&amp;"|"&amp;$AG58,'ASIGNACIONES'!$N$4:$N$451,0)),""))=0,"",IFERROR(INDEX('ASIGNACIONES'!$J$4:$J$451,MATCH($O58&amp;"|"&amp;$S58&amp;"|"&amp;$AG58,'ASIGNACIONES'!$N$4:$N$451,0)),"")))</f>
        <v/>
      </c>
      <c r="AI58" s="25">
        <f>IF($AG58="","",SUMIFS('ORDENES'!$M$4:$M$1203,'ORDENES'!$AG$4:$AG$1203,$AG58,'ORDENES'!$O$4:$O$1203,$O58,'ORDENES'!$S$4:$S$1203,$S58))</f>
        <v/>
      </c>
      <c r="AJ58" s="25">
        <f>IF($AI58="","",p_factor_productividad*IFERROR(INDEX('ASIGNACIONES'!$M$4:$M$451,MATCH($O58&amp;"|"&amp;$S58&amp;"|"&amp;$AG58,'ASIGNACIONES'!$N$4:$N$451,0)),0)-$AI58)</f>
        <v/>
      </c>
      <c r="AK58" s="18">
        <f>IF($A58="","",IFERROR(INDEX('2_IMPORTAR_EJECUCION'!$F$9:$F$1208,MATCH($AT58,'2_IMPORTAR_EJECUCION'!$J$9:$J$1208,0)),0))</f>
        <v/>
      </c>
      <c r="AL58" s="18">
        <f>IF($A58="","",MAX(0,IFERROR(INDEX('2_IMPORTAR_EJECUCION'!$H$9:$H$1208,MATCH($AT58,'2_IMPORTAR_EJECUCION'!$J$9:$J$1208,0)),0)-$AK58))</f>
        <v/>
      </c>
      <c r="AM58" s="18">
        <f>IF($A58="","",$AK58+$AL58)</f>
        <v/>
      </c>
      <c r="AN58" s="5">
        <f>IF($A58="","",IF(OR((IFERROR(INDEX('CAT_ACTIVIDADES'!$D$4:$D$11,MATCH($H58,'CAT_ACTIVIDADES'!$A$4:$A$11,0)),""))=0,(IFERROR(INDEX('CAT_ACTIVIDADES'!$D$4:$D$11,MATCH($H58,'CAT_ACTIVIDADES'!$A$4:$A$11,0)),""))=""),"SIN CLASIFICAR",IFERROR(INDEX('CAT_ACTIVIDADES'!$D$4:$D$11,MATCH($H58,'CAT_ACTIVIDADES'!$A$4:$A$11,0)),"")))</f>
        <v/>
      </c>
      <c r="AO58" s="4" t="inlineStr"/>
      <c r="AP58" s="4" t="inlineStr"/>
      <c r="AQ58" s="4" t="inlineStr">
        <is>
          <t>ACT-02.pdf</t>
        </is>
      </c>
      <c r="AR58" s="5">
        <f>IF($AQ58="","",HYPERLINK(p_ruta_base_checklists&amp;$AQ58,"abrir"))</f>
        <v/>
      </c>
      <c r="AS58" s="4" t="inlineStr"/>
      <c r="AT58" s="5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22" t="n">
        <v>46223</v>
      </c>
      <c r="K59" s="5" t="n">
        <v>2</v>
      </c>
      <c r="L59" s="18" t="n">
        <v>50</v>
      </c>
      <c r="M59" s="5">
        <f>IF($A59="","",IFERROR(INDEX('AJUSTES'!$B$4:$B$303,MATCH($AT59,'AJUSTES'!$A$4:$A$303,0)),IF($K59="","",$K59)))</f>
        <v/>
      </c>
      <c r="N59" s="5">
        <f>IF($A59="","",IFERROR(INDEX('CAT_ESTADOS_ERP'!$B$4:$B$7,MATCH(IFERROR(INDEX('2_IMPORTAR_EJECUCION'!$C$9:$C$1208,MATCH($AT59,'2_IMPORTAR_EJECUCION'!$J$9:$J$1208,0)),""),'CAT_ESTADOS_ERP'!$A$4:$A$7,0)),"Pendiente"))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IF($J59="","",$P59&amp;"-"&amp;TEXT($Q59,"00"))</f>
        <v/>
      </c>
      <c r="S59" s="5">
        <f>IF($J59="","",INDEX(lista_dias,WEEKDAY($J59,2)))</f>
        <v/>
      </c>
      <c r="T59" s="5">
        <f>IF($J59="","",IFERROR(INDEX('CALENDARIO'!$C$15:$C$214,MATCH(TEXT($J59,"yyyy-mm-dd")&amp;"|"&amp;$X59&amp;"|"&amp;$Y59,'CALENDARIO'!$G$15:$G$214,0)),IFERROR(INDEX('CALENDARIO'!$C$15:$C$214,MATCH(TEXT($J59,"yyyy-mm-dd")&amp;"|"&amp;$X59&amp;"|",'CALENDARIO'!$G$15:$G$214,0)),IFERROR(INDEX('CALENDARIO'!$C$15:$C$214,MATCH(TEXT($J59,"yyyy-mm-dd")&amp;"||",'CALENDARIO'!$G$15:$G$214,0)),INDEX(patronHabil,WEEKDAY($J59,2))))))</f>
        <v/>
      </c>
      <c r="U59" s="5">
        <f>IF($I59="","",IFERROR(INDEX('CAT_TIPOS_OT'!$C$4:$C$8,MATCH($I59,'CAT_TIPOS_OT'!$A$4:$A$8,0)),"sin_clasificar"))</f>
        <v/>
      </c>
      <c r="V59" s="5">
        <f>IF($I59="","",IF(IFERROR(INDEX('CAT_TIPOS_OT'!$D$4:$D$8,MATCH($I59,'CAT_TIPOS_OT'!$A$4:$A$8,0)),"SIN CLASIFICAR")="","SIN CLASIFICAR",IFERROR(INDEX('CAT_TIPOS_OT'!$D$4:$D$8,MATCH($I59,'CAT_TIPOS_OT'!$A$4:$A$8,0)),"SIN CLASIFICAR")))</f>
        <v/>
      </c>
      <c r="W59" s="5">
        <f>IF($F59="","",IFERROR(INDEX('CAT_CENTROS_COSTO'!$F$4:$F$13,MATCH($F59,'CAT_CENTROS_COSTO'!$A$4:$A$13,0)),"(sin catálogo)"))</f>
        <v/>
      </c>
      <c r="X59" s="5">
        <f>IF($F59="","",IFERROR(INDEX('CAT_CENTROS_COSTO'!$D$4:$D$13,MATCH($F59,'CAT_CENTROS_COSTO'!$A$4:$A$13,0)),"(sin catálogo)"))</f>
        <v/>
      </c>
      <c r="Y59" s="5">
        <f>IF($F59="","",IF((IFERROR(INDEX('CAT_CENTROS_COSTO'!$E$4:$E$13,MATCH($F59,'CAT_CENTROS_COSTO'!$A$4:$A$13,0)),""))&lt;&gt;"",IFERROR(INDEX('CAT_CENTROS_COSTO'!$E$4:$E$13,MATCH($F59,'CAT_CENTROS_COSTO'!$A$4:$A$13,0)),""),$X59))</f>
        <v/>
      </c>
      <c r="Z59" s="5">
        <f>IF($F59="","",IFERROR(INDEX('CAT_CENTROS_COSTO'!$G$4:$G$13,MATCH($F59,'CAT_CENTROS_COSTO'!$A$4:$A$13,0)),"(sin catálogo)"))</f>
        <v/>
      </c>
      <c r="AA59" s="5">
        <f>IF($G59="","",IFERROR(INDEX('CAT_PUESTOS'!$B$4:$B$8,MATCH($G59,'CAT_PUESTOS'!$A$4:$A$8,0)),"(sin catálogo)"))</f>
        <v/>
      </c>
      <c r="AB59" s="5">
        <f>IF($H59="","",IFERROR(INDEX('CAT_ACTIVIDADES'!$B$4:$B$11,MATCH($H59,'CAT_ACTIVIDADES'!$A$4:$A$11,0)),"(sin catálogo)"))</f>
        <v/>
      </c>
      <c r="AC59" s="20">
        <f>IF($J59="","",TODAY()-$J59)</f>
        <v/>
      </c>
      <c r="AD59" s="20">
        <f>IF($J59="","",IF($J59&lt;=TODAY(),COUNTIFS(cal_fechas,"&gt;="&amp;$J59,cal_fechas,"&lt;"&amp;TODAY(),cal_habil,"sí"),-COUNTIFS(cal_fechas,"&gt;="&amp;TODAY(),cal_fechas,"&lt;"&amp;$J59,cal_habil,"sí")))</f>
        <v/>
      </c>
      <c r="AE59" s="5">
        <f>IF($AD59="","",IF($AD59&lt;0,"FUTURO",IF($AD59&gt;p_dias_backlog_max,"BACKLOG","MES CORRIENTE")))</f>
        <v/>
      </c>
      <c r="AF59" s="5">
        <f>IF($AD59="",FALSE,AND($AD59&gt;p_dias_backlog_min,$AD59&lt;=p_dias_backlog_max))</f>
        <v/>
      </c>
      <c r="AG59" s="4" t="inlineStr">
        <is>
          <t>Fernando Mendoza</t>
        </is>
      </c>
      <c r="AH59" s="5">
        <f>IF($AG59="","",IF((IFERROR(INDEX('ASIGNACIONES'!$J$4:$J$451,MATCH($O59&amp;"|"&amp;$S59&amp;"|"&amp;$AG59,'ASIGNACIONES'!$N$4:$N$451,0)),""))=0,"",IFERROR(INDEX('ASIGNACIONES'!$J$4:$J$451,MATCH($O59&amp;"|"&amp;$S59&amp;"|"&amp;$AG59,'ASIGNACIONES'!$N$4:$N$451,0)),"")))</f>
        <v/>
      </c>
      <c r="AI59" s="25">
        <f>IF($AG59="","",SUMIFS('ORDENES'!$M$4:$M$1203,'ORDENES'!$AG$4:$AG$1203,$AG59,'ORDENES'!$O$4:$O$1203,$O59,'ORDENES'!$S$4:$S$1203,$S59))</f>
        <v/>
      </c>
      <c r="AJ59" s="25">
        <f>IF($AI59="","",p_factor_productividad*IFERROR(INDEX('ASIGNACIONES'!$M$4:$M$451,MATCH($O59&amp;"|"&amp;$S59&amp;"|"&amp;$AG59,'ASIGNACIONES'!$N$4:$N$451,0)),0)-$AI59)</f>
        <v/>
      </c>
      <c r="AK59" s="18">
        <f>IF($A59="","",IFERROR(INDEX('2_IMPORTAR_EJECUCION'!$F$9:$F$1208,MATCH($AT59,'2_IMPORTAR_EJECUCION'!$J$9:$J$1208,0)),0))</f>
        <v/>
      </c>
      <c r="AL59" s="18">
        <f>IF($A59="","",MAX(0,IFERROR(INDEX('2_IMPORTAR_EJECUCION'!$H$9:$H$1208,MATCH($AT59,'2_IMPORTAR_EJECUCION'!$J$9:$J$1208,0)),0)-$AK59))</f>
        <v/>
      </c>
      <c r="AM59" s="18">
        <f>IF($A59="","",$AK59+$AL59)</f>
        <v/>
      </c>
      <c r="AN59" s="5">
        <f>IF($A59="","",IF(OR((IFERROR(INDEX('CAT_ACTIVIDADES'!$D$4:$D$11,MATCH($H59,'CAT_ACTIVIDADES'!$A$4:$A$11,0)),""))=0,(IFERROR(INDEX('CAT_ACTIVIDADES'!$D$4:$D$11,MATCH($H59,'CAT_ACTIVIDADES'!$A$4:$A$11,0)),""))=""),"SIN CLASIFICAR",IFERROR(INDEX('CAT_ACTIVIDADES'!$D$4:$D$11,MATCH($H59,'CAT_ACTIVIDADES'!$A$4:$A$11,0)),"")))</f>
        <v/>
      </c>
      <c r="AO59" s="4" t="inlineStr"/>
      <c r="AP59" s="4" t="inlineStr"/>
      <c r="AQ59" s="4" t="inlineStr">
        <is>
          <t>ACT-04.pdf</t>
        </is>
      </c>
      <c r="AR59" s="5">
        <f>IF($AQ59="","",HYPERLINK(p_ruta_base_checklists&amp;$AQ59,"abrir"))</f>
        <v/>
      </c>
      <c r="AS59" s="4" t="inlineStr"/>
      <c r="AT59" s="5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22" t="n">
        <v>46224</v>
      </c>
      <c r="K60" s="5" t="n">
        <v>10</v>
      </c>
      <c r="L60" s="18" t="n">
        <v>400</v>
      </c>
      <c r="M60" s="5">
        <f>IF($A60="","",IFERROR(INDEX('AJUSTES'!$B$4:$B$303,MATCH($AT60,'AJUSTES'!$A$4:$A$303,0)),IF($K60="","",$K60)))</f>
        <v/>
      </c>
      <c r="N60" s="5">
        <f>IF($A60="","",IFERROR(INDEX('CAT_ESTADOS_ERP'!$B$4:$B$7,MATCH(IFERROR(INDEX('2_IMPORTAR_EJECUCION'!$C$9:$C$1208,MATCH($AT60,'2_IMPORTAR_EJECUCION'!$J$9:$J$1208,0)),""),'CAT_ESTADOS_ERP'!$A$4:$A$7,0)),"Pendiente"))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IF($J60="","",$P60&amp;"-"&amp;TEXT($Q60,"00"))</f>
        <v/>
      </c>
      <c r="S60" s="5">
        <f>IF($J60="","",INDEX(lista_dias,WEEKDAY($J60,2)))</f>
        <v/>
      </c>
      <c r="T60" s="5">
        <f>IF($J60="","",IFERROR(INDEX('CALENDARIO'!$C$15:$C$214,MATCH(TEXT($J60,"yyyy-mm-dd")&amp;"|"&amp;$X60&amp;"|"&amp;$Y60,'CALENDARIO'!$G$15:$G$214,0)),IFERROR(INDEX('CALENDARIO'!$C$15:$C$214,MATCH(TEXT($J60,"yyyy-mm-dd")&amp;"|"&amp;$X60&amp;"|",'CALENDARIO'!$G$15:$G$214,0)),IFERROR(INDEX('CALENDARIO'!$C$15:$C$214,MATCH(TEXT($J60,"yyyy-mm-dd")&amp;"||",'CALENDARIO'!$G$15:$G$214,0)),INDEX(patronHabil,WEEKDAY($J60,2))))))</f>
        <v/>
      </c>
      <c r="U60" s="5">
        <f>IF($I60="","",IFERROR(INDEX('CAT_TIPOS_OT'!$C$4:$C$8,MATCH($I60,'CAT_TIPOS_OT'!$A$4:$A$8,0)),"sin_clasificar"))</f>
        <v/>
      </c>
      <c r="V60" s="5">
        <f>IF($I60="","",IF(IFERROR(INDEX('CAT_TIPOS_OT'!$D$4:$D$8,MATCH($I60,'CAT_TIPOS_OT'!$A$4:$A$8,0)),"SIN CLASIFICAR")="","SIN CLASIFICAR",IFERROR(INDEX('CAT_TIPOS_OT'!$D$4:$D$8,MATCH($I60,'CAT_TIPOS_OT'!$A$4:$A$8,0)),"SIN CLASIFICAR")))</f>
        <v/>
      </c>
      <c r="W60" s="5">
        <f>IF($F60="","",IFERROR(INDEX('CAT_CENTROS_COSTO'!$F$4:$F$13,MATCH($F60,'CAT_CENTROS_COSTO'!$A$4:$A$13,0)),"(sin catálogo)"))</f>
        <v/>
      </c>
      <c r="X60" s="5">
        <f>IF($F60="","",IFERROR(INDEX('CAT_CENTROS_COSTO'!$D$4:$D$13,MATCH($F60,'CAT_CENTROS_COSTO'!$A$4:$A$13,0)),"(sin catálogo)"))</f>
        <v/>
      </c>
      <c r="Y60" s="5">
        <f>IF($F60="","",IF((IFERROR(INDEX('CAT_CENTROS_COSTO'!$E$4:$E$13,MATCH($F60,'CAT_CENTROS_COSTO'!$A$4:$A$13,0)),""))&lt;&gt;"",IFERROR(INDEX('CAT_CENTROS_COSTO'!$E$4:$E$13,MATCH($F60,'CAT_CENTROS_COSTO'!$A$4:$A$13,0)),""),$X60))</f>
        <v/>
      </c>
      <c r="Z60" s="5">
        <f>IF($F60="","",IFERROR(INDEX('CAT_CENTROS_COSTO'!$G$4:$G$13,MATCH($F60,'CAT_CENTROS_COSTO'!$A$4:$A$13,0)),"(sin catálogo)"))</f>
        <v/>
      </c>
      <c r="AA60" s="5">
        <f>IF($G60="","",IFERROR(INDEX('CAT_PUESTOS'!$B$4:$B$8,MATCH($G60,'CAT_PUESTOS'!$A$4:$A$8,0)),"(sin catálogo)"))</f>
        <v/>
      </c>
      <c r="AB60" s="5">
        <f>IF($H60="","",IFERROR(INDEX('CAT_ACTIVIDADES'!$B$4:$B$11,MATCH($H60,'CAT_ACTIVIDADES'!$A$4:$A$11,0)),"(sin catálogo)"))</f>
        <v/>
      </c>
      <c r="AC60" s="20">
        <f>IF($J60="","",TODAY()-$J60)</f>
        <v/>
      </c>
      <c r="AD60" s="20">
        <f>IF($J60="","",IF($J60&lt;=TODAY(),COUNTIFS(cal_fechas,"&gt;="&amp;$J60,cal_fechas,"&lt;"&amp;TODAY(),cal_habil,"sí"),-COUNTIFS(cal_fechas,"&gt;="&amp;TODAY(),cal_fechas,"&lt;"&amp;$J60,cal_habil,"sí")))</f>
        <v/>
      </c>
      <c r="AE60" s="5">
        <f>IF($AD60="","",IF($AD60&lt;0,"FUTURO",IF($AD60&gt;p_dias_backlog_max,"BACKLOG","MES CORRIENTE")))</f>
        <v/>
      </c>
      <c r="AF60" s="5">
        <f>IF($AD60="",FALSE,AND($AD60&gt;p_dias_backlog_min,$AD60&lt;=p_dias_backlog_max))</f>
        <v/>
      </c>
      <c r="AG60" s="4" t="inlineStr">
        <is>
          <t>Jorge Díaz</t>
        </is>
      </c>
      <c r="AH60" s="5">
        <f>IF($AG60="","",IF((IFERROR(INDEX('ASIGNACIONES'!$J$4:$J$451,MATCH($O60&amp;"|"&amp;$S60&amp;"|"&amp;$AG60,'ASIGNACIONES'!$N$4:$N$451,0)),""))=0,"",IFERROR(INDEX('ASIGNACIONES'!$J$4:$J$451,MATCH($O60&amp;"|"&amp;$S60&amp;"|"&amp;$AG60,'ASIGNACIONES'!$N$4:$N$451,0)),"")))</f>
        <v/>
      </c>
      <c r="AI60" s="25">
        <f>IF($AG60="","",SUMIFS('ORDENES'!$M$4:$M$1203,'ORDENES'!$AG$4:$AG$1203,$AG60,'ORDENES'!$O$4:$O$1203,$O60,'ORDENES'!$S$4:$S$1203,$S60))</f>
        <v/>
      </c>
      <c r="AJ60" s="25">
        <f>IF($AI60="","",p_factor_productividad*IFERROR(INDEX('ASIGNACIONES'!$M$4:$M$451,MATCH($O60&amp;"|"&amp;$S60&amp;"|"&amp;$AG60,'ASIGNACIONES'!$N$4:$N$451,0)),0)-$AI60)</f>
        <v/>
      </c>
      <c r="AK60" s="18">
        <f>IF($A60="","",IFERROR(INDEX('2_IMPORTAR_EJECUCION'!$F$9:$F$1208,MATCH($AT60,'2_IMPORTAR_EJECUCION'!$J$9:$J$1208,0)),0))</f>
        <v/>
      </c>
      <c r="AL60" s="18">
        <f>IF($A60="","",MAX(0,IFERROR(INDEX('2_IMPORTAR_EJECUCION'!$H$9:$H$1208,MATCH($AT60,'2_IMPORTAR_EJECUCION'!$J$9:$J$1208,0)),0)-$AK60))</f>
        <v/>
      </c>
      <c r="AM60" s="18">
        <f>IF($A60="","",$AK60+$AL60)</f>
        <v/>
      </c>
      <c r="AN60" s="5">
        <f>IF($A60="","",IF(OR((IFERROR(INDEX('CAT_ACTIVIDADES'!$D$4:$D$11,MATCH($H60,'CAT_ACTIVIDADES'!$A$4:$A$11,0)),""))=0,(IFERROR(INDEX('CAT_ACTIVIDADES'!$D$4:$D$11,MATCH($H60,'CAT_ACTIVIDADES'!$A$4:$A$11,0)),""))=""),"SIN CLASIFICAR",IFERROR(INDEX('CAT_ACTIVIDADES'!$D$4:$D$11,MATCH($H60,'CAT_ACTIVIDADES'!$A$4:$A$11,0)),"")))</f>
        <v/>
      </c>
      <c r="AO60" s="4" t="inlineStr"/>
      <c r="AP60" s="4" t="inlineStr"/>
      <c r="AQ60" s="4" t="inlineStr"/>
      <c r="AR60" s="5">
        <f>IF($AQ60="","",HYPERLINK(p_ruta_base_checklists&amp;$AQ60,"abrir"))</f>
        <v/>
      </c>
      <c r="AS60" s="4" t="inlineStr"/>
      <c r="AT60" s="5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22" t="n">
        <v>46225</v>
      </c>
      <c r="K61" s="5" t="n">
        <v>5</v>
      </c>
      <c r="L61" s="18" t="n">
        <v>200</v>
      </c>
      <c r="M61" s="5">
        <f>IF($A61="","",IFERROR(INDEX('AJUSTES'!$B$4:$B$303,MATCH($AT61,'AJUSTES'!$A$4:$A$303,0)),IF($K61="","",$K61)))</f>
        <v/>
      </c>
      <c r="N61" s="5">
        <f>IF($A61="","",IFERROR(INDEX('CAT_ESTADOS_ERP'!$B$4:$B$7,MATCH(IFERROR(INDEX('2_IMPORTAR_EJECUCION'!$C$9:$C$1208,MATCH($AT61,'2_IMPORTAR_EJECUCION'!$J$9:$J$1208,0)),""),'CAT_ESTADOS_ERP'!$A$4:$A$7,0)),"Pendiente"))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IF($J61="","",$P61&amp;"-"&amp;TEXT($Q61,"00"))</f>
        <v/>
      </c>
      <c r="S61" s="5">
        <f>IF($J61="","",INDEX(lista_dias,WEEKDAY($J61,2)))</f>
        <v/>
      </c>
      <c r="T61" s="5">
        <f>IF($J61="","",IFERROR(INDEX('CALENDARIO'!$C$15:$C$214,MATCH(TEXT($J61,"yyyy-mm-dd")&amp;"|"&amp;$X61&amp;"|"&amp;$Y61,'CALENDARIO'!$G$15:$G$214,0)),IFERROR(INDEX('CALENDARIO'!$C$15:$C$214,MATCH(TEXT($J61,"yyyy-mm-dd")&amp;"|"&amp;$X61&amp;"|",'CALENDARIO'!$G$15:$G$214,0)),IFERROR(INDEX('CALENDARIO'!$C$15:$C$214,MATCH(TEXT($J61,"yyyy-mm-dd")&amp;"||",'CALENDARIO'!$G$15:$G$214,0)),INDEX(patronHabil,WEEKDAY($J61,2))))))</f>
        <v/>
      </c>
      <c r="U61" s="5">
        <f>IF($I61="","",IFERROR(INDEX('CAT_TIPOS_OT'!$C$4:$C$8,MATCH($I61,'CAT_TIPOS_OT'!$A$4:$A$8,0)),"sin_clasificar"))</f>
        <v/>
      </c>
      <c r="V61" s="5">
        <f>IF($I61="","",IF(IFERROR(INDEX('CAT_TIPOS_OT'!$D$4:$D$8,MATCH($I61,'CAT_TIPOS_OT'!$A$4:$A$8,0)),"SIN CLASIFICAR")="","SIN CLASIFICAR",IFERROR(INDEX('CAT_TIPOS_OT'!$D$4:$D$8,MATCH($I61,'CAT_TIPOS_OT'!$A$4:$A$8,0)),"SIN CLASIFICAR")))</f>
        <v/>
      </c>
      <c r="W61" s="5">
        <f>IF($F61="","",IFERROR(INDEX('CAT_CENTROS_COSTO'!$F$4:$F$13,MATCH($F61,'CAT_CENTROS_COSTO'!$A$4:$A$13,0)),"(sin catálogo)"))</f>
        <v/>
      </c>
      <c r="X61" s="5">
        <f>IF($F61="","",IFERROR(INDEX('CAT_CENTROS_COSTO'!$D$4:$D$13,MATCH($F61,'CAT_CENTROS_COSTO'!$A$4:$A$13,0)),"(sin catálogo)"))</f>
        <v/>
      </c>
      <c r="Y61" s="5">
        <f>IF($F61="","",IF((IFERROR(INDEX('CAT_CENTROS_COSTO'!$E$4:$E$13,MATCH($F61,'CAT_CENTROS_COSTO'!$A$4:$A$13,0)),""))&lt;&gt;"",IFERROR(INDEX('CAT_CENTROS_COSTO'!$E$4:$E$13,MATCH($F61,'CAT_CENTROS_COSTO'!$A$4:$A$13,0)),""),$X61))</f>
        <v/>
      </c>
      <c r="Z61" s="5">
        <f>IF($F61="","",IFERROR(INDEX('CAT_CENTROS_COSTO'!$G$4:$G$13,MATCH($F61,'CAT_CENTROS_COSTO'!$A$4:$A$13,0)),"(sin catálogo)"))</f>
        <v/>
      </c>
      <c r="AA61" s="5">
        <f>IF($G61="","",IFERROR(INDEX('CAT_PUESTOS'!$B$4:$B$8,MATCH($G61,'CAT_PUESTOS'!$A$4:$A$8,0)),"(sin catálogo)"))</f>
        <v/>
      </c>
      <c r="AB61" s="5">
        <f>IF($H61="","",IFERROR(INDEX('CAT_ACTIVIDADES'!$B$4:$B$11,MATCH($H61,'CAT_ACTIVIDADES'!$A$4:$A$11,0)),"(sin catálogo)"))</f>
        <v/>
      </c>
      <c r="AC61" s="20">
        <f>IF($J61="","",TODAY()-$J61)</f>
        <v/>
      </c>
      <c r="AD61" s="20">
        <f>IF($J61="","",IF($J61&lt;=TODAY(),COUNTIFS(cal_fechas,"&gt;="&amp;$J61,cal_fechas,"&lt;"&amp;TODAY(),cal_habil,"sí"),-COUNTIFS(cal_fechas,"&gt;="&amp;TODAY(),cal_fechas,"&lt;"&amp;$J61,cal_habil,"sí")))</f>
        <v/>
      </c>
      <c r="AE61" s="5">
        <f>IF($AD61="","",IF($AD61&lt;0,"FUTURO",IF($AD61&gt;p_dias_backlog_max,"BACKLOG","MES CORRIENTE")))</f>
        <v/>
      </c>
      <c r="AF61" s="5">
        <f>IF($AD61="",FALSE,AND($AD61&gt;p_dias_backlog_min,$AD61&lt;=p_dias_backlog_max))</f>
        <v/>
      </c>
      <c r="AG61" s="4" t="inlineStr">
        <is>
          <t>Roberto Castro</t>
        </is>
      </c>
      <c r="AH61" s="5">
        <f>IF($AG61="","",IF((IFERROR(INDEX('ASIGNACIONES'!$J$4:$J$451,MATCH($O61&amp;"|"&amp;$S61&amp;"|"&amp;$AG61,'ASIGNACIONES'!$N$4:$N$451,0)),""))=0,"",IFERROR(INDEX('ASIGNACIONES'!$J$4:$J$451,MATCH($O61&amp;"|"&amp;$S61&amp;"|"&amp;$AG61,'ASIGNACIONES'!$N$4:$N$451,0)),"")))</f>
        <v/>
      </c>
      <c r="AI61" s="25">
        <f>IF($AG61="","",SUMIFS('ORDENES'!$M$4:$M$1203,'ORDENES'!$AG$4:$AG$1203,$AG61,'ORDENES'!$O$4:$O$1203,$O61,'ORDENES'!$S$4:$S$1203,$S61))</f>
        <v/>
      </c>
      <c r="AJ61" s="25">
        <f>IF($AI61="","",p_factor_productividad*IFERROR(INDEX('ASIGNACIONES'!$M$4:$M$451,MATCH($O61&amp;"|"&amp;$S61&amp;"|"&amp;$AG61,'ASIGNACIONES'!$N$4:$N$451,0)),0)-$AI61)</f>
        <v/>
      </c>
      <c r="AK61" s="18">
        <f>IF($A61="","",IFERROR(INDEX('2_IMPORTAR_EJECUCION'!$F$9:$F$1208,MATCH($AT61,'2_IMPORTAR_EJECUCION'!$J$9:$J$1208,0)),0))</f>
        <v/>
      </c>
      <c r="AL61" s="18">
        <f>IF($A61="","",MAX(0,IFERROR(INDEX('2_IMPORTAR_EJECUCION'!$H$9:$H$1208,MATCH($AT61,'2_IMPORTAR_EJECUCION'!$J$9:$J$1208,0)),0)-$AK61))</f>
        <v/>
      </c>
      <c r="AM61" s="18">
        <f>IF($A61="","",$AK61+$AL61)</f>
        <v/>
      </c>
      <c r="AN61" s="5">
        <f>IF($A61="","",IF(OR((IFERROR(INDEX('CAT_ACTIVIDADES'!$D$4:$D$11,MATCH($H61,'CAT_ACTIVIDADES'!$A$4:$A$11,0)),""))=0,(IFERROR(INDEX('CAT_ACTIVIDADES'!$D$4:$D$11,MATCH($H61,'CAT_ACTIVIDADES'!$A$4:$A$11,0)),""))=""),"SIN CLASIFICAR",IFERROR(INDEX('CAT_ACTIVIDADES'!$D$4:$D$11,MATCH($H61,'CAT_ACTIVIDADES'!$A$4:$A$11,0)),"")))</f>
        <v/>
      </c>
      <c r="AO61" s="4" t="inlineStr"/>
      <c r="AP61" s="4" t="inlineStr"/>
      <c r="AQ61" s="4" t="inlineStr"/>
      <c r="AR61" s="5">
        <f>IF($AQ61="","",HYPERLINK(p_ruta_base_checklists&amp;$AQ61,"abrir"))</f>
        <v/>
      </c>
      <c r="AS61" s="4" t="inlineStr"/>
      <c r="AT61" s="5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22" t="n">
        <v>46233</v>
      </c>
      <c r="K62" s="5" t="n">
        <v>6</v>
      </c>
      <c r="L62" s="18" t="n">
        <v>150</v>
      </c>
      <c r="M62" s="5">
        <f>IF($A62="","",IFERROR(INDEX('AJUSTES'!$B$4:$B$303,MATCH($AT62,'AJUSTES'!$A$4:$A$303,0)),IF($K62="","",$K62)))</f>
        <v/>
      </c>
      <c r="N62" s="5">
        <f>IF($A62="","",IFERROR(INDEX('CAT_ESTADOS_ERP'!$B$4:$B$7,MATCH(IFERROR(INDEX('2_IMPORTAR_EJECUCION'!$C$9:$C$1208,MATCH($AT62,'2_IMPORTAR_EJECUCION'!$J$9:$J$1208,0)),""),'CAT_ESTADOS_ERP'!$A$4:$A$7,0)),"Pendiente"))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IF($J62="","",$P62&amp;"-"&amp;TEXT($Q62,"00"))</f>
        <v/>
      </c>
      <c r="S62" s="5">
        <f>IF($J62="","",INDEX(lista_dias,WEEKDAY($J62,2)))</f>
        <v/>
      </c>
      <c r="T62" s="5">
        <f>IF($J62="","",IFERROR(INDEX('CALENDARIO'!$C$15:$C$214,MATCH(TEXT($J62,"yyyy-mm-dd")&amp;"|"&amp;$X62&amp;"|"&amp;$Y62,'CALENDARIO'!$G$15:$G$214,0)),IFERROR(INDEX('CALENDARIO'!$C$15:$C$214,MATCH(TEXT($J62,"yyyy-mm-dd")&amp;"|"&amp;$X62&amp;"|",'CALENDARIO'!$G$15:$G$214,0)),IFERROR(INDEX('CALENDARIO'!$C$15:$C$214,MATCH(TEXT($J62,"yyyy-mm-dd")&amp;"||",'CALENDARIO'!$G$15:$G$214,0)),INDEX(patronHabil,WEEKDAY($J62,2))))))</f>
        <v/>
      </c>
      <c r="U62" s="5">
        <f>IF($I62="","",IFERROR(INDEX('CAT_TIPOS_OT'!$C$4:$C$8,MATCH($I62,'CAT_TIPOS_OT'!$A$4:$A$8,0)),"sin_clasificar"))</f>
        <v/>
      </c>
      <c r="V62" s="5">
        <f>IF($I62="","",IF(IFERROR(INDEX('CAT_TIPOS_OT'!$D$4:$D$8,MATCH($I62,'CAT_TIPOS_OT'!$A$4:$A$8,0)),"SIN CLASIFICAR")="","SIN CLASIFICAR",IFERROR(INDEX('CAT_TIPOS_OT'!$D$4:$D$8,MATCH($I62,'CAT_TIPOS_OT'!$A$4:$A$8,0)),"SIN CLASIFICAR")))</f>
        <v/>
      </c>
      <c r="W62" s="5">
        <f>IF($F62="","",IFERROR(INDEX('CAT_CENTROS_COSTO'!$F$4:$F$13,MATCH($F62,'CAT_CENTROS_COSTO'!$A$4:$A$13,0)),"(sin catálogo)"))</f>
        <v/>
      </c>
      <c r="X62" s="5">
        <f>IF($F62="","",IFERROR(INDEX('CAT_CENTROS_COSTO'!$D$4:$D$13,MATCH($F62,'CAT_CENTROS_COSTO'!$A$4:$A$13,0)),"(sin catálogo)"))</f>
        <v/>
      </c>
      <c r="Y62" s="5">
        <f>IF($F62="","",IF((IFERROR(INDEX('CAT_CENTROS_COSTO'!$E$4:$E$13,MATCH($F62,'CAT_CENTROS_COSTO'!$A$4:$A$13,0)),""))&lt;&gt;"",IFERROR(INDEX('CAT_CENTROS_COSTO'!$E$4:$E$13,MATCH($F62,'CAT_CENTROS_COSTO'!$A$4:$A$13,0)),""),$X62))</f>
        <v/>
      </c>
      <c r="Z62" s="5">
        <f>IF($F62="","",IFERROR(INDEX('CAT_CENTROS_COSTO'!$G$4:$G$13,MATCH($F62,'CAT_CENTROS_COSTO'!$A$4:$A$13,0)),"(sin catálogo)"))</f>
        <v/>
      </c>
      <c r="AA62" s="5">
        <f>IF($G62="","",IFERROR(INDEX('CAT_PUESTOS'!$B$4:$B$8,MATCH($G62,'CAT_PUESTOS'!$A$4:$A$8,0)),"(sin catálogo)"))</f>
        <v/>
      </c>
      <c r="AB62" s="5">
        <f>IF($H62="","",IFERROR(INDEX('CAT_ACTIVIDADES'!$B$4:$B$11,MATCH($H62,'CAT_ACTIVIDADES'!$A$4:$A$11,0)),"(sin catálogo)"))</f>
        <v/>
      </c>
      <c r="AC62" s="20">
        <f>IF($J62="","",TODAY()-$J62)</f>
        <v/>
      </c>
      <c r="AD62" s="20">
        <f>IF($J62="","",IF($J62&lt;=TODAY(),COUNTIFS(cal_fechas,"&gt;="&amp;$J62,cal_fechas,"&lt;"&amp;TODAY(),cal_habil,"sí"),-COUNTIFS(cal_fechas,"&gt;="&amp;TODAY(),cal_fechas,"&lt;"&amp;$J62,cal_habil,"sí")))</f>
        <v/>
      </c>
      <c r="AE62" s="5">
        <f>IF($AD62="","",IF($AD62&lt;0,"FUTURO",IF($AD62&gt;p_dias_backlog_max,"BACKLOG","MES CORRIENTE")))</f>
        <v/>
      </c>
      <c r="AF62" s="5">
        <f>IF($AD62="",FALSE,AND($AD62&gt;p_dias_backlog_min,$AD62&lt;=p_dias_backlog_max))</f>
        <v/>
      </c>
      <c r="AG62" s="4" t="inlineStr">
        <is>
          <t>Laura Morales</t>
        </is>
      </c>
      <c r="AH62" s="5">
        <f>IF($AG62="","",IF((IFERROR(INDEX('ASIGNACIONES'!$J$4:$J$451,MATCH($O62&amp;"|"&amp;$S62&amp;"|"&amp;$AG62,'ASIGNACIONES'!$N$4:$N$451,0)),""))=0,"",IFERROR(INDEX('ASIGNACIONES'!$J$4:$J$451,MATCH($O62&amp;"|"&amp;$S62&amp;"|"&amp;$AG62,'ASIGNACIONES'!$N$4:$N$451,0)),"")))</f>
        <v/>
      </c>
      <c r="AI62" s="25">
        <f>IF($AG62="","",SUMIFS('ORDENES'!$M$4:$M$1203,'ORDENES'!$AG$4:$AG$1203,$AG62,'ORDENES'!$O$4:$O$1203,$O62,'ORDENES'!$S$4:$S$1203,$S62))</f>
        <v/>
      </c>
      <c r="AJ62" s="25">
        <f>IF($AI62="","",p_factor_productividad*IFERROR(INDEX('ASIGNACIONES'!$M$4:$M$451,MATCH($O62&amp;"|"&amp;$S62&amp;"|"&amp;$AG62,'ASIGNACIONES'!$N$4:$N$451,0)),0)-$AI62)</f>
        <v/>
      </c>
      <c r="AK62" s="18">
        <f>IF($A62="","",IFERROR(INDEX('2_IMPORTAR_EJECUCION'!$F$9:$F$1208,MATCH($AT62,'2_IMPORTAR_EJECUCION'!$J$9:$J$1208,0)),0))</f>
        <v/>
      </c>
      <c r="AL62" s="18">
        <f>IF($A62="","",MAX(0,IFERROR(INDEX('2_IMPORTAR_EJECUCION'!$H$9:$H$1208,MATCH($AT62,'2_IMPORTAR_EJECUCION'!$J$9:$J$1208,0)),0)-$AK62))</f>
        <v/>
      </c>
      <c r="AM62" s="18">
        <f>IF($A62="","",$AK62+$AL62)</f>
        <v/>
      </c>
      <c r="AN62" s="5">
        <f>IF($A62="","",IF(OR((IFERROR(INDEX('CAT_ACTIVIDADES'!$D$4:$D$11,MATCH($H62,'CAT_ACTIVIDADES'!$A$4:$A$11,0)),""))=0,(IFERROR(INDEX('CAT_ACTIVIDADES'!$D$4:$D$11,MATCH($H62,'CAT_ACTIVIDADES'!$A$4:$A$11,0)),""))=""),"SIN CLASIFICAR",IFERROR(INDEX('CAT_ACTIVIDADES'!$D$4:$D$11,MATCH($H62,'CAT_ACTIVIDADES'!$A$4:$A$11,0)),"")))</f>
        <v/>
      </c>
      <c r="AO62" s="4" t="inlineStr"/>
      <c r="AP62" s="4" t="inlineStr"/>
      <c r="AQ62" s="4" t="inlineStr">
        <is>
          <t>ACT-04.pdf</t>
        </is>
      </c>
      <c r="AR62" s="5">
        <f>IF($AQ62="","",HYPERLINK(p_ruta_base_checklists&amp;$AQ62,"abrir"))</f>
        <v/>
      </c>
      <c r="AS62" s="4" t="inlineStr">
        <is>
          <t>Ajuste 6 → 4 h en hoja AJUSTES</t>
        </is>
      </c>
      <c r="AT62" s="5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22" t="n">
        <v>46234</v>
      </c>
      <c r="K63" s="5" t="n">
        <v>8</v>
      </c>
      <c r="L63" s="18" t="n">
        <v>200</v>
      </c>
      <c r="M63" s="5">
        <f>IF($A63="","",IFERROR(INDEX('AJUSTES'!$B$4:$B$303,MATCH($AT63,'AJUSTES'!$A$4:$A$303,0)),IF($K63="","",$K63)))</f>
        <v/>
      </c>
      <c r="N63" s="5">
        <f>IF($A63="","",IFERROR(INDEX('CAT_ESTADOS_ERP'!$B$4:$B$7,MATCH(IFERROR(INDEX('2_IMPORTAR_EJECUCION'!$C$9:$C$1208,MATCH($AT63,'2_IMPORTAR_EJECUCION'!$J$9:$J$1208,0)),""),'CAT_ESTADOS_ERP'!$A$4:$A$7,0)),"Pendiente"))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IF($J63="","",$P63&amp;"-"&amp;TEXT($Q63,"00"))</f>
        <v/>
      </c>
      <c r="S63" s="5">
        <f>IF($J63="","",INDEX(lista_dias,WEEKDAY($J63,2)))</f>
        <v/>
      </c>
      <c r="T63" s="5">
        <f>IF($J63="","",IFERROR(INDEX('CALENDARIO'!$C$15:$C$214,MATCH(TEXT($J63,"yyyy-mm-dd")&amp;"|"&amp;$X63&amp;"|"&amp;$Y63,'CALENDARIO'!$G$15:$G$214,0)),IFERROR(INDEX('CALENDARIO'!$C$15:$C$214,MATCH(TEXT($J63,"yyyy-mm-dd")&amp;"|"&amp;$X63&amp;"|",'CALENDARIO'!$G$15:$G$214,0)),IFERROR(INDEX('CALENDARIO'!$C$15:$C$214,MATCH(TEXT($J63,"yyyy-mm-dd")&amp;"||",'CALENDARIO'!$G$15:$G$214,0)),INDEX(patronHabil,WEEKDAY($J63,2))))))</f>
        <v/>
      </c>
      <c r="U63" s="5">
        <f>IF($I63="","",IFERROR(INDEX('CAT_TIPOS_OT'!$C$4:$C$8,MATCH($I63,'CAT_TIPOS_OT'!$A$4:$A$8,0)),"sin_clasificar"))</f>
        <v/>
      </c>
      <c r="V63" s="5">
        <f>IF($I63="","",IF(IFERROR(INDEX('CAT_TIPOS_OT'!$D$4:$D$8,MATCH($I63,'CAT_TIPOS_OT'!$A$4:$A$8,0)),"SIN CLASIFICAR")="","SIN CLASIFICAR",IFERROR(INDEX('CAT_TIPOS_OT'!$D$4:$D$8,MATCH($I63,'CAT_TIPOS_OT'!$A$4:$A$8,0)),"SIN CLASIFICAR")))</f>
        <v/>
      </c>
      <c r="W63" s="5">
        <f>IF($F63="","",IFERROR(INDEX('CAT_CENTROS_COSTO'!$F$4:$F$13,MATCH($F63,'CAT_CENTROS_COSTO'!$A$4:$A$13,0)),"(sin catálogo)"))</f>
        <v/>
      </c>
      <c r="X63" s="5">
        <f>IF($F63="","",IFERROR(INDEX('CAT_CENTROS_COSTO'!$D$4:$D$13,MATCH($F63,'CAT_CENTROS_COSTO'!$A$4:$A$13,0)),"(sin catálogo)"))</f>
        <v/>
      </c>
      <c r="Y63" s="5">
        <f>IF($F63="","",IF((IFERROR(INDEX('CAT_CENTROS_COSTO'!$E$4:$E$13,MATCH($F63,'CAT_CENTROS_COSTO'!$A$4:$A$13,0)),""))&lt;&gt;"",IFERROR(INDEX('CAT_CENTROS_COSTO'!$E$4:$E$13,MATCH($F63,'CAT_CENTROS_COSTO'!$A$4:$A$13,0)),""),$X63))</f>
        <v/>
      </c>
      <c r="Z63" s="5">
        <f>IF($F63="","",IFERROR(INDEX('CAT_CENTROS_COSTO'!$G$4:$G$13,MATCH($F63,'CAT_CENTROS_COSTO'!$A$4:$A$13,0)),"(sin catálogo)"))</f>
        <v/>
      </c>
      <c r="AA63" s="5">
        <f>IF($G63="","",IFERROR(INDEX('CAT_PUESTOS'!$B$4:$B$8,MATCH($G63,'CAT_PUESTOS'!$A$4:$A$8,0)),"(sin catálogo)"))</f>
        <v/>
      </c>
      <c r="AB63" s="5">
        <f>IF($H63="","",IFERROR(INDEX('CAT_ACTIVIDADES'!$B$4:$B$11,MATCH($H63,'CAT_ACTIVIDADES'!$A$4:$A$11,0)),"(sin catálogo)"))</f>
        <v/>
      </c>
      <c r="AC63" s="20">
        <f>IF($J63="","",TODAY()-$J63)</f>
        <v/>
      </c>
      <c r="AD63" s="20">
        <f>IF($J63="","",IF($J63&lt;=TODAY(),COUNTIFS(cal_fechas,"&gt;="&amp;$J63,cal_fechas,"&lt;"&amp;TODAY(),cal_habil,"sí"),-COUNTIFS(cal_fechas,"&gt;="&amp;TODAY(),cal_fechas,"&lt;"&amp;$J63,cal_habil,"sí")))</f>
        <v/>
      </c>
      <c r="AE63" s="5">
        <f>IF($AD63="","",IF($AD63&lt;0,"FUTURO",IF($AD63&gt;p_dias_backlog_max,"BACKLOG","MES CORRIENTE")))</f>
        <v/>
      </c>
      <c r="AF63" s="5">
        <f>IF($AD63="",FALSE,AND($AD63&gt;p_dias_backlog_min,$AD63&lt;=p_dias_backlog_max))</f>
        <v/>
      </c>
      <c r="AG63" s="4" t="inlineStr"/>
      <c r="AH63" s="5">
        <f>IF($AG63="","",IF((IFERROR(INDEX('ASIGNACIONES'!$J$4:$J$451,MATCH($O63&amp;"|"&amp;$S63&amp;"|"&amp;$AG63,'ASIGNACIONES'!$N$4:$N$451,0)),""))=0,"",IFERROR(INDEX('ASIGNACIONES'!$J$4:$J$451,MATCH($O63&amp;"|"&amp;$S63&amp;"|"&amp;$AG63,'ASIGNACIONES'!$N$4:$N$451,0)),"")))</f>
        <v/>
      </c>
      <c r="AI63" s="25">
        <f>IF($AG63="","",SUMIFS('ORDENES'!$M$4:$M$1203,'ORDENES'!$AG$4:$AG$1203,$AG63,'ORDENES'!$O$4:$O$1203,$O63,'ORDENES'!$S$4:$S$1203,$S63))</f>
        <v/>
      </c>
      <c r="AJ63" s="25">
        <f>IF($AI63="","",p_factor_productividad*IFERROR(INDEX('ASIGNACIONES'!$M$4:$M$451,MATCH($O63&amp;"|"&amp;$S63&amp;"|"&amp;$AG63,'ASIGNACIONES'!$N$4:$N$451,0)),0)-$AI63)</f>
        <v/>
      </c>
      <c r="AK63" s="18">
        <f>IF($A63="","",IFERROR(INDEX('2_IMPORTAR_EJECUCION'!$F$9:$F$1208,MATCH($AT63,'2_IMPORTAR_EJECUCION'!$J$9:$J$1208,0)),0))</f>
        <v/>
      </c>
      <c r="AL63" s="18">
        <f>IF($A63="","",MAX(0,IFERROR(INDEX('2_IMPORTAR_EJECUCION'!$H$9:$H$1208,MATCH($AT63,'2_IMPORTAR_EJECUCION'!$J$9:$J$1208,0)),0)-$AK63))</f>
        <v/>
      </c>
      <c r="AM63" s="18">
        <f>IF($A63="","",$AK63+$AL63)</f>
        <v/>
      </c>
      <c r="AN63" s="5">
        <f>IF($A63="","",IF(OR((IFERROR(INDEX('CAT_ACTIVIDADES'!$D$4:$D$11,MATCH($H63,'CAT_ACTIVIDADES'!$A$4:$A$11,0)),""))=0,(IFERROR(INDEX('CAT_ACTIVIDADES'!$D$4:$D$11,MATCH($H63,'CAT_ACTIVIDADES'!$A$4:$A$11,0)),""))=""),"SIN CLASIFICAR",IFERROR(INDEX('CAT_ACTIVIDADES'!$D$4:$D$11,MATCH($H63,'CAT_ACTIVIDADES'!$A$4:$A$11,0)),"")))</f>
        <v/>
      </c>
      <c r="AO63" s="4" t="inlineStr"/>
      <c r="AP63" s="4" t="inlineStr"/>
      <c r="AQ63" s="4" t="inlineStr">
        <is>
          <t>ACT-01.pdf</t>
        </is>
      </c>
      <c r="AR63" s="5">
        <f>IF($AQ63="","",HYPERLINK(p_ruta_base_checklists&amp;$AQ63,"abrir"))</f>
        <v/>
      </c>
      <c r="AS63" s="4" t="inlineStr"/>
      <c r="AT63" s="5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22" t="n">
        <v>46230</v>
      </c>
      <c r="K64" s="5" t="n">
        <v>6</v>
      </c>
      <c r="L64" s="18" t="n">
        <v>150</v>
      </c>
      <c r="M64" s="5">
        <f>IF($A64="","",IFERROR(INDEX('AJUSTES'!$B$4:$B$303,MATCH($AT64,'AJUSTES'!$A$4:$A$303,0)),IF($K64="","",$K64)))</f>
        <v/>
      </c>
      <c r="N64" s="5">
        <f>IF($A64="","",IFERROR(INDEX('CAT_ESTADOS_ERP'!$B$4:$B$7,MATCH(IFERROR(INDEX('2_IMPORTAR_EJECUCION'!$C$9:$C$1208,MATCH($AT64,'2_IMPORTAR_EJECUCION'!$J$9:$J$1208,0)),""),'CAT_ESTADOS_ERP'!$A$4:$A$7,0)),"Pendiente"))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IF($J64="","",$P64&amp;"-"&amp;TEXT($Q64,"00"))</f>
        <v/>
      </c>
      <c r="S64" s="5">
        <f>IF($J64="","",INDEX(lista_dias,WEEKDAY($J64,2)))</f>
        <v/>
      </c>
      <c r="T64" s="5">
        <f>IF($J64="","",IFERROR(INDEX('CALENDARIO'!$C$15:$C$214,MATCH(TEXT($J64,"yyyy-mm-dd")&amp;"|"&amp;$X64&amp;"|"&amp;$Y64,'CALENDARIO'!$G$15:$G$214,0)),IFERROR(INDEX('CALENDARIO'!$C$15:$C$214,MATCH(TEXT($J64,"yyyy-mm-dd")&amp;"|"&amp;$X64&amp;"|",'CALENDARIO'!$G$15:$G$214,0)),IFERROR(INDEX('CALENDARIO'!$C$15:$C$214,MATCH(TEXT($J64,"yyyy-mm-dd")&amp;"||",'CALENDARIO'!$G$15:$G$214,0)),INDEX(patronHabil,WEEKDAY($J64,2))))))</f>
        <v/>
      </c>
      <c r="U64" s="5">
        <f>IF($I64="","",IFERROR(INDEX('CAT_TIPOS_OT'!$C$4:$C$8,MATCH($I64,'CAT_TIPOS_OT'!$A$4:$A$8,0)),"sin_clasificar"))</f>
        <v/>
      </c>
      <c r="V64" s="5">
        <f>IF($I64="","",IF(IFERROR(INDEX('CAT_TIPOS_OT'!$D$4:$D$8,MATCH($I64,'CAT_TIPOS_OT'!$A$4:$A$8,0)),"SIN CLASIFICAR")="","SIN CLASIFICAR",IFERROR(INDEX('CAT_TIPOS_OT'!$D$4:$D$8,MATCH($I64,'CAT_TIPOS_OT'!$A$4:$A$8,0)),"SIN CLASIFICAR")))</f>
        <v/>
      </c>
      <c r="W64" s="5">
        <f>IF($F64="","",IFERROR(INDEX('CAT_CENTROS_COSTO'!$F$4:$F$13,MATCH($F64,'CAT_CENTROS_COSTO'!$A$4:$A$13,0)),"(sin catálogo)"))</f>
        <v/>
      </c>
      <c r="X64" s="5">
        <f>IF($F64="","",IFERROR(INDEX('CAT_CENTROS_COSTO'!$D$4:$D$13,MATCH($F64,'CAT_CENTROS_COSTO'!$A$4:$A$13,0)),"(sin catálogo)"))</f>
        <v/>
      </c>
      <c r="Y64" s="5">
        <f>IF($F64="","",IF((IFERROR(INDEX('CAT_CENTROS_COSTO'!$E$4:$E$13,MATCH($F64,'CAT_CENTROS_COSTO'!$A$4:$A$13,0)),""))&lt;&gt;"",IFERROR(INDEX('CAT_CENTROS_COSTO'!$E$4:$E$13,MATCH($F64,'CAT_CENTROS_COSTO'!$A$4:$A$13,0)),""),$X64))</f>
        <v/>
      </c>
      <c r="Z64" s="5">
        <f>IF($F64="","",IFERROR(INDEX('CAT_CENTROS_COSTO'!$G$4:$G$13,MATCH($F64,'CAT_CENTROS_COSTO'!$A$4:$A$13,0)),"(sin catálogo)"))</f>
        <v/>
      </c>
      <c r="AA64" s="5">
        <f>IF($G64="","",IFERROR(INDEX('CAT_PUESTOS'!$B$4:$B$8,MATCH($G64,'CAT_PUESTOS'!$A$4:$A$8,0)),"(sin catálogo)"))</f>
        <v/>
      </c>
      <c r="AB64" s="5">
        <f>IF($H64="","",IFERROR(INDEX('CAT_ACTIVIDADES'!$B$4:$B$11,MATCH($H64,'CAT_ACTIVIDADES'!$A$4:$A$11,0)),"(sin catálogo)"))</f>
        <v/>
      </c>
      <c r="AC64" s="20">
        <f>IF($J64="","",TODAY()-$J64)</f>
        <v/>
      </c>
      <c r="AD64" s="20">
        <f>IF($J64="","",IF($J64&lt;=TODAY(),COUNTIFS(cal_fechas,"&gt;="&amp;$J64,cal_fechas,"&lt;"&amp;TODAY(),cal_habil,"sí"),-COUNTIFS(cal_fechas,"&gt;="&amp;TODAY(),cal_fechas,"&lt;"&amp;$J64,cal_habil,"sí")))</f>
        <v/>
      </c>
      <c r="AE64" s="5">
        <f>IF($AD64="","",IF($AD64&lt;0,"FUTURO",IF($AD64&gt;p_dias_backlog_max,"BACKLOG","MES CORRIENTE")))</f>
        <v/>
      </c>
      <c r="AF64" s="5">
        <f>IF($AD64="",FALSE,AND($AD64&gt;p_dias_backlog_min,$AD64&lt;=p_dias_backlog_max))</f>
        <v/>
      </c>
      <c r="AG64" s="4" t="inlineStr">
        <is>
          <t>Eduardo Silva</t>
        </is>
      </c>
      <c r="AH64" s="5">
        <f>IF($AG64="","",IF((IFERROR(INDEX('ASIGNACIONES'!$J$4:$J$451,MATCH($O64&amp;"|"&amp;$S64&amp;"|"&amp;$AG64,'ASIGNACIONES'!$N$4:$N$451,0)),""))=0,"",IFERROR(INDEX('ASIGNACIONES'!$J$4:$J$451,MATCH($O64&amp;"|"&amp;$S64&amp;"|"&amp;$AG64,'ASIGNACIONES'!$N$4:$N$451,0)),"")))</f>
        <v/>
      </c>
      <c r="AI64" s="25">
        <f>IF($AG64="","",SUMIFS('ORDENES'!$M$4:$M$1203,'ORDENES'!$AG$4:$AG$1203,$AG64,'ORDENES'!$O$4:$O$1203,$O64,'ORDENES'!$S$4:$S$1203,$S64))</f>
        <v/>
      </c>
      <c r="AJ64" s="25">
        <f>IF($AI64="","",p_factor_productividad*IFERROR(INDEX('ASIGNACIONES'!$M$4:$M$451,MATCH($O64&amp;"|"&amp;$S64&amp;"|"&amp;$AG64,'ASIGNACIONES'!$N$4:$N$451,0)),0)-$AI64)</f>
        <v/>
      </c>
      <c r="AK64" s="18">
        <f>IF($A64="","",IFERROR(INDEX('2_IMPORTAR_EJECUCION'!$F$9:$F$1208,MATCH($AT64,'2_IMPORTAR_EJECUCION'!$J$9:$J$1208,0)),0))</f>
        <v/>
      </c>
      <c r="AL64" s="18">
        <f>IF($A64="","",MAX(0,IFERROR(INDEX('2_IMPORTAR_EJECUCION'!$H$9:$H$1208,MATCH($AT64,'2_IMPORTAR_EJECUCION'!$J$9:$J$1208,0)),0)-$AK64))</f>
        <v/>
      </c>
      <c r="AM64" s="18">
        <f>IF($A64="","",$AK64+$AL64)</f>
        <v/>
      </c>
      <c r="AN64" s="5">
        <f>IF($A64="","",IF(OR((IFERROR(INDEX('CAT_ACTIVIDADES'!$D$4:$D$11,MATCH($H64,'CAT_ACTIVIDADES'!$A$4:$A$11,0)),""))=0,(IFERROR(INDEX('CAT_ACTIVIDADES'!$D$4:$D$11,MATCH($H64,'CAT_ACTIVIDADES'!$A$4:$A$11,0)),""))=""),"SIN CLASIFICAR",IFERROR(INDEX('CAT_ACTIVIDADES'!$D$4:$D$11,MATCH($H64,'CAT_ACTIVIDADES'!$A$4:$A$11,0)),"")))</f>
        <v/>
      </c>
      <c r="AO64" s="4" t="inlineStr"/>
      <c r="AP64" s="4" t="inlineStr"/>
      <c r="AQ64" s="4" t="inlineStr">
        <is>
          <t>ACT-02.pdf</t>
        </is>
      </c>
      <c r="AR64" s="5">
        <f>IF($AQ64="","",HYPERLINK(p_ruta_base_checklists&amp;$AQ64,"abrir"))</f>
        <v/>
      </c>
      <c r="AS64" s="4" t="inlineStr"/>
      <c r="AT64" s="5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22" t="n">
        <v>46231</v>
      </c>
      <c r="K65" s="5" t="n">
        <v>10</v>
      </c>
      <c r="L65" s="18" t="n">
        <v>250</v>
      </c>
      <c r="M65" s="5">
        <f>IF($A65="","",IFERROR(INDEX('AJUSTES'!$B$4:$B$303,MATCH($AT65,'AJUSTES'!$A$4:$A$303,0)),IF($K65="","",$K65)))</f>
        <v/>
      </c>
      <c r="N65" s="5">
        <f>IF($A65="","",IFERROR(INDEX('CAT_ESTADOS_ERP'!$B$4:$B$7,MATCH(IFERROR(INDEX('2_IMPORTAR_EJECUCION'!$C$9:$C$1208,MATCH($AT65,'2_IMPORTAR_EJECUCION'!$J$9:$J$1208,0)),""),'CAT_ESTADOS_ERP'!$A$4:$A$7,0)),"Pendiente"))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IF($J65="","",$P65&amp;"-"&amp;TEXT($Q65,"00"))</f>
        <v/>
      </c>
      <c r="S65" s="5">
        <f>IF($J65="","",INDEX(lista_dias,WEEKDAY($J65,2)))</f>
        <v/>
      </c>
      <c r="T65" s="5">
        <f>IF($J65="","",IFERROR(INDEX('CALENDARIO'!$C$15:$C$214,MATCH(TEXT($J65,"yyyy-mm-dd")&amp;"|"&amp;$X65&amp;"|"&amp;$Y65,'CALENDARIO'!$G$15:$G$214,0)),IFERROR(INDEX('CALENDARIO'!$C$15:$C$214,MATCH(TEXT($J65,"yyyy-mm-dd")&amp;"|"&amp;$X65&amp;"|",'CALENDARIO'!$G$15:$G$214,0)),IFERROR(INDEX('CALENDARIO'!$C$15:$C$214,MATCH(TEXT($J65,"yyyy-mm-dd")&amp;"||",'CALENDARIO'!$G$15:$G$214,0)),INDEX(patronHabil,WEEKDAY($J65,2))))))</f>
        <v/>
      </c>
      <c r="U65" s="5">
        <f>IF($I65="","",IFERROR(INDEX('CAT_TIPOS_OT'!$C$4:$C$8,MATCH($I65,'CAT_TIPOS_OT'!$A$4:$A$8,0)),"sin_clasificar"))</f>
        <v/>
      </c>
      <c r="V65" s="5">
        <f>IF($I65="","",IF(IFERROR(INDEX('CAT_TIPOS_OT'!$D$4:$D$8,MATCH($I65,'CAT_TIPOS_OT'!$A$4:$A$8,0)),"SIN CLASIFICAR")="","SIN CLASIFICAR",IFERROR(INDEX('CAT_TIPOS_OT'!$D$4:$D$8,MATCH($I65,'CAT_TIPOS_OT'!$A$4:$A$8,0)),"SIN CLASIFICAR")))</f>
        <v/>
      </c>
      <c r="W65" s="5">
        <f>IF($F65="","",IFERROR(INDEX('CAT_CENTROS_COSTO'!$F$4:$F$13,MATCH($F65,'CAT_CENTROS_COSTO'!$A$4:$A$13,0)),"(sin catálogo)"))</f>
        <v/>
      </c>
      <c r="X65" s="5">
        <f>IF($F65="","",IFERROR(INDEX('CAT_CENTROS_COSTO'!$D$4:$D$13,MATCH($F65,'CAT_CENTROS_COSTO'!$A$4:$A$13,0)),"(sin catálogo)"))</f>
        <v/>
      </c>
      <c r="Y65" s="5">
        <f>IF($F65="","",IF((IFERROR(INDEX('CAT_CENTROS_COSTO'!$E$4:$E$13,MATCH($F65,'CAT_CENTROS_COSTO'!$A$4:$A$13,0)),""))&lt;&gt;"",IFERROR(INDEX('CAT_CENTROS_COSTO'!$E$4:$E$13,MATCH($F65,'CAT_CENTROS_COSTO'!$A$4:$A$13,0)),""),$X65))</f>
        <v/>
      </c>
      <c r="Z65" s="5">
        <f>IF($F65="","",IFERROR(INDEX('CAT_CENTROS_COSTO'!$G$4:$G$13,MATCH($F65,'CAT_CENTROS_COSTO'!$A$4:$A$13,0)),"(sin catálogo)"))</f>
        <v/>
      </c>
      <c r="AA65" s="5">
        <f>IF($G65="","",IFERROR(INDEX('CAT_PUESTOS'!$B$4:$B$8,MATCH($G65,'CAT_PUESTOS'!$A$4:$A$8,0)),"(sin catálogo)"))</f>
        <v/>
      </c>
      <c r="AB65" s="5">
        <f>IF($H65="","",IFERROR(INDEX('CAT_ACTIVIDADES'!$B$4:$B$11,MATCH($H65,'CAT_ACTIVIDADES'!$A$4:$A$11,0)),"(sin catálogo)"))</f>
        <v/>
      </c>
      <c r="AC65" s="20">
        <f>IF($J65="","",TODAY()-$J65)</f>
        <v/>
      </c>
      <c r="AD65" s="20">
        <f>IF($J65="","",IF($J65&lt;=TODAY(),COUNTIFS(cal_fechas,"&gt;="&amp;$J65,cal_fechas,"&lt;"&amp;TODAY(),cal_habil,"sí"),-COUNTIFS(cal_fechas,"&gt;="&amp;TODAY(),cal_fechas,"&lt;"&amp;$J65,cal_habil,"sí")))</f>
        <v/>
      </c>
      <c r="AE65" s="5">
        <f>IF($AD65="","",IF($AD65&lt;0,"FUTURO",IF($AD65&gt;p_dias_backlog_max,"BACKLOG","MES CORRIENTE")))</f>
        <v/>
      </c>
      <c r="AF65" s="5">
        <f>IF($AD65="",FALSE,AND($AD65&gt;p_dias_backlog_min,$AD65&lt;=p_dias_backlog_max))</f>
        <v/>
      </c>
      <c r="AG65" s="4" t="inlineStr">
        <is>
          <t>Gabriela Rojas</t>
        </is>
      </c>
      <c r="AH65" s="5">
        <f>IF($AG65="","",IF((IFERROR(INDEX('ASIGNACIONES'!$J$4:$J$451,MATCH($O65&amp;"|"&amp;$S65&amp;"|"&amp;$AG65,'ASIGNACIONES'!$N$4:$N$451,0)),""))=0,"",IFERROR(INDEX('ASIGNACIONES'!$J$4:$J$451,MATCH($O65&amp;"|"&amp;$S65&amp;"|"&amp;$AG65,'ASIGNACIONES'!$N$4:$N$451,0)),"")))</f>
        <v/>
      </c>
      <c r="AI65" s="25">
        <f>IF($AG65="","",SUMIFS('ORDENES'!$M$4:$M$1203,'ORDENES'!$AG$4:$AG$1203,$AG65,'ORDENES'!$O$4:$O$1203,$O65,'ORDENES'!$S$4:$S$1203,$S65))</f>
        <v/>
      </c>
      <c r="AJ65" s="25">
        <f>IF($AI65="","",p_factor_productividad*IFERROR(INDEX('ASIGNACIONES'!$M$4:$M$451,MATCH($O65&amp;"|"&amp;$S65&amp;"|"&amp;$AG65,'ASIGNACIONES'!$N$4:$N$451,0)),0)-$AI65)</f>
        <v/>
      </c>
      <c r="AK65" s="18">
        <f>IF($A65="","",IFERROR(INDEX('2_IMPORTAR_EJECUCION'!$F$9:$F$1208,MATCH($AT65,'2_IMPORTAR_EJECUCION'!$J$9:$J$1208,0)),0))</f>
        <v/>
      </c>
      <c r="AL65" s="18">
        <f>IF($A65="","",MAX(0,IFERROR(INDEX('2_IMPORTAR_EJECUCION'!$H$9:$H$1208,MATCH($AT65,'2_IMPORTAR_EJECUCION'!$J$9:$J$1208,0)),0)-$AK65))</f>
        <v/>
      </c>
      <c r="AM65" s="18">
        <f>IF($A65="","",$AK65+$AL65)</f>
        <v/>
      </c>
      <c r="AN65" s="5">
        <f>IF($A65="","",IF(OR((IFERROR(INDEX('CAT_ACTIVIDADES'!$D$4:$D$11,MATCH($H65,'CAT_ACTIVIDADES'!$A$4:$A$11,0)),""))=0,(IFERROR(INDEX('CAT_ACTIVIDADES'!$D$4:$D$11,MATCH($H65,'CAT_ACTIVIDADES'!$A$4:$A$11,0)),""))=""),"SIN CLASIFICAR",IFERROR(INDEX('CAT_ACTIVIDADES'!$D$4:$D$11,MATCH($H65,'CAT_ACTIVIDADES'!$A$4:$A$11,0)),"")))</f>
        <v/>
      </c>
      <c r="AO65" s="4" t="inlineStr"/>
      <c r="AP65" s="4" t="inlineStr"/>
      <c r="AQ65" s="4" t="inlineStr">
        <is>
          <t>ACT-04.pdf</t>
        </is>
      </c>
      <c r="AR65" s="5">
        <f>IF($AQ65="","",HYPERLINK(p_ruta_base_checklists&amp;$AQ65,"abrir"))</f>
        <v/>
      </c>
      <c r="AS65" s="4" t="inlineStr"/>
      <c r="AT65" s="5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22" t="n">
        <v>46232</v>
      </c>
      <c r="K66" s="5" t="n">
        <v>8</v>
      </c>
      <c r="L66" s="18" t="n">
        <v>200</v>
      </c>
      <c r="M66" s="5">
        <f>IF($A66="","",IFERROR(INDEX('AJUSTES'!$B$4:$B$303,MATCH($AT66,'AJUSTES'!$A$4:$A$303,0)),IF($K66="","",$K66)))</f>
        <v/>
      </c>
      <c r="N66" s="5">
        <f>IF($A66="","",IFERROR(INDEX('CAT_ESTADOS_ERP'!$B$4:$B$7,MATCH(IFERROR(INDEX('2_IMPORTAR_EJECUCION'!$C$9:$C$1208,MATCH($AT66,'2_IMPORTAR_EJECUCION'!$J$9:$J$1208,0)),""),'CAT_ESTADOS_ERP'!$A$4:$A$7,0)),"Pendiente"))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IF($J66="","",$P66&amp;"-"&amp;TEXT($Q66,"00"))</f>
        <v/>
      </c>
      <c r="S66" s="5">
        <f>IF($J66="","",INDEX(lista_dias,WEEKDAY($J66,2)))</f>
        <v/>
      </c>
      <c r="T66" s="5">
        <f>IF($J66="","",IFERROR(INDEX('CALENDARIO'!$C$15:$C$214,MATCH(TEXT($J66,"yyyy-mm-dd")&amp;"|"&amp;$X66&amp;"|"&amp;$Y66,'CALENDARIO'!$G$15:$G$214,0)),IFERROR(INDEX('CALENDARIO'!$C$15:$C$214,MATCH(TEXT($J66,"yyyy-mm-dd")&amp;"|"&amp;$X66&amp;"|",'CALENDARIO'!$G$15:$G$214,0)),IFERROR(INDEX('CALENDARIO'!$C$15:$C$214,MATCH(TEXT($J66,"yyyy-mm-dd")&amp;"||",'CALENDARIO'!$G$15:$G$214,0)),INDEX(patronHabil,WEEKDAY($J66,2))))))</f>
        <v/>
      </c>
      <c r="U66" s="5">
        <f>IF($I66="","",IFERROR(INDEX('CAT_TIPOS_OT'!$C$4:$C$8,MATCH($I66,'CAT_TIPOS_OT'!$A$4:$A$8,0)),"sin_clasificar"))</f>
        <v/>
      </c>
      <c r="V66" s="5">
        <f>IF($I66="","",IF(IFERROR(INDEX('CAT_TIPOS_OT'!$D$4:$D$8,MATCH($I66,'CAT_TIPOS_OT'!$A$4:$A$8,0)),"SIN CLASIFICAR")="","SIN CLASIFICAR",IFERROR(INDEX('CAT_TIPOS_OT'!$D$4:$D$8,MATCH($I66,'CAT_TIPOS_OT'!$A$4:$A$8,0)),"SIN CLASIFICAR")))</f>
        <v/>
      </c>
      <c r="W66" s="5">
        <f>IF($F66="","",IFERROR(INDEX('CAT_CENTROS_COSTO'!$F$4:$F$13,MATCH($F66,'CAT_CENTROS_COSTO'!$A$4:$A$13,0)),"(sin catálogo)"))</f>
        <v/>
      </c>
      <c r="X66" s="5">
        <f>IF($F66="","",IFERROR(INDEX('CAT_CENTROS_COSTO'!$D$4:$D$13,MATCH($F66,'CAT_CENTROS_COSTO'!$A$4:$A$13,0)),"(sin catálogo)"))</f>
        <v/>
      </c>
      <c r="Y66" s="5">
        <f>IF($F66="","",IF((IFERROR(INDEX('CAT_CENTROS_COSTO'!$E$4:$E$13,MATCH($F66,'CAT_CENTROS_COSTO'!$A$4:$A$13,0)),""))&lt;&gt;"",IFERROR(INDEX('CAT_CENTROS_COSTO'!$E$4:$E$13,MATCH($F66,'CAT_CENTROS_COSTO'!$A$4:$A$13,0)),""),$X66))</f>
        <v/>
      </c>
      <c r="Z66" s="5">
        <f>IF($F66="","",IFERROR(INDEX('CAT_CENTROS_COSTO'!$G$4:$G$13,MATCH($F66,'CAT_CENTROS_COSTO'!$A$4:$A$13,0)),"(sin catálogo)"))</f>
        <v/>
      </c>
      <c r="AA66" s="5">
        <f>IF($G66="","",IFERROR(INDEX('CAT_PUESTOS'!$B$4:$B$8,MATCH($G66,'CAT_PUESTOS'!$A$4:$A$8,0)),"(sin catálogo)"))</f>
        <v/>
      </c>
      <c r="AB66" s="5">
        <f>IF($H66="","",IFERROR(INDEX('CAT_ACTIVIDADES'!$B$4:$B$11,MATCH($H66,'CAT_ACTIVIDADES'!$A$4:$A$11,0)),"(sin catálogo)"))</f>
        <v/>
      </c>
      <c r="AC66" s="20">
        <f>IF($J66="","",TODAY()-$J66)</f>
        <v/>
      </c>
      <c r="AD66" s="20">
        <f>IF($J66="","",IF($J66&lt;=TODAY(),COUNTIFS(cal_fechas,"&gt;="&amp;$J66,cal_fechas,"&lt;"&amp;TODAY(),cal_habil,"sí"),-COUNTIFS(cal_fechas,"&gt;="&amp;TODAY(),cal_fechas,"&lt;"&amp;$J66,cal_habil,"sí")))</f>
        <v/>
      </c>
      <c r="AE66" s="5">
        <f>IF($AD66="","",IF($AD66&lt;0,"FUTURO",IF($AD66&gt;p_dias_backlog_max,"BACKLOG","MES CORRIENTE")))</f>
        <v/>
      </c>
      <c r="AF66" s="5">
        <f>IF($AD66="",FALSE,AND($AD66&gt;p_dias_backlog_min,$AD66&lt;=p_dias_backlog_max))</f>
        <v/>
      </c>
      <c r="AG66" s="4" t="inlineStr">
        <is>
          <t>Fernando Mendoza</t>
        </is>
      </c>
      <c r="AH66" s="5">
        <f>IF($AG66="","",IF((IFERROR(INDEX('ASIGNACIONES'!$J$4:$J$451,MATCH($O66&amp;"|"&amp;$S66&amp;"|"&amp;$AG66,'ASIGNACIONES'!$N$4:$N$451,0)),""))=0,"",IFERROR(INDEX('ASIGNACIONES'!$J$4:$J$451,MATCH($O66&amp;"|"&amp;$S66&amp;"|"&amp;$AG66,'ASIGNACIONES'!$N$4:$N$451,0)),"")))</f>
        <v/>
      </c>
      <c r="AI66" s="25">
        <f>IF($AG66="","",SUMIFS('ORDENES'!$M$4:$M$1203,'ORDENES'!$AG$4:$AG$1203,$AG66,'ORDENES'!$O$4:$O$1203,$O66,'ORDENES'!$S$4:$S$1203,$S66))</f>
        <v/>
      </c>
      <c r="AJ66" s="25">
        <f>IF($AI66="","",p_factor_productividad*IFERROR(INDEX('ASIGNACIONES'!$M$4:$M$451,MATCH($O66&amp;"|"&amp;$S66&amp;"|"&amp;$AG66,'ASIGNACIONES'!$N$4:$N$451,0)),0)-$AI66)</f>
        <v/>
      </c>
      <c r="AK66" s="18">
        <f>IF($A66="","",IFERROR(INDEX('2_IMPORTAR_EJECUCION'!$F$9:$F$1208,MATCH($AT66,'2_IMPORTAR_EJECUCION'!$J$9:$J$1208,0)),0))</f>
        <v/>
      </c>
      <c r="AL66" s="18">
        <f>IF($A66="","",MAX(0,IFERROR(INDEX('2_IMPORTAR_EJECUCION'!$H$9:$H$1208,MATCH($AT66,'2_IMPORTAR_EJECUCION'!$J$9:$J$1208,0)),0)-$AK66))</f>
        <v/>
      </c>
      <c r="AM66" s="18">
        <f>IF($A66="","",$AK66+$AL66)</f>
        <v/>
      </c>
      <c r="AN66" s="5">
        <f>IF($A66="","",IF(OR((IFERROR(INDEX('CAT_ACTIVIDADES'!$D$4:$D$11,MATCH($H66,'CAT_ACTIVIDADES'!$A$4:$A$11,0)),""))=0,(IFERROR(INDEX('CAT_ACTIVIDADES'!$D$4:$D$11,MATCH($H66,'CAT_ACTIVIDADES'!$A$4:$A$11,0)),""))=""),"SIN CLASIFICAR",IFERROR(INDEX('CAT_ACTIVIDADES'!$D$4:$D$11,MATCH($H66,'CAT_ACTIVIDADES'!$A$4:$A$11,0)),"")))</f>
        <v/>
      </c>
      <c r="AO66" s="4" t="inlineStr"/>
      <c r="AP66" s="4" t="inlineStr"/>
      <c r="AQ66" s="4" t="inlineStr">
        <is>
          <t>ACT-01.pdf</t>
        </is>
      </c>
      <c r="AR66" s="5">
        <f>IF($AQ66="","",HYPERLINK(p_ruta_base_checklists&amp;$AQ66,"abrir"))</f>
        <v/>
      </c>
      <c r="AS66" s="4" t="inlineStr"/>
      <c r="AT66" s="5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22" t="n">
        <v>46233</v>
      </c>
      <c r="K67" s="5" t="n">
        <v>6</v>
      </c>
      <c r="L67" s="18" t="n">
        <v>150</v>
      </c>
      <c r="M67" s="5">
        <f>IF($A67="","",IFERROR(INDEX('AJUSTES'!$B$4:$B$303,MATCH($AT67,'AJUSTES'!$A$4:$A$303,0)),IF($K67="","",$K67)))</f>
        <v/>
      </c>
      <c r="N67" s="5">
        <f>IF($A67="","",IFERROR(INDEX('CAT_ESTADOS_ERP'!$B$4:$B$7,MATCH(IFERROR(INDEX('2_IMPORTAR_EJECUCION'!$C$9:$C$1208,MATCH($AT67,'2_IMPORTAR_EJECUCION'!$J$9:$J$1208,0)),""),'CAT_ESTADOS_ERP'!$A$4:$A$7,0)),"Pendiente"))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IF($J67="","",$P67&amp;"-"&amp;TEXT($Q67,"00"))</f>
        <v/>
      </c>
      <c r="S67" s="5">
        <f>IF($J67="","",INDEX(lista_dias,WEEKDAY($J67,2)))</f>
        <v/>
      </c>
      <c r="T67" s="5">
        <f>IF($J67="","",IFERROR(INDEX('CALENDARIO'!$C$15:$C$214,MATCH(TEXT($J67,"yyyy-mm-dd")&amp;"|"&amp;$X67&amp;"|"&amp;$Y67,'CALENDARIO'!$G$15:$G$214,0)),IFERROR(INDEX('CALENDARIO'!$C$15:$C$214,MATCH(TEXT($J67,"yyyy-mm-dd")&amp;"|"&amp;$X67&amp;"|",'CALENDARIO'!$G$15:$G$214,0)),IFERROR(INDEX('CALENDARIO'!$C$15:$C$214,MATCH(TEXT($J67,"yyyy-mm-dd")&amp;"||",'CALENDARIO'!$G$15:$G$214,0)),INDEX(patronHabil,WEEKDAY($J67,2))))))</f>
        <v/>
      </c>
      <c r="U67" s="5">
        <f>IF($I67="","",IFERROR(INDEX('CAT_TIPOS_OT'!$C$4:$C$8,MATCH($I67,'CAT_TIPOS_OT'!$A$4:$A$8,0)),"sin_clasificar"))</f>
        <v/>
      </c>
      <c r="V67" s="5">
        <f>IF($I67="","",IF(IFERROR(INDEX('CAT_TIPOS_OT'!$D$4:$D$8,MATCH($I67,'CAT_TIPOS_OT'!$A$4:$A$8,0)),"SIN CLASIFICAR")="","SIN CLASIFICAR",IFERROR(INDEX('CAT_TIPOS_OT'!$D$4:$D$8,MATCH($I67,'CAT_TIPOS_OT'!$A$4:$A$8,0)),"SIN CLASIFICAR")))</f>
        <v/>
      </c>
      <c r="W67" s="5">
        <f>IF($F67="","",IFERROR(INDEX('CAT_CENTROS_COSTO'!$F$4:$F$13,MATCH($F67,'CAT_CENTROS_COSTO'!$A$4:$A$13,0)),"(sin catálogo)"))</f>
        <v/>
      </c>
      <c r="X67" s="5">
        <f>IF($F67="","",IFERROR(INDEX('CAT_CENTROS_COSTO'!$D$4:$D$13,MATCH($F67,'CAT_CENTROS_COSTO'!$A$4:$A$13,0)),"(sin catálogo)"))</f>
        <v/>
      </c>
      <c r="Y67" s="5">
        <f>IF($F67="","",IF((IFERROR(INDEX('CAT_CENTROS_COSTO'!$E$4:$E$13,MATCH($F67,'CAT_CENTROS_COSTO'!$A$4:$A$13,0)),""))&lt;&gt;"",IFERROR(INDEX('CAT_CENTROS_COSTO'!$E$4:$E$13,MATCH($F67,'CAT_CENTROS_COSTO'!$A$4:$A$13,0)),""),$X67))</f>
        <v/>
      </c>
      <c r="Z67" s="5">
        <f>IF($F67="","",IFERROR(INDEX('CAT_CENTROS_COSTO'!$G$4:$G$13,MATCH($F67,'CAT_CENTROS_COSTO'!$A$4:$A$13,0)),"(sin catálogo)"))</f>
        <v/>
      </c>
      <c r="AA67" s="5">
        <f>IF($G67="","",IFERROR(INDEX('CAT_PUESTOS'!$B$4:$B$8,MATCH($G67,'CAT_PUESTOS'!$A$4:$A$8,0)),"(sin catálogo)"))</f>
        <v/>
      </c>
      <c r="AB67" s="5">
        <f>IF($H67="","",IFERROR(INDEX('CAT_ACTIVIDADES'!$B$4:$B$11,MATCH($H67,'CAT_ACTIVIDADES'!$A$4:$A$11,0)),"(sin catálogo)"))</f>
        <v/>
      </c>
      <c r="AC67" s="20">
        <f>IF($J67="","",TODAY()-$J67)</f>
        <v/>
      </c>
      <c r="AD67" s="20">
        <f>IF($J67="","",IF($J67&lt;=TODAY(),COUNTIFS(cal_fechas,"&gt;="&amp;$J67,cal_fechas,"&lt;"&amp;TODAY(),cal_habil,"sí"),-COUNTIFS(cal_fechas,"&gt;="&amp;TODAY(),cal_fechas,"&lt;"&amp;$J67,cal_habil,"sí")))</f>
        <v/>
      </c>
      <c r="AE67" s="5">
        <f>IF($AD67="","",IF($AD67&lt;0,"FUTURO",IF($AD67&gt;p_dias_backlog_max,"BACKLOG","MES CORRIENTE")))</f>
        <v/>
      </c>
      <c r="AF67" s="5">
        <f>IF($AD67="",FALSE,AND($AD67&gt;p_dias_backlog_min,$AD67&lt;=p_dias_backlog_max))</f>
        <v/>
      </c>
      <c r="AG67" s="4" t="inlineStr">
        <is>
          <t>Jorge Díaz</t>
        </is>
      </c>
      <c r="AH67" s="5">
        <f>IF($AG67="","",IF((IFERROR(INDEX('ASIGNACIONES'!$J$4:$J$451,MATCH($O67&amp;"|"&amp;$S67&amp;"|"&amp;$AG67,'ASIGNACIONES'!$N$4:$N$451,0)),""))=0,"",IFERROR(INDEX('ASIGNACIONES'!$J$4:$J$451,MATCH($O67&amp;"|"&amp;$S67&amp;"|"&amp;$AG67,'ASIGNACIONES'!$N$4:$N$451,0)),"")))</f>
        <v/>
      </c>
      <c r="AI67" s="25">
        <f>IF($AG67="","",SUMIFS('ORDENES'!$M$4:$M$1203,'ORDENES'!$AG$4:$AG$1203,$AG67,'ORDENES'!$O$4:$O$1203,$O67,'ORDENES'!$S$4:$S$1203,$S67))</f>
        <v/>
      </c>
      <c r="AJ67" s="25">
        <f>IF($AI67="","",p_factor_productividad*IFERROR(INDEX('ASIGNACIONES'!$M$4:$M$451,MATCH($O67&amp;"|"&amp;$S67&amp;"|"&amp;$AG67,'ASIGNACIONES'!$N$4:$N$451,0)),0)-$AI67)</f>
        <v/>
      </c>
      <c r="AK67" s="18">
        <f>IF($A67="","",IFERROR(INDEX('2_IMPORTAR_EJECUCION'!$F$9:$F$1208,MATCH($AT67,'2_IMPORTAR_EJECUCION'!$J$9:$J$1208,0)),0))</f>
        <v/>
      </c>
      <c r="AL67" s="18">
        <f>IF($A67="","",MAX(0,IFERROR(INDEX('2_IMPORTAR_EJECUCION'!$H$9:$H$1208,MATCH($AT67,'2_IMPORTAR_EJECUCION'!$J$9:$J$1208,0)),0)-$AK67))</f>
        <v/>
      </c>
      <c r="AM67" s="18">
        <f>IF($A67="","",$AK67+$AL67)</f>
        <v/>
      </c>
      <c r="AN67" s="5">
        <f>IF($A67="","",IF(OR((IFERROR(INDEX('CAT_ACTIVIDADES'!$D$4:$D$11,MATCH($H67,'CAT_ACTIVIDADES'!$A$4:$A$11,0)),""))=0,(IFERROR(INDEX('CAT_ACTIVIDADES'!$D$4:$D$11,MATCH($H67,'CAT_ACTIVIDADES'!$A$4:$A$11,0)),""))=""),"SIN CLASIFICAR",IFERROR(INDEX('CAT_ACTIVIDADES'!$D$4:$D$11,MATCH($H67,'CAT_ACTIVIDADES'!$A$4:$A$11,0)),"")))</f>
        <v/>
      </c>
      <c r="AO67" s="4" t="inlineStr"/>
      <c r="AP67" s="4" t="inlineStr"/>
      <c r="AQ67" s="4" t="inlineStr">
        <is>
          <t>ACT-02.pdf</t>
        </is>
      </c>
      <c r="AR67" s="5">
        <f>IF($AQ67="","",HYPERLINK(p_ruta_base_checklists&amp;$AQ67,"abrir"))</f>
        <v/>
      </c>
      <c r="AS67" s="4" t="inlineStr"/>
      <c r="AT67" s="5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22" t="n">
        <v>46234</v>
      </c>
      <c r="K68" s="5" t="n">
        <v>10</v>
      </c>
      <c r="L68" s="18" t="n">
        <v>250</v>
      </c>
      <c r="M68" s="5">
        <f>IF($A68="","",IFERROR(INDEX('AJUSTES'!$B$4:$B$303,MATCH($AT68,'AJUSTES'!$A$4:$A$303,0)),IF($K68="","",$K68)))</f>
        <v/>
      </c>
      <c r="N68" s="5">
        <f>IF($A68="","",IFERROR(INDEX('CAT_ESTADOS_ERP'!$B$4:$B$7,MATCH(IFERROR(INDEX('2_IMPORTAR_EJECUCION'!$C$9:$C$1208,MATCH($AT68,'2_IMPORTAR_EJECUCION'!$J$9:$J$1208,0)),""),'CAT_ESTADOS_ERP'!$A$4:$A$7,0)),"Pendiente"))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IF($J68="","",$P68&amp;"-"&amp;TEXT($Q68,"00"))</f>
        <v/>
      </c>
      <c r="S68" s="5">
        <f>IF($J68="","",INDEX(lista_dias,WEEKDAY($J68,2)))</f>
        <v/>
      </c>
      <c r="T68" s="5">
        <f>IF($J68="","",IFERROR(INDEX('CALENDARIO'!$C$15:$C$214,MATCH(TEXT($J68,"yyyy-mm-dd")&amp;"|"&amp;$X68&amp;"|"&amp;$Y68,'CALENDARIO'!$G$15:$G$214,0)),IFERROR(INDEX('CALENDARIO'!$C$15:$C$214,MATCH(TEXT($J68,"yyyy-mm-dd")&amp;"|"&amp;$X68&amp;"|",'CALENDARIO'!$G$15:$G$214,0)),IFERROR(INDEX('CALENDARIO'!$C$15:$C$214,MATCH(TEXT($J68,"yyyy-mm-dd")&amp;"||",'CALENDARIO'!$G$15:$G$214,0)),INDEX(patronHabil,WEEKDAY($J68,2))))))</f>
        <v/>
      </c>
      <c r="U68" s="5">
        <f>IF($I68="","",IFERROR(INDEX('CAT_TIPOS_OT'!$C$4:$C$8,MATCH($I68,'CAT_TIPOS_OT'!$A$4:$A$8,0)),"sin_clasificar"))</f>
        <v/>
      </c>
      <c r="V68" s="5">
        <f>IF($I68="","",IF(IFERROR(INDEX('CAT_TIPOS_OT'!$D$4:$D$8,MATCH($I68,'CAT_TIPOS_OT'!$A$4:$A$8,0)),"SIN CLASIFICAR")="","SIN CLASIFICAR",IFERROR(INDEX('CAT_TIPOS_OT'!$D$4:$D$8,MATCH($I68,'CAT_TIPOS_OT'!$A$4:$A$8,0)),"SIN CLASIFICAR")))</f>
        <v/>
      </c>
      <c r="W68" s="5">
        <f>IF($F68="","",IFERROR(INDEX('CAT_CENTROS_COSTO'!$F$4:$F$13,MATCH($F68,'CAT_CENTROS_COSTO'!$A$4:$A$13,0)),"(sin catálogo)"))</f>
        <v/>
      </c>
      <c r="X68" s="5">
        <f>IF($F68="","",IFERROR(INDEX('CAT_CENTROS_COSTO'!$D$4:$D$13,MATCH($F68,'CAT_CENTROS_COSTO'!$A$4:$A$13,0)),"(sin catálogo)"))</f>
        <v/>
      </c>
      <c r="Y68" s="5">
        <f>IF($F68="","",IF((IFERROR(INDEX('CAT_CENTROS_COSTO'!$E$4:$E$13,MATCH($F68,'CAT_CENTROS_COSTO'!$A$4:$A$13,0)),""))&lt;&gt;"",IFERROR(INDEX('CAT_CENTROS_COSTO'!$E$4:$E$13,MATCH($F68,'CAT_CENTROS_COSTO'!$A$4:$A$13,0)),""),$X68))</f>
        <v/>
      </c>
      <c r="Z68" s="5">
        <f>IF($F68="","",IFERROR(INDEX('CAT_CENTROS_COSTO'!$G$4:$G$13,MATCH($F68,'CAT_CENTROS_COSTO'!$A$4:$A$13,0)),"(sin catálogo)"))</f>
        <v/>
      </c>
      <c r="AA68" s="5">
        <f>IF($G68="","",IFERROR(INDEX('CAT_PUESTOS'!$B$4:$B$8,MATCH($G68,'CAT_PUESTOS'!$A$4:$A$8,0)),"(sin catálogo)"))</f>
        <v/>
      </c>
      <c r="AB68" s="5">
        <f>IF($H68="","",IFERROR(INDEX('CAT_ACTIVIDADES'!$B$4:$B$11,MATCH($H68,'CAT_ACTIVIDADES'!$A$4:$A$11,0)),"(sin catálogo)"))</f>
        <v/>
      </c>
      <c r="AC68" s="20">
        <f>IF($J68="","",TODAY()-$J68)</f>
        <v/>
      </c>
      <c r="AD68" s="20">
        <f>IF($J68="","",IF($J68&lt;=TODAY(),COUNTIFS(cal_fechas,"&gt;="&amp;$J68,cal_fechas,"&lt;"&amp;TODAY(),cal_habil,"sí"),-COUNTIFS(cal_fechas,"&gt;="&amp;TODAY(),cal_fechas,"&lt;"&amp;$J68,cal_habil,"sí")))</f>
        <v/>
      </c>
      <c r="AE68" s="5">
        <f>IF($AD68="","",IF($AD68&lt;0,"FUTURO",IF($AD68&gt;p_dias_backlog_max,"BACKLOG","MES CORRIENTE")))</f>
        <v/>
      </c>
      <c r="AF68" s="5">
        <f>IF($AD68="",FALSE,AND($AD68&gt;p_dias_backlog_min,$AD68&lt;=p_dias_backlog_max))</f>
        <v/>
      </c>
      <c r="AG68" s="4" t="inlineStr">
        <is>
          <t>Roberto Castro</t>
        </is>
      </c>
      <c r="AH68" s="5">
        <f>IF($AG68="","",IF((IFERROR(INDEX('ASIGNACIONES'!$J$4:$J$451,MATCH($O68&amp;"|"&amp;$S68&amp;"|"&amp;$AG68,'ASIGNACIONES'!$N$4:$N$451,0)),""))=0,"",IFERROR(INDEX('ASIGNACIONES'!$J$4:$J$451,MATCH($O68&amp;"|"&amp;$S68&amp;"|"&amp;$AG68,'ASIGNACIONES'!$N$4:$N$451,0)),"")))</f>
        <v/>
      </c>
      <c r="AI68" s="25">
        <f>IF($AG68="","",SUMIFS('ORDENES'!$M$4:$M$1203,'ORDENES'!$AG$4:$AG$1203,$AG68,'ORDENES'!$O$4:$O$1203,$O68,'ORDENES'!$S$4:$S$1203,$S68))</f>
        <v/>
      </c>
      <c r="AJ68" s="25">
        <f>IF($AI68="","",p_factor_productividad*IFERROR(INDEX('ASIGNACIONES'!$M$4:$M$451,MATCH($O68&amp;"|"&amp;$S68&amp;"|"&amp;$AG68,'ASIGNACIONES'!$N$4:$N$451,0)),0)-$AI68)</f>
        <v/>
      </c>
      <c r="AK68" s="18">
        <f>IF($A68="","",IFERROR(INDEX('2_IMPORTAR_EJECUCION'!$F$9:$F$1208,MATCH($AT68,'2_IMPORTAR_EJECUCION'!$J$9:$J$1208,0)),0))</f>
        <v/>
      </c>
      <c r="AL68" s="18">
        <f>IF($A68="","",MAX(0,IFERROR(INDEX('2_IMPORTAR_EJECUCION'!$H$9:$H$1208,MATCH($AT68,'2_IMPORTAR_EJECUCION'!$J$9:$J$1208,0)),0)-$AK68))</f>
        <v/>
      </c>
      <c r="AM68" s="18">
        <f>IF($A68="","",$AK68+$AL68)</f>
        <v/>
      </c>
      <c r="AN68" s="5">
        <f>IF($A68="","",IF(OR((IFERROR(INDEX('CAT_ACTIVIDADES'!$D$4:$D$11,MATCH($H68,'CAT_ACTIVIDADES'!$A$4:$A$11,0)),""))=0,(IFERROR(INDEX('CAT_ACTIVIDADES'!$D$4:$D$11,MATCH($H68,'CAT_ACTIVIDADES'!$A$4:$A$11,0)),""))=""),"SIN CLASIFICAR",IFERROR(INDEX('CAT_ACTIVIDADES'!$D$4:$D$11,MATCH($H68,'CAT_ACTIVIDADES'!$A$4:$A$11,0)),"")))</f>
        <v/>
      </c>
      <c r="AO68" s="4" t="inlineStr"/>
      <c r="AP68" s="4" t="inlineStr"/>
      <c r="AQ68" s="4" t="inlineStr">
        <is>
          <t>ACT-04.pdf</t>
        </is>
      </c>
      <c r="AR68" s="5">
        <f>IF($AQ68="","",HYPERLINK(p_ruta_base_checklists&amp;$AQ68,"abrir"))</f>
        <v/>
      </c>
      <c r="AS68" s="4" t="inlineStr"/>
      <c r="AT68" s="5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22" t="n">
        <v>46230</v>
      </c>
      <c r="K69" s="5" t="n">
        <v>7</v>
      </c>
      <c r="L69" s="18" t="n">
        <v>175</v>
      </c>
      <c r="M69" s="5">
        <f>IF($A69="","",IFERROR(INDEX('AJUSTES'!$B$4:$B$303,MATCH($AT69,'AJUSTES'!$A$4:$A$303,0)),IF($K69="","",$K69)))</f>
        <v/>
      </c>
      <c r="N69" s="5">
        <f>IF($A69="","",IFERROR(INDEX('CAT_ESTADOS_ERP'!$B$4:$B$7,MATCH(IFERROR(INDEX('2_IMPORTAR_EJECUCION'!$C$9:$C$1208,MATCH($AT69,'2_IMPORTAR_EJECUCION'!$J$9:$J$1208,0)),""),'CAT_ESTADOS_ERP'!$A$4:$A$7,0)),"Pendiente"))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IF($J69="","",$P69&amp;"-"&amp;TEXT($Q69,"00"))</f>
        <v/>
      </c>
      <c r="S69" s="5">
        <f>IF($J69="","",INDEX(lista_dias,WEEKDAY($J69,2)))</f>
        <v/>
      </c>
      <c r="T69" s="5">
        <f>IF($J69="","",IFERROR(INDEX('CALENDARIO'!$C$15:$C$214,MATCH(TEXT($J69,"yyyy-mm-dd")&amp;"|"&amp;$X69&amp;"|"&amp;$Y69,'CALENDARIO'!$G$15:$G$214,0)),IFERROR(INDEX('CALENDARIO'!$C$15:$C$214,MATCH(TEXT($J69,"yyyy-mm-dd")&amp;"|"&amp;$X69&amp;"|",'CALENDARIO'!$G$15:$G$214,0)),IFERROR(INDEX('CALENDARIO'!$C$15:$C$214,MATCH(TEXT($J69,"yyyy-mm-dd")&amp;"||",'CALENDARIO'!$G$15:$G$214,0)),INDEX(patronHabil,WEEKDAY($J69,2))))))</f>
        <v/>
      </c>
      <c r="U69" s="5">
        <f>IF($I69="","",IFERROR(INDEX('CAT_TIPOS_OT'!$C$4:$C$8,MATCH($I69,'CAT_TIPOS_OT'!$A$4:$A$8,0)),"sin_clasificar"))</f>
        <v/>
      </c>
      <c r="V69" s="5">
        <f>IF($I69="","",IF(IFERROR(INDEX('CAT_TIPOS_OT'!$D$4:$D$8,MATCH($I69,'CAT_TIPOS_OT'!$A$4:$A$8,0)),"SIN CLASIFICAR")="","SIN CLASIFICAR",IFERROR(INDEX('CAT_TIPOS_OT'!$D$4:$D$8,MATCH($I69,'CAT_TIPOS_OT'!$A$4:$A$8,0)),"SIN CLASIFICAR")))</f>
        <v/>
      </c>
      <c r="W69" s="5">
        <f>IF($F69="","",IFERROR(INDEX('CAT_CENTROS_COSTO'!$F$4:$F$13,MATCH($F69,'CAT_CENTROS_COSTO'!$A$4:$A$13,0)),"(sin catálogo)"))</f>
        <v/>
      </c>
      <c r="X69" s="5">
        <f>IF($F69="","",IFERROR(INDEX('CAT_CENTROS_COSTO'!$D$4:$D$13,MATCH($F69,'CAT_CENTROS_COSTO'!$A$4:$A$13,0)),"(sin catálogo)"))</f>
        <v/>
      </c>
      <c r="Y69" s="5">
        <f>IF($F69="","",IF((IFERROR(INDEX('CAT_CENTROS_COSTO'!$E$4:$E$13,MATCH($F69,'CAT_CENTROS_COSTO'!$A$4:$A$13,0)),""))&lt;&gt;"",IFERROR(INDEX('CAT_CENTROS_COSTO'!$E$4:$E$13,MATCH($F69,'CAT_CENTROS_COSTO'!$A$4:$A$13,0)),""),$X69))</f>
        <v/>
      </c>
      <c r="Z69" s="5">
        <f>IF($F69="","",IFERROR(INDEX('CAT_CENTROS_COSTO'!$G$4:$G$13,MATCH($F69,'CAT_CENTROS_COSTO'!$A$4:$A$13,0)),"(sin catálogo)"))</f>
        <v/>
      </c>
      <c r="AA69" s="5">
        <f>IF($G69="","",IFERROR(INDEX('CAT_PUESTOS'!$B$4:$B$8,MATCH($G69,'CAT_PUESTOS'!$A$4:$A$8,0)),"(sin catálogo)"))</f>
        <v/>
      </c>
      <c r="AB69" s="5">
        <f>IF($H69="","",IFERROR(INDEX('CAT_ACTIVIDADES'!$B$4:$B$11,MATCH($H69,'CAT_ACTIVIDADES'!$A$4:$A$11,0)),"(sin catálogo)"))</f>
        <v/>
      </c>
      <c r="AC69" s="20">
        <f>IF($J69="","",TODAY()-$J69)</f>
        <v/>
      </c>
      <c r="AD69" s="20">
        <f>IF($J69="","",IF($J69&lt;=TODAY(),COUNTIFS(cal_fechas,"&gt;="&amp;$J69,cal_fechas,"&lt;"&amp;TODAY(),cal_habil,"sí"),-COUNTIFS(cal_fechas,"&gt;="&amp;TODAY(),cal_fechas,"&lt;"&amp;$J69,cal_habil,"sí")))</f>
        <v/>
      </c>
      <c r="AE69" s="5">
        <f>IF($AD69="","",IF($AD69&lt;0,"FUTURO",IF($AD69&gt;p_dias_backlog_max,"BACKLOG","MES CORRIENTE")))</f>
        <v/>
      </c>
      <c r="AF69" s="5">
        <f>IF($AD69="",FALSE,AND($AD69&gt;p_dias_backlog_min,$AD69&lt;=p_dias_backlog_max))</f>
        <v/>
      </c>
      <c r="AG69" s="4" t="inlineStr">
        <is>
          <t>Laura Morales</t>
        </is>
      </c>
      <c r="AH69" s="5">
        <f>IF($AG69="","",IF((IFERROR(INDEX('ASIGNACIONES'!$J$4:$J$451,MATCH($O69&amp;"|"&amp;$S69&amp;"|"&amp;$AG69,'ASIGNACIONES'!$N$4:$N$451,0)),""))=0,"",IFERROR(INDEX('ASIGNACIONES'!$J$4:$J$451,MATCH($O69&amp;"|"&amp;$S69&amp;"|"&amp;$AG69,'ASIGNACIONES'!$N$4:$N$451,0)),"")))</f>
        <v/>
      </c>
      <c r="AI69" s="25">
        <f>IF($AG69="","",SUMIFS('ORDENES'!$M$4:$M$1203,'ORDENES'!$AG$4:$AG$1203,$AG69,'ORDENES'!$O$4:$O$1203,$O69,'ORDENES'!$S$4:$S$1203,$S69))</f>
        <v/>
      </c>
      <c r="AJ69" s="25">
        <f>IF($AI69="","",p_factor_productividad*IFERROR(INDEX('ASIGNACIONES'!$M$4:$M$451,MATCH($O69&amp;"|"&amp;$S69&amp;"|"&amp;$AG69,'ASIGNACIONES'!$N$4:$N$451,0)),0)-$AI69)</f>
        <v/>
      </c>
      <c r="AK69" s="18">
        <f>IF($A69="","",IFERROR(INDEX('2_IMPORTAR_EJECUCION'!$F$9:$F$1208,MATCH($AT69,'2_IMPORTAR_EJECUCION'!$J$9:$J$1208,0)),0))</f>
        <v/>
      </c>
      <c r="AL69" s="18">
        <f>IF($A69="","",MAX(0,IFERROR(INDEX('2_IMPORTAR_EJECUCION'!$H$9:$H$1208,MATCH($AT69,'2_IMPORTAR_EJECUCION'!$J$9:$J$1208,0)),0)-$AK69))</f>
        <v/>
      </c>
      <c r="AM69" s="18">
        <f>IF($A69="","",$AK69+$AL69)</f>
        <v/>
      </c>
      <c r="AN69" s="5">
        <f>IF($A69="","",IF(OR((IFERROR(INDEX('CAT_ACTIVIDADES'!$D$4:$D$11,MATCH($H69,'CAT_ACTIVIDADES'!$A$4:$A$11,0)),""))=0,(IFERROR(INDEX('CAT_ACTIVIDADES'!$D$4:$D$11,MATCH($H69,'CAT_ACTIVIDADES'!$A$4:$A$11,0)),""))=""),"SIN CLASIFICAR",IFERROR(INDEX('CAT_ACTIVIDADES'!$D$4:$D$11,MATCH($H69,'CAT_ACTIVIDADES'!$A$4:$A$11,0)),"")))</f>
        <v/>
      </c>
      <c r="AO69" s="4" t="inlineStr"/>
      <c r="AP69" s="4" t="inlineStr"/>
      <c r="AQ69" s="4" t="inlineStr">
        <is>
          <t>ACT-01.pdf</t>
        </is>
      </c>
      <c r="AR69" s="5">
        <f>IF($AQ69="","",HYPERLINK(p_ruta_base_checklists&amp;$AQ69,"abrir"))</f>
        <v/>
      </c>
      <c r="AS69" s="4" t="inlineStr"/>
      <c r="AT69" s="5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22" t="n">
        <v>46231</v>
      </c>
      <c r="K70" s="5" t="n">
        <v>10</v>
      </c>
      <c r="L70" s="18" t="n">
        <v>400</v>
      </c>
      <c r="M70" s="5">
        <f>IF($A70="","",IFERROR(INDEX('AJUSTES'!$B$4:$B$303,MATCH($AT70,'AJUSTES'!$A$4:$A$303,0)),IF($K70="","",$K70)))</f>
        <v/>
      </c>
      <c r="N70" s="5">
        <f>IF($A70="","",IFERROR(INDEX('CAT_ESTADOS_ERP'!$B$4:$B$7,MATCH(IFERROR(INDEX('2_IMPORTAR_EJECUCION'!$C$9:$C$1208,MATCH($AT70,'2_IMPORTAR_EJECUCION'!$J$9:$J$1208,0)),""),'CAT_ESTADOS_ERP'!$A$4:$A$7,0)),"Pendiente"))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IF($J70="","",$P70&amp;"-"&amp;TEXT($Q70,"00"))</f>
        <v/>
      </c>
      <c r="S70" s="5">
        <f>IF($J70="","",INDEX(lista_dias,WEEKDAY($J70,2)))</f>
        <v/>
      </c>
      <c r="T70" s="5">
        <f>IF($J70="","",IFERROR(INDEX('CALENDARIO'!$C$15:$C$214,MATCH(TEXT($J70,"yyyy-mm-dd")&amp;"|"&amp;$X70&amp;"|"&amp;$Y70,'CALENDARIO'!$G$15:$G$214,0)),IFERROR(INDEX('CALENDARIO'!$C$15:$C$214,MATCH(TEXT($J70,"yyyy-mm-dd")&amp;"|"&amp;$X70&amp;"|",'CALENDARIO'!$G$15:$G$214,0)),IFERROR(INDEX('CALENDARIO'!$C$15:$C$214,MATCH(TEXT($J70,"yyyy-mm-dd")&amp;"||",'CALENDARIO'!$G$15:$G$214,0)),INDEX(patronHabil,WEEKDAY($J70,2))))))</f>
        <v/>
      </c>
      <c r="U70" s="5">
        <f>IF($I70="","",IFERROR(INDEX('CAT_TIPOS_OT'!$C$4:$C$8,MATCH($I70,'CAT_TIPOS_OT'!$A$4:$A$8,0)),"sin_clasificar"))</f>
        <v/>
      </c>
      <c r="V70" s="5">
        <f>IF($I70="","",IF(IFERROR(INDEX('CAT_TIPOS_OT'!$D$4:$D$8,MATCH($I70,'CAT_TIPOS_OT'!$A$4:$A$8,0)),"SIN CLASIFICAR")="","SIN CLASIFICAR",IFERROR(INDEX('CAT_TIPOS_OT'!$D$4:$D$8,MATCH($I70,'CAT_TIPOS_OT'!$A$4:$A$8,0)),"SIN CLASIFICAR")))</f>
        <v/>
      </c>
      <c r="W70" s="5">
        <f>IF($F70="","",IFERROR(INDEX('CAT_CENTROS_COSTO'!$F$4:$F$13,MATCH($F70,'CAT_CENTROS_COSTO'!$A$4:$A$13,0)),"(sin catálogo)"))</f>
        <v/>
      </c>
      <c r="X70" s="5">
        <f>IF($F70="","",IFERROR(INDEX('CAT_CENTROS_COSTO'!$D$4:$D$13,MATCH($F70,'CAT_CENTROS_COSTO'!$A$4:$A$13,0)),"(sin catálogo)"))</f>
        <v/>
      </c>
      <c r="Y70" s="5">
        <f>IF($F70="","",IF((IFERROR(INDEX('CAT_CENTROS_COSTO'!$E$4:$E$13,MATCH($F70,'CAT_CENTROS_COSTO'!$A$4:$A$13,0)),""))&lt;&gt;"",IFERROR(INDEX('CAT_CENTROS_COSTO'!$E$4:$E$13,MATCH($F70,'CAT_CENTROS_COSTO'!$A$4:$A$13,0)),""),$X70))</f>
        <v/>
      </c>
      <c r="Z70" s="5">
        <f>IF($F70="","",IFERROR(INDEX('CAT_CENTROS_COSTO'!$G$4:$G$13,MATCH($F70,'CAT_CENTROS_COSTO'!$A$4:$A$13,0)),"(sin catálogo)"))</f>
        <v/>
      </c>
      <c r="AA70" s="5">
        <f>IF($G70="","",IFERROR(INDEX('CAT_PUESTOS'!$B$4:$B$8,MATCH($G70,'CAT_PUESTOS'!$A$4:$A$8,0)),"(sin catálogo)"))</f>
        <v/>
      </c>
      <c r="AB70" s="5">
        <f>IF($H70="","",IFERROR(INDEX('CAT_ACTIVIDADES'!$B$4:$B$11,MATCH($H70,'CAT_ACTIVIDADES'!$A$4:$A$11,0)),"(sin catálogo)"))</f>
        <v/>
      </c>
      <c r="AC70" s="20">
        <f>IF($J70="","",TODAY()-$J70)</f>
        <v/>
      </c>
      <c r="AD70" s="20">
        <f>IF($J70="","",IF($J70&lt;=TODAY(),COUNTIFS(cal_fechas,"&gt;="&amp;$J70,cal_fechas,"&lt;"&amp;TODAY(),cal_habil,"sí"),-COUNTIFS(cal_fechas,"&gt;="&amp;TODAY(),cal_fechas,"&lt;"&amp;$J70,cal_habil,"sí")))</f>
        <v/>
      </c>
      <c r="AE70" s="5">
        <f>IF($AD70="","",IF($AD70&lt;0,"FUTURO",IF($AD70&gt;p_dias_backlog_max,"BACKLOG","MES CORRIENTE")))</f>
        <v/>
      </c>
      <c r="AF70" s="5">
        <f>IF($AD70="",FALSE,AND($AD70&gt;p_dias_backlog_min,$AD70&lt;=p_dias_backlog_max))</f>
        <v/>
      </c>
      <c r="AG70" s="4" t="inlineStr">
        <is>
          <t>Ricardo Ortiz</t>
        </is>
      </c>
      <c r="AH70" s="5">
        <f>IF($AG70="","",IF((IFERROR(INDEX('ASIGNACIONES'!$J$4:$J$451,MATCH($O70&amp;"|"&amp;$S70&amp;"|"&amp;$AG70,'ASIGNACIONES'!$N$4:$N$451,0)),""))=0,"",IFERROR(INDEX('ASIGNACIONES'!$J$4:$J$451,MATCH($O70&amp;"|"&amp;$S70&amp;"|"&amp;$AG70,'ASIGNACIONES'!$N$4:$N$451,0)),"")))</f>
        <v/>
      </c>
      <c r="AI70" s="25">
        <f>IF($AG70="","",SUMIFS('ORDENES'!$M$4:$M$1203,'ORDENES'!$AG$4:$AG$1203,$AG70,'ORDENES'!$O$4:$O$1203,$O70,'ORDENES'!$S$4:$S$1203,$S70))</f>
        <v/>
      </c>
      <c r="AJ70" s="25">
        <f>IF($AI70="","",p_factor_productividad*IFERROR(INDEX('ASIGNACIONES'!$M$4:$M$451,MATCH($O70&amp;"|"&amp;$S70&amp;"|"&amp;$AG70,'ASIGNACIONES'!$N$4:$N$451,0)),0)-$AI70)</f>
        <v/>
      </c>
      <c r="AK70" s="18">
        <f>IF($A70="","",IFERROR(INDEX('2_IMPORTAR_EJECUCION'!$F$9:$F$1208,MATCH($AT70,'2_IMPORTAR_EJECUCION'!$J$9:$J$1208,0)),0))</f>
        <v/>
      </c>
      <c r="AL70" s="18">
        <f>IF($A70="","",MAX(0,IFERROR(INDEX('2_IMPORTAR_EJECUCION'!$H$9:$H$1208,MATCH($AT70,'2_IMPORTAR_EJECUCION'!$J$9:$J$1208,0)),0)-$AK70))</f>
        <v/>
      </c>
      <c r="AM70" s="18">
        <f>IF($A70="","",$AK70+$AL70)</f>
        <v/>
      </c>
      <c r="AN70" s="5">
        <f>IF($A70="","",IF(OR((IFERROR(INDEX('CAT_ACTIVIDADES'!$D$4:$D$11,MATCH($H70,'CAT_ACTIVIDADES'!$A$4:$A$11,0)),""))=0,(IFERROR(INDEX('CAT_ACTIVIDADES'!$D$4:$D$11,MATCH($H70,'CAT_ACTIVIDADES'!$A$4:$A$11,0)),""))=""),"SIN CLASIFICAR",IFERROR(INDEX('CAT_ACTIVIDADES'!$D$4:$D$11,MATCH($H70,'CAT_ACTIVIDADES'!$A$4:$A$11,0)),"")))</f>
        <v/>
      </c>
      <c r="AO70" s="4" t="inlineStr"/>
      <c r="AP70" s="4" t="inlineStr"/>
      <c r="AQ70" s="4" t="inlineStr"/>
      <c r="AR70" s="5">
        <f>IF($AQ70="","",HYPERLINK(p_ruta_base_checklists&amp;$AQ70,"abrir"))</f>
        <v/>
      </c>
      <c r="AS70" s="4" t="inlineStr"/>
      <c r="AT70" s="5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22" t="n">
        <v>46232</v>
      </c>
      <c r="K71" s="5" t="n">
        <v>10</v>
      </c>
      <c r="L71" s="18" t="n">
        <v>400</v>
      </c>
      <c r="M71" s="5">
        <f>IF($A71="","",IFERROR(INDEX('AJUSTES'!$B$4:$B$303,MATCH($AT71,'AJUSTES'!$A$4:$A$303,0)),IF($K71="","",$K71)))</f>
        <v/>
      </c>
      <c r="N71" s="5">
        <f>IF($A71="","",IFERROR(INDEX('CAT_ESTADOS_ERP'!$B$4:$B$7,MATCH(IFERROR(INDEX('2_IMPORTAR_EJECUCION'!$C$9:$C$1208,MATCH($AT71,'2_IMPORTAR_EJECUCION'!$J$9:$J$1208,0)),""),'CAT_ESTADOS_ERP'!$A$4:$A$7,0)),"Pendiente"))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IF($J71="","",$P71&amp;"-"&amp;TEXT($Q71,"00"))</f>
        <v/>
      </c>
      <c r="S71" s="5">
        <f>IF($J71="","",INDEX(lista_dias,WEEKDAY($J71,2)))</f>
        <v/>
      </c>
      <c r="T71" s="5">
        <f>IF($J71="","",IFERROR(INDEX('CALENDARIO'!$C$15:$C$214,MATCH(TEXT($J71,"yyyy-mm-dd")&amp;"|"&amp;$X71&amp;"|"&amp;$Y71,'CALENDARIO'!$G$15:$G$214,0)),IFERROR(INDEX('CALENDARIO'!$C$15:$C$214,MATCH(TEXT($J71,"yyyy-mm-dd")&amp;"|"&amp;$X71&amp;"|",'CALENDARIO'!$G$15:$G$214,0)),IFERROR(INDEX('CALENDARIO'!$C$15:$C$214,MATCH(TEXT($J71,"yyyy-mm-dd")&amp;"||",'CALENDARIO'!$G$15:$G$214,0)),INDEX(patronHabil,WEEKDAY($J71,2))))))</f>
        <v/>
      </c>
      <c r="U71" s="5">
        <f>IF($I71="","",IFERROR(INDEX('CAT_TIPOS_OT'!$C$4:$C$8,MATCH($I71,'CAT_TIPOS_OT'!$A$4:$A$8,0)),"sin_clasificar"))</f>
        <v/>
      </c>
      <c r="V71" s="5">
        <f>IF($I71="","",IF(IFERROR(INDEX('CAT_TIPOS_OT'!$D$4:$D$8,MATCH($I71,'CAT_TIPOS_OT'!$A$4:$A$8,0)),"SIN CLASIFICAR")="","SIN CLASIFICAR",IFERROR(INDEX('CAT_TIPOS_OT'!$D$4:$D$8,MATCH($I71,'CAT_TIPOS_OT'!$A$4:$A$8,0)),"SIN CLASIFICAR")))</f>
        <v/>
      </c>
      <c r="W71" s="5">
        <f>IF($F71="","",IFERROR(INDEX('CAT_CENTROS_COSTO'!$F$4:$F$13,MATCH($F71,'CAT_CENTROS_COSTO'!$A$4:$A$13,0)),"(sin catálogo)"))</f>
        <v/>
      </c>
      <c r="X71" s="5">
        <f>IF($F71="","",IFERROR(INDEX('CAT_CENTROS_COSTO'!$D$4:$D$13,MATCH($F71,'CAT_CENTROS_COSTO'!$A$4:$A$13,0)),"(sin catálogo)"))</f>
        <v/>
      </c>
      <c r="Y71" s="5">
        <f>IF($F71="","",IF((IFERROR(INDEX('CAT_CENTROS_COSTO'!$E$4:$E$13,MATCH($F71,'CAT_CENTROS_COSTO'!$A$4:$A$13,0)),""))&lt;&gt;"",IFERROR(INDEX('CAT_CENTROS_COSTO'!$E$4:$E$13,MATCH($F71,'CAT_CENTROS_COSTO'!$A$4:$A$13,0)),""),$X71))</f>
        <v/>
      </c>
      <c r="Z71" s="5">
        <f>IF($F71="","",IFERROR(INDEX('CAT_CENTROS_COSTO'!$G$4:$G$13,MATCH($F71,'CAT_CENTROS_COSTO'!$A$4:$A$13,0)),"(sin catálogo)"))</f>
        <v/>
      </c>
      <c r="AA71" s="5">
        <f>IF($G71="","",IFERROR(INDEX('CAT_PUESTOS'!$B$4:$B$8,MATCH($G71,'CAT_PUESTOS'!$A$4:$A$8,0)),"(sin catálogo)"))</f>
        <v/>
      </c>
      <c r="AB71" s="5">
        <f>IF($H71="","",IFERROR(INDEX('CAT_ACTIVIDADES'!$B$4:$B$11,MATCH($H71,'CAT_ACTIVIDADES'!$A$4:$A$11,0)),"(sin catálogo)"))</f>
        <v/>
      </c>
      <c r="AC71" s="20">
        <f>IF($J71="","",TODAY()-$J71)</f>
        <v/>
      </c>
      <c r="AD71" s="20">
        <f>IF($J71="","",IF($J71&lt;=TODAY(),COUNTIFS(cal_fechas,"&gt;="&amp;$J71,cal_fechas,"&lt;"&amp;TODAY(),cal_habil,"sí"),-COUNTIFS(cal_fechas,"&gt;="&amp;TODAY(),cal_fechas,"&lt;"&amp;$J71,cal_habil,"sí")))</f>
        <v/>
      </c>
      <c r="AE71" s="5">
        <f>IF($AD71="","",IF($AD71&lt;0,"FUTURO",IF($AD71&gt;p_dias_backlog_max,"BACKLOG","MES CORRIENTE")))</f>
        <v/>
      </c>
      <c r="AF71" s="5">
        <f>IF($AD71="",FALSE,AND($AD71&gt;p_dias_backlog_min,$AD71&lt;=p_dias_backlog_max))</f>
        <v/>
      </c>
      <c r="AG71" s="4" t="inlineStr">
        <is>
          <t>Eduardo Silva</t>
        </is>
      </c>
      <c r="AH71" s="5">
        <f>IF($AG71="","",IF((IFERROR(INDEX('ASIGNACIONES'!$J$4:$J$451,MATCH($O71&amp;"|"&amp;$S71&amp;"|"&amp;$AG71,'ASIGNACIONES'!$N$4:$N$451,0)),""))=0,"",IFERROR(INDEX('ASIGNACIONES'!$J$4:$J$451,MATCH($O71&amp;"|"&amp;$S71&amp;"|"&amp;$AG71,'ASIGNACIONES'!$N$4:$N$451,0)),"")))</f>
        <v/>
      </c>
      <c r="AI71" s="25">
        <f>IF($AG71="","",SUMIFS('ORDENES'!$M$4:$M$1203,'ORDENES'!$AG$4:$AG$1203,$AG71,'ORDENES'!$O$4:$O$1203,$O71,'ORDENES'!$S$4:$S$1203,$S71))</f>
        <v/>
      </c>
      <c r="AJ71" s="25">
        <f>IF($AI71="","",p_factor_productividad*IFERROR(INDEX('ASIGNACIONES'!$M$4:$M$451,MATCH($O71&amp;"|"&amp;$S71&amp;"|"&amp;$AG71,'ASIGNACIONES'!$N$4:$N$451,0)),0)-$AI71)</f>
        <v/>
      </c>
      <c r="AK71" s="18">
        <f>IF($A71="","",IFERROR(INDEX('2_IMPORTAR_EJECUCION'!$F$9:$F$1208,MATCH($AT71,'2_IMPORTAR_EJECUCION'!$J$9:$J$1208,0)),0))</f>
        <v/>
      </c>
      <c r="AL71" s="18">
        <f>IF($A71="","",MAX(0,IFERROR(INDEX('2_IMPORTAR_EJECUCION'!$H$9:$H$1208,MATCH($AT71,'2_IMPORTAR_EJECUCION'!$J$9:$J$1208,0)),0)-$AK71))</f>
        <v/>
      </c>
      <c r="AM71" s="18">
        <f>IF($A71="","",$AK71+$AL71)</f>
        <v/>
      </c>
      <c r="AN71" s="5">
        <f>IF($A71="","",IF(OR((IFERROR(INDEX('CAT_ACTIVIDADES'!$D$4:$D$11,MATCH($H71,'CAT_ACTIVIDADES'!$A$4:$A$11,0)),""))=0,(IFERROR(INDEX('CAT_ACTIVIDADES'!$D$4:$D$11,MATCH($H71,'CAT_ACTIVIDADES'!$A$4:$A$11,0)),""))=""),"SIN CLASIFICAR",IFERROR(INDEX('CAT_ACTIVIDADES'!$D$4:$D$11,MATCH($H71,'CAT_ACTIVIDADES'!$A$4:$A$11,0)),"")))</f>
        <v/>
      </c>
      <c r="AO71" s="4" t="inlineStr">
        <is>
          <t>PT-CALIENTE</t>
        </is>
      </c>
      <c r="AP71" s="4" t="inlineStr">
        <is>
          <t>LOTO</t>
        </is>
      </c>
      <c r="AQ71" s="4" t="inlineStr"/>
      <c r="AR71" s="5">
        <f>IF($AQ71="","",HYPERLINK(p_ruta_base_checklists&amp;$AQ71,"abrir"))</f>
        <v/>
      </c>
      <c r="AS71" s="4" t="inlineStr"/>
      <c r="AT71" s="5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22" t="n">
        <v>46240</v>
      </c>
      <c r="K72" s="5" t="n">
        <v>10</v>
      </c>
      <c r="L72" s="18" t="n">
        <v>250</v>
      </c>
      <c r="M72" s="5">
        <f>IF($A72="","",IFERROR(INDEX('AJUSTES'!$B$4:$B$303,MATCH($AT72,'AJUSTES'!$A$4:$A$303,0)),IF($K72="","",$K72)))</f>
        <v/>
      </c>
      <c r="N72" s="5">
        <f>IF($A72="","",IFERROR(INDEX('CAT_ESTADOS_ERP'!$B$4:$B$7,MATCH(IFERROR(INDEX('2_IMPORTAR_EJECUCION'!$C$9:$C$1208,MATCH($AT72,'2_IMPORTAR_EJECUCION'!$J$9:$J$1208,0)),""),'CAT_ESTADOS_ERP'!$A$4:$A$7,0)),"Pendiente"))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IF($J72="","",$P72&amp;"-"&amp;TEXT($Q72,"00"))</f>
        <v/>
      </c>
      <c r="S72" s="5">
        <f>IF($J72="","",INDEX(lista_dias,WEEKDAY($J72,2)))</f>
        <v/>
      </c>
      <c r="T72" s="5">
        <f>IF($J72="","",IFERROR(INDEX('CALENDARIO'!$C$15:$C$214,MATCH(TEXT($J72,"yyyy-mm-dd")&amp;"|"&amp;$X72&amp;"|"&amp;$Y72,'CALENDARIO'!$G$15:$G$214,0)),IFERROR(INDEX('CALENDARIO'!$C$15:$C$214,MATCH(TEXT($J72,"yyyy-mm-dd")&amp;"|"&amp;$X72&amp;"|",'CALENDARIO'!$G$15:$G$214,0)),IFERROR(INDEX('CALENDARIO'!$C$15:$C$214,MATCH(TEXT($J72,"yyyy-mm-dd")&amp;"||",'CALENDARIO'!$G$15:$G$214,0)),INDEX(patronHabil,WEEKDAY($J72,2))))))</f>
        <v/>
      </c>
      <c r="U72" s="5">
        <f>IF($I72="","",IFERROR(INDEX('CAT_TIPOS_OT'!$C$4:$C$8,MATCH($I72,'CAT_TIPOS_OT'!$A$4:$A$8,0)),"sin_clasificar"))</f>
        <v/>
      </c>
      <c r="V72" s="5">
        <f>IF($I72="","",IF(IFERROR(INDEX('CAT_TIPOS_OT'!$D$4:$D$8,MATCH($I72,'CAT_TIPOS_OT'!$A$4:$A$8,0)),"SIN CLASIFICAR")="","SIN CLASIFICAR",IFERROR(INDEX('CAT_TIPOS_OT'!$D$4:$D$8,MATCH($I72,'CAT_TIPOS_OT'!$A$4:$A$8,0)),"SIN CLASIFICAR")))</f>
        <v/>
      </c>
      <c r="W72" s="5">
        <f>IF($F72="","",IFERROR(INDEX('CAT_CENTROS_COSTO'!$F$4:$F$13,MATCH($F72,'CAT_CENTROS_COSTO'!$A$4:$A$13,0)),"(sin catálogo)"))</f>
        <v/>
      </c>
      <c r="X72" s="5">
        <f>IF($F72="","",IFERROR(INDEX('CAT_CENTROS_COSTO'!$D$4:$D$13,MATCH($F72,'CAT_CENTROS_COSTO'!$A$4:$A$13,0)),"(sin catálogo)"))</f>
        <v/>
      </c>
      <c r="Y72" s="5">
        <f>IF($F72="","",IF((IFERROR(INDEX('CAT_CENTROS_COSTO'!$E$4:$E$13,MATCH($F72,'CAT_CENTROS_COSTO'!$A$4:$A$13,0)),""))&lt;&gt;"",IFERROR(INDEX('CAT_CENTROS_COSTO'!$E$4:$E$13,MATCH($F72,'CAT_CENTROS_COSTO'!$A$4:$A$13,0)),""),$X72))</f>
        <v/>
      </c>
      <c r="Z72" s="5">
        <f>IF($F72="","",IFERROR(INDEX('CAT_CENTROS_COSTO'!$G$4:$G$13,MATCH($F72,'CAT_CENTROS_COSTO'!$A$4:$A$13,0)),"(sin catálogo)"))</f>
        <v/>
      </c>
      <c r="AA72" s="5">
        <f>IF($G72="","",IFERROR(INDEX('CAT_PUESTOS'!$B$4:$B$8,MATCH($G72,'CAT_PUESTOS'!$A$4:$A$8,0)),"(sin catálogo)"))</f>
        <v/>
      </c>
      <c r="AB72" s="5">
        <f>IF($H72="","",IFERROR(INDEX('CAT_ACTIVIDADES'!$B$4:$B$11,MATCH($H72,'CAT_ACTIVIDADES'!$A$4:$A$11,0)),"(sin catálogo)"))</f>
        <v/>
      </c>
      <c r="AC72" s="20">
        <f>IF($J72="","",TODAY()-$J72)</f>
        <v/>
      </c>
      <c r="AD72" s="20">
        <f>IF($J72="","",IF($J72&lt;=TODAY(),COUNTIFS(cal_fechas,"&gt;="&amp;$J72,cal_fechas,"&lt;"&amp;TODAY(),cal_habil,"sí"),-COUNTIFS(cal_fechas,"&gt;="&amp;TODAY(),cal_fechas,"&lt;"&amp;$J72,cal_habil,"sí")))</f>
        <v/>
      </c>
      <c r="AE72" s="5">
        <f>IF($AD72="","",IF($AD72&lt;0,"FUTURO",IF($AD72&gt;p_dias_backlog_max,"BACKLOG","MES CORRIENTE")))</f>
        <v/>
      </c>
      <c r="AF72" s="5">
        <f>IF($AD72="",FALSE,AND($AD72&gt;p_dias_backlog_min,$AD72&lt;=p_dias_backlog_max))</f>
        <v/>
      </c>
      <c r="AG72" s="4" t="inlineStr">
        <is>
          <t>Gabriela Rojas</t>
        </is>
      </c>
      <c r="AH72" s="5">
        <f>IF($AG72="","",IF((IFERROR(INDEX('ASIGNACIONES'!$J$4:$J$451,MATCH($O72&amp;"|"&amp;$S72&amp;"|"&amp;$AG72,'ASIGNACIONES'!$N$4:$N$451,0)),""))=0,"",IFERROR(INDEX('ASIGNACIONES'!$J$4:$J$451,MATCH($O72&amp;"|"&amp;$S72&amp;"|"&amp;$AG72,'ASIGNACIONES'!$N$4:$N$451,0)),"")))</f>
        <v/>
      </c>
      <c r="AI72" s="25">
        <f>IF($AG72="","",SUMIFS('ORDENES'!$M$4:$M$1203,'ORDENES'!$AG$4:$AG$1203,$AG72,'ORDENES'!$O$4:$O$1203,$O72,'ORDENES'!$S$4:$S$1203,$S72))</f>
        <v/>
      </c>
      <c r="AJ72" s="25">
        <f>IF($AI72="","",p_factor_productividad*IFERROR(INDEX('ASIGNACIONES'!$M$4:$M$451,MATCH($O72&amp;"|"&amp;$S72&amp;"|"&amp;$AG72,'ASIGNACIONES'!$N$4:$N$451,0)),0)-$AI72)</f>
        <v/>
      </c>
      <c r="AK72" s="18">
        <f>IF($A72="","",IFERROR(INDEX('2_IMPORTAR_EJECUCION'!$F$9:$F$1208,MATCH($AT72,'2_IMPORTAR_EJECUCION'!$J$9:$J$1208,0)),0))</f>
        <v/>
      </c>
      <c r="AL72" s="18">
        <f>IF($A72="","",MAX(0,IFERROR(INDEX('2_IMPORTAR_EJECUCION'!$H$9:$H$1208,MATCH($AT72,'2_IMPORTAR_EJECUCION'!$J$9:$J$1208,0)),0)-$AK72))</f>
        <v/>
      </c>
      <c r="AM72" s="18">
        <f>IF($A72="","",$AK72+$AL72)</f>
        <v/>
      </c>
      <c r="AN72" s="5">
        <f>IF($A72="","",IF(OR((IFERROR(INDEX('CAT_ACTIVIDADES'!$D$4:$D$11,MATCH($H72,'CAT_ACTIVIDADES'!$A$4:$A$11,0)),""))=0,(IFERROR(INDEX('CAT_ACTIVIDADES'!$D$4:$D$11,MATCH($H72,'CAT_ACTIVIDADES'!$A$4:$A$11,0)),""))=""),"SIN CLASIFICAR",IFERROR(INDEX('CAT_ACTIVIDADES'!$D$4:$D$11,MATCH($H72,'CAT_ACTIVIDADES'!$A$4:$A$11,0)),"")))</f>
        <v/>
      </c>
      <c r="AO72" s="4" t="inlineStr"/>
      <c r="AP72" s="4" t="inlineStr"/>
      <c r="AQ72" s="4" t="inlineStr">
        <is>
          <t>ACT-01.pdf</t>
        </is>
      </c>
      <c r="AR72" s="5">
        <f>IF($AQ72="","",HYPERLINK(p_ruta_base_checklists&amp;$AQ72,"abrir"))</f>
        <v/>
      </c>
      <c r="AS72" s="4" t="inlineStr"/>
      <c r="AT72" s="5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22" t="n">
        <v>46241</v>
      </c>
      <c r="K73" s="5" t="n">
        <v>8</v>
      </c>
      <c r="L73" s="18" t="n">
        <v>200</v>
      </c>
      <c r="M73" s="5">
        <f>IF($A73="","",IFERROR(INDEX('AJUSTES'!$B$4:$B$303,MATCH($AT73,'AJUSTES'!$A$4:$A$303,0)),IF($K73="","",$K73)))</f>
        <v/>
      </c>
      <c r="N73" s="5">
        <f>IF($A73="","",IFERROR(INDEX('CAT_ESTADOS_ERP'!$B$4:$B$7,MATCH(IFERROR(INDEX('2_IMPORTAR_EJECUCION'!$C$9:$C$1208,MATCH($AT73,'2_IMPORTAR_EJECUCION'!$J$9:$J$1208,0)),""),'CAT_ESTADOS_ERP'!$A$4:$A$7,0)),"Pendiente"))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IF($J73="","",$P73&amp;"-"&amp;TEXT($Q73,"00"))</f>
        <v/>
      </c>
      <c r="S73" s="5">
        <f>IF($J73="","",INDEX(lista_dias,WEEKDAY($J73,2)))</f>
        <v/>
      </c>
      <c r="T73" s="5">
        <f>IF($J73="","",IFERROR(INDEX('CALENDARIO'!$C$15:$C$214,MATCH(TEXT($J73,"yyyy-mm-dd")&amp;"|"&amp;$X73&amp;"|"&amp;$Y73,'CALENDARIO'!$G$15:$G$214,0)),IFERROR(INDEX('CALENDARIO'!$C$15:$C$214,MATCH(TEXT($J73,"yyyy-mm-dd")&amp;"|"&amp;$X73&amp;"|",'CALENDARIO'!$G$15:$G$214,0)),IFERROR(INDEX('CALENDARIO'!$C$15:$C$214,MATCH(TEXT($J73,"yyyy-mm-dd")&amp;"||",'CALENDARIO'!$G$15:$G$214,0)),INDEX(patronHabil,WEEKDAY($J73,2))))))</f>
        <v/>
      </c>
      <c r="U73" s="5">
        <f>IF($I73="","",IFERROR(INDEX('CAT_TIPOS_OT'!$C$4:$C$8,MATCH($I73,'CAT_TIPOS_OT'!$A$4:$A$8,0)),"sin_clasificar"))</f>
        <v/>
      </c>
      <c r="V73" s="5">
        <f>IF($I73="","",IF(IFERROR(INDEX('CAT_TIPOS_OT'!$D$4:$D$8,MATCH($I73,'CAT_TIPOS_OT'!$A$4:$A$8,0)),"SIN CLASIFICAR")="","SIN CLASIFICAR",IFERROR(INDEX('CAT_TIPOS_OT'!$D$4:$D$8,MATCH($I73,'CAT_TIPOS_OT'!$A$4:$A$8,0)),"SIN CLASIFICAR")))</f>
        <v/>
      </c>
      <c r="W73" s="5">
        <f>IF($F73="","",IFERROR(INDEX('CAT_CENTROS_COSTO'!$F$4:$F$13,MATCH($F73,'CAT_CENTROS_COSTO'!$A$4:$A$13,0)),"(sin catálogo)"))</f>
        <v/>
      </c>
      <c r="X73" s="5">
        <f>IF($F73="","",IFERROR(INDEX('CAT_CENTROS_COSTO'!$D$4:$D$13,MATCH($F73,'CAT_CENTROS_COSTO'!$A$4:$A$13,0)),"(sin catálogo)"))</f>
        <v/>
      </c>
      <c r="Y73" s="5">
        <f>IF($F73="","",IF((IFERROR(INDEX('CAT_CENTROS_COSTO'!$E$4:$E$13,MATCH($F73,'CAT_CENTROS_COSTO'!$A$4:$A$13,0)),""))&lt;&gt;"",IFERROR(INDEX('CAT_CENTROS_COSTO'!$E$4:$E$13,MATCH($F73,'CAT_CENTROS_COSTO'!$A$4:$A$13,0)),""),$X73))</f>
        <v/>
      </c>
      <c r="Z73" s="5">
        <f>IF($F73="","",IFERROR(INDEX('CAT_CENTROS_COSTO'!$G$4:$G$13,MATCH($F73,'CAT_CENTROS_COSTO'!$A$4:$A$13,0)),"(sin catálogo)"))</f>
        <v/>
      </c>
      <c r="AA73" s="5">
        <f>IF($G73="","",IFERROR(INDEX('CAT_PUESTOS'!$B$4:$B$8,MATCH($G73,'CAT_PUESTOS'!$A$4:$A$8,0)),"(sin catálogo)"))</f>
        <v/>
      </c>
      <c r="AB73" s="5">
        <f>IF($H73="","",IFERROR(INDEX('CAT_ACTIVIDADES'!$B$4:$B$11,MATCH($H73,'CAT_ACTIVIDADES'!$A$4:$A$11,0)),"(sin catálogo)"))</f>
        <v/>
      </c>
      <c r="AC73" s="20">
        <f>IF($J73="","",TODAY()-$J73)</f>
        <v/>
      </c>
      <c r="AD73" s="20">
        <f>IF($J73="","",IF($J73&lt;=TODAY(),COUNTIFS(cal_fechas,"&gt;="&amp;$J73,cal_fechas,"&lt;"&amp;TODAY(),cal_habil,"sí"),-COUNTIFS(cal_fechas,"&gt;="&amp;TODAY(),cal_fechas,"&lt;"&amp;$J73,cal_habil,"sí")))</f>
        <v/>
      </c>
      <c r="AE73" s="5">
        <f>IF($AD73="","",IF($AD73&lt;0,"FUTURO",IF($AD73&gt;p_dias_backlog_max,"BACKLOG","MES CORRIENTE")))</f>
        <v/>
      </c>
      <c r="AF73" s="5">
        <f>IF($AD73="",FALSE,AND($AD73&gt;p_dias_backlog_min,$AD73&lt;=p_dias_backlog_max))</f>
        <v/>
      </c>
      <c r="AG73" s="4" t="inlineStr">
        <is>
          <t>Fernando Mendoza</t>
        </is>
      </c>
      <c r="AH73" s="5">
        <f>IF($AG73="","",IF((IFERROR(INDEX('ASIGNACIONES'!$J$4:$J$451,MATCH($O73&amp;"|"&amp;$S73&amp;"|"&amp;$AG73,'ASIGNACIONES'!$N$4:$N$451,0)),""))=0,"",IFERROR(INDEX('ASIGNACIONES'!$J$4:$J$451,MATCH($O73&amp;"|"&amp;$S73&amp;"|"&amp;$AG73,'ASIGNACIONES'!$N$4:$N$451,0)),"")))</f>
        <v/>
      </c>
      <c r="AI73" s="25">
        <f>IF($AG73="","",SUMIFS('ORDENES'!$M$4:$M$1203,'ORDENES'!$AG$4:$AG$1203,$AG73,'ORDENES'!$O$4:$O$1203,$O73,'ORDENES'!$S$4:$S$1203,$S73))</f>
        <v/>
      </c>
      <c r="AJ73" s="25">
        <f>IF($AI73="","",p_factor_productividad*IFERROR(INDEX('ASIGNACIONES'!$M$4:$M$451,MATCH($O73&amp;"|"&amp;$S73&amp;"|"&amp;$AG73,'ASIGNACIONES'!$N$4:$N$451,0)),0)-$AI73)</f>
        <v/>
      </c>
      <c r="AK73" s="18">
        <f>IF($A73="","",IFERROR(INDEX('2_IMPORTAR_EJECUCION'!$F$9:$F$1208,MATCH($AT73,'2_IMPORTAR_EJECUCION'!$J$9:$J$1208,0)),0))</f>
        <v/>
      </c>
      <c r="AL73" s="18">
        <f>IF($A73="","",MAX(0,IFERROR(INDEX('2_IMPORTAR_EJECUCION'!$H$9:$H$1208,MATCH($AT73,'2_IMPORTAR_EJECUCION'!$J$9:$J$1208,0)),0)-$AK73))</f>
        <v/>
      </c>
      <c r="AM73" s="18">
        <f>IF($A73="","",$AK73+$AL73)</f>
        <v/>
      </c>
      <c r="AN73" s="5">
        <f>IF($A73="","",IF(OR((IFERROR(INDEX('CAT_ACTIVIDADES'!$D$4:$D$11,MATCH($H73,'CAT_ACTIVIDADES'!$A$4:$A$11,0)),""))=0,(IFERROR(INDEX('CAT_ACTIVIDADES'!$D$4:$D$11,MATCH($H73,'CAT_ACTIVIDADES'!$A$4:$A$11,0)),""))=""),"SIN CLASIFICAR",IFERROR(INDEX('CAT_ACTIVIDADES'!$D$4:$D$11,MATCH($H73,'CAT_ACTIVIDADES'!$A$4:$A$11,0)),"")))</f>
        <v/>
      </c>
      <c r="AO73" s="4" t="inlineStr"/>
      <c r="AP73" s="4" t="inlineStr"/>
      <c r="AQ73" s="4" t="inlineStr">
        <is>
          <t>ACT-02.pdf</t>
        </is>
      </c>
      <c r="AR73" s="5">
        <f>IF($AQ73="","",HYPERLINK(p_ruta_base_checklists&amp;$AQ73,"abrir"))</f>
        <v/>
      </c>
      <c r="AS73" s="4" t="inlineStr"/>
      <c r="AT73" s="5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22" t="n">
        <v>46237</v>
      </c>
      <c r="K74" s="5" t="n">
        <v>6</v>
      </c>
      <c r="L74" s="18" t="n">
        <v>150</v>
      </c>
      <c r="M74" s="5">
        <f>IF($A74="","",IFERROR(INDEX('AJUSTES'!$B$4:$B$303,MATCH($AT74,'AJUSTES'!$A$4:$A$303,0)),IF($K74="","",$K74)))</f>
        <v/>
      </c>
      <c r="N74" s="5">
        <f>IF($A74="","",IFERROR(INDEX('CAT_ESTADOS_ERP'!$B$4:$B$7,MATCH(IFERROR(INDEX('2_IMPORTAR_EJECUCION'!$C$9:$C$1208,MATCH($AT74,'2_IMPORTAR_EJECUCION'!$J$9:$J$1208,0)),""),'CAT_ESTADOS_ERP'!$A$4:$A$7,0)),"Pendiente"))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IF($J74="","",$P74&amp;"-"&amp;TEXT($Q74,"00"))</f>
        <v/>
      </c>
      <c r="S74" s="5">
        <f>IF($J74="","",INDEX(lista_dias,WEEKDAY($J74,2)))</f>
        <v/>
      </c>
      <c r="T74" s="5">
        <f>IF($J74="","",IFERROR(INDEX('CALENDARIO'!$C$15:$C$214,MATCH(TEXT($J74,"yyyy-mm-dd")&amp;"|"&amp;$X74&amp;"|"&amp;$Y74,'CALENDARIO'!$G$15:$G$214,0)),IFERROR(INDEX('CALENDARIO'!$C$15:$C$214,MATCH(TEXT($J74,"yyyy-mm-dd")&amp;"|"&amp;$X74&amp;"|",'CALENDARIO'!$G$15:$G$214,0)),IFERROR(INDEX('CALENDARIO'!$C$15:$C$214,MATCH(TEXT($J74,"yyyy-mm-dd")&amp;"||",'CALENDARIO'!$G$15:$G$214,0)),INDEX(patronHabil,WEEKDAY($J74,2))))))</f>
        <v/>
      </c>
      <c r="U74" s="5">
        <f>IF($I74="","",IFERROR(INDEX('CAT_TIPOS_OT'!$C$4:$C$8,MATCH($I74,'CAT_TIPOS_OT'!$A$4:$A$8,0)),"sin_clasificar"))</f>
        <v/>
      </c>
      <c r="V74" s="5">
        <f>IF($I74="","",IF(IFERROR(INDEX('CAT_TIPOS_OT'!$D$4:$D$8,MATCH($I74,'CAT_TIPOS_OT'!$A$4:$A$8,0)),"SIN CLASIFICAR")="","SIN CLASIFICAR",IFERROR(INDEX('CAT_TIPOS_OT'!$D$4:$D$8,MATCH($I74,'CAT_TIPOS_OT'!$A$4:$A$8,0)),"SIN CLASIFICAR")))</f>
        <v/>
      </c>
      <c r="W74" s="5">
        <f>IF($F74="","",IFERROR(INDEX('CAT_CENTROS_COSTO'!$F$4:$F$13,MATCH($F74,'CAT_CENTROS_COSTO'!$A$4:$A$13,0)),"(sin catálogo)"))</f>
        <v/>
      </c>
      <c r="X74" s="5">
        <f>IF($F74="","",IFERROR(INDEX('CAT_CENTROS_COSTO'!$D$4:$D$13,MATCH($F74,'CAT_CENTROS_COSTO'!$A$4:$A$13,0)),"(sin catálogo)"))</f>
        <v/>
      </c>
      <c r="Y74" s="5">
        <f>IF($F74="","",IF((IFERROR(INDEX('CAT_CENTROS_COSTO'!$E$4:$E$13,MATCH($F74,'CAT_CENTROS_COSTO'!$A$4:$A$13,0)),""))&lt;&gt;"",IFERROR(INDEX('CAT_CENTROS_COSTO'!$E$4:$E$13,MATCH($F74,'CAT_CENTROS_COSTO'!$A$4:$A$13,0)),""),$X74))</f>
        <v/>
      </c>
      <c r="Z74" s="5">
        <f>IF($F74="","",IFERROR(INDEX('CAT_CENTROS_COSTO'!$G$4:$G$13,MATCH($F74,'CAT_CENTROS_COSTO'!$A$4:$A$13,0)),"(sin catálogo)"))</f>
        <v/>
      </c>
      <c r="AA74" s="5">
        <f>IF($G74="","",IFERROR(INDEX('CAT_PUESTOS'!$B$4:$B$8,MATCH($G74,'CAT_PUESTOS'!$A$4:$A$8,0)),"(sin catálogo)"))</f>
        <v/>
      </c>
      <c r="AB74" s="5">
        <f>IF($H74="","",IFERROR(INDEX('CAT_ACTIVIDADES'!$B$4:$B$11,MATCH($H74,'CAT_ACTIVIDADES'!$A$4:$A$11,0)),"(sin catálogo)"))</f>
        <v/>
      </c>
      <c r="AC74" s="20">
        <f>IF($J74="","",TODAY()-$J74)</f>
        <v/>
      </c>
      <c r="AD74" s="20">
        <f>IF($J74="","",IF($J74&lt;=TODAY(),COUNTIFS(cal_fechas,"&gt;="&amp;$J74,cal_fechas,"&lt;"&amp;TODAY(),cal_habil,"sí"),-COUNTIFS(cal_fechas,"&gt;="&amp;TODAY(),cal_fechas,"&lt;"&amp;$J74,cal_habil,"sí")))</f>
        <v/>
      </c>
      <c r="AE74" s="5">
        <f>IF($AD74="","",IF($AD74&lt;0,"FUTURO",IF($AD74&gt;p_dias_backlog_max,"BACKLOG","MES CORRIENTE")))</f>
        <v/>
      </c>
      <c r="AF74" s="5">
        <f>IF($AD74="",FALSE,AND($AD74&gt;p_dias_backlog_min,$AD74&lt;=p_dias_backlog_max))</f>
        <v/>
      </c>
      <c r="AG74" s="4" t="inlineStr">
        <is>
          <t>Jorge Díaz</t>
        </is>
      </c>
      <c r="AH74" s="5">
        <f>IF($AG74="","",IF((IFERROR(INDEX('ASIGNACIONES'!$J$4:$J$451,MATCH($O74&amp;"|"&amp;$S74&amp;"|"&amp;$AG74,'ASIGNACIONES'!$N$4:$N$451,0)),""))=0,"",IFERROR(INDEX('ASIGNACIONES'!$J$4:$J$451,MATCH($O74&amp;"|"&amp;$S74&amp;"|"&amp;$AG74,'ASIGNACIONES'!$N$4:$N$451,0)),"")))</f>
        <v/>
      </c>
      <c r="AI74" s="25">
        <f>IF($AG74="","",SUMIFS('ORDENES'!$M$4:$M$1203,'ORDENES'!$AG$4:$AG$1203,$AG74,'ORDENES'!$O$4:$O$1203,$O74,'ORDENES'!$S$4:$S$1203,$S74))</f>
        <v/>
      </c>
      <c r="AJ74" s="25">
        <f>IF($AI74="","",p_factor_productividad*IFERROR(INDEX('ASIGNACIONES'!$M$4:$M$451,MATCH($O74&amp;"|"&amp;$S74&amp;"|"&amp;$AG74,'ASIGNACIONES'!$N$4:$N$451,0)),0)-$AI74)</f>
        <v/>
      </c>
      <c r="AK74" s="18">
        <f>IF($A74="","",IFERROR(INDEX('2_IMPORTAR_EJECUCION'!$F$9:$F$1208,MATCH($AT74,'2_IMPORTAR_EJECUCION'!$J$9:$J$1208,0)),0))</f>
        <v/>
      </c>
      <c r="AL74" s="18">
        <f>IF($A74="","",MAX(0,IFERROR(INDEX('2_IMPORTAR_EJECUCION'!$H$9:$H$1208,MATCH($AT74,'2_IMPORTAR_EJECUCION'!$J$9:$J$1208,0)),0)-$AK74))</f>
        <v/>
      </c>
      <c r="AM74" s="18">
        <f>IF($A74="","",$AK74+$AL74)</f>
        <v/>
      </c>
      <c r="AN74" s="5">
        <f>IF($A74="","",IF(OR((IFERROR(INDEX('CAT_ACTIVIDADES'!$D$4:$D$11,MATCH($H74,'CAT_ACTIVIDADES'!$A$4:$A$11,0)),""))=0,(IFERROR(INDEX('CAT_ACTIVIDADES'!$D$4:$D$11,MATCH($H74,'CAT_ACTIVIDADES'!$A$4:$A$11,0)),""))=""),"SIN CLASIFICAR",IFERROR(INDEX('CAT_ACTIVIDADES'!$D$4:$D$11,MATCH($H74,'CAT_ACTIVIDADES'!$A$4:$A$11,0)),"")))</f>
        <v/>
      </c>
      <c r="AO74" s="4" t="inlineStr"/>
      <c r="AP74" s="4" t="inlineStr"/>
      <c r="AQ74" s="4" t="inlineStr">
        <is>
          <t>ACT-04.pdf</t>
        </is>
      </c>
      <c r="AR74" s="5">
        <f>IF($AQ74="","",HYPERLINK(p_ruta_base_checklists&amp;$AQ74,"abrir"))</f>
        <v/>
      </c>
      <c r="AS74" s="4" t="inlineStr"/>
      <c r="AT74" s="5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22" t="n">
        <v>46238</v>
      </c>
      <c r="K75" s="5" t="n">
        <v>10</v>
      </c>
      <c r="L75" s="18" t="n">
        <v>250</v>
      </c>
      <c r="M75" s="5">
        <f>IF($A75="","",IFERROR(INDEX('AJUSTES'!$B$4:$B$303,MATCH($AT75,'AJUSTES'!$A$4:$A$303,0)),IF($K75="","",$K75)))</f>
        <v/>
      </c>
      <c r="N75" s="5">
        <f>IF($A75="","",IFERROR(INDEX('CAT_ESTADOS_ERP'!$B$4:$B$7,MATCH(IFERROR(INDEX('2_IMPORTAR_EJECUCION'!$C$9:$C$1208,MATCH($AT75,'2_IMPORTAR_EJECUCION'!$J$9:$J$1208,0)),""),'CAT_ESTADOS_ERP'!$A$4:$A$7,0)),"Pendiente"))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IF($J75="","",$P75&amp;"-"&amp;TEXT($Q75,"00"))</f>
        <v/>
      </c>
      <c r="S75" s="5">
        <f>IF($J75="","",INDEX(lista_dias,WEEKDAY($J75,2)))</f>
        <v/>
      </c>
      <c r="T75" s="5">
        <f>IF($J75="","",IFERROR(INDEX('CALENDARIO'!$C$15:$C$214,MATCH(TEXT($J75,"yyyy-mm-dd")&amp;"|"&amp;$X75&amp;"|"&amp;$Y75,'CALENDARIO'!$G$15:$G$214,0)),IFERROR(INDEX('CALENDARIO'!$C$15:$C$214,MATCH(TEXT($J75,"yyyy-mm-dd")&amp;"|"&amp;$X75&amp;"|",'CALENDARIO'!$G$15:$G$214,0)),IFERROR(INDEX('CALENDARIO'!$C$15:$C$214,MATCH(TEXT($J75,"yyyy-mm-dd")&amp;"||",'CALENDARIO'!$G$15:$G$214,0)),INDEX(patronHabil,WEEKDAY($J75,2))))))</f>
        <v/>
      </c>
      <c r="U75" s="5">
        <f>IF($I75="","",IFERROR(INDEX('CAT_TIPOS_OT'!$C$4:$C$8,MATCH($I75,'CAT_TIPOS_OT'!$A$4:$A$8,0)),"sin_clasificar"))</f>
        <v/>
      </c>
      <c r="V75" s="5">
        <f>IF($I75="","",IF(IFERROR(INDEX('CAT_TIPOS_OT'!$D$4:$D$8,MATCH($I75,'CAT_TIPOS_OT'!$A$4:$A$8,0)),"SIN CLASIFICAR")="","SIN CLASIFICAR",IFERROR(INDEX('CAT_TIPOS_OT'!$D$4:$D$8,MATCH($I75,'CAT_TIPOS_OT'!$A$4:$A$8,0)),"SIN CLASIFICAR")))</f>
        <v/>
      </c>
      <c r="W75" s="5">
        <f>IF($F75="","",IFERROR(INDEX('CAT_CENTROS_COSTO'!$F$4:$F$13,MATCH($F75,'CAT_CENTROS_COSTO'!$A$4:$A$13,0)),"(sin catálogo)"))</f>
        <v/>
      </c>
      <c r="X75" s="5">
        <f>IF($F75="","",IFERROR(INDEX('CAT_CENTROS_COSTO'!$D$4:$D$13,MATCH($F75,'CAT_CENTROS_COSTO'!$A$4:$A$13,0)),"(sin catálogo)"))</f>
        <v/>
      </c>
      <c r="Y75" s="5">
        <f>IF($F75="","",IF((IFERROR(INDEX('CAT_CENTROS_COSTO'!$E$4:$E$13,MATCH($F75,'CAT_CENTROS_COSTO'!$A$4:$A$13,0)),""))&lt;&gt;"",IFERROR(INDEX('CAT_CENTROS_COSTO'!$E$4:$E$13,MATCH($F75,'CAT_CENTROS_COSTO'!$A$4:$A$13,0)),""),$X75))</f>
        <v/>
      </c>
      <c r="Z75" s="5">
        <f>IF($F75="","",IFERROR(INDEX('CAT_CENTROS_COSTO'!$G$4:$G$13,MATCH($F75,'CAT_CENTROS_COSTO'!$A$4:$A$13,0)),"(sin catálogo)"))</f>
        <v/>
      </c>
      <c r="AA75" s="5">
        <f>IF($G75="","",IFERROR(INDEX('CAT_PUESTOS'!$B$4:$B$8,MATCH($G75,'CAT_PUESTOS'!$A$4:$A$8,0)),"(sin catálogo)"))</f>
        <v/>
      </c>
      <c r="AB75" s="5">
        <f>IF($H75="","",IFERROR(INDEX('CAT_ACTIVIDADES'!$B$4:$B$11,MATCH($H75,'CAT_ACTIVIDADES'!$A$4:$A$11,0)),"(sin catálogo)"))</f>
        <v/>
      </c>
      <c r="AC75" s="20">
        <f>IF($J75="","",TODAY()-$J75)</f>
        <v/>
      </c>
      <c r="AD75" s="20">
        <f>IF($J75="","",IF($J75&lt;=TODAY(),COUNTIFS(cal_fechas,"&gt;="&amp;$J75,cal_fechas,"&lt;"&amp;TODAY(),cal_habil,"sí"),-COUNTIFS(cal_fechas,"&gt;="&amp;TODAY(),cal_fechas,"&lt;"&amp;$J75,cal_habil,"sí")))</f>
        <v/>
      </c>
      <c r="AE75" s="5">
        <f>IF($AD75="","",IF($AD75&lt;0,"FUTURO",IF($AD75&gt;p_dias_backlog_max,"BACKLOG","MES CORRIENTE")))</f>
        <v/>
      </c>
      <c r="AF75" s="5">
        <f>IF($AD75="",FALSE,AND($AD75&gt;p_dias_backlog_min,$AD75&lt;=p_dias_backlog_max))</f>
        <v/>
      </c>
      <c r="AG75" s="4" t="inlineStr"/>
      <c r="AH75" s="5">
        <f>IF($AG75="","",IF((IFERROR(INDEX('ASIGNACIONES'!$J$4:$J$451,MATCH($O75&amp;"|"&amp;$S75&amp;"|"&amp;$AG75,'ASIGNACIONES'!$N$4:$N$451,0)),""))=0,"",IFERROR(INDEX('ASIGNACIONES'!$J$4:$J$451,MATCH($O75&amp;"|"&amp;$S75&amp;"|"&amp;$AG75,'ASIGNACIONES'!$N$4:$N$451,0)),"")))</f>
        <v/>
      </c>
      <c r="AI75" s="25">
        <f>IF($AG75="","",SUMIFS('ORDENES'!$M$4:$M$1203,'ORDENES'!$AG$4:$AG$1203,$AG75,'ORDENES'!$O$4:$O$1203,$O75,'ORDENES'!$S$4:$S$1203,$S75))</f>
        <v/>
      </c>
      <c r="AJ75" s="25">
        <f>IF($AI75="","",p_factor_productividad*IFERROR(INDEX('ASIGNACIONES'!$M$4:$M$451,MATCH($O75&amp;"|"&amp;$S75&amp;"|"&amp;$AG75,'ASIGNACIONES'!$N$4:$N$451,0)),0)-$AI75)</f>
        <v/>
      </c>
      <c r="AK75" s="18">
        <f>IF($A75="","",IFERROR(INDEX('2_IMPORTAR_EJECUCION'!$F$9:$F$1208,MATCH($AT75,'2_IMPORTAR_EJECUCION'!$J$9:$J$1208,0)),0))</f>
        <v/>
      </c>
      <c r="AL75" s="18">
        <f>IF($A75="","",MAX(0,IFERROR(INDEX('2_IMPORTAR_EJECUCION'!$H$9:$H$1208,MATCH($AT75,'2_IMPORTAR_EJECUCION'!$J$9:$J$1208,0)),0)-$AK75))</f>
        <v/>
      </c>
      <c r="AM75" s="18">
        <f>IF($A75="","",$AK75+$AL75)</f>
        <v/>
      </c>
      <c r="AN75" s="5">
        <f>IF($A75="","",IF(OR((IFERROR(INDEX('CAT_ACTIVIDADES'!$D$4:$D$11,MATCH($H75,'CAT_ACTIVIDADES'!$A$4:$A$11,0)),""))=0,(IFERROR(INDEX('CAT_ACTIVIDADES'!$D$4:$D$11,MATCH($H75,'CAT_ACTIVIDADES'!$A$4:$A$11,0)),""))=""),"SIN CLASIFICAR",IFERROR(INDEX('CAT_ACTIVIDADES'!$D$4:$D$11,MATCH($H75,'CAT_ACTIVIDADES'!$A$4:$A$11,0)),"")))</f>
        <v/>
      </c>
      <c r="AO75" s="4" t="inlineStr"/>
      <c r="AP75" s="4" t="inlineStr"/>
      <c r="AQ75" s="4" t="inlineStr">
        <is>
          <t>ACT-01.pdf</t>
        </is>
      </c>
      <c r="AR75" s="5">
        <f>IF($AQ75="","",HYPERLINK(p_ruta_base_checklists&amp;$AQ75,"abrir"))</f>
        <v/>
      </c>
      <c r="AS75" s="4" t="inlineStr"/>
      <c r="AT75" s="5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22" t="n">
        <v>46239</v>
      </c>
      <c r="K76" s="5" t="n">
        <v>8</v>
      </c>
      <c r="L76" s="18" t="n">
        <v>200</v>
      </c>
      <c r="M76" s="5">
        <f>IF($A76="","",IFERROR(INDEX('AJUSTES'!$B$4:$B$303,MATCH($AT76,'AJUSTES'!$A$4:$A$303,0)),IF($K76="","",$K76)))</f>
        <v/>
      </c>
      <c r="N76" s="5">
        <f>IF($A76="","",IFERROR(INDEX('CAT_ESTADOS_ERP'!$B$4:$B$7,MATCH(IFERROR(INDEX('2_IMPORTAR_EJECUCION'!$C$9:$C$1208,MATCH($AT76,'2_IMPORTAR_EJECUCION'!$J$9:$J$1208,0)),""),'CAT_ESTADOS_ERP'!$A$4:$A$7,0)),"Pendiente"))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IF($J76="","",$P76&amp;"-"&amp;TEXT($Q76,"00"))</f>
        <v/>
      </c>
      <c r="S76" s="5">
        <f>IF($J76="","",INDEX(lista_dias,WEEKDAY($J76,2)))</f>
        <v/>
      </c>
      <c r="T76" s="5">
        <f>IF($J76="","",IFERROR(INDEX('CALENDARIO'!$C$15:$C$214,MATCH(TEXT($J76,"yyyy-mm-dd")&amp;"|"&amp;$X76&amp;"|"&amp;$Y76,'CALENDARIO'!$G$15:$G$214,0)),IFERROR(INDEX('CALENDARIO'!$C$15:$C$214,MATCH(TEXT($J76,"yyyy-mm-dd")&amp;"|"&amp;$X76&amp;"|",'CALENDARIO'!$G$15:$G$214,0)),IFERROR(INDEX('CALENDARIO'!$C$15:$C$214,MATCH(TEXT($J76,"yyyy-mm-dd")&amp;"||",'CALENDARIO'!$G$15:$G$214,0)),INDEX(patronHabil,WEEKDAY($J76,2))))))</f>
        <v/>
      </c>
      <c r="U76" s="5">
        <f>IF($I76="","",IFERROR(INDEX('CAT_TIPOS_OT'!$C$4:$C$8,MATCH($I76,'CAT_TIPOS_OT'!$A$4:$A$8,0)),"sin_clasificar"))</f>
        <v/>
      </c>
      <c r="V76" s="5">
        <f>IF($I76="","",IF(IFERROR(INDEX('CAT_TIPOS_OT'!$D$4:$D$8,MATCH($I76,'CAT_TIPOS_OT'!$A$4:$A$8,0)),"SIN CLASIFICAR")="","SIN CLASIFICAR",IFERROR(INDEX('CAT_TIPOS_OT'!$D$4:$D$8,MATCH($I76,'CAT_TIPOS_OT'!$A$4:$A$8,0)),"SIN CLASIFICAR")))</f>
        <v/>
      </c>
      <c r="W76" s="5">
        <f>IF($F76="","",IFERROR(INDEX('CAT_CENTROS_COSTO'!$F$4:$F$13,MATCH($F76,'CAT_CENTROS_COSTO'!$A$4:$A$13,0)),"(sin catálogo)"))</f>
        <v/>
      </c>
      <c r="X76" s="5">
        <f>IF($F76="","",IFERROR(INDEX('CAT_CENTROS_COSTO'!$D$4:$D$13,MATCH($F76,'CAT_CENTROS_COSTO'!$A$4:$A$13,0)),"(sin catálogo)"))</f>
        <v/>
      </c>
      <c r="Y76" s="5">
        <f>IF($F76="","",IF((IFERROR(INDEX('CAT_CENTROS_COSTO'!$E$4:$E$13,MATCH($F76,'CAT_CENTROS_COSTO'!$A$4:$A$13,0)),""))&lt;&gt;"",IFERROR(INDEX('CAT_CENTROS_COSTO'!$E$4:$E$13,MATCH($F76,'CAT_CENTROS_COSTO'!$A$4:$A$13,0)),""),$X76))</f>
        <v/>
      </c>
      <c r="Z76" s="5">
        <f>IF($F76="","",IFERROR(INDEX('CAT_CENTROS_COSTO'!$G$4:$G$13,MATCH($F76,'CAT_CENTROS_COSTO'!$A$4:$A$13,0)),"(sin catálogo)"))</f>
        <v/>
      </c>
      <c r="AA76" s="5">
        <f>IF($G76="","",IFERROR(INDEX('CAT_PUESTOS'!$B$4:$B$8,MATCH($G76,'CAT_PUESTOS'!$A$4:$A$8,0)),"(sin catálogo)"))</f>
        <v/>
      </c>
      <c r="AB76" s="5">
        <f>IF($H76="","",IFERROR(INDEX('CAT_ACTIVIDADES'!$B$4:$B$11,MATCH($H76,'CAT_ACTIVIDADES'!$A$4:$A$11,0)),"(sin catálogo)"))</f>
        <v/>
      </c>
      <c r="AC76" s="20">
        <f>IF($J76="","",TODAY()-$J76)</f>
        <v/>
      </c>
      <c r="AD76" s="20">
        <f>IF($J76="","",IF($J76&lt;=TODAY(),COUNTIFS(cal_fechas,"&gt;="&amp;$J76,cal_fechas,"&lt;"&amp;TODAY(),cal_habil,"sí"),-COUNTIFS(cal_fechas,"&gt;="&amp;TODAY(),cal_fechas,"&lt;"&amp;$J76,cal_habil,"sí")))</f>
        <v/>
      </c>
      <c r="AE76" s="5">
        <f>IF($AD76="","",IF($AD76&lt;0,"FUTURO",IF($AD76&gt;p_dias_backlog_max,"BACKLOG","MES CORRIENTE")))</f>
        <v/>
      </c>
      <c r="AF76" s="5">
        <f>IF($AD76="",FALSE,AND($AD76&gt;p_dias_backlog_min,$AD76&lt;=p_dias_backlog_max))</f>
        <v/>
      </c>
      <c r="AG76" s="4" t="inlineStr">
        <is>
          <t>Laura Morales</t>
        </is>
      </c>
      <c r="AH76" s="5">
        <f>IF($AG76="","",IF((IFERROR(INDEX('ASIGNACIONES'!$J$4:$J$451,MATCH($O76&amp;"|"&amp;$S76&amp;"|"&amp;$AG76,'ASIGNACIONES'!$N$4:$N$451,0)),""))=0,"",IFERROR(INDEX('ASIGNACIONES'!$J$4:$J$451,MATCH($O76&amp;"|"&amp;$S76&amp;"|"&amp;$AG76,'ASIGNACIONES'!$N$4:$N$451,0)),"")))</f>
        <v/>
      </c>
      <c r="AI76" s="25">
        <f>IF($AG76="","",SUMIFS('ORDENES'!$M$4:$M$1203,'ORDENES'!$AG$4:$AG$1203,$AG76,'ORDENES'!$O$4:$O$1203,$O76,'ORDENES'!$S$4:$S$1203,$S76))</f>
        <v/>
      </c>
      <c r="AJ76" s="25">
        <f>IF($AI76="","",p_factor_productividad*IFERROR(INDEX('ASIGNACIONES'!$M$4:$M$451,MATCH($O76&amp;"|"&amp;$S76&amp;"|"&amp;$AG76,'ASIGNACIONES'!$N$4:$N$451,0)),0)-$AI76)</f>
        <v/>
      </c>
      <c r="AK76" s="18">
        <f>IF($A76="","",IFERROR(INDEX('2_IMPORTAR_EJECUCION'!$F$9:$F$1208,MATCH($AT76,'2_IMPORTAR_EJECUCION'!$J$9:$J$1208,0)),0))</f>
        <v/>
      </c>
      <c r="AL76" s="18">
        <f>IF($A76="","",MAX(0,IFERROR(INDEX('2_IMPORTAR_EJECUCION'!$H$9:$H$1208,MATCH($AT76,'2_IMPORTAR_EJECUCION'!$J$9:$J$1208,0)),0)-$AK76))</f>
        <v/>
      </c>
      <c r="AM76" s="18">
        <f>IF($A76="","",$AK76+$AL76)</f>
        <v/>
      </c>
      <c r="AN76" s="5">
        <f>IF($A76="","",IF(OR((IFERROR(INDEX('CAT_ACTIVIDADES'!$D$4:$D$11,MATCH($H76,'CAT_ACTIVIDADES'!$A$4:$A$11,0)),""))=0,(IFERROR(INDEX('CAT_ACTIVIDADES'!$D$4:$D$11,MATCH($H76,'CAT_ACTIVIDADES'!$A$4:$A$11,0)),""))=""),"SIN CLASIFICAR",IFERROR(INDEX('CAT_ACTIVIDADES'!$D$4:$D$11,MATCH($H76,'CAT_ACTIVIDADES'!$A$4:$A$11,0)),"")))</f>
        <v/>
      </c>
      <c r="AO76" s="4" t="inlineStr"/>
      <c r="AP76" s="4" t="inlineStr"/>
      <c r="AQ76" s="4" t="inlineStr">
        <is>
          <t>ACT-02.pdf</t>
        </is>
      </c>
      <c r="AR76" s="5">
        <f>IF($AQ76="","",HYPERLINK(p_ruta_base_checklists&amp;$AQ76,"abrir"))</f>
        <v/>
      </c>
      <c r="AS76" s="4" t="inlineStr"/>
      <c r="AT76" s="5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22" t="n">
        <v>46240</v>
      </c>
      <c r="K77" s="5" t="n">
        <v>6</v>
      </c>
      <c r="L77" s="18" t="n">
        <v>150</v>
      </c>
      <c r="M77" s="5">
        <f>IF($A77="","",IFERROR(INDEX('AJUSTES'!$B$4:$B$303,MATCH($AT77,'AJUSTES'!$A$4:$A$303,0)),IF($K77="","",$K77)))</f>
        <v/>
      </c>
      <c r="N77" s="5">
        <f>IF($A77="","",IFERROR(INDEX('CAT_ESTADOS_ERP'!$B$4:$B$7,MATCH(IFERROR(INDEX('2_IMPORTAR_EJECUCION'!$C$9:$C$1208,MATCH($AT77,'2_IMPORTAR_EJECUCION'!$J$9:$J$1208,0)),""),'CAT_ESTADOS_ERP'!$A$4:$A$7,0)),"Pendiente"))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IF($J77="","",$P77&amp;"-"&amp;TEXT($Q77,"00"))</f>
        <v/>
      </c>
      <c r="S77" s="5">
        <f>IF($J77="","",INDEX(lista_dias,WEEKDAY($J77,2)))</f>
        <v/>
      </c>
      <c r="T77" s="5">
        <f>IF($J77="","",IFERROR(INDEX('CALENDARIO'!$C$15:$C$214,MATCH(TEXT($J77,"yyyy-mm-dd")&amp;"|"&amp;$X77&amp;"|"&amp;$Y77,'CALENDARIO'!$G$15:$G$214,0)),IFERROR(INDEX('CALENDARIO'!$C$15:$C$214,MATCH(TEXT($J77,"yyyy-mm-dd")&amp;"|"&amp;$X77&amp;"|",'CALENDARIO'!$G$15:$G$214,0)),IFERROR(INDEX('CALENDARIO'!$C$15:$C$214,MATCH(TEXT($J77,"yyyy-mm-dd")&amp;"||",'CALENDARIO'!$G$15:$G$214,0)),INDEX(patronHabil,WEEKDAY($J77,2))))))</f>
        <v/>
      </c>
      <c r="U77" s="5">
        <f>IF($I77="","",IFERROR(INDEX('CAT_TIPOS_OT'!$C$4:$C$8,MATCH($I77,'CAT_TIPOS_OT'!$A$4:$A$8,0)),"sin_clasificar"))</f>
        <v/>
      </c>
      <c r="V77" s="5">
        <f>IF($I77="","",IF(IFERROR(INDEX('CAT_TIPOS_OT'!$D$4:$D$8,MATCH($I77,'CAT_TIPOS_OT'!$A$4:$A$8,0)),"SIN CLASIFICAR")="","SIN CLASIFICAR",IFERROR(INDEX('CAT_TIPOS_OT'!$D$4:$D$8,MATCH($I77,'CAT_TIPOS_OT'!$A$4:$A$8,0)),"SIN CLASIFICAR")))</f>
        <v/>
      </c>
      <c r="W77" s="5">
        <f>IF($F77="","",IFERROR(INDEX('CAT_CENTROS_COSTO'!$F$4:$F$13,MATCH($F77,'CAT_CENTROS_COSTO'!$A$4:$A$13,0)),"(sin catálogo)"))</f>
        <v/>
      </c>
      <c r="X77" s="5">
        <f>IF($F77="","",IFERROR(INDEX('CAT_CENTROS_COSTO'!$D$4:$D$13,MATCH($F77,'CAT_CENTROS_COSTO'!$A$4:$A$13,0)),"(sin catálogo)"))</f>
        <v/>
      </c>
      <c r="Y77" s="5">
        <f>IF($F77="","",IF((IFERROR(INDEX('CAT_CENTROS_COSTO'!$E$4:$E$13,MATCH($F77,'CAT_CENTROS_COSTO'!$A$4:$A$13,0)),""))&lt;&gt;"",IFERROR(INDEX('CAT_CENTROS_COSTO'!$E$4:$E$13,MATCH($F77,'CAT_CENTROS_COSTO'!$A$4:$A$13,0)),""),$X77))</f>
        <v/>
      </c>
      <c r="Z77" s="5">
        <f>IF($F77="","",IFERROR(INDEX('CAT_CENTROS_COSTO'!$G$4:$G$13,MATCH($F77,'CAT_CENTROS_COSTO'!$A$4:$A$13,0)),"(sin catálogo)"))</f>
        <v/>
      </c>
      <c r="AA77" s="5">
        <f>IF($G77="","",IFERROR(INDEX('CAT_PUESTOS'!$B$4:$B$8,MATCH($G77,'CAT_PUESTOS'!$A$4:$A$8,0)),"(sin catálogo)"))</f>
        <v/>
      </c>
      <c r="AB77" s="5">
        <f>IF($H77="","",IFERROR(INDEX('CAT_ACTIVIDADES'!$B$4:$B$11,MATCH($H77,'CAT_ACTIVIDADES'!$A$4:$A$11,0)),"(sin catálogo)"))</f>
        <v/>
      </c>
      <c r="AC77" s="20">
        <f>IF($J77="","",TODAY()-$J77)</f>
        <v/>
      </c>
      <c r="AD77" s="20">
        <f>IF($J77="","",IF($J77&lt;=TODAY(),COUNTIFS(cal_fechas,"&gt;="&amp;$J77,cal_fechas,"&lt;"&amp;TODAY(),cal_habil,"sí"),-COUNTIFS(cal_fechas,"&gt;="&amp;TODAY(),cal_fechas,"&lt;"&amp;$J77,cal_habil,"sí")))</f>
        <v/>
      </c>
      <c r="AE77" s="5">
        <f>IF($AD77="","",IF($AD77&lt;0,"FUTURO",IF($AD77&gt;p_dias_backlog_max,"BACKLOG","MES CORRIENTE")))</f>
        <v/>
      </c>
      <c r="AF77" s="5">
        <f>IF($AD77="",FALSE,AND($AD77&gt;p_dias_backlog_min,$AD77&lt;=p_dias_backlog_max))</f>
        <v/>
      </c>
      <c r="AG77" s="4" t="inlineStr">
        <is>
          <t>Ricardo Ortiz</t>
        </is>
      </c>
      <c r="AH77" s="5">
        <f>IF($AG77="","",IF((IFERROR(INDEX('ASIGNACIONES'!$J$4:$J$451,MATCH($O77&amp;"|"&amp;$S77&amp;"|"&amp;$AG77,'ASIGNACIONES'!$N$4:$N$451,0)),""))=0,"",IFERROR(INDEX('ASIGNACIONES'!$J$4:$J$451,MATCH($O77&amp;"|"&amp;$S77&amp;"|"&amp;$AG77,'ASIGNACIONES'!$N$4:$N$451,0)),"")))</f>
        <v/>
      </c>
      <c r="AI77" s="25">
        <f>IF($AG77="","",SUMIFS('ORDENES'!$M$4:$M$1203,'ORDENES'!$AG$4:$AG$1203,$AG77,'ORDENES'!$O$4:$O$1203,$O77,'ORDENES'!$S$4:$S$1203,$S77))</f>
        <v/>
      </c>
      <c r="AJ77" s="25">
        <f>IF($AI77="","",p_factor_productividad*IFERROR(INDEX('ASIGNACIONES'!$M$4:$M$451,MATCH($O77&amp;"|"&amp;$S77&amp;"|"&amp;$AG77,'ASIGNACIONES'!$N$4:$N$451,0)),0)-$AI77)</f>
        <v/>
      </c>
      <c r="AK77" s="18">
        <f>IF($A77="","",IFERROR(INDEX('2_IMPORTAR_EJECUCION'!$F$9:$F$1208,MATCH($AT77,'2_IMPORTAR_EJECUCION'!$J$9:$J$1208,0)),0))</f>
        <v/>
      </c>
      <c r="AL77" s="18">
        <f>IF($A77="","",MAX(0,IFERROR(INDEX('2_IMPORTAR_EJECUCION'!$H$9:$H$1208,MATCH($AT77,'2_IMPORTAR_EJECUCION'!$J$9:$J$1208,0)),0)-$AK77))</f>
        <v/>
      </c>
      <c r="AM77" s="18">
        <f>IF($A77="","",$AK77+$AL77)</f>
        <v/>
      </c>
      <c r="AN77" s="5">
        <f>IF($A77="","",IF(OR((IFERROR(INDEX('CAT_ACTIVIDADES'!$D$4:$D$11,MATCH($H77,'CAT_ACTIVIDADES'!$A$4:$A$11,0)),""))=0,(IFERROR(INDEX('CAT_ACTIVIDADES'!$D$4:$D$11,MATCH($H77,'CAT_ACTIVIDADES'!$A$4:$A$11,0)),""))=""),"SIN CLASIFICAR",IFERROR(INDEX('CAT_ACTIVIDADES'!$D$4:$D$11,MATCH($H77,'CAT_ACTIVIDADES'!$A$4:$A$11,0)),"")))</f>
        <v/>
      </c>
      <c r="AO77" s="4" t="inlineStr"/>
      <c r="AP77" s="4" t="inlineStr"/>
      <c r="AQ77" s="4" t="inlineStr">
        <is>
          <t>ACT-04.pdf</t>
        </is>
      </c>
      <c r="AR77" s="5">
        <f>IF($AQ77="","",HYPERLINK(p_ruta_base_checklists&amp;$AQ77,"abrir"))</f>
        <v/>
      </c>
      <c r="AS77" s="4" t="inlineStr"/>
      <c r="AT77" s="5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22" t="n">
        <v>46241</v>
      </c>
      <c r="K78" s="5" t="n">
        <v>10</v>
      </c>
      <c r="L78" s="18" t="n">
        <v>250</v>
      </c>
      <c r="M78" s="5">
        <f>IF($A78="","",IFERROR(INDEX('AJUSTES'!$B$4:$B$303,MATCH($AT78,'AJUSTES'!$A$4:$A$303,0)),IF($K78="","",$K78)))</f>
        <v/>
      </c>
      <c r="N78" s="5">
        <f>IF($A78="","",IFERROR(INDEX('CAT_ESTADOS_ERP'!$B$4:$B$7,MATCH(IFERROR(INDEX('2_IMPORTAR_EJECUCION'!$C$9:$C$1208,MATCH($AT78,'2_IMPORTAR_EJECUCION'!$J$9:$J$1208,0)),""),'CAT_ESTADOS_ERP'!$A$4:$A$7,0)),"Pendiente"))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IF($J78="","",$P78&amp;"-"&amp;TEXT($Q78,"00"))</f>
        <v/>
      </c>
      <c r="S78" s="5">
        <f>IF($J78="","",INDEX(lista_dias,WEEKDAY($J78,2)))</f>
        <v/>
      </c>
      <c r="T78" s="5">
        <f>IF($J78="","",IFERROR(INDEX('CALENDARIO'!$C$15:$C$214,MATCH(TEXT($J78,"yyyy-mm-dd")&amp;"|"&amp;$X78&amp;"|"&amp;$Y78,'CALENDARIO'!$G$15:$G$214,0)),IFERROR(INDEX('CALENDARIO'!$C$15:$C$214,MATCH(TEXT($J78,"yyyy-mm-dd")&amp;"|"&amp;$X78&amp;"|",'CALENDARIO'!$G$15:$G$214,0)),IFERROR(INDEX('CALENDARIO'!$C$15:$C$214,MATCH(TEXT($J78,"yyyy-mm-dd")&amp;"||",'CALENDARIO'!$G$15:$G$214,0)),INDEX(patronHabil,WEEKDAY($J78,2))))))</f>
        <v/>
      </c>
      <c r="U78" s="5">
        <f>IF($I78="","",IFERROR(INDEX('CAT_TIPOS_OT'!$C$4:$C$8,MATCH($I78,'CAT_TIPOS_OT'!$A$4:$A$8,0)),"sin_clasificar"))</f>
        <v/>
      </c>
      <c r="V78" s="5">
        <f>IF($I78="","",IF(IFERROR(INDEX('CAT_TIPOS_OT'!$D$4:$D$8,MATCH($I78,'CAT_TIPOS_OT'!$A$4:$A$8,0)),"SIN CLASIFICAR")="","SIN CLASIFICAR",IFERROR(INDEX('CAT_TIPOS_OT'!$D$4:$D$8,MATCH($I78,'CAT_TIPOS_OT'!$A$4:$A$8,0)),"SIN CLASIFICAR")))</f>
        <v/>
      </c>
      <c r="W78" s="5">
        <f>IF($F78="","",IFERROR(INDEX('CAT_CENTROS_COSTO'!$F$4:$F$13,MATCH($F78,'CAT_CENTROS_COSTO'!$A$4:$A$13,0)),"(sin catálogo)"))</f>
        <v/>
      </c>
      <c r="X78" s="5">
        <f>IF($F78="","",IFERROR(INDEX('CAT_CENTROS_COSTO'!$D$4:$D$13,MATCH($F78,'CAT_CENTROS_COSTO'!$A$4:$A$13,0)),"(sin catálogo)"))</f>
        <v/>
      </c>
      <c r="Y78" s="5">
        <f>IF($F78="","",IF((IFERROR(INDEX('CAT_CENTROS_COSTO'!$E$4:$E$13,MATCH($F78,'CAT_CENTROS_COSTO'!$A$4:$A$13,0)),""))&lt;&gt;"",IFERROR(INDEX('CAT_CENTROS_COSTO'!$E$4:$E$13,MATCH($F78,'CAT_CENTROS_COSTO'!$A$4:$A$13,0)),""),$X78))</f>
        <v/>
      </c>
      <c r="Z78" s="5">
        <f>IF($F78="","",IFERROR(INDEX('CAT_CENTROS_COSTO'!$G$4:$G$13,MATCH($F78,'CAT_CENTROS_COSTO'!$A$4:$A$13,0)),"(sin catálogo)"))</f>
        <v/>
      </c>
      <c r="AA78" s="5">
        <f>IF($G78="","",IFERROR(INDEX('CAT_PUESTOS'!$B$4:$B$8,MATCH($G78,'CAT_PUESTOS'!$A$4:$A$8,0)),"(sin catálogo)"))</f>
        <v/>
      </c>
      <c r="AB78" s="5">
        <f>IF($H78="","",IFERROR(INDEX('CAT_ACTIVIDADES'!$B$4:$B$11,MATCH($H78,'CAT_ACTIVIDADES'!$A$4:$A$11,0)),"(sin catálogo)"))</f>
        <v/>
      </c>
      <c r="AC78" s="20">
        <f>IF($J78="","",TODAY()-$J78)</f>
        <v/>
      </c>
      <c r="AD78" s="20">
        <f>IF($J78="","",IF($J78&lt;=TODAY(),COUNTIFS(cal_fechas,"&gt;="&amp;$J78,cal_fechas,"&lt;"&amp;TODAY(),cal_habil,"sí"),-COUNTIFS(cal_fechas,"&gt;="&amp;TODAY(),cal_fechas,"&lt;"&amp;$J78,cal_habil,"sí")))</f>
        <v/>
      </c>
      <c r="AE78" s="5">
        <f>IF($AD78="","",IF($AD78&lt;0,"FUTURO",IF($AD78&gt;p_dias_backlog_max,"BACKLOG","MES CORRIENTE")))</f>
        <v/>
      </c>
      <c r="AF78" s="5">
        <f>IF($AD78="",FALSE,AND($AD78&gt;p_dias_backlog_min,$AD78&lt;=p_dias_backlog_max))</f>
        <v/>
      </c>
      <c r="AG78" s="4" t="inlineStr">
        <is>
          <t>Eduardo Silva</t>
        </is>
      </c>
      <c r="AH78" s="5">
        <f>IF($AG78="","",IF((IFERROR(INDEX('ASIGNACIONES'!$J$4:$J$451,MATCH($O78&amp;"|"&amp;$S78&amp;"|"&amp;$AG78,'ASIGNACIONES'!$N$4:$N$451,0)),""))=0,"",IFERROR(INDEX('ASIGNACIONES'!$J$4:$J$451,MATCH($O78&amp;"|"&amp;$S78&amp;"|"&amp;$AG78,'ASIGNACIONES'!$N$4:$N$451,0)),"")))</f>
        <v/>
      </c>
      <c r="AI78" s="25">
        <f>IF($AG78="","",SUMIFS('ORDENES'!$M$4:$M$1203,'ORDENES'!$AG$4:$AG$1203,$AG78,'ORDENES'!$O$4:$O$1203,$O78,'ORDENES'!$S$4:$S$1203,$S78))</f>
        <v/>
      </c>
      <c r="AJ78" s="25">
        <f>IF($AI78="","",p_factor_productividad*IFERROR(INDEX('ASIGNACIONES'!$M$4:$M$451,MATCH($O78&amp;"|"&amp;$S78&amp;"|"&amp;$AG78,'ASIGNACIONES'!$N$4:$N$451,0)),0)-$AI78)</f>
        <v/>
      </c>
      <c r="AK78" s="18">
        <f>IF($A78="","",IFERROR(INDEX('2_IMPORTAR_EJECUCION'!$F$9:$F$1208,MATCH($AT78,'2_IMPORTAR_EJECUCION'!$J$9:$J$1208,0)),0))</f>
        <v/>
      </c>
      <c r="AL78" s="18">
        <f>IF($A78="","",MAX(0,IFERROR(INDEX('2_IMPORTAR_EJECUCION'!$H$9:$H$1208,MATCH($AT78,'2_IMPORTAR_EJECUCION'!$J$9:$J$1208,0)),0)-$AK78))</f>
        <v/>
      </c>
      <c r="AM78" s="18">
        <f>IF($A78="","",$AK78+$AL78)</f>
        <v/>
      </c>
      <c r="AN78" s="5">
        <f>IF($A78="","",IF(OR((IFERROR(INDEX('CAT_ACTIVIDADES'!$D$4:$D$11,MATCH($H78,'CAT_ACTIVIDADES'!$A$4:$A$11,0)),""))=0,(IFERROR(INDEX('CAT_ACTIVIDADES'!$D$4:$D$11,MATCH($H78,'CAT_ACTIVIDADES'!$A$4:$A$11,0)),""))=""),"SIN CLASIFICAR",IFERROR(INDEX('CAT_ACTIVIDADES'!$D$4:$D$11,MATCH($H78,'CAT_ACTIVIDADES'!$A$4:$A$11,0)),"")))</f>
        <v/>
      </c>
      <c r="AO78" s="4" t="inlineStr"/>
      <c r="AP78" s="4" t="inlineStr"/>
      <c r="AQ78" s="4" t="inlineStr">
        <is>
          <t>ACT-01.pdf</t>
        </is>
      </c>
      <c r="AR78" s="5">
        <f>IF($AQ78="","",HYPERLINK(p_ruta_base_checklists&amp;$AQ78,"abrir"))</f>
        <v/>
      </c>
      <c r="AS78" s="4" t="inlineStr"/>
      <c r="AT78" s="5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22" t="n">
        <v>46237</v>
      </c>
      <c r="K79" s="5" t="n">
        <v>2</v>
      </c>
      <c r="L79" s="18" t="n">
        <v>50</v>
      </c>
      <c r="M79" s="5">
        <f>IF($A79="","",IFERROR(INDEX('AJUSTES'!$B$4:$B$303,MATCH($AT79,'AJUSTES'!$A$4:$A$303,0)),IF($K79="","",$K79)))</f>
        <v/>
      </c>
      <c r="N79" s="5">
        <f>IF($A79="","",IFERROR(INDEX('CAT_ESTADOS_ERP'!$B$4:$B$7,MATCH(IFERROR(INDEX('2_IMPORTAR_EJECUCION'!$C$9:$C$1208,MATCH($AT79,'2_IMPORTAR_EJECUCION'!$J$9:$J$1208,0)),""),'CAT_ESTADOS_ERP'!$A$4:$A$7,0)),"Pendiente"))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IF($J79="","",$P79&amp;"-"&amp;TEXT($Q79,"00"))</f>
        <v/>
      </c>
      <c r="S79" s="5">
        <f>IF($J79="","",INDEX(lista_dias,WEEKDAY($J79,2)))</f>
        <v/>
      </c>
      <c r="T79" s="5">
        <f>IF($J79="","",IFERROR(INDEX('CALENDARIO'!$C$15:$C$214,MATCH(TEXT($J79,"yyyy-mm-dd")&amp;"|"&amp;$X79&amp;"|"&amp;$Y79,'CALENDARIO'!$G$15:$G$214,0)),IFERROR(INDEX('CALENDARIO'!$C$15:$C$214,MATCH(TEXT($J79,"yyyy-mm-dd")&amp;"|"&amp;$X79&amp;"|",'CALENDARIO'!$G$15:$G$214,0)),IFERROR(INDEX('CALENDARIO'!$C$15:$C$214,MATCH(TEXT($J79,"yyyy-mm-dd")&amp;"||",'CALENDARIO'!$G$15:$G$214,0)),INDEX(patronHabil,WEEKDAY($J79,2))))))</f>
        <v/>
      </c>
      <c r="U79" s="5">
        <f>IF($I79="","",IFERROR(INDEX('CAT_TIPOS_OT'!$C$4:$C$8,MATCH($I79,'CAT_TIPOS_OT'!$A$4:$A$8,0)),"sin_clasificar"))</f>
        <v/>
      </c>
      <c r="V79" s="5">
        <f>IF($I79="","",IF(IFERROR(INDEX('CAT_TIPOS_OT'!$D$4:$D$8,MATCH($I79,'CAT_TIPOS_OT'!$A$4:$A$8,0)),"SIN CLASIFICAR")="","SIN CLASIFICAR",IFERROR(INDEX('CAT_TIPOS_OT'!$D$4:$D$8,MATCH($I79,'CAT_TIPOS_OT'!$A$4:$A$8,0)),"SIN CLASIFICAR")))</f>
        <v/>
      </c>
      <c r="W79" s="5">
        <f>IF($F79="","",IFERROR(INDEX('CAT_CENTROS_COSTO'!$F$4:$F$13,MATCH($F79,'CAT_CENTROS_COSTO'!$A$4:$A$13,0)),"(sin catálogo)"))</f>
        <v/>
      </c>
      <c r="X79" s="5">
        <f>IF($F79="","",IFERROR(INDEX('CAT_CENTROS_COSTO'!$D$4:$D$13,MATCH($F79,'CAT_CENTROS_COSTO'!$A$4:$A$13,0)),"(sin catálogo)"))</f>
        <v/>
      </c>
      <c r="Y79" s="5">
        <f>IF($F79="","",IF((IFERROR(INDEX('CAT_CENTROS_COSTO'!$E$4:$E$13,MATCH($F79,'CAT_CENTROS_COSTO'!$A$4:$A$13,0)),""))&lt;&gt;"",IFERROR(INDEX('CAT_CENTROS_COSTO'!$E$4:$E$13,MATCH($F79,'CAT_CENTROS_COSTO'!$A$4:$A$13,0)),""),$X79))</f>
        <v/>
      </c>
      <c r="Z79" s="5">
        <f>IF($F79="","",IFERROR(INDEX('CAT_CENTROS_COSTO'!$G$4:$G$13,MATCH($F79,'CAT_CENTROS_COSTO'!$A$4:$A$13,0)),"(sin catálogo)"))</f>
        <v/>
      </c>
      <c r="AA79" s="5">
        <f>IF($G79="","",IFERROR(INDEX('CAT_PUESTOS'!$B$4:$B$8,MATCH($G79,'CAT_PUESTOS'!$A$4:$A$8,0)),"(sin catálogo)"))</f>
        <v/>
      </c>
      <c r="AB79" s="5">
        <f>IF($H79="","",IFERROR(INDEX('CAT_ACTIVIDADES'!$B$4:$B$11,MATCH($H79,'CAT_ACTIVIDADES'!$A$4:$A$11,0)),"(sin catálogo)"))</f>
        <v/>
      </c>
      <c r="AC79" s="20">
        <f>IF($J79="","",TODAY()-$J79)</f>
        <v/>
      </c>
      <c r="AD79" s="20">
        <f>IF($J79="","",IF($J79&lt;=TODAY(),COUNTIFS(cal_fechas,"&gt;="&amp;$J79,cal_fechas,"&lt;"&amp;TODAY(),cal_habil,"sí"),-COUNTIFS(cal_fechas,"&gt;="&amp;TODAY(),cal_fechas,"&lt;"&amp;$J79,cal_habil,"sí")))</f>
        <v/>
      </c>
      <c r="AE79" s="5">
        <f>IF($AD79="","",IF($AD79&lt;0,"FUTURO",IF($AD79&gt;p_dias_backlog_max,"BACKLOG","MES CORRIENTE")))</f>
        <v/>
      </c>
      <c r="AF79" s="5">
        <f>IF($AD79="",FALSE,AND($AD79&gt;p_dias_backlog_min,$AD79&lt;=p_dias_backlog_max))</f>
        <v/>
      </c>
      <c r="AG79" s="4" t="inlineStr">
        <is>
          <t>Gabriela Rojas</t>
        </is>
      </c>
      <c r="AH79" s="5">
        <f>IF($AG79="","",IF((IFERROR(INDEX('ASIGNACIONES'!$J$4:$J$451,MATCH($O79&amp;"|"&amp;$S79&amp;"|"&amp;$AG79,'ASIGNACIONES'!$N$4:$N$451,0)),""))=0,"",IFERROR(INDEX('ASIGNACIONES'!$J$4:$J$451,MATCH($O79&amp;"|"&amp;$S79&amp;"|"&amp;$AG79,'ASIGNACIONES'!$N$4:$N$451,0)),"")))</f>
        <v/>
      </c>
      <c r="AI79" s="25">
        <f>IF($AG79="","",SUMIFS('ORDENES'!$M$4:$M$1203,'ORDENES'!$AG$4:$AG$1203,$AG79,'ORDENES'!$O$4:$O$1203,$O79,'ORDENES'!$S$4:$S$1203,$S79))</f>
        <v/>
      </c>
      <c r="AJ79" s="25">
        <f>IF($AI79="","",p_factor_productividad*IFERROR(INDEX('ASIGNACIONES'!$M$4:$M$451,MATCH($O79&amp;"|"&amp;$S79&amp;"|"&amp;$AG79,'ASIGNACIONES'!$N$4:$N$451,0)),0)-$AI79)</f>
        <v/>
      </c>
      <c r="AK79" s="18">
        <f>IF($A79="","",IFERROR(INDEX('2_IMPORTAR_EJECUCION'!$F$9:$F$1208,MATCH($AT79,'2_IMPORTAR_EJECUCION'!$J$9:$J$1208,0)),0))</f>
        <v/>
      </c>
      <c r="AL79" s="18">
        <f>IF($A79="","",MAX(0,IFERROR(INDEX('2_IMPORTAR_EJECUCION'!$H$9:$H$1208,MATCH($AT79,'2_IMPORTAR_EJECUCION'!$J$9:$J$1208,0)),0)-$AK79))</f>
        <v/>
      </c>
      <c r="AM79" s="18">
        <f>IF($A79="","",$AK79+$AL79)</f>
        <v/>
      </c>
      <c r="AN79" s="5">
        <f>IF($A79="","",IF(OR((IFERROR(INDEX('CAT_ACTIVIDADES'!$D$4:$D$11,MATCH($H79,'CAT_ACTIVIDADES'!$A$4:$A$11,0)),""))=0,(IFERROR(INDEX('CAT_ACTIVIDADES'!$D$4:$D$11,MATCH($H79,'CAT_ACTIVIDADES'!$A$4:$A$11,0)),""))=""),"SIN CLASIFICAR",IFERROR(INDEX('CAT_ACTIVIDADES'!$D$4:$D$11,MATCH($H79,'CAT_ACTIVIDADES'!$A$4:$A$11,0)),"")))</f>
        <v/>
      </c>
      <c r="AO79" s="4" t="inlineStr"/>
      <c r="AP79" s="4" t="inlineStr"/>
      <c r="AQ79" s="4" t="inlineStr">
        <is>
          <t>ACT-02.pdf</t>
        </is>
      </c>
      <c r="AR79" s="5">
        <f>IF($AQ79="","",HYPERLINK(p_ruta_base_checklists&amp;$AQ79,"abrir"))</f>
        <v/>
      </c>
      <c r="AS79" s="4" t="inlineStr"/>
      <c r="AT79" s="5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22" t="n">
        <v>46238</v>
      </c>
      <c r="K80" s="5" t="n">
        <v>10</v>
      </c>
      <c r="L80" s="18" t="n">
        <v>400</v>
      </c>
      <c r="M80" s="5">
        <f>IF($A80="","",IFERROR(INDEX('AJUSTES'!$B$4:$B$303,MATCH($AT80,'AJUSTES'!$A$4:$A$303,0)),IF($K80="","",$K80)))</f>
        <v/>
      </c>
      <c r="N80" s="5">
        <f>IF($A80="","",IFERROR(INDEX('CAT_ESTADOS_ERP'!$B$4:$B$7,MATCH(IFERROR(INDEX('2_IMPORTAR_EJECUCION'!$C$9:$C$1208,MATCH($AT80,'2_IMPORTAR_EJECUCION'!$J$9:$J$1208,0)),""),'CAT_ESTADOS_ERP'!$A$4:$A$7,0)),"Pendiente"))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IF($J80="","",$P80&amp;"-"&amp;TEXT($Q80,"00"))</f>
        <v/>
      </c>
      <c r="S80" s="5">
        <f>IF($J80="","",INDEX(lista_dias,WEEKDAY($J80,2)))</f>
        <v/>
      </c>
      <c r="T80" s="5">
        <f>IF($J80="","",IFERROR(INDEX('CALENDARIO'!$C$15:$C$214,MATCH(TEXT($J80,"yyyy-mm-dd")&amp;"|"&amp;$X80&amp;"|"&amp;$Y80,'CALENDARIO'!$G$15:$G$214,0)),IFERROR(INDEX('CALENDARIO'!$C$15:$C$214,MATCH(TEXT($J80,"yyyy-mm-dd")&amp;"|"&amp;$X80&amp;"|",'CALENDARIO'!$G$15:$G$214,0)),IFERROR(INDEX('CALENDARIO'!$C$15:$C$214,MATCH(TEXT($J80,"yyyy-mm-dd")&amp;"||",'CALENDARIO'!$G$15:$G$214,0)),INDEX(patronHabil,WEEKDAY($J80,2))))))</f>
        <v/>
      </c>
      <c r="U80" s="5">
        <f>IF($I80="","",IFERROR(INDEX('CAT_TIPOS_OT'!$C$4:$C$8,MATCH($I80,'CAT_TIPOS_OT'!$A$4:$A$8,0)),"sin_clasificar"))</f>
        <v/>
      </c>
      <c r="V80" s="5">
        <f>IF($I80="","",IF(IFERROR(INDEX('CAT_TIPOS_OT'!$D$4:$D$8,MATCH($I80,'CAT_TIPOS_OT'!$A$4:$A$8,0)),"SIN CLASIFICAR")="","SIN CLASIFICAR",IFERROR(INDEX('CAT_TIPOS_OT'!$D$4:$D$8,MATCH($I80,'CAT_TIPOS_OT'!$A$4:$A$8,0)),"SIN CLASIFICAR")))</f>
        <v/>
      </c>
      <c r="W80" s="5">
        <f>IF($F80="","",IFERROR(INDEX('CAT_CENTROS_COSTO'!$F$4:$F$13,MATCH($F80,'CAT_CENTROS_COSTO'!$A$4:$A$13,0)),"(sin catálogo)"))</f>
        <v/>
      </c>
      <c r="X80" s="5">
        <f>IF($F80="","",IFERROR(INDEX('CAT_CENTROS_COSTO'!$D$4:$D$13,MATCH($F80,'CAT_CENTROS_COSTO'!$A$4:$A$13,0)),"(sin catálogo)"))</f>
        <v/>
      </c>
      <c r="Y80" s="5">
        <f>IF($F80="","",IF((IFERROR(INDEX('CAT_CENTROS_COSTO'!$E$4:$E$13,MATCH($F80,'CAT_CENTROS_COSTO'!$A$4:$A$13,0)),""))&lt;&gt;"",IFERROR(INDEX('CAT_CENTROS_COSTO'!$E$4:$E$13,MATCH($F80,'CAT_CENTROS_COSTO'!$A$4:$A$13,0)),""),$X80))</f>
        <v/>
      </c>
      <c r="Z80" s="5">
        <f>IF($F80="","",IFERROR(INDEX('CAT_CENTROS_COSTO'!$G$4:$G$13,MATCH($F80,'CAT_CENTROS_COSTO'!$A$4:$A$13,0)),"(sin catálogo)"))</f>
        <v/>
      </c>
      <c r="AA80" s="5">
        <f>IF($G80="","",IFERROR(INDEX('CAT_PUESTOS'!$B$4:$B$8,MATCH($G80,'CAT_PUESTOS'!$A$4:$A$8,0)),"(sin catálogo)"))</f>
        <v/>
      </c>
      <c r="AB80" s="5">
        <f>IF($H80="","",IFERROR(INDEX('CAT_ACTIVIDADES'!$B$4:$B$11,MATCH($H80,'CAT_ACTIVIDADES'!$A$4:$A$11,0)),"(sin catálogo)"))</f>
        <v/>
      </c>
      <c r="AC80" s="20">
        <f>IF($J80="","",TODAY()-$J80)</f>
        <v/>
      </c>
      <c r="AD80" s="20">
        <f>IF($J80="","",IF($J80&lt;=TODAY(),COUNTIFS(cal_fechas,"&gt;="&amp;$J80,cal_fechas,"&lt;"&amp;TODAY(),cal_habil,"sí"),-COUNTIFS(cal_fechas,"&gt;="&amp;TODAY(),cal_fechas,"&lt;"&amp;$J80,cal_habil,"sí")))</f>
        <v/>
      </c>
      <c r="AE80" s="5">
        <f>IF($AD80="","",IF($AD80&lt;0,"FUTURO",IF($AD80&gt;p_dias_backlog_max,"BACKLOG","MES CORRIENTE")))</f>
        <v/>
      </c>
      <c r="AF80" s="5">
        <f>IF($AD80="",FALSE,AND($AD80&gt;p_dias_backlog_min,$AD80&lt;=p_dias_backlog_max))</f>
        <v/>
      </c>
      <c r="AG80" s="4" t="inlineStr">
        <is>
          <t>Fernando Mendoza</t>
        </is>
      </c>
      <c r="AH80" s="5">
        <f>IF($AG80="","",IF((IFERROR(INDEX('ASIGNACIONES'!$J$4:$J$451,MATCH($O80&amp;"|"&amp;$S80&amp;"|"&amp;$AG80,'ASIGNACIONES'!$N$4:$N$451,0)),""))=0,"",IFERROR(INDEX('ASIGNACIONES'!$J$4:$J$451,MATCH($O80&amp;"|"&amp;$S80&amp;"|"&amp;$AG80,'ASIGNACIONES'!$N$4:$N$451,0)),"")))</f>
        <v/>
      </c>
      <c r="AI80" s="25">
        <f>IF($AG80="","",SUMIFS('ORDENES'!$M$4:$M$1203,'ORDENES'!$AG$4:$AG$1203,$AG80,'ORDENES'!$O$4:$O$1203,$O80,'ORDENES'!$S$4:$S$1203,$S80))</f>
        <v/>
      </c>
      <c r="AJ80" s="25">
        <f>IF($AI80="","",p_factor_productividad*IFERROR(INDEX('ASIGNACIONES'!$M$4:$M$451,MATCH($O80&amp;"|"&amp;$S80&amp;"|"&amp;$AG80,'ASIGNACIONES'!$N$4:$N$451,0)),0)-$AI80)</f>
        <v/>
      </c>
      <c r="AK80" s="18">
        <f>IF($A80="","",IFERROR(INDEX('2_IMPORTAR_EJECUCION'!$F$9:$F$1208,MATCH($AT80,'2_IMPORTAR_EJECUCION'!$J$9:$J$1208,0)),0))</f>
        <v/>
      </c>
      <c r="AL80" s="18">
        <f>IF($A80="","",MAX(0,IFERROR(INDEX('2_IMPORTAR_EJECUCION'!$H$9:$H$1208,MATCH($AT80,'2_IMPORTAR_EJECUCION'!$J$9:$J$1208,0)),0)-$AK80))</f>
        <v/>
      </c>
      <c r="AM80" s="18">
        <f>IF($A80="","",$AK80+$AL80)</f>
        <v/>
      </c>
      <c r="AN80" s="5">
        <f>IF($A80="","",IF(OR((IFERROR(INDEX('CAT_ACTIVIDADES'!$D$4:$D$11,MATCH($H80,'CAT_ACTIVIDADES'!$A$4:$A$11,0)),""))=0,(IFERROR(INDEX('CAT_ACTIVIDADES'!$D$4:$D$11,MATCH($H80,'CAT_ACTIVIDADES'!$A$4:$A$11,0)),""))=""),"SIN CLASIFICAR",IFERROR(INDEX('CAT_ACTIVIDADES'!$D$4:$D$11,MATCH($H80,'CAT_ACTIVIDADES'!$A$4:$A$11,0)),"")))</f>
        <v/>
      </c>
      <c r="AO80" s="4" t="inlineStr"/>
      <c r="AP80" s="4" t="inlineStr"/>
      <c r="AQ80" s="4" t="inlineStr"/>
      <c r="AR80" s="5">
        <f>IF($AQ80="","",HYPERLINK(p_ruta_base_checklists&amp;$AQ80,"abrir"))</f>
        <v/>
      </c>
      <c r="AS80" s="4" t="inlineStr"/>
      <c r="AT80" s="5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22" t="n">
        <v>46246</v>
      </c>
      <c r="K81" s="5" t="n">
        <v>10</v>
      </c>
      <c r="L81" s="18" t="n">
        <v>250</v>
      </c>
      <c r="M81" s="5">
        <f>IF($A81="","",IFERROR(INDEX('AJUSTES'!$B$4:$B$303,MATCH($AT81,'AJUSTES'!$A$4:$A$303,0)),IF($K81="","",$K81)))</f>
        <v/>
      </c>
      <c r="N81" s="5">
        <f>IF($A81="","",IFERROR(INDEX('CAT_ESTADOS_ERP'!$B$4:$B$7,MATCH(IFERROR(INDEX('2_IMPORTAR_EJECUCION'!$C$9:$C$1208,MATCH($AT81,'2_IMPORTAR_EJECUCION'!$J$9:$J$1208,0)),""),'CAT_ESTADOS_ERP'!$A$4:$A$7,0)),"Pendiente"))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IF($J81="","",$P81&amp;"-"&amp;TEXT($Q81,"00"))</f>
        <v/>
      </c>
      <c r="S81" s="5">
        <f>IF($J81="","",INDEX(lista_dias,WEEKDAY($J81,2)))</f>
        <v/>
      </c>
      <c r="T81" s="5">
        <f>IF($J81="","",IFERROR(INDEX('CALENDARIO'!$C$15:$C$214,MATCH(TEXT($J81,"yyyy-mm-dd")&amp;"|"&amp;$X81&amp;"|"&amp;$Y81,'CALENDARIO'!$G$15:$G$214,0)),IFERROR(INDEX('CALENDARIO'!$C$15:$C$214,MATCH(TEXT($J81,"yyyy-mm-dd")&amp;"|"&amp;$X81&amp;"|",'CALENDARIO'!$G$15:$G$214,0)),IFERROR(INDEX('CALENDARIO'!$C$15:$C$214,MATCH(TEXT($J81,"yyyy-mm-dd")&amp;"||",'CALENDARIO'!$G$15:$G$214,0)),INDEX(patronHabil,WEEKDAY($J81,2))))))</f>
        <v/>
      </c>
      <c r="U81" s="5">
        <f>IF($I81="","",IFERROR(INDEX('CAT_TIPOS_OT'!$C$4:$C$8,MATCH($I81,'CAT_TIPOS_OT'!$A$4:$A$8,0)),"sin_clasificar"))</f>
        <v/>
      </c>
      <c r="V81" s="5">
        <f>IF($I81="","",IF(IFERROR(INDEX('CAT_TIPOS_OT'!$D$4:$D$8,MATCH($I81,'CAT_TIPOS_OT'!$A$4:$A$8,0)),"SIN CLASIFICAR")="","SIN CLASIFICAR",IFERROR(INDEX('CAT_TIPOS_OT'!$D$4:$D$8,MATCH($I81,'CAT_TIPOS_OT'!$A$4:$A$8,0)),"SIN CLASIFICAR")))</f>
        <v/>
      </c>
      <c r="W81" s="5">
        <f>IF($F81="","",IFERROR(INDEX('CAT_CENTROS_COSTO'!$F$4:$F$13,MATCH($F81,'CAT_CENTROS_COSTO'!$A$4:$A$13,0)),"(sin catálogo)"))</f>
        <v/>
      </c>
      <c r="X81" s="5">
        <f>IF($F81="","",IFERROR(INDEX('CAT_CENTROS_COSTO'!$D$4:$D$13,MATCH($F81,'CAT_CENTROS_COSTO'!$A$4:$A$13,0)),"(sin catálogo)"))</f>
        <v/>
      </c>
      <c r="Y81" s="5">
        <f>IF($F81="","",IF((IFERROR(INDEX('CAT_CENTROS_COSTO'!$E$4:$E$13,MATCH($F81,'CAT_CENTROS_COSTO'!$A$4:$A$13,0)),""))&lt;&gt;"",IFERROR(INDEX('CAT_CENTROS_COSTO'!$E$4:$E$13,MATCH($F81,'CAT_CENTROS_COSTO'!$A$4:$A$13,0)),""),$X81))</f>
        <v/>
      </c>
      <c r="Z81" s="5">
        <f>IF($F81="","",IFERROR(INDEX('CAT_CENTROS_COSTO'!$G$4:$G$13,MATCH($F81,'CAT_CENTROS_COSTO'!$A$4:$A$13,0)),"(sin catálogo)"))</f>
        <v/>
      </c>
      <c r="AA81" s="5">
        <f>IF($G81="","",IFERROR(INDEX('CAT_PUESTOS'!$B$4:$B$8,MATCH($G81,'CAT_PUESTOS'!$A$4:$A$8,0)),"(sin catálogo)"))</f>
        <v/>
      </c>
      <c r="AB81" s="5">
        <f>IF($H81="","",IFERROR(INDEX('CAT_ACTIVIDADES'!$B$4:$B$11,MATCH($H81,'CAT_ACTIVIDADES'!$A$4:$A$11,0)),"(sin catálogo)"))</f>
        <v/>
      </c>
      <c r="AC81" s="20">
        <f>IF($J81="","",TODAY()-$J81)</f>
        <v/>
      </c>
      <c r="AD81" s="20">
        <f>IF($J81="","",IF($J81&lt;=TODAY(),COUNTIFS(cal_fechas,"&gt;="&amp;$J81,cal_fechas,"&lt;"&amp;TODAY(),cal_habil,"sí"),-COUNTIFS(cal_fechas,"&gt;="&amp;TODAY(),cal_fechas,"&lt;"&amp;$J81,cal_habil,"sí")))</f>
        <v/>
      </c>
      <c r="AE81" s="5">
        <f>IF($AD81="","",IF($AD81&lt;0,"FUTURO",IF($AD81&gt;p_dias_backlog_max,"BACKLOG","MES CORRIENTE")))</f>
        <v/>
      </c>
      <c r="AF81" s="5">
        <f>IF($AD81="",FALSE,AND($AD81&gt;p_dias_backlog_min,$AD81&lt;=p_dias_backlog_max))</f>
        <v/>
      </c>
      <c r="AG81" s="4" t="inlineStr">
        <is>
          <t>Jorge Díaz</t>
        </is>
      </c>
      <c r="AH81" s="5">
        <f>IF($AG81="","",IF((IFERROR(INDEX('ASIGNACIONES'!$J$4:$J$451,MATCH($O81&amp;"|"&amp;$S81&amp;"|"&amp;$AG81,'ASIGNACIONES'!$N$4:$N$451,0)),""))=0,"",IFERROR(INDEX('ASIGNACIONES'!$J$4:$J$451,MATCH($O81&amp;"|"&amp;$S81&amp;"|"&amp;$AG81,'ASIGNACIONES'!$N$4:$N$451,0)),"")))</f>
        <v/>
      </c>
      <c r="AI81" s="25">
        <f>IF($AG81="","",SUMIFS('ORDENES'!$M$4:$M$1203,'ORDENES'!$AG$4:$AG$1203,$AG81,'ORDENES'!$O$4:$O$1203,$O81,'ORDENES'!$S$4:$S$1203,$S81))</f>
        <v/>
      </c>
      <c r="AJ81" s="25">
        <f>IF($AI81="","",p_factor_productividad*IFERROR(INDEX('ASIGNACIONES'!$M$4:$M$451,MATCH($O81&amp;"|"&amp;$S81&amp;"|"&amp;$AG81,'ASIGNACIONES'!$N$4:$N$451,0)),0)-$AI81)</f>
        <v/>
      </c>
      <c r="AK81" s="18">
        <f>IF($A81="","",IFERROR(INDEX('2_IMPORTAR_EJECUCION'!$F$9:$F$1208,MATCH($AT81,'2_IMPORTAR_EJECUCION'!$J$9:$J$1208,0)),0))</f>
        <v/>
      </c>
      <c r="AL81" s="18">
        <f>IF($A81="","",MAX(0,IFERROR(INDEX('2_IMPORTAR_EJECUCION'!$H$9:$H$1208,MATCH($AT81,'2_IMPORTAR_EJECUCION'!$J$9:$J$1208,0)),0)-$AK81))</f>
        <v/>
      </c>
      <c r="AM81" s="18">
        <f>IF($A81="","",$AK81+$AL81)</f>
        <v/>
      </c>
      <c r="AN81" s="5">
        <f>IF($A81="","",IF(OR((IFERROR(INDEX('CAT_ACTIVIDADES'!$D$4:$D$11,MATCH($H81,'CAT_ACTIVIDADES'!$A$4:$A$11,0)),""))=0,(IFERROR(INDEX('CAT_ACTIVIDADES'!$D$4:$D$11,MATCH($H81,'CAT_ACTIVIDADES'!$A$4:$A$11,0)),""))=""),"SIN CLASIFICAR",IFERROR(INDEX('CAT_ACTIVIDADES'!$D$4:$D$11,MATCH($H81,'CAT_ACTIVIDADES'!$A$4:$A$11,0)),"")))</f>
        <v/>
      </c>
      <c r="AO81" s="4" t="inlineStr"/>
      <c r="AP81" s="4" t="inlineStr"/>
      <c r="AQ81" s="4" t="inlineStr">
        <is>
          <t>ACT-01.pdf</t>
        </is>
      </c>
      <c r="AR81" s="5">
        <f>IF($AQ81="","",HYPERLINK(p_ruta_base_checklists&amp;$AQ81,"abrir"))</f>
        <v/>
      </c>
      <c r="AS81" s="4" t="inlineStr"/>
      <c r="AT81" s="5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22" t="n">
        <v>46247</v>
      </c>
      <c r="K82" s="5" t="n">
        <v>8</v>
      </c>
      <c r="L82" s="18" t="n">
        <v>200</v>
      </c>
      <c r="M82" s="5">
        <f>IF($A82="","",IFERROR(INDEX('AJUSTES'!$B$4:$B$303,MATCH($AT82,'AJUSTES'!$A$4:$A$303,0)),IF($K82="","",$K82)))</f>
        <v/>
      </c>
      <c r="N82" s="5">
        <f>IF($A82="","",IFERROR(INDEX('CAT_ESTADOS_ERP'!$B$4:$B$7,MATCH(IFERROR(INDEX('2_IMPORTAR_EJECUCION'!$C$9:$C$1208,MATCH($AT82,'2_IMPORTAR_EJECUCION'!$J$9:$J$1208,0)),""),'CAT_ESTADOS_ERP'!$A$4:$A$7,0)),"Pendiente"))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IF($J82="","",$P82&amp;"-"&amp;TEXT($Q82,"00"))</f>
        <v/>
      </c>
      <c r="S82" s="5">
        <f>IF($J82="","",INDEX(lista_dias,WEEKDAY($J82,2)))</f>
        <v/>
      </c>
      <c r="T82" s="5">
        <f>IF($J82="","",IFERROR(INDEX('CALENDARIO'!$C$15:$C$214,MATCH(TEXT($J82,"yyyy-mm-dd")&amp;"|"&amp;$X82&amp;"|"&amp;$Y82,'CALENDARIO'!$G$15:$G$214,0)),IFERROR(INDEX('CALENDARIO'!$C$15:$C$214,MATCH(TEXT($J82,"yyyy-mm-dd")&amp;"|"&amp;$X82&amp;"|",'CALENDARIO'!$G$15:$G$214,0)),IFERROR(INDEX('CALENDARIO'!$C$15:$C$214,MATCH(TEXT($J82,"yyyy-mm-dd")&amp;"||",'CALENDARIO'!$G$15:$G$214,0)),INDEX(patronHabil,WEEKDAY($J82,2))))))</f>
        <v/>
      </c>
      <c r="U82" s="5">
        <f>IF($I82="","",IFERROR(INDEX('CAT_TIPOS_OT'!$C$4:$C$8,MATCH($I82,'CAT_TIPOS_OT'!$A$4:$A$8,0)),"sin_clasificar"))</f>
        <v/>
      </c>
      <c r="V82" s="5">
        <f>IF($I82="","",IF(IFERROR(INDEX('CAT_TIPOS_OT'!$D$4:$D$8,MATCH($I82,'CAT_TIPOS_OT'!$A$4:$A$8,0)),"SIN CLASIFICAR")="","SIN CLASIFICAR",IFERROR(INDEX('CAT_TIPOS_OT'!$D$4:$D$8,MATCH($I82,'CAT_TIPOS_OT'!$A$4:$A$8,0)),"SIN CLASIFICAR")))</f>
        <v/>
      </c>
      <c r="W82" s="5">
        <f>IF($F82="","",IFERROR(INDEX('CAT_CENTROS_COSTO'!$F$4:$F$13,MATCH($F82,'CAT_CENTROS_COSTO'!$A$4:$A$13,0)),"(sin catálogo)"))</f>
        <v/>
      </c>
      <c r="X82" s="5">
        <f>IF($F82="","",IFERROR(INDEX('CAT_CENTROS_COSTO'!$D$4:$D$13,MATCH($F82,'CAT_CENTROS_COSTO'!$A$4:$A$13,0)),"(sin catálogo)"))</f>
        <v/>
      </c>
      <c r="Y82" s="5">
        <f>IF($F82="","",IF((IFERROR(INDEX('CAT_CENTROS_COSTO'!$E$4:$E$13,MATCH($F82,'CAT_CENTROS_COSTO'!$A$4:$A$13,0)),""))&lt;&gt;"",IFERROR(INDEX('CAT_CENTROS_COSTO'!$E$4:$E$13,MATCH($F82,'CAT_CENTROS_COSTO'!$A$4:$A$13,0)),""),$X82))</f>
        <v/>
      </c>
      <c r="Z82" s="5">
        <f>IF($F82="","",IFERROR(INDEX('CAT_CENTROS_COSTO'!$G$4:$G$13,MATCH($F82,'CAT_CENTROS_COSTO'!$A$4:$A$13,0)),"(sin catálogo)"))</f>
        <v/>
      </c>
      <c r="AA82" s="5">
        <f>IF($G82="","",IFERROR(INDEX('CAT_PUESTOS'!$B$4:$B$8,MATCH($G82,'CAT_PUESTOS'!$A$4:$A$8,0)),"(sin catálogo)"))</f>
        <v/>
      </c>
      <c r="AB82" s="5">
        <f>IF($H82="","",IFERROR(INDEX('CAT_ACTIVIDADES'!$B$4:$B$11,MATCH($H82,'CAT_ACTIVIDADES'!$A$4:$A$11,0)),"(sin catálogo)"))</f>
        <v/>
      </c>
      <c r="AC82" s="20">
        <f>IF($J82="","",TODAY()-$J82)</f>
        <v/>
      </c>
      <c r="AD82" s="20">
        <f>IF($J82="","",IF($J82&lt;=TODAY(),COUNTIFS(cal_fechas,"&gt;="&amp;$J82,cal_fechas,"&lt;"&amp;TODAY(),cal_habil,"sí"),-COUNTIFS(cal_fechas,"&gt;="&amp;TODAY(),cal_fechas,"&lt;"&amp;$J82,cal_habil,"sí")))</f>
        <v/>
      </c>
      <c r="AE82" s="5">
        <f>IF($AD82="","",IF($AD82&lt;0,"FUTURO",IF($AD82&gt;p_dias_backlog_max,"BACKLOG","MES CORRIENTE")))</f>
        <v/>
      </c>
      <c r="AF82" s="5">
        <f>IF($AD82="",FALSE,AND($AD82&gt;p_dias_backlog_min,$AD82&lt;=p_dias_backlog_max))</f>
        <v/>
      </c>
      <c r="AG82" s="4" t="inlineStr">
        <is>
          <t>Roberto Castro</t>
        </is>
      </c>
      <c r="AH82" s="5">
        <f>IF($AG82="","",IF((IFERROR(INDEX('ASIGNACIONES'!$J$4:$J$451,MATCH($O82&amp;"|"&amp;$S82&amp;"|"&amp;$AG82,'ASIGNACIONES'!$N$4:$N$451,0)),""))=0,"",IFERROR(INDEX('ASIGNACIONES'!$J$4:$J$451,MATCH($O82&amp;"|"&amp;$S82&amp;"|"&amp;$AG82,'ASIGNACIONES'!$N$4:$N$451,0)),"")))</f>
        <v/>
      </c>
      <c r="AI82" s="25">
        <f>IF($AG82="","",SUMIFS('ORDENES'!$M$4:$M$1203,'ORDENES'!$AG$4:$AG$1203,$AG82,'ORDENES'!$O$4:$O$1203,$O82,'ORDENES'!$S$4:$S$1203,$S82))</f>
        <v/>
      </c>
      <c r="AJ82" s="25">
        <f>IF($AI82="","",p_factor_productividad*IFERROR(INDEX('ASIGNACIONES'!$M$4:$M$451,MATCH($O82&amp;"|"&amp;$S82&amp;"|"&amp;$AG82,'ASIGNACIONES'!$N$4:$N$451,0)),0)-$AI82)</f>
        <v/>
      </c>
      <c r="AK82" s="18">
        <f>IF($A82="","",IFERROR(INDEX('2_IMPORTAR_EJECUCION'!$F$9:$F$1208,MATCH($AT82,'2_IMPORTAR_EJECUCION'!$J$9:$J$1208,0)),0))</f>
        <v/>
      </c>
      <c r="AL82" s="18">
        <f>IF($A82="","",MAX(0,IFERROR(INDEX('2_IMPORTAR_EJECUCION'!$H$9:$H$1208,MATCH($AT82,'2_IMPORTAR_EJECUCION'!$J$9:$J$1208,0)),0)-$AK82))</f>
        <v/>
      </c>
      <c r="AM82" s="18">
        <f>IF($A82="","",$AK82+$AL82)</f>
        <v/>
      </c>
      <c r="AN82" s="5">
        <f>IF($A82="","",IF(OR((IFERROR(INDEX('CAT_ACTIVIDADES'!$D$4:$D$11,MATCH($H82,'CAT_ACTIVIDADES'!$A$4:$A$11,0)),""))=0,(IFERROR(INDEX('CAT_ACTIVIDADES'!$D$4:$D$11,MATCH($H82,'CAT_ACTIVIDADES'!$A$4:$A$11,0)),""))=""),"SIN CLASIFICAR",IFERROR(INDEX('CAT_ACTIVIDADES'!$D$4:$D$11,MATCH($H82,'CAT_ACTIVIDADES'!$A$4:$A$11,0)),"")))</f>
        <v/>
      </c>
      <c r="AO82" s="4" t="inlineStr"/>
      <c r="AP82" s="4" t="inlineStr"/>
      <c r="AQ82" s="4" t="inlineStr">
        <is>
          <t>ACT-02.pdf</t>
        </is>
      </c>
      <c r="AR82" s="5">
        <f>IF($AQ82="","",HYPERLINK(p_ruta_base_checklists&amp;$AQ82,"abrir"))</f>
        <v/>
      </c>
      <c r="AS82" s="4" t="inlineStr"/>
      <c r="AT82" s="5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22" t="n">
        <v>46248</v>
      </c>
      <c r="K83" s="5" t="n">
        <v>6</v>
      </c>
      <c r="L83" s="18" t="n">
        <v>150</v>
      </c>
      <c r="M83" s="5">
        <f>IF($A83="","",IFERROR(INDEX('AJUSTES'!$B$4:$B$303,MATCH($AT83,'AJUSTES'!$A$4:$A$303,0)),IF($K83="","",$K83)))</f>
        <v/>
      </c>
      <c r="N83" s="5">
        <f>IF($A83="","",IFERROR(INDEX('CAT_ESTADOS_ERP'!$B$4:$B$7,MATCH(IFERROR(INDEX('2_IMPORTAR_EJECUCION'!$C$9:$C$1208,MATCH($AT83,'2_IMPORTAR_EJECUCION'!$J$9:$J$1208,0)),""),'CAT_ESTADOS_ERP'!$A$4:$A$7,0)),"Pendiente"))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IF($J83="","",$P83&amp;"-"&amp;TEXT($Q83,"00"))</f>
        <v/>
      </c>
      <c r="S83" s="5">
        <f>IF($J83="","",INDEX(lista_dias,WEEKDAY($J83,2)))</f>
        <v/>
      </c>
      <c r="T83" s="5">
        <f>IF($J83="","",IFERROR(INDEX('CALENDARIO'!$C$15:$C$214,MATCH(TEXT($J83,"yyyy-mm-dd")&amp;"|"&amp;$X83&amp;"|"&amp;$Y83,'CALENDARIO'!$G$15:$G$214,0)),IFERROR(INDEX('CALENDARIO'!$C$15:$C$214,MATCH(TEXT($J83,"yyyy-mm-dd")&amp;"|"&amp;$X83&amp;"|",'CALENDARIO'!$G$15:$G$214,0)),IFERROR(INDEX('CALENDARIO'!$C$15:$C$214,MATCH(TEXT($J83,"yyyy-mm-dd")&amp;"||",'CALENDARIO'!$G$15:$G$214,0)),INDEX(patronHabil,WEEKDAY($J83,2))))))</f>
        <v/>
      </c>
      <c r="U83" s="5">
        <f>IF($I83="","",IFERROR(INDEX('CAT_TIPOS_OT'!$C$4:$C$8,MATCH($I83,'CAT_TIPOS_OT'!$A$4:$A$8,0)),"sin_clasificar"))</f>
        <v/>
      </c>
      <c r="V83" s="5">
        <f>IF($I83="","",IF(IFERROR(INDEX('CAT_TIPOS_OT'!$D$4:$D$8,MATCH($I83,'CAT_TIPOS_OT'!$A$4:$A$8,0)),"SIN CLASIFICAR")="","SIN CLASIFICAR",IFERROR(INDEX('CAT_TIPOS_OT'!$D$4:$D$8,MATCH($I83,'CAT_TIPOS_OT'!$A$4:$A$8,0)),"SIN CLASIFICAR")))</f>
        <v/>
      </c>
      <c r="W83" s="5">
        <f>IF($F83="","",IFERROR(INDEX('CAT_CENTROS_COSTO'!$F$4:$F$13,MATCH($F83,'CAT_CENTROS_COSTO'!$A$4:$A$13,0)),"(sin catálogo)"))</f>
        <v/>
      </c>
      <c r="X83" s="5">
        <f>IF($F83="","",IFERROR(INDEX('CAT_CENTROS_COSTO'!$D$4:$D$13,MATCH($F83,'CAT_CENTROS_COSTO'!$A$4:$A$13,0)),"(sin catálogo)"))</f>
        <v/>
      </c>
      <c r="Y83" s="5">
        <f>IF($F83="","",IF((IFERROR(INDEX('CAT_CENTROS_COSTO'!$E$4:$E$13,MATCH($F83,'CAT_CENTROS_COSTO'!$A$4:$A$13,0)),""))&lt;&gt;"",IFERROR(INDEX('CAT_CENTROS_COSTO'!$E$4:$E$13,MATCH($F83,'CAT_CENTROS_COSTO'!$A$4:$A$13,0)),""),$X83))</f>
        <v/>
      </c>
      <c r="Z83" s="5">
        <f>IF($F83="","",IFERROR(INDEX('CAT_CENTROS_COSTO'!$G$4:$G$13,MATCH($F83,'CAT_CENTROS_COSTO'!$A$4:$A$13,0)),"(sin catálogo)"))</f>
        <v/>
      </c>
      <c r="AA83" s="5">
        <f>IF($G83="","",IFERROR(INDEX('CAT_PUESTOS'!$B$4:$B$8,MATCH($G83,'CAT_PUESTOS'!$A$4:$A$8,0)),"(sin catálogo)"))</f>
        <v/>
      </c>
      <c r="AB83" s="5">
        <f>IF($H83="","",IFERROR(INDEX('CAT_ACTIVIDADES'!$B$4:$B$11,MATCH($H83,'CAT_ACTIVIDADES'!$A$4:$A$11,0)),"(sin catálogo)"))</f>
        <v/>
      </c>
      <c r="AC83" s="20">
        <f>IF($J83="","",TODAY()-$J83)</f>
        <v/>
      </c>
      <c r="AD83" s="20">
        <f>IF($J83="","",IF($J83&lt;=TODAY(),COUNTIFS(cal_fechas,"&gt;="&amp;$J83,cal_fechas,"&lt;"&amp;TODAY(),cal_habil,"sí"),-COUNTIFS(cal_fechas,"&gt;="&amp;TODAY(),cal_fechas,"&lt;"&amp;$J83,cal_habil,"sí")))</f>
        <v/>
      </c>
      <c r="AE83" s="5">
        <f>IF($AD83="","",IF($AD83&lt;0,"FUTURO",IF($AD83&gt;p_dias_backlog_max,"BACKLOG","MES CORRIENTE")))</f>
        <v/>
      </c>
      <c r="AF83" s="5">
        <f>IF($AD83="",FALSE,AND($AD83&gt;p_dias_backlog_min,$AD83&lt;=p_dias_backlog_max))</f>
        <v/>
      </c>
      <c r="AG83" s="4" t="inlineStr">
        <is>
          <t>Laura Morales</t>
        </is>
      </c>
      <c r="AH83" s="5">
        <f>IF($AG83="","",IF((IFERROR(INDEX('ASIGNACIONES'!$J$4:$J$451,MATCH($O83&amp;"|"&amp;$S83&amp;"|"&amp;$AG83,'ASIGNACIONES'!$N$4:$N$451,0)),""))=0,"",IFERROR(INDEX('ASIGNACIONES'!$J$4:$J$451,MATCH($O83&amp;"|"&amp;$S83&amp;"|"&amp;$AG83,'ASIGNACIONES'!$N$4:$N$451,0)),"")))</f>
        <v/>
      </c>
      <c r="AI83" s="25">
        <f>IF($AG83="","",SUMIFS('ORDENES'!$M$4:$M$1203,'ORDENES'!$AG$4:$AG$1203,$AG83,'ORDENES'!$O$4:$O$1203,$O83,'ORDENES'!$S$4:$S$1203,$S83))</f>
        <v/>
      </c>
      <c r="AJ83" s="25">
        <f>IF($AI83="","",p_factor_productividad*IFERROR(INDEX('ASIGNACIONES'!$M$4:$M$451,MATCH($O83&amp;"|"&amp;$S83&amp;"|"&amp;$AG83,'ASIGNACIONES'!$N$4:$N$451,0)),0)-$AI83)</f>
        <v/>
      </c>
      <c r="AK83" s="18">
        <f>IF($A83="","",IFERROR(INDEX('2_IMPORTAR_EJECUCION'!$F$9:$F$1208,MATCH($AT83,'2_IMPORTAR_EJECUCION'!$J$9:$J$1208,0)),0))</f>
        <v/>
      </c>
      <c r="AL83" s="18">
        <f>IF($A83="","",MAX(0,IFERROR(INDEX('2_IMPORTAR_EJECUCION'!$H$9:$H$1208,MATCH($AT83,'2_IMPORTAR_EJECUCION'!$J$9:$J$1208,0)),0)-$AK83))</f>
        <v/>
      </c>
      <c r="AM83" s="18">
        <f>IF($A83="","",$AK83+$AL83)</f>
        <v/>
      </c>
      <c r="AN83" s="5">
        <f>IF($A83="","",IF(OR((IFERROR(INDEX('CAT_ACTIVIDADES'!$D$4:$D$11,MATCH($H83,'CAT_ACTIVIDADES'!$A$4:$A$11,0)),""))=0,(IFERROR(INDEX('CAT_ACTIVIDADES'!$D$4:$D$11,MATCH($H83,'CAT_ACTIVIDADES'!$A$4:$A$11,0)),""))=""),"SIN CLASIFICAR",IFERROR(INDEX('CAT_ACTIVIDADES'!$D$4:$D$11,MATCH($H83,'CAT_ACTIVIDADES'!$A$4:$A$11,0)),"")))</f>
        <v/>
      </c>
      <c r="AO83" s="4" t="inlineStr"/>
      <c r="AP83" s="4" t="inlineStr"/>
      <c r="AQ83" s="4" t="inlineStr">
        <is>
          <t>ACT-04.pdf</t>
        </is>
      </c>
      <c r="AR83" s="5">
        <f>IF($AQ83="","",HYPERLINK(p_ruta_base_checklists&amp;$AQ83,"abrir"))</f>
        <v/>
      </c>
      <c r="AS83" s="4" t="inlineStr"/>
      <c r="AT83" s="5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22" t="n">
        <v>46244</v>
      </c>
      <c r="K84" s="5" t="n">
        <v>10</v>
      </c>
      <c r="L84" s="18" t="n">
        <v>250</v>
      </c>
      <c r="M84" s="5">
        <f>IF($A84="","",IFERROR(INDEX('AJUSTES'!$B$4:$B$303,MATCH($AT84,'AJUSTES'!$A$4:$A$303,0)),IF($K84="","",$K84)))</f>
        <v/>
      </c>
      <c r="N84" s="5">
        <f>IF($A84="","",IFERROR(INDEX('CAT_ESTADOS_ERP'!$B$4:$B$7,MATCH(IFERROR(INDEX('2_IMPORTAR_EJECUCION'!$C$9:$C$1208,MATCH($AT84,'2_IMPORTAR_EJECUCION'!$J$9:$J$1208,0)),""),'CAT_ESTADOS_ERP'!$A$4:$A$7,0)),"Pendiente"))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IF($J84="","",$P84&amp;"-"&amp;TEXT($Q84,"00"))</f>
        <v/>
      </c>
      <c r="S84" s="5">
        <f>IF($J84="","",INDEX(lista_dias,WEEKDAY($J84,2)))</f>
        <v/>
      </c>
      <c r="T84" s="5">
        <f>IF($J84="","",IFERROR(INDEX('CALENDARIO'!$C$15:$C$214,MATCH(TEXT($J84,"yyyy-mm-dd")&amp;"|"&amp;$X84&amp;"|"&amp;$Y84,'CALENDARIO'!$G$15:$G$214,0)),IFERROR(INDEX('CALENDARIO'!$C$15:$C$214,MATCH(TEXT($J84,"yyyy-mm-dd")&amp;"|"&amp;$X84&amp;"|",'CALENDARIO'!$G$15:$G$214,0)),IFERROR(INDEX('CALENDARIO'!$C$15:$C$214,MATCH(TEXT($J84,"yyyy-mm-dd")&amp;"||",'CALENDARIO'!$G$15:$G$214,0)),INDEX(patronHabil,WEEKDAY($J84,2))))))</f>
        <v/>
      </c>
      <c r="U84" s="5">
        <f>IF($I84="","",IFERROR(INDEX('CAT_TIPOS_OT'!$C$4:$C$8,MATCH($I84,'CAT_TIPOS_OT'!$A$4:$A$8,0)),"sin_clasificar"))</f>
        <v/>
      </c>
      <c r="V84" s="5">
        <f>IF($I84="","",IF(IFERROR(INDEX('CAT_TIPOS_OT'!$D$4:$D$8,MATCH($I84,'CAT_TIPOS_OT'!$A$4:$A$8,0)),"SIN CLASIFICAR")="","SIN CLASIFICAR",IFERROR(INDEX('CAT_TIPOS_OT'!$D$4:$D$8,MATCH($I84,'CAT_TIPOS_OT'!$A$4:$A$8,0)),"SIN CLASIFICAR")))</f>
        <v/>
      </c>
      <c r="W84" s="5">
        <f>IF($F84="","",IFERROR(INDEX('CAT_CENTROS_COSTO'!$F$4:$F$13,MATCH($F84,'CAT_CENTROS_COSTO'!$A$4:$A$13,0)),"(sin catálogo)"))</f>
        <v/>
      </c>
      <c r="X84" s="5">
        <f>IF($F84="","",IFERROR(INDEX('CAT_CENTROS_COSTO'!$D$4:$D$13,MATCH($F84,'CAT_CENTROS_COSTO'!$A$4:$A$13,0)),"(sin catálogo)"))</f>
        <v/>
      </c>
      <c r="Y84" s="5">
        <f>IF($F84="","",IF((IFERROR(INDEX('CAT_CENTROS_COSTO'!$E$4:$E$13,MATCH($F84,'CAT_CENTROS_COSTO'!$A$4:$A$13,0)),""))&lt;&gt;"",IFERROR(INDEX('CAT_CENTROS_COSTO'!$E$4:$E$13,MATCH($F84,'CAT_CENTROS_COSTO'!$A$4:$A$13,0)),""),$X84))</f>
        <v/>
      </c>
      <c r="Z84" s="5">
        <f>IF($F84="","",IFERROR(INDEX('CAT_CENTROS_COSTO'!$G$4:$G$13,MATCH($F84,'CAT_CENTROS_COSTO'!$A$4:$A$13,0)),"(sin catálogo)"))</f>
        <v/>
      </c>
      <c r="AA84" s="5">
        <f>IF($G84="","",IFERROR(INDEX('CAT_PUESTOS'!$B$4:$B$8,MATCH($G84,'CAT_PUESTOS'!$A$4:$A$8,0)),"(sin catálogo)"))</f>
        <v/>
      </c>
      <c r="AB84" s="5">
        <f>IF($H84="","",IFERROR(INDEX('CAT_ACTIVIDADES'!$B$4:$B$11,MATCH($H84,'CAT_ACTIVIDADES'!$A$4:$A$11,0)),"(sin catálogo)"))</f>
        <v/>
      </c>
      <c r="AC84" s="20">
        <f>IF($J84="","",TODAY()-$J84)</f>
        <v/>
      </c>
      <c r="AD84" s="20">
        <f>IF($J84="","",IF($J84&lt;=TODAY(),COUNTIFS(cal_fechas,"&gt;="&amp;$J84,cal_fechas,"&lt;"&amp;TODAY(),cal_habil,"sí"),-COUNTIFS(cal_fechas,"&gt;="&amp;TODAY(),cal_fechas,"&lt;"&amp;$J84,cal_habil,"sí")))</f>
        <v/>
      </c>
      <c r="AE84" s="5">
        <f>IF($AD84="","",IF($AD84&lt;0,"FUTURO",IF($AD84&gt;p_dias_backlog_max,"BACKLOG","MES CORRIENTE")))</f>
        <v/>
      </c>
      <c r="AF84" s="5">
        <f>IF($AD84="",FALSE,AND($AD84&gt;p_dias_backlog_min,$AD84&lt;=p_dias_backlog_max))</f>
        <v/>
      </c>
      <c r="AG84" s="4" t="inlineStr">
        <is>
          <t>Ricardo Ortiz</t>
        </is>
      </c>
      <c r="AH84" s="5">
        <f>IF($AG84="","",IF((IFERROR(INDEX('ASIGNACIONES'!$J$4:$J$451,MATCH($O84&amp;"|"&amp;$S84&amp;"|"&amp;$AG84,'ASIGNACIONES'!$N$4:$N$451,0)),""))=0,"",IFERROR(INDEX('ASIGNACIONES'!$J$4:$J$451,MATCH($O84&amp;"|"&amp;$S84&amp;"|"&amp;$AG84,'ASIGNACIONES'!$N$4:$N$451,0)),"")))</f>
        <v/>
      </c>
      <c r="AI84" s="25">
        <f>IF($AG84="","",SUMIFS('ORDENES'!$M$4:$M$1203,'ORDENES'!$AG$4:$AG$1203,$AG84,'ORDENES'!$O$4:$O$1203,$O84,'ORDENES'!$S$4:$S$1203,$S84))</f>
        <v/>
      </c>
      <c r="AJ84" s="25">
        <f>IF($AI84="","",p_factor_productividad*IFERROR(INDEX('ASIGNACIONES'!$M$4:$M$451,MATCH($O84&amp;"|"&amp;$S84&amp;"|"&amp;$AG84,'ASIGNACIONES'!$N$4:$N$451,0)),0)-$AI84)</f>
        <v/>
      </c>
      <c r="AK84" s="18">
        <f>IF($A84="","",IFERROR(INDEX('2_IMPORTAR_EJECUCION'!$F$9:$F$1208,MATCH($AT84,'2_IMPORTAR_EJECUCION'!$J$9:$J$1208,0)),0))</f>
        <v/>
      </c>
      <c r="AL84" s="18">
        <f>IF($A84="","",MAX(0,IFERROR(INDEX('2_IMPORTAR_EJECUCION'!$H$9:$H$1208,MATCH($AT84,'2_IMPORTAR_EJECUCION'!$J$9:$J$1208,0)),0)-$AK84))</f>
        <v/>
      </c>
      <c r="AM84" s="18">
        <f>IF($A84="","",$AK84+$AL84)</f>
        <v/>
      </c>
      <c r="AN84" s="5">
        <f>IF($A84="","",IF(OR((IFERROR(INDEX('CAT_ACTIVIDADES'!$D$4:$D$11,MATCH($H84,'CAT_ACTIVIDADES'!$A$4:$A$11,0)),""))=0,(IFERROR(INDEX('CAT_ACTIVIDADES'!$D$4:$D$11,MATCH($H84,'CAT_ACTIVIDADES'!$A$4:$A$11,0)),""))=""),"SIN CLASIFICAR",IFERROR(INDEX('CAT_ACTIVIDADES'!$D$4:$D$11,MATCH($H84,'CAT_ACTIVIDADES'!$A$4:$A$11,0)),"")))</f>
        <v/>
      </c>
      <c r="AO84" s="4" t="inlineStr"/>
      <c r="AP84" s="4" t="inlineStr"/>
      <c r="AQ84" s="4" t="inlineStr">
        <is>
          <t>ACT-01.pdf</t>
        </is>
      </c>
      <c r="AR84" s="5">
        <f>IF($AQ84="","",HYPERLINK(p_ruta_base_checklists&amp;$AQ84,"abrir"))</f>
        <v/>
      </c>
      <c r="AS84" s="4" t="inlineStr"/>
      <c r="AT84" s="5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22" t="n">
        <v>46245</v>
      </c>
      <c r="K85" s="5" t="n">
        <v>8</v>
      </c>
      <c r="L85" s="18" t="n">
        <v>200</v>
      </c>
      <c r="M85" s="5">
        <f>IF($A85="","",IFERROR(INDEX('AJUSTES'!$B$4:$B$303,MATCH($AT85,'AJUSTES'!$A$4:$A$303,0)),IF($K85="","",$K85)))</f>
        <v/>
      </c>
      <c r="N85" s="5">
        <f>IF($A85="","",IFERROR(INDEX('CAT_ESTADOS_ERP'!$B$4:$B$7,MATCH(IFERROR(INDEX('2_IMPORTAR_EJECUCION'!$C$9:$C$1208,MATCH($AT85,'2_IMPORTAR_EJECUCION'!$J$9:$J$1208,0)),""),'CAT_ESTADOS_ERP'!$A$4:$A$7,0)),"Pendiente"))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IF($J85="","",$P85&amp;"-"&amp;TEXT($Q85,"00"))</f>
        <v/>
      </c>
      <c r="S85" s="5">
        <f>IF($J85="","",INDEX(lista_dias,WEEKDAY($J85,2)))</f>
        <v/>
      </c>
      <c r="T85" s="5">
        <f>IF($J85="","",IFERROR(INDEX('CALENDARIO'!$C$15:$C$214,MATCH(TEXT($J85,"yyyy-mm-dd")&amp;"|"&amp;$X85&amp;"|"&amp;$Y85,'CALENDARIO'!$G$15:$G$214,0)),IFERROR(INDEX('CALENDARIO'!$C$15:$C$214,MATCH(TEXT($J85,"yyyy-mm-dd")&amp;"|"&amp;$X85&amp;"|",'CALENDARIO'!$G$15:$G$214,0)),IFERROR(INDEX('CALENDARIO'!$C$15:$C$214,MATCH(TEXT($J85,"yyyy-mm-dd")&amp;"||",'CALENDARIO'!$G$15:$G$214,0)),INDEX(patronHabil,WEEKDAY($J85,2))))))</f>
        <v/>
      </c>
      <c r="U85" s="5">
        <f>IF($I85="","",IFERROR(INDEX('CAT_TIPOS_OT'!$C$4:$C$8,MATCH($I85,'CAT_TIPOS_OT'!$A$4:$A$8,0)),"sin_clasificar"))</f>
        <v/>
      </c>
      <c r="V85" s="5">
        <f>IF($I85="","",IF(IFERROR(INDEX('CAT_TIPOS_OT'!$D$4:$D$8,MATCH($I85,'CAT_TIPOS_OT'!$A$4:$A$8,0)),"SIN CLASIFICAR")="","SIN CLASIFICAR",IFERROR(INDEX('CAT_TIPOS_OT'!$D$4:$D$8,MATCH($I85,'CAT_TIPOS_OT'!$A$4:$A$8,0)),"SIN CLASIFICAR")))</f>
        <v/>
      </c>
      <c r="W85" s="5">
        <f>IF($F85="","",IFERROR(INDEX('CAT_CENTROS_COSTO'!$F$4:$F$13,MATCH($F85,'CAT_CENTROS_COSTO'!$A$4:$A$13,0)),"(sin catálogo)"))</f>
        <v/>
      </c>
      <c r="X85" s="5">
        <f>IF($F85="","",IFERROR(INDEX('CAT_CENTROS_COSTO'!$D$4:$D$13,MATCH($F85,'CAT_CENTROS_COSTO'!$A$4:$A$13,0)),"(sin catálogo)"))</f>
        <v/>
      </c>
      <c r="Y85" s="5">
        <f>IF($F85="","",IF((IFERROR(INDEX('CAT_CENTROS_COSTO'!$E$4:$E$13,MATCH($F85,'CAT_CENTROS_COSTO'!$A$4:$A$13,0)),""))&lt;&gt;"",IFERROR(INDEX('CAT_CENTROS_COSTO'!$E$4:$E$13,MATCH($F85,'CAT_CENTROS_COSTO'!$A$4:$A$13,0)),""),$X85))</f>
        <v/>
      </c>
      <c r="Z85" s="5">
        <f>IF($F85="","",IFERROR(INDEX('CAT_CENTROS_COSTO'!$G$4:$G$13,MATCH($F85,'CAT_CENTROS_COSTO'!$A$4:$A$13,0)),"(sin catálogo)"))</f>
        <v/>
      </c>
      <c r="AA85" s="5">
        <f>IF($G85="","",IFERROR(INDEX('CAT_PUESTOS'!$B$4:$B$8,MATCH($G85,'CAT_PUESTOS'!$A$4:$A$8,0)),"(sin catálogo)"))</f>
        <v/>
      </c>
      <c r="AB85" s="5">
        <f>IF($H85="","",IFERROR(INDEX('CAT_ACTIVIDADES'!$B$4:$B$11,MATCH($H85,'CAT_ACTIVIDADES'!$A$4:$A$11,0)),"(sin catálogo)"))</f>
        <v/>
      </c>
      <c r="AC85" s="20">
        <f>IF($J85="","",TODAY()-$J85)</f>
        <v/>
      </c>
      <c r="AD85" s="20">
        <f>IF($J85="","",IF($J85&lt;=TODAY(),COUNTIFS(cal_fechas,"&gt;="&amp;$J85,cal_fechas,"&lt;"&amp;TODAY(),cal_habil,"sí"),-COUNTIFS(cal_fechas,"&gt;="&amp;TODAY(),cal_fechas,"&lt;"&amp;$J85,cal_habil,"sí")))</f>
        <v/>
      </c>
      <c r="AE85" s="5">
        <f>IF($AD85="","",IF($AD85&lt;0,"FUTURO",IF($AD85&gt;p_dias_backlog_max,"BACKLOG","MES CORRIENTE")))</f>
        <v/>
      </c>
      <c r="AF85" s="5">
        <f>IF($AD85="",FALSE,AND($AD85&gt;p_dias_backlog_min,$AD85&lt;=p_dias_backlog_max))</f>
        <v/>
      </c>
      <c r="AG85" s="4" t="inlineStr">
        <is>
          <t>Eduardo Silva</t>
        </is>
      </c>
      <c r="AH85" s="5">
        <f>IF($AG85="","",IF((IFERROR(INDEX('ASIGNACIONES'!$J$4:$J$451,MATCH($O85&amp;"|"&amp;$S85&amp;"|"&amp;$AG85,'ASIGNACIONES'!$N$4:$N$451,0)),""))=0,"",IFERROR(INDEX('ASIGNACIONES'!$J$4:$J$451,MATCH($O85&amp;"|"&amp;$S85&amp;"|"&amp;$AG85,'ASIGNACIONES'!$N$4:$N$451,0)),"")))</f>
        <v/>
      </c>
      <c r="AI85" s="25">
        <f>IF($AG85="","",SUMIFS('ORDENES'!$M$4:$M$1203,'ORDENES'!$AG$4:$AG$1203,$AG85,'ORDENES'!$O$4:$O$1203,$O85,'ORDENES'!$S$4:$S$1203,$S85))</f>
        <v/>
      </c>
      <c r="AJ85" s="25">
        <f>IF($AI85="","",p_factor_productividad*IFERROR(INDEX('ASIGNACIONES'!$M$4:$M$451,MATCH($O85&amp;"|"&amp;$S85&amp;"|"&amp;$AG85,'ASIGNACIONES'!$N$4:$N$451,0)),0)-$AI85)</f>
        <v/>
      </c>
      <c r="AK85" s="18">
        <f>IF($A85="","",IFERROR(INDEX('2_IMPORTAR_EJECUCION'!$F$9:$F$1208,MATCH($AT85,'2_IMPORTAR_EJECUCION'!$J$9:$J$1208,0)),0))</f>
        <v/>
      </c>
      <c r="AL85" s="18">
        <f>IF($A85="","",MAX(0,IFERROR(INDEX('2_IMPORTAR_EJECUCION'!$H$9:$H$1208,MATCH($AT85,'2_IMPORTAR_EJECUCION'!$J$9:$J$1208,0)),0)-$AK85))</f>
        <v/>
      </c>
      <c r="AM85" s="18">
        <f>IF($A85="","",$AK85+$AL85)</f>
        <v/>
      </c>
      <c r="AN85" s="5">
        <f>IF($A85="","",IF(OR((IFERROR(INDEX('CAT_ACTIVIDADES'!$D$4:$D$11,MATCH($H85,'CAT_ACTIVIDADES'!$A$4:$A$11,0)),""))=0,(IFERROR(INDEX('CAT_ACTIVIDADES'!$D$4:$D$11,MATCH($H85,'CAT_ACTIVIDADES'!$A$4:$A$11,0)),""))=""),"SIN CLASIFICAR",IFERROR(INDEX('CAT_ACTIVIDADES'!$D$4:$D$11,MATCH($H85,'CAT_ACTIVIDADES'!$A$4:$A$11,0)),"")))</f>
        <v/>
      </c>
      <c r="AO85" s="4" t="inlineStr"/>
      <c r="AP85" s="4" t="inlineStr"/>
      <c r="AQ85" s="4" t="inlineStr">
        <is>
          <t>ACT-02.pdf</t>
        </is>
      </c>
      <c r="AR85" s="5">
        <f>IF($AQ85="","",HYPERLINK(p_ruta_base_checklists&amp;$AQ85,"abrir"))</f>
        <v/>
      </c>
      <c r="AS85" s="4" t="inlineStr"/>
      <c r="AT85" s="5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22" t="n">
        <v>46246</v>
      </c>
      <c r="K86" s="5" t="n">
        <v>8</v>
      </c>
      <c r="L86" s="18" t="n">
        <v>200</v>
      </c>
      <c r="M86" s="5">
        <f>IF($A86="","",IFERROR(INDEX('AJUSTES'!$B$4:$B$303,MATCH($AT86,'AJUSTES'!$A$4:$A$303,0)),IF($K86="","",$K86)))</f>
        <v/>
      </c>
      <c r="N86" s="5">
        <f>IF($A86="","",IFERROR(INDEX('CAT_ESTADOS_ERP'!$B$4:$B$7,MATCH(IFERROR(INDEX('2_IMPORTAR_EJECUCION'!$C$9:$C$1208,MATCH($AT86,'2_IMPORTAR_EJECUCION'!$J$9:$J$1208,0)),""),'CAT_ESTADOS_ERP'!$A$4:$A$7,0)),"Pendiente"))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IF($J86="","",$P86&amp;"-"&amp;TEXT($Q86,"00"))</f>
        <v/>
      </c>
      <c r="S86" s="5">
        <f>IF($J86="","",INDEX(lista_dias,WEEKDAY($J86,2)))</f>
        <v/>
      </c>
      <c r="T86" s="5">
        <f>IF($J86="","",IFERROR(INDEX('CALENDARIO'!$C$15:$C$214,MATCH(TEXT($J86,"yyyy-mm-dd")&amp;"|"&amp;$X86&amp;"|"&amp;$Y86,'CALENDARIO'!$G$15:$G$214,0)),IFERROR(INDEX('CALENDARIO'!$C$15:$C$214,MATCH(TEXT($J86,"yyyy-mm-dd")&amp;"|"&amp;$X86&amp;"|",'CALENDARIO'!$G$15:$G$214,0)),IFERROR(INDEX('CALENDARIO'!$C$15:$C$214,MATCH(TEXT($J86,"yyyy-mm-dd")&amp;"||",'CALENDARIO'!$G$15:$G$214,0)),INDEX(patronHabil,WEEKDAY($J86,2))))))</f>
        <v/>
      </c>
      <c r="U86" s="5">
        <f>IF($I86="","",IFERROR(INDEX('CAT_TIPOS_OT'!$C$4:$C$8,MATCH($I86,'CAT_TIPOS_OT'!$A$4:$A$8,0)),"sin_clasificar"))</f>
        <v/>
      </c>
      <c r="V86" s="5">
        <f>IF($I86="","",IF(IFERROR(INDEX('CAT_TIPOS_OT'!$D$4:$D$8,MATCH($I86,'CAT_TIPOS_OT'!$A$4:$A$8,0)),"SIN CLASIFICAR")="","SIN CLASIFICAR",IFERROR(INDEX('CAT_TIPOS_OT'!$D$4:$D$8,MATCH($I86,'CAT_TIPOS_OT'!$A$4:$A$8,0)),"SIN CLASIFICAR")))</f>
        <v/>
      </c>
      <c r="W86" s="5">
        <f>IF($F86="","",IFERROR(INDEX('CAT_CENTROS_COSTO'!$F$4:$F$13,MATCH($F86,'CAT_CENTROS_COSTO'!$A$4:$A$13,0)),"(sin catálogo)"))</f>
        <v/>
      </c>
      <c r="X86" s="5">
        <f>IF($F86="","",IFERROR(INDEX('CAT_CENTROS_COSTO'!$D$4:$D$13,MATCH($F86,'CAT_CENTROS_COSTO'!$A$4:$A$13,0)),"(sin catálogo)"))</f>
        <v/>
      </c>
      <c r="Y86" s="5">
        <f>IF($F86="","",IF((IFERROR(INDEX('CAT_CENTROS_COSTO'!$E$4:$E$13,MATCH($F86,'CAT_CENTROS_COSTO'!$A$4:$A$13,0)),""))&lt;&gt;"",IFERROR(INDEX('CAT_CENTROS_COSTO'!$E$4:$E$13,MATCH($F86,'CAT_CENTROS_COSTO'!$A$4:$A$13,0)),""),$X86))</f>
        <v/>
      </c>
      <c r="Z86" s="5">
        <f>IF($F86="","",IFERROR(INDEX('CAT_CENTROS_COSTO'!$G$4:$G$13,MATCH($F86,'CAT_CENTROS_COSTO'!$A$4:$A$13,0)),"(sin catálogo)"))</f>
        <v/>
      </c>
      <c r="AA86" s="5">
        <f>IF($G86="","",IFERROR(INDEX('CAT_PUESTOS'!$B$4:$B$8,MATCH($G86,'CAT_PUESTOS'!$A$4:$A$8,0)),"(sin catálogo)"))</f>
        <v/>
      </c>
      <c r="AB86" s="5">
        <f>IF($H86="","",IFERROR(INDEX('CAT_ACTIVIDADES'!$B$4:$B$11,MATCH($H86,'CAT_ACTIVIDADES'!$A$4:$A$11,0)),"(sin catálogo)"))</f>
        <v/>
      </c>
      <c r="AC86" s="20">
        <f>IF($J86="","",TODAY()-$J86)</f>
        <v/>
      </c>
      <c r="AD86" s="20">
        <f>IF($J86="","",IF($J86&lt;=TODAY(),COUNTIFS(cal_fechas,"&gt;="&amp;$J86,cal_fechas,"&lt;"&amp;TODAY(),cal_habil,"sí"),-COUNTIFS(cal_fechas,"&gt;="&amp;TODAY(),cal_fechas,"&lt;"&amp;$J86,cal_habil,"sí")))</f>
        <v/>
      </c>
      <c r="AE86" s="5">
        <f>IF($AD86="","",IF($AD86&lt;0,"FUTURO",IF($AD86&gt;p_dias_backlog_max,"BACKLOG","MES CORRIENTE")))</f>
        <v/>
      </c>
      <c r="AF86" s="5">
        <f>IF($AD86="",FALSE,AND($AD86&gt;p_dias_backlog_min,$AD86&lt;=p_dias_backlog_max))</f>
        <v/>
      </c>
      <c r="AG86" s="4" t="inlineStr">
        <is>
          <t>Gabriela Rojas</t>
        </is>
      </c>
      <c r="AH86" s="5">
        <f>IF($AG86="","",IF((IFERROR(INDEX('ASIGNACIONES'!$J$4:$J$451,MATCH($O86&amp;"|"&amp;$S86&amp;"|"&amp;$AG86,'ASIGNACIONES'!$N$4:$N$451,0)),""))=0,"",IFERROR(INDEX('ASIGNACIONES'!$J$4:$J$451,MATCH($O86&amp;"|"&amp;$S86&amp;"|"&amp;$AG86,'ASIGNACIONES'!$N$4:$N$451,0)),"")))</f>
        <v/>
      </c>
      <c r="AI86" s="25">
        <f>IF($AG86="","",SUMIFS('ORDENES'!$M$4:$M$1203,'ORDENES'!$AG$4:$AG$1203,$AG86,'ORDENES'!$O$4:$O$1203,$O86,'ORDENES'!$S$4:$S$1203,$S86))</f>
        <v/>
      </c>
      <c r="AJ86" s="25">
        <f>IF($AI86="","",p_factor_productividad*IFERROR(INDEX('ASIGNACIONES'!$M$4:$M$451,MATCH($O86&amp;"|"&amp;$S86&amp;"|"&amp;$AG86,'ASIGNACIONES'!$N$4:$N$451,0)),0)-$AI86)</f>
        <v/>
      </c>
      <c r="AK86" s="18">
        <f>IF($A86="","",IFERROR(INDEX('2_IMPORTAR_EJECUCION'!$F$9:$F$1208,MATCH($AT86,'2_IMPORTAR_EJECUCION'!$J$9:$J$1208,0)),0))</f>
        <v/>
      </c>
      <c r="AL86" s="18">
        <f>IF($A86="","",MAX(0,IFERROR(INDEX('2_IMPORTAR_EJECUCION'!$H$9:$H$1208,MATCH($AT86,'2_IMPORTAR_EJECUCION'!$J$9:$J$1208,0)),0)-$AK86))</f>
        <v/>
      </c>
      <c r="AM86" s="18">
        <f>IF($A86="","",$AK86+$AL86)</f>
        <v/>
      </c>
      <c r="AN86" s="5">
        <f>IF($A86="","",IF(OR((IFERROR(INDEX('CAT_ACTIVIDADES'!$D$4:$D$11,MATCH($H86,'CAT_ACTIVIDADES'!$A$4:$A$11,0)),""))=0,(IFERROR(INDEX('CAT_ACTIVIDADES'!$D$4:$D$11,MATCH($H86,'CAT_ACTIVIDADES'!$A$4:$A$11,0)),""))=""),"SIN CLASIFICAR",IFERROR(INDEX('CAT_ACTIVIDADES'!$D$4:$D$11,MATCH($H86,'CAT_ACTIVIDADES'!$A$4:$A$11,0)),"")))</f>
        <v/>
      </c>
      <c r="AO86" s="4" t="inlineStr"/>
      <c r="AP86" s="4" t="inlineStr"/>
      <c r="AQ86" s="4" t="inlineStr">
        <is>
          <t>ACT-04.pdf</t>
        </is>
      </c>
      <c r="AR86" s="5">
        <f>IF($AQ86="","",HYPERLINK(p_ruta_base_checklists&amp;$AQ86,"abrir"))</f>
        <v/>
      </c>
      <c r="AS86" s="4" t="inlineStr"/>
      <c r="AT86" s="5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22" t="n">
        <v>46247</v>
      </c>
      <c r="K87" s="5" t="n">
        <v>10</v>
      </c>
      <c r="L87" s="18" t="n">
        <v>400</v>
      </c>
      <c r="M87" s="5">
        <f>IF($A87="","",IFERROR(INDEX('AJUSTES'!$B$4:$B$303,MATCH($AT87,'AJUSTES'!$A$4:$A$303,0)),IF($K87="","",$K87)))</f>
        <v/>
      </c>
      <c r="N87" s="5">
        <f>IF($A87="","",IFERROR(INDEX('CAT_ESTADOS_ERP'!$B$4:$B$7,MATCH(IFERROR(INDEX('2_IMPORTAR_EJECUCION'!$C$9:$C$1208,MATCH($AT87,'2_IMPORTAR_EJECUCION'!$J$9:$J$1208,0)),""),'CAT_ESTADOS_ERP'!$A$4:$A$7,0)),"Pendiente"))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IF($J87="","",$P87&amp;"-"&amp;TEXT($Q87,"00"))</f>
        <v/>
      </c>
      <c r="S87" s="5">
        <f>IF($J87="","",INDEX(lista_dias,WEEKDAY($J87,2)))</f>
        <v/>
      </c>
      <c r="T87" s="5">
        <f>IF($J87="","",IFERROR(INDEX('CALENDARIO'!$C$15:$C$214,MATCH(TEXT($J87,"yyyy-mm-dd")&amp;"|"&amp;$X87&amp;"|"&amp;$Y87,'CALENDARIO'!$G$15:$G$214,0)),IFERROR(INDEX('CALENDARIO'!$C$15:$C$214,MATCH(TEXT($J87,"yyyy-mm-dd")&amp;"|"&amp;$X87&amp;"|",'CALENDARIO'!$G$15:$G$214,0)),IFERROR(INDEX('CALENDARIO'!$C$15:$C$214,MATCH(TEXT($J87,"yyyy-mm-dd")&amp;"||",'CALENDARIO'!$G$15:$G$214,0)),INDEX(patronHabil,WEEKDAY($J87,2))))))</f>
        <v/>
      </c>
      <c r="U87" s="5">
        <f>IF($I87="","",IFERROR(INDEX('CAT_TIPOS_OT'!$C$4:$C$8,MATCH($I87,'CAT_TIPOS_OT'!$A$4:$A$8,0)),"sin_clasificar"))</f>
        <v/>
      </c>
      <c r="V87" s="5">
        <f>IF($I87="","",IF(IFERROR(INDEX('CAT_TIPOS_OT'!$D$4:$D$8,MATCH($I87,'CAT_TIPOS_OT'!$A$4:$A$8,0)),"SIN CLASIFICAR")="","SIN CLASIFICAR",IFERROR(INDEX('CAT_TIPOS_OT'!$D$4:$D$8,MATCH($I87,'CAT_TIPOS_OT'!$A$4:$A$8,0)),"SIN CLASIFICAR")))</f>
        <v/>
      </c>
      <c r="W87" s="5">
        <f>IF($F87="","",IFERROR(INDEX('CAT_CENTROS_COSTO'!$F$4:$F$13,MATCH($F87,'CAT_CENTROS_COSTO'!$A$4:$A$13,0)),"(sin catálogo)"))</f>
        <v/>
      </c>
      <c r="X87" s="5">
        <f>IF($F87="","",IFERROR(INDEX('CAT_CENTROS_COSTO'!$D$4:$D$13,MATCH($F87,'CAT_CENTROS_COSTO'!$A$4:$A$13,0)),"(sin catálogo)"))</f>
        <v/>
      </c>
      <c r="Y87" s="5">
        <f>IF($F87="","",IF((IFERROR(INDEX('CAT_CENTROS_COSTO'!$E$4:$E$13,MATCH($F87,'CAT_CENTROS_COSTO'!$A$4:$A$13,0)),""))&lt;&gt;"",IFERROR(INDEX('CAT_CENTROS_COSTO'!$E$4:$E$13,MATCH($F87,'CAT_CENTROS_COSTO'!$A$4:$A$13,0)),""),$X87))</f>
        <v/>
      </c>
      <c r="Z87" s="5">
        <f>IF($F87="","",IFERROR(INDEX('CAT_CENTROS_COSTO'!$G$4:$G$13,MATCH($F87,'CAT_CENTROS_COSTO'!$A$4:$A$13,0)),"(sin catálogo)"))</f>
        <v/>
      </c>
      <c r="AA87" s="5">
        <f>IF($G87="","",IFERROR(INDEX('CAT_PUESTOS'!$B$4:$B$8,MATCH($G87,'CAT_PUESTOS'!$A$4:$A$8,0)),"(sin catálogo)"))</f>
        <v/>
      </c>
      <c r="AB87" s="5">
        <f>IF($H87="","",IFERROR(INDEX('CAT_ACTIVIDADES'!$B$4:$B$11,MATCH($H87,'CAT_ACTIVIDADES'!$A$4:$A$11,0)),"(sin catálogo)"))</f>
        <v/>
      </c>
      <c r="AC87" s="20">
        <f>IF($J87="","",TODAY()-$J87)</f>
        <v/>
      </c>
      <c r="AD87" s="20">
        <f>IF($J87="","",IF($J87&lt;=TODAY(),COUNTIFS(cal_fechas,"&gt;="&amp;$J87,cal_fechas,"&lt;"&amp;TODAY(),cal_habil,"sí"),-COUNTIFS(cal_fechas,"&gt;="&amp;TODAY(),cal_fechas,"&lt;"&amp;$J87,cal_habil,"sí")))</f>
        <v/>
      </c>
      <c r="AE87" s="5">
        <f>IF($AD87="","",IF($AD87&lt;0,"FUTURO",IF($AD87&gt;p_dias_backlog_max,"BACKLOG","MES CORRIENTE")))</f>
        <v/>
      </c>
      <c r="AF87" s="5">
        <f>IF($AD87="",FALSE,AND($AD87&gt;p_dias_backlog_min,$AD87&lt;=p_dias_backlog_max))</f>
        <v/>
      </c>
      <c r="AG87" s="4" t="inlineStr"/>
      <c r="AH87" s="5">
        <f>IF($AG87="","",IF((IFERROR(INDEX('ASIGNACIONES'!$J$4:$J$451,MATCH($O87&amp;"|"&amp;$S87&amp;"|"&amp;$AG87,'ASIGNACIONES'!$N$4:$N$451,0)),""))=0,"",IFERROR(INDEX('ASIGNACIONES'!$J$4:$J$451,MATCH($O87&amp;"|"&amp;$S87&amp;"|"&amp;$AG87,'ASIGNACIONES'!$N$4:$N$451,0)),"")))</f>
        <v/>
      </c>
      <c r="AI87" s="25">
        <f>IF($AG87="","",SUMIFS('ORDENES'!$M$4:$M$1203,'ORDENES'!$AG$4:$AG$1203,$AG87,'ORDENES'!$O$4:$O$1203,$O87,'ORDENES'!$S$4:$S$1203,$S87))</f>
        <v/>
      </c>
      <c r="AJ87" s="25">
        <f>IF($AI87="","",p_factor_productividad*IFERROR(INDEX('ASIGNACIONES'!$M$4:$M$451,MATCH($O87&amp;"|"&amp;$S87&amp;"|"&amp;$AG87,'ASIGNACIONES'!$N$4:$N$451,0)),0)-$AI87)</f>
        <v/>
      </c>
      <c r="AK87" s="18">
        <f>IF($A87="","",IFERROR(INDEX('2_IMPORTAR_EJECUCION'!$F$9:$F$1208,MATCH($AT87,'2_IMPORTAR_EJECUCION'!$J$9:$J$1208,0)),0))</f>
        <v/>
      </c>
      <c r="AL87" s="18">
        <f>IF($A87="","",MAX(0,IFERROR(INDEX('2_IMPORTAR_EJECUCION'!$H$9:$H$1208,MATCH($AT87,'2_IMPORTAR_EJECUCION'!$J$9:$J$1208,0)),0)-$AK87))</f>
        <v/>
      </c>
      <c r="AM87" s="18">
        <f>IF($A87="","",$AK87+$AL87)</f>
        <v/>
      </c>
      <c r="AN87" s="5">
        <f>IF($A87="","",IF(OR((IFERROR(INDEX('CAT_ACTIVIDADES'!$D$4:$D$11,MATCH($H87,'CAT_ACTIVIDADES'!$A$4:$A$11,0)),""))=0,(IFERROR(INDEX('CAT_ACTIVIDADES'!$D$4:$D$11,MATCH($H87,'CAT_ACTIVIDADES'!$A$4:$A$11,0)),""))=""),"SIN CLASIFICAR",IFERROR(INDEX('CAT_ACTIVIDADES'!$D$4:$D$11,MATCH($H87,'CAT_ACTIVIDADES'!$A$4:$A$11,0)),"")))</f>
        <v/>
      </c>
      <c r="AO87" s="4" t="inlineStr">
        <is>
          <t>PT-CALIENTE</t>
        </is>
      </c>
      <c r="AP87" s="4" t="inlineStr">
        <is>
          <t>LOTO</t>
        </is>
      </c>
      <c r="AQ87" s="4" t="inlineStr"/>
      <c r="AR87" s="5">
        <f>IF($AQ87="","",HYPERLINK(p_ruta_base_checklists&amp;$AQ87,"abrir"))</f>
        <v/>
      </c>
      <c r="AS87" s="4" t="inlineStr"/>
      <c r="AT87" s="5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22" t="n">
        <v>46227</v>
      </c>
      <c r="K88" s="5" t="n">
        <v>10</v>
      </c>
      <c r="L88" s="18" t="n">
        <v>250</v>
      </c>
      <c r="M88" s="5">
        <f>IF($A88="","",IFERROR(INDEX('AJUSTES'!$B$4:$B$303,MATCH($AT88,'AJUSTES'!$A$4:$A$303,0)),IF($K88="","",$K88)))</f>
        <v/>
      </c>
      <c r="N88" s="5">
        <f>IF($A88="","",IFERROR(INDEX('CAT_ESTADOS_ERP'!$B$4:$B$7,MATCH(IFERROR(INDEX('2_IMPORTAR_EJECUCION'!$C$9:$C$1208,MATCH($AT88,'2_IMPORTAR_EJECUCION'!$J$9:$J$1208,0)),""),'CAT_ESTADOS_ERP'!$A$4:$A$7,0)),"Pendiente"))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IF($J88="","",$P88&amp;"-"&amp;TEXT($Q88,"00"))</f>
        <v/>
      </c>
      <c r="S88" s="5">
        <f>IF($J88="","",INDEX(lista_dias,WEEKDAY($J88,2)))</f>
        <v/>
      </c>
      <c r="T88" s="5">
        <f>IF($J88="","",IFERROR(INDEX('CALENDARIO'!$C$15:$C$214,MATCH(TEXT($J88,"yyyy-mm-dd")&amp;"|"&amp;$X88&amp;"|"&amp;$Y88,'CALENDARIO'!$G$15:$G$214,0)),IFERROR(INDEX('CALENDARIO'!$C$15:$C$214,MATCH(TEXT($J88,"yyyy-mm-dd")&amp;"|"&amp;$X88&amp;"|",'CALENDARIO'!$G$15:$G$214,0)),IFERROR(INDEX('CALENDARIO'!$C$15:$C$214,MATCH(TEXT($J88,"yyyy-mm-dd")&amp;"||",'CALENDARIO'!$G$15:$G$214,0)),INDEX(patronHabil,WEEKDAY($J88,2))))))</f>
        <v/>
      </c>
      <c r="U88" s="5">
        <f>IF($I88="","",IFERROR(INDEX('CAT_TIPOS_OT'!$C$4:$C$8,MATCH($I88,'CAT_TIPOS_OT'!$A$4:$A$8,0)),"sin_clasificar"))</f>
        <v/>
      </c>
      <c r="V88" s="5">
        <f>IF($I88="","",IF(IFERROR(INDEX('CAT_TIPOS_OT'!$D$4:$D$8,MATCH($I88,'CAT_TIPOS_OT'!$A$4:$A$8,0)),"SIN CLASIFICAR")="","SIN CLASIFICAR",IFERROR(INDEX('CAT_TIPOS_OT'!$D$4:$D$8,MATCH($I88,'CAT_TIPOS_OT'!$A$4:$A$8,0)),"SIN CLASIFICAR")))</f>
        <v/>
      </c>
      <c r="W88" s="5">
        <f>IF($F88="","",IFERROR(INDEX('CAT_CENTROS_COSTO'!$F$4:$F$13,MATCH($F88,'CAT_CENTROS_COSTO'!$A$4:$A$13,0)),"(sin catálogo)"))</f>
        <v/>
      </c>
      <c r="X88" s="5">
        <f>IF($F88="","",IFERROR(INDEX('CAT_CENTROS_COSTO'!$D$4:$D$13,MATCH($F88,'CAT_CENTROS_COSTO'!$A$4:$A$13,0)),"(sin catálogo)"))</f>
        <v/>
      </c>
      <c r="Y88" s="5">
        <f>IF($F88="","",IF((IFERROR(INDEX('CAT_CENTROS_COSTO'!$E$4:$E$13,MATCH($F88,'CAT_CENTROS_COSTO'!$A$4:$A$13,0)),""))&lt;&gt;"",IFERROR(INDEX('CAT_CENTROS_COSTO'!$E$4:$E$13,MATCH($F88,'CAT_CENTROS_COSTO'!$A$4:$A$13,0)),""),$X88))</f>
        <v/>
      </c>
      <c r="Z88" s="5">
        <f>IF($F88="","",IFERROR(INDEX('CAT_CENTROS_COSTO'!$G$4:$G$13,MATCH($F88,'CAT_CENTROS_COSTO'!$A$4:$A$13,0)),"(sin catálogo)"))</f>
        <v/>
      </c>
      <c r="AA88" s="5">
        <f>IF($G88="","",IFERROR(INDEX('CAT_PUESTOS'!$B$4:$B$8,MATCH($G88,'CAT_PUESTOS'!$A$4:$A$8,0)),"(sin catálogo)"))</f>
        <v/>
      </c>
      <c r="AB88" s="5">
        <f>IF($H88="","",IFERROR(INDEX('CAT_ACTIVIDADES'!$B$4:$B$11,MATCH($H88,'CAT_ACTIVIDADES'!$A$4:$A$11,0)),"(sin catálogo)"))</f>
        <v/>
      </c>
      <c r="AC88" s="20">
        <f>IF($J88="","",TODAY()-$J88)</f>
        <v/>
      </c>
      <c r="AD88" s="20">
        <f>IF($J88="","",IF($J88&lt;=TODAY(),COUNTIFS(cal_fechas,"&gt;="&amp;$J88,cal_fechas,"&lt;"&amp;TODAY(),cal_habil,"sí"),-COUNTIFS(cal_fechas,"&gt;="&amp;TODAY(),cal_fechas,"&lt;"&amp;$J88,cal_habil,"sí")))</f>
        <v/>
      </c>
      <c r="AE88" s="5">
        <f>IF($AD88="","",IF($AD88&lt;0,"FUTURO",IF($AD88&gt;p_dias_backlog_max,"BACKLOG","MES CORRIENTE")))</f>
        <v/>
      </c>
      <c r="AF88" s="5">
        <f>IF($AD88="",FALSE,AND($AD88&gt;p_dias_backlog_min,$AD88&lt;=p_dias_backlog_max))</f>
        <v/>
      </c>
      <c r="AG88" s="4" t="inlineStr">
        <is>
          <t>Alberto Vargas</t>
        </is>
      </c>
      <c r="AH88" s="5">
        <f>IF($AG88="","",IF((IFERROR(INDEX('ASIGNACIONES'!$J$4:$J$451,MATCH($O88&amp;"|"&amp;$S88&amp;"|"&amp;$AG88,'ASIGNACIONES'!$N$4:$N$451,0)),""))=0,"",IFERROR(INDEX('ASIGNACIONES'!$J$4:$J$451,MATCH($O88&amp;"|"&amp;$S88&amp;"|"&amp;$AG88,'ASIGNACIONES'!$N$4:$N$451,0)),"")))</f>
        <v/>
      </c>
      <c r="AI88" s="25">
        <f>IF($AG88="","",SUMIFS('ORDENES'!$M$4:$M$1203,'ORDENES'!$AG$4:$AG$1203,$AG88,'ORDENES'!$O$4:$O$1203,$O88,'ORDENES'!$S$4:$S$1203,$S88))</f>
        <v/>
      </c>
      <c r="AJ88" s="25">
        <f>IF($AI88="","",p_factor_productividad*IFERROR(INDEX('ASIGNACIONES'!$M$4:$M$451,MATCH($O88&amp;"|"&amp;$S88&amp;"|"&amp;$AG88,'ASIGNACIONES'!$N$4:$N$451,0)),0)-$AI88)</f>
        <v/>
      </c>
      <c r="AK88" s="18">
        <f>IF($A88="","",IFERROR(INDEX('2_IMPORTAR_EJECUCION'!$F$9:$F$1208,MATCH($AT88,'2_IMPORTAR_EJECUCION'!$J$9:$J$1208,0)),0))</f>
        <v/>
      </c>
      <c r="AL88" s="18">
        <f>IF($A88="","",MAX(0,IFERROR(INDEX('2_IMPORTAR_EJECUCION'!$H$9:$H$1208,MATCH($AT88,'2_IMPORTAR_EJECUCION'!$J$9:$J$1208,0)),0)-$AK88))</f>
        <v/>
      </c>
      <c r="AM88" s="18">
        <f>IF($A88="","",$AK88+$AL88)</f>
        <v/>
      </c>
      <c r="AN88" s="5">
        <f>IF($A88="","",IF(OR((IFERROR(INDEX('CAT_ACTIVIDADES'!$D$4:$D$11,MATCH($H88,'CAT_ACTIVIDADES'!$A$4:$A$11,0)),""))=0,(IFERROR(INDEX('CAT_ACTIVIDADES'!$D$4:$D$11,MATCH($H88,'CAT_ACTIVIDADES'!$A$4:$A$11,0)),""))=""),"SIN CLASIFICAR",IFERROR(INDEX('CAT_ACTIVIDADES'!$D$4:$D$11,MATCH($H88,'CAT_ACTIVIDADES'!$A$4:$A$11,0)),"")))</f>
        <v/>
      </c>
      <c r="AO88" s="4" t="inlineStr"/>
      <c r="AP88" s="4" t="inlineStr"/>
      <c r="AQ88" s="4" t="inlineStr">
        <is>
          <t>ACT-02.pdf</t>
        </is>
      </c>
      <c r="AR88" s="5">
        <f>IF($AQ88="","",HYPERLINK(p_ruta_base_checklists&amp;$AQ88,"abrir"))</f>
        <v/>
      </c>
      <c r="AS88" s="4" t="inlineStr"/>
      <c r="AT88" s="5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22" t="n">
        <v>46223</v>
      </c>
      <c r="K89" s="5" t="n">
        <v>8</v>
      </c>
      <c r="L89" s="18" t="n">
        <v>200</v>
      </c>
      <c r="M89" s="5">
        <f>IF($A89="","",IFERROR(INDEX('AJUSTES'!$B$4:$B$303,MATCH($AT89,'AJUSTES'!$A$4:$A$303,0)),IF($K89="","",$K89)))</f>
        <v/>
      </c>
      <c r="N89" s="5">
        <f>IF($A89="","",IFERROR(INDEX('CAT_ESTADOS_ERP'!$B$4:$B$7,MATCH(IFERROR(INDEX('2_IMPORTAR_EJECUCION'!$C$9:$C$1208,MATCH($AT89,'2_IMPORTAR_EJECUCION'!$J$9:$J$1208,0)),""),'CAT_ESTADOS_ERP'!$A$4:$A$7,0)),"Pendiente"))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IF($J89="","",$P89&amp;"-"&amp;TEXT($Q89,"00"))</f>
        <v/>
      </c>
      <c r="S89" s="5">
        <f>IF($J89="","",INDEX(lista_dias,WEEKDAY($J89,2)))</f>
        <v/>
      </c>
      <c r="T89" s="5">
        <f>IF($J89="","",IFERROR(INDEX('CALENDARIO'!$C$15:$C$214,MATCH(TEXT($J89,"yyyy-mm-dd")&amp;"|"&amp;$X89&amp;"|"&amp;$Y89,'CALENDARIO'!$G$15:$G$214,0)),IFERROR(INDEX('CALENDARIO'!$C$15:$C$214,MATCH(TEXT($J89,"yyyy-mm-dd")&amp;"|"&amp;$X89&amp;"|",'CALENDARIO'!$G$15:$G$214,0)),IFERROR(INDEX('CALENDARIO'!$C$15:$C$214,MATCH(TEXT($J89,"yyyy-mm-dd")&amp;"||",'CALENDARIO'!$G$15:$G$214,0)),INDEX(patronHabil,WEEKDAY($J89,2))))))</f>
        <v/>
      </c>
      <c r="U89" s="5">
        <f>IF($I89="","",IFERROR(INDEX('CAT_TIPOS_OT'!$C$4:$C$8,MATCH($I89,'CAT_TIPOS_OT'!$A$4:$A$8,0)),"sin_clasificar"))</f>
        <v/>
      </c>
      <c r="V89" s="5">
        <f>IF($I89="","",IF(IFERROR(INDEX('CAT_TIPOS_OT'!$D$4:$D$8,MATCH($I89,'CAT_TIPOS_OT'!$A$4:$A$8,0)),"SIN CLASIFICAR")="","SIN CLASIFICAR",IFERROR(INDEX('CAT_TIPOS_OT'!$D$4:$D$8,MATCH($I89,'CAT_TIPOS_OT'!$A$4:$A$8,0)),"SIN CLASIFICAR")))</f>
        <v/>
      </c>
      <c r="W89" s="5">
        <f>IF($F89="","",IFERROR(INDEX('CAT_CENTROS_COSTO'!$F$4:$F$13,MATCH($F89,'CAT_CENTROS_COSTO'!$A$4:$A$13,0)),"(sin catálogo)"))</f>
        <v/>
      </c>
      <c r="X89" s="5">
        <f>IF($F89="","",IFERROR(INDEX('CAT_CENTROS_COSTO'!$D$4:$D$13,MATCH($F89,'CAT_CENTROS_COSTO'!$A$4:$A$13,0)),"(sin catálogo)"))</f>
        <v/>
      </c>
      <c r="Y89" s="5">
        <f>IF($F89="","",IF((IFERROR(INDEX('CAT_CENTROS_COSTO'!$E$4:$E$13,MATCH($F89,'CAT_CENTROS_COSTO'!$A$4:$A$13,0)),""))&lt;&gt;"",IFERROR(INDEX('CAT_CENTROS_COSTO'!$E$4:$E$13,MATCH($F89,'CAT_CENTROS_COSTO'!$A$4:$A$13,0)),""),$X89))</f>
        <v/>
      </c>
      <c r="Z89" s="5">
        <f>IF($F89="","",IFERROR(INDEX('CAT_CENTROS_COSTO'!$G$4:$G$13,MATCH($F89,'CAT_CENTROS_COSTO'!$A$4:$A$13,0)),"(sin catálogo)"))</f>
        <v/>
      </c>
      <c r="AA89" s="5">
        <f>IF($G89="","",IFERROR(INDEX('CAT_PUESTOS'!$B$4:$B$8,MATCH($G89,'CAT_PUESTOS'!$A$4:$A$8,0)),"(sin catálogo)"))</f>
        <v/>
      </c>
      <c r="AB89" s="5">
        <f>IF($H89="","",IFERROR(INDEX('CAT_ACTIVIDADES'!$B$4:$B$11,MATCH($H89,'CAT_ACTIVIDADES'!$A$4:$A$11,0)),"(sin catálogo)"))</f>
        <v/>
      </c>
      <c r="AC89" s="20">
        <f>IF($J89="","",TODAY()-$J89)</f>
        <v/>
      </c>
      <c r="AD89" s="20">
        <f>IF($J89="","",IF($J89&lt;=TODAY(),COUNTIFS(cal_fechas,"&gt;="&amp;$J89,cal_fechas,"&lt;"&amp;TODAY(),cal_habil,"sí"),-COUNTIFS(cal_fechas,"&gt;="&amp;TODAY(),cal_fechas,"&lt;"&amp;$J89,cal_habil,"sí")))</f>
        <v/>
      </c>
      <c r="AE89" s="5">
        <f>IF($AD89="","",IF($AD89&lt;0,"FUTURO",IF($AD89&gt;p_dias_backlog_max,"BACKLOG","MES CORRIENTE")))</f>
        <v/>
      </c>
      <c r="AF89" s="5">
        <f>IF($AD89="",FALSE,AND($AD89&gt;p_dias_backlog_min,$AD89&lt;=p_dias_backlog_max))</f>
        <v/>
      </c>
      <c r="AG89" s="4" t="inlineStr">
        <is>
          <t>Daniela Medina</t>
        </is>
      </c>
      <c r="AH89" s="5">
        <f>IF($AG89="","",IF((IFERROR(INDEX('ASIGNACIONES'!$J$4:$J$451,MATCH($O89&amp;"|"&amp;$S89&amp;"|"&amp;$AG89,'ASIGNACIONES'!$N$4:$N$451,0)),""))=0,"",IFERROR(INDEX('ASIGNACIONES'!$J$4:$J$451,MATCH($O89&amp;"|"&amp;$S89&amp;"|"&amp;$AG89,'ASIGNACIONES'!$N$4:$N$451,0)),"")))</f>
        <v/>
      </c>
      <c r="AI89" s="25">
        <f>IF($AG89="","",SUMIFS('ORDENES'!$M$4:$M$1203,'ORDENES'!$AG$4:$AG$1203,$AG89,'ORDENES'!$O$4:$O$1203,$O89,'ORDENES'!$S$4:$S$1203,$S89))</f>
        <v/>
      </c>
      <c r="AJ89" s="25">
        <f>IF($AI89="","",p_factor_productividad*IFERROR(INDEX('ASIGNACIONES'!$M$4:$M$451,MATCH($O89&amp;"|"&amp;$S89&amp;"|"&amp;$AG89,'ASIGNACIONES'!$N$4:$N$451,0)),0)-$AI89)</f>
        <v/>
      </c>
      <c r="AK89" s="18">
        <f>IF($A89="","",IFERROR(INDEX('2_IMPORTAR_EJECUCION'!$F$9:$F$1208,MATCH($AT89,'2_IMPORTAR_EJECUCION'!$J$9:$J$1208,0)),0))</f>
        <v/>
      </c>
      <c r="AL89" s="18">
        <f>IF($A89="","",MAX(0,IFERROR(INDEX('2_IMPORTAR_EJECUCION'!$H$9:$H$1208,MATCH($AT89,'2_IMPORTAR_EJECUCION'!$J$9:$J$1208,0)),0)-$AK89))</f>
        <v/>
      </c>
      <c r="AM89" s="18">
        <f>IF($A89="","",$AK89+$AL89)</f>
        <v/>
      </c>
      <c r="AN89" s="5">
        <f>IF($A89="","",IF(OR((IFERROR(INDEX('CAT_ACTIVIDADES'!$D$4:$D$11,MATCH($H89,'CAT_ACTIVIDADES'!$A$4:$A$11,0)),""))=0,(IFERROR(INDEX('CAT_ACTIVIDADES'!$D$4:$D$11,MATCH($H89,'CAT_ACTIVIDADES'!$A$4:$A$11,0)),""))=""),"SIN CLASIFICAR",IFERROR(INDEX('CAT_ACTIVIDADES'!$D$4:$D$11,MATCH($H89,'CAT_ACTIVIDADES'!$A$4:$A$11,0)),"")))</f>
        <v/>
      </c>
      <c r="AO89" s="4" t="inlineStr"/>
      <c r="AP89" s="4" t="inlineStr"/>
      <c r="AQ89" s="4" t="inlineStr">
        <is>
          <t>ACT-04.pdf</t>
        </is>
      </c>
      <c r="AR89" s="5">
        <f>IF($AQ89="","",HYPERLINK(p_ruta_base_checklists&amp;$AQ89,"abrir"))</f>
        <v/>
      </c>
      <c r="AS89" s="4" t="inlineStr"/>
      <c r="AT89" s="5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22" t="n">
        <v>46224</v>
      </c>
      <c r="K90" s="5" t="n">
        <v>6</v>
      </c>
      <c r="L90" s="18" t="n">
        <v>150</v>
      </c>
      <c r="M90" s="5">
        <f>IF($A90="","",IFERROR(INDEX('AJUSTES'!$B$4:$B$303,MATCH($AT90,'AJUSTES'!$A$4:$A$303,0)),IF($K90="","",$K90)))</f>
        <v/>
      </c>
      <c r="N90" s="5">
        <f>IF($A90="","",IFERROR(INDEX('CAT_ESTADOS_ERP'!$B$4:$B$7,MATCH(IFERROR(INDEX('2_IMPORTAR_EJECUCION'!$C$9:$C$1208,MATCH($AT90,'2_IMPORTAR_EJECUCION'!$J$9:$J$1208,0)),""),'CAT_ESTADOS_ERP'!$A$4:$A$7,0)),"Pendiente"))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IF($J90="","",$P90&amp;"-"&amp;TEXT($Q90,"00"))</f>
        <v/>
      </c>
      <c r="S90" s="5">
        <f>IF($J90="","",INDEX(lista_dias,WEEKDAY($J90,2)))</f>
        <v/>
      </c>
      <c r="T90" s="5">
        <f>IF($J90="","",IFERROR(INDEX('CALENDARIO'!$C$15:$C$214,MATCH(TEXT($J90,"yyyy-mm-dd")&amp;"|"&amp;$X90&amp;"|"&amp;$Y90,'CALENDARIO'!$G$15:$G$214,0)),IFERROR(INDEX('CALENDARIO'!$C$15:$C$214,MATCH(TEXT($J90,"yyyy-mm-dd")&amp;"|"&amp;$X90&amp;"|",'CALENDARIO'!$G$15:$G$214,0)),IFERROR(INDEX('CALENDARIO'!$C$15:$C$214,MATCH(TEXT($J90,"yyyy-mm-dd")&amp;"||",'CALENDARIO'!$G$15:$G$214,0)),INDEX(patronHabil,WEEKDAY($J90,2))))))</f>
        <v/>
      </c>
      <c r="U90" s="5">
        <f>IF($I90="","",IFERROR(INDEX('CAT_TIPOS_OT'!$C$4:$C$8,MATCH($I90,'CAT_TIPOS_OT'!$A$4:$A$8,0)),"sin_clasificar"))</f>
        <v/>
      </c>
      <c r="V90" s="5">
        <f>IF($I90="","",IF(IFERROR(INDEX('CAT_TIPOS_OT'!$D$4:$D$8,MATCH($I90,'CAT_TIPOS_OT'!$A$4:$A$8,0)),"SIN CLASIFICAR")="","SIN CLASIFICAR",IFERROR(INDEX('CAT_TIPOS_OT'!$D$4:$D$8,MATCH($I90,'CAT_TIPOS_OT'!$A$4:$A$8,0)),"SIN CLASIFICAR")))</f>
        <v/>
      </c>
      <c r="W90" s="5">
        <f>IF($F90="","",IFERROR(INDEX('CAT_CENTROS_COSTO'!$F$4:$F$13,MATCH($F90,'CAT_CENTROS_COSTO'!$A$4:$A$13,0)),"(sin catálogo)"))</f>
        <v/>
      </c>
      <c r="X90" s="5">
        <f>IF($F90="","",IFERROR(INDEX('CAT_CENTROS_COSTO'!$D$4:$D$13,MATCH($F90,'CAT_CENTROS_COSTO'!$A$4:$A$13,0)),"(sin catálogo)"))</f>
        <v/>
      </c>
      <c r="Y90" s="5">
        <f>IF($F90="","",IF((IFERROR(INDEX('CAT_CENTROS_COSTO'!$E$4:$E$13,MATCH($F90,'CAT_CENTROS_COSTO'!$A$4:$A$13,0)),""))&lt;&gt;"",IFERROR(INDEX('CAT_CENTROS_COSTO'!$E$4:$E$13,MATCH($F90,'CAT_CENTROS_COSTO'!$A$4:$A$13,0)),""),$X90))</f>
        <v/>
      </c>
      <c r="Z90" s="5">
        <f>IF($F90="","",IFERROR(INDEX('CAT_CENTROS_COSTO'!$G$4:$G$13,MATCH($F90,'CAT_CENTROS_COSTO'!$A$4:$A$13,0)),"(sin catálogo)"))</f>
        <v/>
      </c>
      <c r="AA90" s="5">
        <f>IF($G90="","",IFERROR(INDEX('CAT_PUESTOS'!$B$4:$B$8,MATCH($G90,'CAT_PUESTOS'!$A$4:$A$8,0)),"(sin catálogo)"))</f>
        <v/>
      </c>
      <c r="AB90" s="5">
        <f>IF($H90="","",IFERROR(INDEX('CAT_ACTIVIDADES'!$B$4:$B$11,MATCH($H90,'CAT_ACTIVIDADES'!$A$4:$A$11,0)),"(sin catálogo)"))</f>
        <v/>
      </c>
      <c r="AC90" s="20">
        <f>IF($J90="","",TODAY()-$J90)</f>
        <v/>
      </c>
      <c r="AD90" s="20">
        <f>IF($J90="","",IF($J90&lt;=TODAY(),COUNTIFS(cal_fechas,"&gt;="&amp;$J90,cal_fechas,"&lt;"&amp;TODAY(),cal_habil,"sí"),-COUNTIFS(cal_fechas,"&gt;="&amp;TODAY(),cal_fechas,"&lt;"&amp;$J90,cal_habil,"sí")))</f>
        <v/>
      </c>
      <c r="AE90" s="5">
        <f>IF($AD90="","",IF($AD90&lt;0,"FUTURO",IF($AD90&gt;p_dias_backlog_max,"BACKLOG","MES CORRIENTE")))</f>
        <v/>
      </c>
      <c r="AF90" s="5">
        <f>IF($AD90="",FALSE,AND($AD90&gt;p_dias_backlog_min,$AD90&lt;=p_dias_backlog_max))</f>
        <v/>
      </c>
      <c r="AG90" s="4" t="inlineStr">
        <is>
          <t>Alberto Vargas</t>
        </is>
      </c>
      <c r="AH90" s="5">
        <f>IF($AG90="","",IF((IFERROR(INDEX('ASIGNACIONES'!$J$4:$J$451,MATCH($O90&amp;"|"&amp;$S90&amp;"|"&amp;$AG90,'ASIGNACIONES'!$N$4:$N$451,0)),""))=0,"",IFERROR(INDEX('ASIGNACIONES'!$J$4:$J$451,MATCH($O90&amp;"|"&amp;$S90&amp;"|"&amp;$AG90,'ASIGNACIONES'!$N$4:$N$451,0)),"")))</f>
        <v/>
      </c>
      <c r="AI90" s="25">
        <f>IF($AG90="","",SUMIFS('ORDENES'!$M$4:$M$1203,'ORDENES'!$AG$4:$AG$1203,$AG90,'ORDENES'!$O$4:$O$1203,$O90,'ORDENES'!$S$4:$S$1203,$S90))</f>
        <v/>
      </c>
      <c r="AJ90" s="25">
        <f>IF($AI90="","",p_factor_productividad*IFERROR(INDEX('ASIGNACIONES'!$M$4:$M$451,MATCH($O90&amp;"|"&amp;$S90&amp;"|"&amp;$AG90,'ASIGNACIONES'!$N$4:$N$451,0)),0)-$AI90)</f>
        <v/>
      </c>
      <c r="AK90" s="18">
        <f>IF($A90="","",IFERROR(INDEX('2_IMPORTAR_EJECUCION'!$F$9:$F$1208,MATCH($AT90,'2_IMPORTAR_EJECUCION'!$J$9:$J$1208,0)),0))</f>
        <v/>
      </c>
      <c r="AL90" s="18">
        <f>IF($A90="","",MAX(0,IFERROR(INDEX('2_IMPORTAR_EJECUCION'!$H$9:$H$1208,MATCH($AT90,'2_IMPORTAR_EJECUCION'!$J$9:$J$1208,0)),0)-$AK90))</f>
        <v/>
      </c>
      <c r="AM90" s="18">
        <f>IF($A90="","",$AK90+$AL90)</f>
        <v/>
      </c>
      <c r="AN90" s="5">
        <f>IF($A90="","",IF(OR((IFERROR(INDEX('CAT_ACTIVIDADES'!$D$4:$D$11,MATCH($H90,'CAT_ACTIVIDADES'!$A$4:$A$11,0)),""))=0,(IFERROR(INDEX('CAT_ACTIVIDADES'!$D$4:$D$11,MATCH($H90,'CAT_ACTIVIDADES'!$A$4:$A$11,0)),""))=""),"SIN CLASIFICAR",IFERROR(INDEX('CAT_ACTIVIDADES'!$D$4:$D$11,MATCH($H90,'CAT_ACTIVIDADES'!$A$4:$A$11,0)),"")))</f>
        <v/>
      </c>
      <c r="AO90" s="4" t="inlineStr"/>
      <c r="AP90" s="4" t="inlineStr"/>
      <c r="AQ90" s="4" t="inlineStr">
        <is>
          <t>ACT-01.pdf</t>
        </is>
      </c>
      <c r="AR90" s="5">
        <f>IF($AQ90="","",HYPERLINK(p_ruta_base_checklists&amp;$AQ90,"abrir"))</f>
        <v/>
      </c>
      <c r="AS90" s="4" t="inlineStr"/>
      <c r="AT90" s="5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22" t="n">
        <v>46225</v>
      </c>
      <c r="K91" s="5" t="n">
        <v>10</v>
      </c>
      <c r="L91" s="18" t="n">
        <v>250</v>
      </c>
      <c r="M91" s="5">
        <f>IF($A91="","",IFERROR(INDEX('AJUSTES'!$B$4:$B$303,MATCH($AT91,'AJUSTES'!$A$4:$A$303,0)),IF($K91="","",$K91)))</f>
        <v/>
      </c>
      <c r="N91" s="5">
        <f>IF($A91="","",IFERROR(INDEX('CAT_ESTADOS_ERP'!$B$4:$B$7,MATCH(IFERROR(INDEX('2_IMPORTAR_EJECUCION'!$C$9:$C$1208,MATCH($AT91,'2_IMPORTAR_EJECUCION'!$J$9:$J$1208,0)),""),'CAT_ESTADOS_ERP'!$A$4:$A$7,0)),"Pendiente"))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IF($J91="","",$P91&amp;"-"&amp;TEXT($Q91,"00"))</f>
        <v/>
      </c>
      <c r="S91" s="5">
        <f>IF($J91="","",INDEX(lista_dias,WEEKDAY($J91,2)))</f>
        <v/>
      </c>
      <c r="T91" s="5">
        <f>IF($J91="","",IFERROR(INDEX('CALENDARIO'!$C$15:$C$214,MATCH(TEXT($J91,"yyyy-mm-dd")&amp;"|"&amp;$X91&amp;"|"&amp;$Y91,'CALENDARIO'!$G$15:$G$214,0)),IFERROR(INDEX('CALENDARIO'!$C$15:$C$214,MATCH(TEXT($J91,"yyyy-mm-dd")&amp;"|"&amp;$X91&amp;"|",'CALENDARIO'!$G$15:$G$214,0)),IFERROR(INDEX('CALENDARIO'!$C$15:$C$214,MATCH(TEXT($J91,"yyyy-mm-dd")&amp;"||",'CALENDARIO'!$G$15:$G$214,0)),INDEX(patronHabil,WEEKDAY($J91,2))))))</f>
        <v/>
      </c>
      <c r="U91" s="5">
        <f>IF($I91="","",IFERROR(INDEX('CAT_TIPOS_OT'!$C$4:$C$8,MATCH($I91,'CAT_TIPOS_OT'!$A$4:$A$8,0)),"sin_clasificar"))</f>
        <v/>
      </c>
      <c r="V91" s="5">
        <f>IF($I91="","",IF(IFERROR(INDEX('CAT_TIPOS_OT'!$D$4:$D$8,MATCH($I91,'CAT_TIPOS_OT'!$A$4:$A$8,0)),"SIN CLASIFICAR")="","SIN CLASIFICAR",IFERROR(INDEX('CAT_TIPOS_OT'!$D$4:$D$8,MATCH($I91,'CAT_TIPOS_OT'!$A$4:$A$8,0)),"SIN CLASIFICAR")))</f>
        <v/>
      </c>
      <c r="W91" s="5">
        <f>IF($F91="","",IFERROR(INDEX('CAT_CENTROS_COSTO'!$F$4:$F$13,MATCH($F91,'CAT_CENTROS_COSTO'!$A$4:$A$13,0)),"(sin catálogo)"))</f>
        <v/>
      </c>
      <c r="X91" s="5">
        <f>IF($F91="","",IFERROR(INDEX('CAT_CENTROS_COSTO'!$D$4:$D$13,MATCH($F91,'CAT_CENTROS_COSTO'!$A$4:$A$13,0)),"(sin catálogo)"))</f>
        <v/>
      </c>
      <c r="Y91" s="5">
        <f>IF($F91="","",IF((IFERROR(INDEX('CAT_CENTROS_COSTO'!$E$4:$E$13,MATCH($F91,'CAT_CENTROS_COSTO'!$A$4:$A$13,0)),""))&lt;&gt;"",IFERROR(INDEX('CAT_CENTROS_COSTO'!$E$4:$E$13,MATCH($F91,'CAT_CENTROS_COSTO'!$A$4:$A$13,0)),""),$X91))</f>
        <v/>
      </c>
      <c r="Z91" s="5">
        <f>IF($F91="","",IFERROR(INDEX('CAT_CENTROS_COSTO'!$G$4:$G$13,MATCH($F91,'CAT_CENTROS_COSTO'!$A$4:$A$13,0)),"(sin catálogo)"))</f>
        <v/>
      </c>
      <c r="AA91" s="5">
        <f>IF($G91="","",IFERROR(INDEX('CAT_PUESTOS'!$B$4:$B$8,MATCH($G91,'CAT_PUESTOS'!$A$4:$A$8,0)),"(sin catálogo)"))</f>
        <v/>
      </c>
      <c r="AB91" s="5">
        <f>IF($H91="","",IFERROR(INDEX('CAT_ACTIVIDADES'!$B$4:$B$11,MATCH($H91,'CAT_ACTIVIDADES'!$A$4:$A$11,0)),"(sin catálogo)"))</f>
        <v/>
      </c>
      <c r="AC91" s="20">
        <f>IF($J91="","",TODAY()-$J91)</f>
        <v/>
      </c>
      <c r="AD91" s="20">
        <f>IF($J91="","",IF($J91&lt;=TODAY(),COUNTIFS(cal_fechas,"&gt;="&amp;$J91,cal_fechas,"&lt;"&amp;TODAY(),cal_habil,"sí"),-COUNTIFS(cal_fechas,"&gt;="&amp;TODAY(),cal_fechas,"&lt;"&amp;$J91,cal_habil,"sí")))</f>
        <v/>
      </c>
      <c r="AE91" s="5">
        <f>IF($AD91="","",IF($AD91&lt;0,"FUTURO",IF($AD91&gt;p_dias_backlog_max,"BACKLOG","MES CORRIENTE")))</f>
        <v/>
      </c>
      <c r="AF91" s="5">
        <f>IF($AD91="",FALSE,AND($AD91&gt;p_dias_backlog_min,$AD91&lt;=p_dias_backlog_max))</f>
        <v/>
      </c>
      <c r="AG91" s="4" t="inlineStr">
        <is>
          <t>Daniela Medina</t>
        </is>
      </c>
      <c r="AH91" s="5">
        <f>IF($AG91="","",IF((IFERROR(INDEX('ASIGNACIONES'!$J$4:$J$451,MATCH($O91&amp;"|"&amp;$S91&amp;"|"&amp;$AG91,'ASIGNACIONES'!$N$4:$N$451,0)),""))=0,"",IFERROR(INDEX('ASIGNACIONES'!$J$4:$J$451,MATCH($O91&amp;"|"&amp;$S91&amp;"|"&amp;$AG91,'ASIGNACIONES'!$N$4:$N$451,0)),"")))</f>
        <v/>
      </c>
      <c r="AI91" s="25">
        <f>IF($AG91="","",SUMIFS('ORDENES'!$M$4:$M$1203,'ORDENES'!$AG$4:$AG$1203,$AG91,'ORDENES'!$O$4:$O$1203,$O91,'ORDENES'!$S$4:$S$1203,$S91))</f>
        <v/>
      </c>
      <c r="AJ91" s="25">
        <f>IF($AI91="","",p_factor_productividad*IFERROR(INDEX('ASIGNACIONES'!$M$4:$M$451,MATCH($O91&amp;"|"&amp;$S91&amp;"|"&amp;$AG91,'ASIGNACIONES'!$N$4:$N$451,0)),0)-$AI91)</f>
        <v/>
      </c>
      <c r="AK91" s="18">
        <f>IF($A91="","",IFERROR(INDEX('2_IMPORTAR_EJECUCION'!$F$9:$F$1208,MATCH($AT91,'2_IMPORTAR_EJECUCION'!$J$9:$J$1208,0)),0))</f>
        <v/>
      </c>
      <c r="AL91" s="18">
        <f>IF($A91="","",MAX(0,IFERROR(INDEX('2_IMPORTAR_EJECUCION'!$H$9:$H$1208,MATCH($AT91,'2_IMPORTAR_EJECUCION'!$J$9:$J$1208,0)),0)-$AK91))</f>
        <v/>
      </c>
      <c r="AM91" s="18">
        <f>IF($A91="","",$AK91+$AL91)</f>
        <v/>
      </c>
      <c r="AN91" s="5">
        <f>IF($A91="","",IF(OR((IFERROR(INDEX('CAT_ACTIVIDADES'!$D$4:$D$11,MATCH($H91,'CAT_ACTIVIDADES'!$A$4:$A$11,0)),""))=0,(IFERROR(INDEX('CAT_ACTIVIDADES'!$D$4:$D$11,MATCH($H91,'CAT_ACTIVIDADES'!$A$4:$A$11,0)),""))=""),"SIN CLASIFICAR",IFERROR(INDEX('CAT_ACTIVIDADES'!$D$4:$D$11,MATCH($H91,'CAT_ACTIVIDADES'!$A$4:$A$11,0)),"")))</f>
        <v/>
      </c>
      <c r="AO91" s="4" t="inlineStr"/>
      <c r="AP91" s="4" t="inlineStr"/>
      <c r="AQ91" s="4" t="inlineStr">
        <is>
          <t>ACT-02.pdf</t>
        </is>
      </c>
      <c r="AR91" s="5">
        <f>IF($AQ91="","",HYPERLINK(p_ruta_base_checklists&amp;$AQ91,"abrir"))</f>
        <v/>
      </c>
      <c r="AS91" s="4" t="inlineStr"/>
      <c r="AT91" s="5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22" t="n">
        <v>46226</v>
      </c>
      <c r="K92" s="5" t="n">
        <v>6</v>
      </c>
      <c r="L92" s="18" t="n">
        <v>150</v>
      </c>
      <c r="M92" s="5">
        <f>IF($A92="","",IFERROR(INDEX('AJUSTES'!$B$4:$B$303,MATCH($AT92,'AJUSTES'!$A$4:$A$303,0)),IF($K92="","",$K92)))</f>
        <v/>
      </c>
      <c r="N92" s="5">
        <f>IF($A92="","",IFERROR(INDEX('CAT_ESTADOS_ERP'!$B$4:$B$7,MATCH(IFERROR(INDEX('2_IMPORTAR_EJECUCION'!$C$9:$C$1208,MATCH($AT92,'2_IMPORTAR_EJECUCION'!$J$9:$J$1208,0)),""),'CAT_ESTADOS_ERP'!$A$4:$A$7,0)),"Pendiente"))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IF($J92="","",$P92&amp;"-"&amp;TEXT($Q92,"00"))</f>
        <v/>
      </c>
      <c r="S92" s="5">
        <f>IF($J92="","",INDEX(lista_dias,WEEKDAY($J92,2)))</f>
        <v/>
      </c>
      <c r="T92" s="5">
        <f>IF($J92="","",IFERROR(INDEX('CALENDARIO'!$C$15:$C$214,MATCH(TEXT($J92,"yyyy-mm-dd")&amp;"|"&amp;$X92&amp;"|"&amp;$Y92,'CALENDARIO'!$G$15:$G$214,0)),IFERROR(INDEX('CALENDARIO'!$C$15:$C$214,MATCH(TEXT($J92,"yyyy-mm-dd")&amp;"|"&amp;$X92&amp;"|",'CALENDARIO'!$G$15:$G$214,0)),IFERROR(INDEX('CALENDARIO'!$C$15:$C$214,MATCH(TEXT($J92,"yyyy-mm-dd")&amp;"||",'CALENDARIO'!$G$15:$G$214,0)),INDEX(patronHabil,WEEKDAY($J92,2))))))</f>
        <v/>
      </c>
      <c r="U92" s="5">
        <f>IF($I92="","",IFERROR(INDEX('CAT_TIPOS_OT'!$C$4:$C$8,MATCH($I92,'CAT_TIPOS_OT'!$A$4:$A$8,0)),"sin_clasificar"))</f>
        <v/>
      </c>
      <c r="V92" s="5">
        <f>IF($I92="","",IF(IFERROR(INDEX('CAT_TIPOS_OT'!$D$4:$D$8,MATCH($I92,'CAT_TIPOS_OT'!$A$4:$A$8,0)),"SIN CLASIFICAR")="","SIN CLASIFICAR",IFERROR(INDEX('CAT_TIPOS_OT'!$D$4:$D$8,MATCH($I92,'CAT_TIPOS_OT'!$A$4:$A$8,0)),"SIN CLASIFICAR")))</f>
        <v/>
      </c>
      <c r="W92" s="5">
        <f>IF($F92="","",IFERROR(INDEX('CAT_CENTROS_COSTO'!$F$4:$F$13,MATCH($F92,'CAT_CENTROS_COSTO'!$A$4:$A$13,0)),"(sin catálogo)"))</f>
        <v/>
      </c>
      <c r="X92" s="5">
        <f>IF($F92="","",IFERROR(INDEX('CAT_CENTROS_COSTO'!$D$4:$D$13,MATCH($F92,'CAT_CENTROS_COSTO'!$A$4:$A$13,0)),"(sin catálogo)"))</f>
        <v/>
      </c>
      <c r="Y92" s="5">
        <f>IF($F92="","",IF((IFERROR(INDEX('CAT_CENTROS_COSTO'!$E$4:$E$13,MATCH($F92,'CAT_CENTROS_COSTO'!$A$4:$A$13,0)),""))&lt;&gt;"",IFERROR(INDEX('CAT_CENTROS_COSTO'!$E$4:$E$13,MATCH($F92,'CAT_CENTROS_COSTO'!$A$4:$A$13,0)),""),$X92))</f>
        <v/>
      </c>
      <c r="Z92" s="5">
        <f>IF($F92="","",IFERROR(INDEX('CAT_CENTROS_COSTO'!$G$4:$G$13,MATCH($F92,'CAT_CENTROS_COSTO'!$A$4:$A$13,0)),"(sin catálogo)"))</f>
        <v/>
      </c>
      <c r="AA92" s="5">
        <f>IF($G92="","",IFERROR(INDEX('CAT_PUESTOS'!$B$4:$B$8,MATCH($G92,'CAT_PUESTOS'!$A$4:$A$8,0)),"(sin catálogo)"))</f>
        <v/>
      </c>
      <c r="AB92" s="5">
        <f>IF($H92="","",IFERROR(INDEX('CAT_ACTIVIDADES'!$B$4:$B$11,MATCH($H92,'CAT_ACTIVIDADES'!$A$4:$A$11,0)),"(sin catálogo)"))</f>
        <v/>
      </c>
      <c r="AC92" s="20">
        <f>IF($J92="","",TODAY()-$J92)</f>
        <v/>
      </c>
      <c r="AD92" s="20">
        <f>IF($J92="","",IF($J92&lt;=TODAY(),COUNTIFS(cal_fechas,"&gt;="&amp;$J92,cal_fechas,"&lt;"&amp;TODAY(),cal_habil,"sí"),-COUNTIFS(cal_fechas,"&gt;="&amp;TODAY(),cal_fechas,"&lt;"&amp;$J92,cal_habil,"sí")))</f>
        <v/>
      </c>
      <c r="AE92" s="5">
        <f>IF($AD92="","",IF($AD92&lt;0,"FUTURO",IF($AD92&gt;p_dias_backlog_max,"BACKLOG","MES CORRIENTE")))</f>
        <v/>
      </c>
      <c r="AF92" s="5">
        <f>IF($AD92="",FALSE,AND($AD92&gt;p_dias_backlog_min,$AD92&lt;=p_dias_backlog_max))</f>
        <v/>
      </c>
      <c r="AG92" s="4" t="inlineStr">
        <is>
          <t>Alberto Vargas</t>
        </is>
      </c>
      <c r="AH92" s="5">
        <f>IF($AG92="","",IF((IFERROR(INDEX('ASIGNACIONES'!$J$4:$J$451,MATCH($O92&amp;"|"&amp;$S92&amp;"|"&amp;$AG92,'ASIGNACIONES'!$N$4:$N$451,0)),""))=0,"",IFERROR(INDEX('ASIGNACIONES'!$J$4:$J$451,MATCH($O92&amp;"|"&amp;$S92&amp;"|"&amp;$AG92,'ASIGNACIONES'!$N$4:$N$451,0)),"")))</f>
        <v/>
      </c>
      <c r="AI92" s="25">
        <f>IF($AG92="","",SUMIFS('ORDENES'!$M$4:$M$1203,'ORDENES'!$AG$4:$AG$1203,$AG92,'ORDENES'!$O$4:$O$1203,$O92,'ORDENES'!$S$4:$S$1203,$S92))</f>
        <v/>
      </c>
      <c r="AJ92" s="25">
        <f>IF($AI92="","",p_factor_productividad*IFERROR(INDEX('ASIGNACIONES'!$M$4:$M$451,MATCH($O92&amp;"|"&amp;$S92&amp;"|"&amp;$AG92,'ASIGNACIONES'!$N$4:$N$451,0)),0)-$AI92)</f>
        <v/>
      </c>
      <c r="AK92" s="18">
        <f>IF($A92="","",IFERROR(INDEX('2_IMPORTAR_EJECUCION'!$F$9:$F$1208,MATCH($AT92,'2_IMPORTAR_EJECUCION'!$J$9:$J$1208,0)),0))</f>
        <v/>
      </c>
      <c r="AL92" s="18">
        <f>IF($A92="","",MAX(0,IFERROR(INDEX('2_IMPORTAR_EJECUCION'!$H$9:$H$1208,MATCH($AT92,'2_IMPORTAR_EJECUCION'!$J$9:$J$1208,0)),0)-$AK92))</f>
        <v/>
      </c>
      <c r="AM92" s="18">
        <f>IF($A92="","",$AK92+$AL92)</f>
        <v/>
      </c>
      <c r="AN92" s="5">
        <f>IF($A92="","",IF(OR((IFERROR(INDEX('CAT_ACTIVIDADES'!$D$4:$D$11,MATCH($H92,'CAT_ACTIVIDADES'!$A$4:$A$11,0)),""))=0,(IFERROR(INDEX('CAT_ACTIVIDADES'!$D$4:$D$11,MATCH($H92,'CAT_ACTIVIDADES'!$A$4:$A$11,0)),""))=""),"SIN CLASIFICAR",IFERROR(INDEX('CAT_ACTIVIDADES'!$D$4:$D$11,MATCH($H92,'CAT_ACTIVIDADES'!$A$4:$A$11,0)),"")))</f>
        <v/>
      </c>
      <c r="AO92" s="4" t="inlineStr"/>
      <c r="AP92" s="4" t="inlineStr"/>
      <c r="AQ92" s="4" t="inlineStr">
        <is>
          <t>ACT-04.pdf</t>
        </is>
      </c>
      <c r="AR92" s="5">
        <f>IF($AQ92="","",HYPERLINK(p_ruta_base_checklists&amp;$AQ92,"abrir"))</f>
        <v/>
      </c>
      <c r="AS92" s="4" t="inlineStr"/>
      <c r="AT92" s="5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22" t="n">
        <v>46227</v>
      </c>
      <c r="K93" s="5" t="n">
        <v>10</v>
      </c>
      <c r="L93" s="18" t="n">
        <v>400</v>
      </c>
      <c r="M93" s="5">
        <f>IF($A93="","",IFERROR(INDEX('AJUSTES'!$B$4:$B$303,MATCH($AT93,'AJUSTES'!$A$4:$A$303,0)),IF($K93="","",$K93)))</f>
        <v/>
      </c>
      <c r="N93" s="5">
        <f>IF($A93="","",IFERROR(INDEX('CAT_ESTADOS_ERP'!$B$4:$B$7,MATCH(IFERROR(INDEX('2_IMPORTAR_EJECUCION'!$C$9:$C$1208,MATCH($AT93,'2_IMPORTAR_EJECUCION'!$J$9:$J$1208,0)),""),'CAT_ESTADOS_ERP'!$A$4:$A$7,0)),"Pendiente"))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IF($J93="","",$P93&amp;"-"&amp;TEXT($Q93,"00"))</f>
        <v/>
      </c>
      <c r="S93" s="5">
        <f>IF($J93="","",INDEX(lista_dias,WEEKDAY($J93,2)))</f>
        <v/>
      </c>
      <c r="T93" s="5">
        <f>IF($J93="","",IFERROR(INDEX('CALENDARIO'!$C$15:$C$214,MATCH(TEXT($J93,"yyyy-mm-dd")&amp;"|"&amp;$X93&amp;"|"&amp;$Y93,'CALENDARIO'!$G$15:$G$214,0)),IFERROR(INDEX('CALENDARIO'!$C$15:$C$214,MATCH(TEXT($J93,"yyyy-mm-dd")&amp;"|"&amp;$X93&amp;"|",'CALENDARIO'!$G$15:$G$214,0)),IFERROR(INDEX('CALENDARIO'!$C$15:$C$214,MATCH(TEXT($J93,"yyyy-mm-dd")&amp;"||",'CALENDARIO'!$G$15:$G$214,0)),INDEX(patronHabil,WEEKDAY($J93,2))))))</f>
        <v/>
      </c>
      <c r="U93" s="5">
        <f>IF($I93="","",IFERROR(INDEX('CAT_TIPOS_OT'!$C$4:$C$8,MATCH($I93,'CAT_TIPOS_OT'!$A$4:$A$8,0)),"sin_clasificar"))</f>
        <v/>
      </c>
      <c r="V93" s="5">
        <f>IF($I93="","",IF(IFERROR(INDEX('CAT_TIPOS_OT'!$D$4:$D$8,MATCH($I93,'CAT_TIPOS_OT'!$A$4:$A$8,0)),"SIN CLASIFICAR")="","SIN CLASIFICAR",IFERROR(INDEX('CAT_TIPOS_OT'!$D$4:$D$8,MATCH($I93,'CAT_TIPOS_OT'!$A$4:$A$8,0)),"SIN CLASIFICAR")))</f>
        <v/>
      </c>
      <c r="W93" s="5">
        <f>IF($F93="","",IFERROR(INDEX('CAT_CENTROS_COSTO'!$F$4:$F$13,MATCH($F93,'CAT_CENTROS_COSTO'!$A$4:$A$13,0)),"(sin catálogo)"))</f>
        <v/>
      </c>
      <c r="X93" s="5">
        <f>IF($F93="","",IFERROR(INDEX('CAT_CENTROS_COSTO'!$D$4:$D$13,MATCH($F93,'CAT_CENTROS_COSTO'!$A$4:$A$13,0)),"(sin catálogo)"))</f>
        <v/>
      </c>
      <c r="Y93" s="5">
        <f>IF($F93="","",IF((IFERROR(INDEX('CAT_CENTROS_COSTO'!$E$4:$E$13,MATCH($F93,'CAT_CENTROS_COSTO'!$A$4:$A$13,0)),""))&lt;&gt;"",IFERROR(INDEX('CAT_CENTROS_COSTO'!$E$4:$E$13,MATCH($F93,'CAT_CENTROS_COSTO'!$A$4:$A$13,0)),""),$X93))</f>
        <v/>
      </c>
      <c r="Z93" s="5">
        <f>IF($F93="","",IFERROR(INDEX('CAT_CENTROS_COSTO'!$G$4:$G$13,MATCH($F93,'CAT_CENTROS_COSTO'!$A$4:$A$13,0)),"(sin catálogo)"))</f>
        <v/>
      </c>
      <c r="AA93" s="5">
        <f>IF($G93="","",IFERROR(INDEX('CAT_PUESTOS'!$B$4:$B$8,MATCH($G93,'CAT_PUESTOS'!$A$4:$A$8,0)),"(sin catálogo)"))</f>
        <v/>
      </c>
      <c r="AB93" s="5">
        <f>IF($H93="","",IFERROR(INDEX('CAT_ACTIVIDADES'!$B$4:$B$11,MATCH($H93,'CAT_ACTIVIDADES'!$A$4:$A$11,0)),"(sin catálogo)"))</f>
        <v/>
      </c>
      <c r="AC93" s="20">
        <f>IF($J93="","",TODAY()-$J93)</f>
        <v/>
      </c>
      <c r="AD93" s="20">
        <f>IF($J93="","",IF($J93&lt;=TODAY(),COUNTIFS(cal_fechas,"&gt;="&amp;$J93,cal_fechas,"&lt;"&amp;TODAY(),cal_habil,"sí"),-COUNTIFS(cal_fechas,"&gt;="&amp;TODAY(),cal_fechas,"&lt;"&amp;$J93,cal_habil,"sí")))</f>
        <v/>
      </c>
      <c r="AE93" s="5">
        <f>IF($AD93="","",IF($AD93&lt;0,"FUTURO",IF($AD93&gt;p_dias_backlog_max,"BACKLOG","MES CORRIENTE")))</f>
        <v/>
      </c>
      <c r="AF93" s="5">
        <f>IF($AD93="",FALSE,AND($AD93&gt;p_dias_backlog_min,$AD93&lt;=p_dias_backlog_max))</f>
        <v/>
      </c>
      <c r="AG93" s="4" t="inlineStr">
        <is>
          <t>Daniela Medina</t>
        </is>
      </c>
      <c r="AH93" s="5">
        <f>IF($AG93="","",IF((IFERROR(INDEX('ASIGNACIONES'!$J$4:$J$451,MATCH($O93&amp;"|"&amp;$S93&amp;"|"&amp;$AG93,'ASIGNACIONES'!$N$4:$N$451,0)),""))=0,"",IFERROR(INDEX('ASIGNACIONES'!$J$4:$J$451,MATCH($O93&amp;"|"&amp;$S93&amp;"|"&amp;$AG93,'ASIGNACIONES'!$N$4:$N$451,0)),"")))</f>
        <v/>
      </c>
      <c r="AI93" s="25">
        <f>IF($AG93="","",SUMIFS('ORDENES'!$M$4:$M$1203,'ORDENES'!$AG$4:$AG$1203,$AG93,'ORDENES'!$O$4:$O$1203,$O93,'ORDENES'!$S$4:$S$1203,$S93))</f>
        <v/>
      </c>
      <c r="AJ93" s="25">
        <f>IF($AI93="","",p_factor_productividad*IFERROR(INDEX('ASIGNACIONES'!$M$4:$M$451,MATCH($O93&amp;"|"&amp;$S93&amp;"|"&amp;$AG93,'ASIGNACIONES'!$N$4:$N$451,0)),0)-$AI93)</f>
        <v/>
      </c>
      <c r="AK93" s="18">
        <f>IF($A93="","",IFERROR(INDEX('2_IMPORTAR_EJECUCION'!$F$9:$F$1208,MATCH($AT93,'2_IMPORTAR_EJECUCION'!$J$9:$J$1208,0)),0))</f>
        <v/>
      </c>
      <c r="AL93" s="18">
        <f>IF($A93="","",MAX(0,IFERROR(INDEX('2_IMPORTAR_EJECUCION'!$H$9:$H$1208,MATCH($AT93,'2_IMPORTAR_EJECUCION'!$J$9:$J$1208,0)),0)-$AK93))</f>
        <v/>
      </c>
      <c r="AM93" s="18">
        <f>IF($A93="","",$AK93+$AL93)</f>
        <v/>
      </c>
      <c r="AN93" s="5">
        <f>IF($A93="","",IF(OR((IFERROR(INDEX('CAT_ACTIVIDADES'!$D$4:$D$11,MATCH($H93,'CAT_ACTIVIDADES'!$A$4:$A$11,0)),""))=0,(IFERROR(INDEX('CAT_ACTIVIDADES'!$D$4:$D$11,MATCH($H93,'CAT_ACTIVIDADES'!$A$4:$A$11,0)),""))=""),"SIN CLASIFICAR",IFERROR(INDEX('CAT_ACTIVIDADES'!$D$4:$D$11,MATCH($H93,'CAT_ACTIVIDADES'!$A$4:$A$11,0)),"")))</f>
        <v/>
      </c>
      <c r="AO93" s="4" t="inlineStr"/>
      <c r="AP93" s="4" t="inlineStr"/>
      <c r="AQ93" s="4" t="inlineStr"/>
      <c r="AR93" s="5">
        <f>IF($AQ93="","",HYPERLINK(p_ruta_base_checklists&amp;$AQ93,"abrir"))</f>
        <v/>
      </c>
      <c r="AS93" s="4" t="inlineStr"/>
      <c r="AT93" s="5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22" t="n">
        <v>46230</v>
      </c>
      <c r="K94" s="5" t="n">
        <v>10</v>
      </c>
      <c r="L94" s="18" t="n">
        <v>250</v>
      </c>
      <c r="M94" s="5">
        <f>IF($A94="","",IFERROR(INDEX('AJUSTES'!$B$4:$B$303,MATCH($AT94,'AJUSTES'!$A$4:$A$303,0)),IF($K94="","",$K94)))</f>
        <v/>
      </c>
      <c r="N94" s="5">
        <f>IF($A94="","",IFERROR(INDEX('CAT_ESTADOS_ERP'!$B$4:$B$7,MATCH(IFERROR(INDEX('2_IMPORTAR_EJECUCION'!$C$9:$C$1208,MATCH($AT94,'2_IMPORTAR_EJECUCION'!$J$9:$J$1208,0)),""),'CAT_ESTADOS_ERP'!$A$4:$A$7,0)),"Pendiente"))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IF($J94="","",$P94&amp;"-"&amp;TEXT($Q94,"00"))</f>
        <v/>
      </c>
      <c r="S94" s="5">
        <f>IF($J94="","",INDEX(lista_dias,WEEKDAY($J94,2)))</f>
        <v/>
      </c>
      <c r="T94" s="5">
        <f>IF($J94="","",IFERROR(INDEX('CALENDARIO'!$C$15:$C$214,MATCH(TEXT($J94,"yyyy-mm-dd")&amp;"|"&amp;$X94&amp;"|"&amp;$Y94,'CALENDARIO'!$G$15:$G$214,0)),IFERROR(INDEX('CALENDARIO'!$C$15:$C$214,MATCH(TEXT($J94,"yyyy-mm-dd")&amp;"|"&amp;$X94&amp;"|",'CALENDARIO'!$G$15:$G$214,0)),IFERROR(INDEX('CALENDARIO'!$C$15:$C$214,MATCH(TEXT($J94,"yyyy-mm-dd")&amp;"||",'CALENDARIO'!$G$15:$G$214,0)),INDEX(patronHabil,WEEKDAY($J94,2))))))</f>
        <v/>
      </c>
      <c r="U94" s="5">
        <f>IF($I94="","",IFERROR(INDEX('CAT_TIPOS_OT'!$C$4:$C$8,MATCH($I94,'CAT_TIPOS_OT'!$A$4:$A$8,0)),"sin_clasificar"))</f>
        <v/>
      </c>
      <c r="V94" s="5">
        <f>IF($I94="","",IF(IFERROR(INDEX('CAT_TIPOS_OT'!$D$4:$D$8,MATCH($I94,'CAT_TIPOS_OT'!$A$4:$A$8,0)),"SIN CLASIFICAR")="","SIN CLASIFICAR",IFERROR(INDEX('CAT_TIPOS_OT'!$D$4:$D$8,MATCH($I94,'CAT_TIPOS_OT'!$A$4:$A$8,0)),"SIN CLASIFICAR")))</f>
        <v/>
      </c>
      <c r="W94" s="5">
        <f>IF($F94="","",IFERROR(INDEX('CAT_CENTROS_COSTO'!$F$4:$F$13,MATCH($F94,'CAT_CENTROS_COSTO'!$A$4:$A$13,0)),"(sin catálogo)"))</f>
        <v/>
      </c>
      <c r="X94" s="5">
        <f>IF($F94="","",IFERROR(INDEX('CAT_CENTROS_COSTO'!$D$4:$D$13,MATCH($F94,'CAT_CENTROS_COSTO'!$A$4:$A$13,0)),"(sin catálogo)"))</f>
        <v/>
      </c>
      <c r="Y94" s="5">
        <f>IF($F94="","",IF((IFERROR(INDEX('CAT_CENTROS_COSTO'!$E$4:$E$13,MATCH($F94,'CAT_CENTROS_COSTO'!$A$4:$A$13,0)),""))&lt;&gt;"",IFERROR(INDEX('CAT_CENTROS_COSTO'!$E$4:$E$13,MATCH($F94,'CAT_CENTROS_COSTO'!$A$4:$A$13,0)),""),$X94))</f>
        <v/>
      </c>
      <c r="Z94" s="5">
        <f>IF($F94="","",IFERROR(INDEX('CAT_CENTROS_COSTO'!$G$4:$G$13,MATCH($F94,'CAT_CENTROS_COSTO'!$A$4:$A$13,0)),"(sin catálogo)"))</f>
        <v/>
      </c>
      <c r="AA94" s="5">
        <f>IF($G94="","",IFERROR(INDEX('CAT_PUESTOS'!$B$4:$B$8,MATCH($G94,'CAT_PUESTOS'!$A$4:$A$8,0)),"(sin catálogo)"))</f>
        <v/>
      </c>
      <c r="AB94" s="5">
        <f>IF($H94="","",IFERROR(INDEX('CAT_ACTIVIDADES'!$B$4:$B$11,MATCH($H94,'CAT_ACTIVIDADES'!$A$4:$A$11,0)),"(sin catálogo)"))</f>
        <v/>
      </c>
      <c r="AC94" s="20">
        <f>IF($J94="","",TODAY()-$J94)</f>
        <v/>
      </c>
      <c r="AD94" s="20">
        <f>IF($J94="","",IF($J94&lt;=TODAY(),COUNTIFS(cal_fechas,"&gt;="&amp;$J94,cal_fechas,"&lt;"&amp;TODAY(),cal_habil,"sí"),-COUNTIFS(cal_fechas,"&gt;="&amp;TODAY(),cal_fechas,"&lt;"&amp;$J94,cal_habil,"sí")))</f>
        <v/>
      </c>
      <c r="AE94" s="5">
        <f>IF($AD94="","",IF($AD94&lt;0,"FUTURO",IF($AD94&gt;p_dias_backlog_max,"BACKLOG","MES CORRIENTE")))</f>
        <v/>
      </c>
      <c r="AF94" s="5">
        <f>IF($AD94="",FALSE,AND($AD94&gt;p_dias_backlog_min,$AD94&lt;=p_dias_backlog_max))</f>
        <v/>
      </c>
      <c r="AG94" s="4" t="inlineStr">
        <is>
          <t>Alberto Vargas</t>
        </is>
      </c>
      <c r="AH94" s="5">
        <f>IF($AG94="","",IF((IFERROR(INDEX('ASIGNACIONES'!$J$4:$J$451,MATCH($O94&amp;"|"&amp;$S94&amp;"|"&amp;$AG94,'ASIGNACIONES'!$N$4:$N$451,0)),""))=0,"",IFERROR(INDEX('ASIGNACIONES'!$J$4:$J$451,MATCH($O94&amp;"|"&amp;$S94&amp;"|"&amp;$AG94,'ASIGNACIONES'!$N$4:$N$451,0)),"")))</f>
        <v/>
      </c>
      <c r="AI94" s="25">
        <f>IF($AG94="","",SUMIFS('ORDENES'!$M$4:$M$1203,'ORDENES'!$AG$4:$AG$1203,$AG94,'ORDENES'!$O$4:$O$1203,$O94,'ORDENES'!$S$4:$S$1203,$S94))</f>
        <v/>
      </c>
      <c r="AJ94" s="25">
        <f>IF($AI94="","",p_factor_productividad*IFERROR(INDEX('ASIGNACIONES'!$M$4:$M$451,MATCH($O94&amp;"|"&amp;$S94&amp;"|"&amp;$AG94,'ASIGNACIONES'!$N$4:$N$451,0)),0)-$AI94)</f>
        <v/>
      </c>
      <c r="AK94" s="18">
        <f>IF($A94="","",IFERROR(INDEX('2_IMPORTAR_EJECUCION'!$F$9:$F$1208,MATCH($AT94,'2_IMPORTAR_EJECUCION'!$J$9:$J$1208,0)),0))</f>
        <v/>
      </c>
      <c r="AL94" s="18">
        <f>IF($A94="","",MAX(0,IFERROR(INDEX('2_IMPORTAR_EJECUCION'!$H$9:$H$1208,MATCH($AT94,'2_IMPORTAR_EJECUCION'!$J$9:$J$1208,0)),0)-$AK94))</f>
        <v/>
      </c>
      <c r="AM94" s="18">
        <f>IF($A94="","",$AK94+$AL94)</f>
        <v/>
      </c>
      <c r="AN94" s="5">
        <f>IF($A94="","",IF(OR((IFERROR(INDEX('CAT_ACTIVIDADES'!$D$4:$D$11,MATCH($H94,'CAT_ACTIVIDADES'!$A$4:$A$11,0)),""))=0,(IFERROR(INDEX('CAT_ACTIVIDADES'!$D$4:$D$11,MATCH($H94,'CAT_ACTIVIDADES'!$A$4:$A$11,0)),""))=""),"SIN CLASIFICAR",IFERROR(INDEX('CAT_ACTIVIDADES'!$D$4:$D$11,MATCH($H94,'CAT_ACTIVIDADES'!$A$4:$A$11,0)),"")))</f>
        <v/>
      </c>
      <c r="AO94" s="4" t="inlineStr"/>
      <c r="AP94" s="4" t="inlineStr"/>
      <c r="AQ94" s="4" t="inlineStr">
        <is>
          <t>ACT-02.pdf</t>
        </is>
      </c>
      <c r="AR94" s="5">
        <f>IF($AQ94="","",HYPERLINK(p_ruta_base_checklists&amp;$AQ94,"abrir"))</f>
        <v/>
      </c>
      <c r="AS94" s="4" t="inlineStr"/>
      <c r="AT94" s="5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22" t="n">
        <v>46231</v>
      </c>
      <c r="K95" s="5" t="n">
        <v>8</v>
      </c>
      <c r="L95" s="18" t="n">
        <v>200</v>
      </c>
      <c r="M95" s="5">
        <f>IF($A95="","",IFERROR(INDEX('AJUSTES'!$B$4:$B$303,MATCH($AT95,'AJUSTES'!$A$4:$A$303,0)),IF($K95="","",$K95)))</f>
        <v/>
      </c>
      <c r="N95" s="5">
        <f>IF($A95="","",IFERROR(INDEX('CAT_ESTADOS_ERP'!$B$4:$B$7,MATCH(IFERROR(INDEX('2_IMPORTAR_EJECUCION'!$C$9:$C$1208,MATCH($AT95,'2_IMPORTAR_EJECUCION'!$J$9:$J$1208,0)),""),'CAT_ESTADOS_ERP'!$A$4:$A$7,0)),"Pendiente"))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IF($J95="","",$P95&amp;"-"&amp;TEXT($Q95,"00"))</f>
        <v/>
      </c>
      <c r="S95" s="5">
        <f>IF($J95="","",INDEX(lista_dias,WEEKDAY($J95,2)))</f>
        <v/>
      </c>
      <c r="T95" s="5">
        <f>IF($J95="","",IFERROR(INDEX('CALENDARIO'!$C$15:$C$214,MATCH(TEXT($J95,"yyyy-mm-dd")&amp;"|"&amp;$X95&amp;"|"&amp;$Y95,'CALENDARIO'!$G$15:$G$214,0)),IFERROR(INDEX('CALENDARIO'!$C$15:$C$214,MATCH(TEXT($J95,"yyyy-mm-dd")&amp;"|"&amp;$X95&amp;"|",'CALENDARIO'!$G$15:$G$214,0)),IFERROR(INDEX('CALENDARIO'!$C$15:$C$214,MATCH(TEXT($J95,"yyyy-mm-dd")&amp;"||",'CALENDARIO'!$G$15:$G$214,0)),INDEX(patronHabil,WEEKDAY($J95,2))))))</f>
        <v/>
      </c>
      <c r="U95" s="5">
        <f>IF($I95="","",IFERROR(INDEX('CAT_TIPOS_OT'!$C$4:$C$8,MATCH($I95,'CAT_TIPOS_OT'!$A$4:$A$8,0)),"sin_clasificar"))</f>
        <v/>
      </c>
      <c r="V95" s="5">
        <f>IF($I95="","",IF(IFERROR(INDEX('CAT_TIPOS_OT'!$D$4:$D$8,MATCH($I95,'CAT_TIPOS_OT'!$A$4:$A$8,0)),"SIN CLASIFICAR")="","SIN CLASIFICAR",IFERROR(INDEX('CAT_TIPOS_OT'!$D$4:$D$8,MATCH($I95,'CAT_TIPOS_OT'!$A$4:$A$8,0)),"SIN CLASIFICAR")))</f>
        <v/>
      </c>
      <c r="W95" s="5">
        <f>IF($F95="","",IFERROR(INDEX('CAT_CENTROS_COSTO'!$F$4:$F$13,MATCH($F95,'CAT_CENTROS_COSTO'!$A$4:$A$13,0)),"(sin catálogo)"))</f>
        <v/>
      </c>
      <c r="X95" s="5">
        <f>IF($F95="","",IFERROR(INDEX('CAT_CENTROS_COSTO'!$D$4:$D$13,MATCH($F95,'CAT_CENTROS_COSTO'!$A$4:$A$13,0)),"(sin catálogo)"))</f>
        <v/>
      </c>
      <c r="Y95" s="5">
        <f>IF($F95="","",IF((IFERROR(INDEX('CAT_CENTROS_COSTO'!$E$4:$E$13,MATCH($F95,'CAT_CENTROS_COSTO'!$A$4:$A$13,0)),""))&lt;&gt;"",IFERROR(INDEX('CAT_CENTROS_COSTO'!$E$4:$E$13,MATCH($F95,'CAT_CENTROS_COSTO'!$A$4:$A$13,0)),""),$X95))</f>
        <v/>
      </c>
      <c r="Z95" s="5">
        <f>IF($F95="","",IFERROR(INDEX('CAT_CENTROS_COSTO'!$G$4:$G$13,MATCH($F95,'CAT_CENTROS_COSTO'!$A$4:$A$13,0)),"(sin catálogo)"))</f>
        <v/>
      </c>
      <c r="AA95" s="5">
        <f>IF($G95="","",IFERROR(INDEX('CAT_PUESTOS'!$B$4:$B$8,MATCH($G95,'CAT_PUESTOS'!$A$4:$A$8,0)),"(sin catálogo)"))</f>
        <v/>
      </c>
      <c r="AB95" s="5">
        <f>IF($H95="","",IFERROR(INDEX('CAT_ACTIVIDADES'!$B$4:$B$11,MATCH($H95,'CAT_ACTIVIDADES'!$A$4:$A$11,0)),"(sin catálogo)"))</f>
        <v/>
      </c>
      <c r="AC95" s="20">
        <f>IF($J95="","",TODAY()-$J95)</f>
        <v/>
      </c>
      <c r="AD95" s="20">
        <f>IF($J95="","",IF($J95&lt;=TODAY(),COUNTIFS(cal_fechas,"&gt;="&amp;$J95,cal_fechas,"&lt;"&amp;TODAY(),cal_habil,"sí"),-COUNTIFS(cal_fechas,"&gt;="&amp;TODAY(),cal_fechas,"&lt;"&amp;$J95,cal_habil,"sí")))</f>
        <v/>
      </c>
      <c r="AE95" s="5">
        <f>IF($AD95="","",IF($AD95&lt;0,"FUTURO",IF($AD95&gt;p_dias_backlog_max,"BACKLOG","MES CORRIENTE")))</f>
        <v/>
      </c>
      <c r="AF95" s="5">
        <f>IF($AD95="",FALSE,AND($AD95&gt;p_dias_backlog_min,$AD95&lt;=p_dias_backlog_max))</f>
        <v/>
      </c>
      <c r="AG95" s="4" t="inlineStr">
        <is>
          <t>Daniela Medina</t>
        </is>
      </c>
      <c r="AH95" s="5">
        <f>IF($AG95="","",IF((IFERROR(INDEX('ASIGNACIONES'!$J$4:$J$451,MATCH($O95&amp;"|"&amp;$S95&amp;"|"&amp;$AG95,'ASIGNACIONES'!$N$4:$N$451,0)),""))=0,"",IFERROR(INDEX('ASIGNACIONES'!$J$4:$J$451,MATCH($O95&amp;"|"&amp;$S95&amp;"|"&amp;$AG95,'ASIGNACIONES'!$N$4:$N$451,0)),"")))</f>
        <v/>
      </c>
      <c r="AI95" s="25">
        <f>IF($AG95="","",SUMIFS('ORDENES'!$M$4:$M$1203,'ORDENES'!$AG$4:$AG$1203,$AG95,'ORDENES'!$O$4:$O$1203,$O95,'ORDENES'!$S$4:$S$1203,$S95))</f>
        <v/>
      </c>
      <c r="AJ95" s="25">
        <f>IF($AI95="","",p_factor_productividad*IFERROR(INDEX('ASIGNACIONES'!$M$4:$M$451,MATCH($O95&amp;"|"&amp;$S95&amp;"|"&amp;$AG95,'ASIGNACIONES'!$N$4:$N$451,0)),0)-$AI95)</f>
        <v/>
      </c>
      <c r="AK95" s="18">
        <f>IF($A95="","",IFERROR(INDEX('2_IMPORTAR_EJECUCION'!$F$9:$F$1208,MATCH($AT95,'2_IMPORTAR_EJECUCION'!$J$9:$J$1208,0)),0))</f>
        <v/>
      </c>
      <c r="AL95" s="18">
        <f>IF($A95="","",MAX(0,IFERROR(INDEX('2_IMPORTAR_EJECUCION'!$H$9:$H$1208,MATCH($AT95,'2_IMPORTAR_EJECUCION'!$J$9:$J$1208,0)),0)-$AK95))</f>
        <v/>
      </c>
      <c r="AM95" s="18">
        <f>IF($A95="","",$AK95+$AL95)</f>
        <v/>
      </c>
      <c r="AN95" s="5">
        <f>IF($A95="","",IF(OR((IFERROR(INDEX('CAT_ACTIVIDADES'!$D$4:$D$11,MATCH($H95,'CAT_ACTIVIDADES'!$A$4:$A$11,0)),""))=0,(IFERROR(INDEX('CAT_ACTIVIDADES'!$D$4:$D$11,MATCH($H95,'CAT_ACTIVIDADES'!$A$4:$A$11,0)),""))=""),"SIN CLASIFICAR",IFERROR(INDEX('CAT_ACTIVIDADES'!$D$4:$D$11,MATCH($H95,'CAT_ACTIVIDADES'!$A$4:$A$11,0)),"")))</f>
        <v/>
      </c>
      <c r="AO95" s="4" t="inlineStr"/>
      <c r="AP95" s="4" t="inlineStr"/>
      <c r="AQ95" s="4" t="inlineStr">
        <is>
          <t>ACT-04.pdf</t>
        </is>
      </c>
      <c r="AR95" s="5">
        <f>IF($AQ95="","",HYPERLINK(p_ruta_base_checklists&amp;$AQ95,"abrir"))</f>
        <v/>
      </c>
      <c r="AS95" s="4" t="inlineStr"/>
      <c r="AT95" s="5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22" t="n">
        <v>46232</v>
      </c>
      <c r="K96" s="5" t="n">
        <v>6</v>
      </c>
      <c r="L96" s="18" t="n">
        <v>150</v>
      </c>
      <c r="M96" s="5">
        <f>IF($A96="","",IFERROR(INDEX('AJUSTES'!$B$4:$B$303,MATCH($AT96,'AJUSTES'!$A$4:$A$303,0)),IF($K96="","",$K96)))</f>
        <v/>
      </c>
      <c r="N96" s="5">
        <f>IF($A96="","",IFERROR(INDEX('CAT_ESTADOS_ERP'!$B$4:$B$7,MATCH(IFERROR(INDEX('2_IMPORTAR_EJECUCION'!$C$9:$C$1208,MATCH($AT96,'2_IMPORTAR_EJECUCION'!$J$9:$J$1208,0)),""),'CAT_ESTADOS_ERP'!$A$4:$A$7,0)),"Pendiente"))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IF($J96="","",$P96&amp;"-"&amp;TEXT($Q96,"00"))</f>
        <v/>
      </c>
      <c r="S96" s="5">
        <f>IF($J96="","",INDEX(lista_dias,WEEKDAY($J96,2)))</f>
        <v/>
      </c>
      <c r="T96" s="5">
        <f>IF($J96="","",IFERROR(INDEX('CALENDARIO'!$C$15:$C$214,MATCH(TEXT($J96,"yyyy-mm-dd")&amp;"|"&amp;$X96&amp;"|"&amp;$Y96,'CALENDARIO'!$G$15:$G$214,0)),IFERROR(INDEX('CALENDARIO'!$C$15:$C$214,MATCH(TEXT($J96,"yyyy-mm-dd")&amp;"|"&amp;$X96&amp;"|",'CALENDARIO'!$G$15:$G$214,0)),IFERROR(INDEX('CALENDARIO'!$C$15:$C$214,MATCH(TEXT($J96,"yyyy-mm-dd")&amp;"||",'CALENDARIO'!$G$15:$G$214,0)),INDEX(patronHabil,WEEKDAY($J96,2))))))</f>
        <v/>
      </c>
      <c r="U96" s="5">
        <f>IF($I96="","",IFERROR(INDEX('CAT_TIPOS_OT'!$C$4:$C$8,MATCH($I96,'CAT_TIPOS_OT'!$A$4:$A$8,0)),"sin_clasificar"))</f>
        <v/>
      </c>
      <c r="V96" s="5">
        <f>IF($I96="","",IF(IFERROR(INDEX('CAT_TIPOS_OT'!$D$4:$D$8,MATCH($I96,'CAT_TIPOS_OT'!$A$4:$A$8,0)),"SIN CLASIFICAR")="","SIN CLASIFICAR",IFERROR(INDEX('CAT_TIPOS_OT'!$D$4:$D$8,MATCH($I96,'CAT_TIPOS_OT'!$A$4:$A$8,0)),"SIN CLASIFICAR")))</f>
        <v/>
      </c>
      <c r="W96" s="5">
        <f>IF($F96="","",IFERROR(INDEX('CAT_CENTROS_COSTO'!$F$4:$F$13,MATCH($F96,'CAT_CENTROS_COSTO'!$A$4:$A$13,0)),"(sin catálogo)"))</f>
        <v/>
      </c>
      <c r="X96" s="5">
        <f>IF($F96="","",IFERROR(INDEX('CAT_CENTROS_COSTO'!$D$4:$D$13,MATCH($F96,'CAT_CENTROS_COSTO'!$A$4:$A$13,0)),"(sin catálogo)"))</f>
        <v/>
      </c>
      <c r="Y96" s="5">
        <f>IF($F96="","",IF((IFERROR(INDEX('CAT_CENTROS_COSTO'!$E$4:$E$13,MATCH($F96,'CAT_CENTROS_COSTO'!$A$4:$A$13,0)),""))&lt;&gt;"",IFERROR(INDEX('CAT_CENTROS_COSTO'!$E$4:$E$13,MATCH($F96,'CAT_CENTROS_COSTO'!$A$4:$A$13,0)),""),$X96))</f>
        <v/>
      </c>
      <c r="Z96" s="5">
        <f>IF($F96="","",IFERROR(INDEX('CAT_CENTROS_COSTO'!$G$4:$G$13,MATCH($F96,'CAT_CENTROS_COSTO'!$A$4:$A$13,0)),"(sin catálogo)"))</f>
        <v/>
      </c>
      <c r="AA96" s="5">
        <f>IF($G96="","",IFERROR(INDEX('CAT_PUESTOS'!$B$4:$B$8,MATCH($G96,'CAT_PUESTOS'!$A$4:$A$8,0)),"(sin catálogo)"))</f>
        <v/>
      </c>
      <c r="AB96" s="5">
        <f>IF($H96="","",IFERROR(INDEX('CAT_ACTIVIDADES'!$B$4:$B$11,MATCH($H96,'CAT_ACTIVIDADES'!$A$4:$A$11,0)),"(sin catálogo)"))</f>
        <v/>
      </c>
      <c r="AC96" s="20">
        <f>IF($J96="","",TODAY()-$J96)</f>
        <v/>
      </c>
      <c r="AD96" s="20">
        <f>IF($J96="","",IF($J96&lt;=TODAY(),COUNTIFS(cal_fechas,"&gt;="&amp;$J96,cal_fechas,"&lt;"&amp;TODAY(),cal_habil,"sí"),-COUNTIFS(cal_fechas,"&gt;="&amp;TODAY(),cal_fechas,"&lt;"&amp;$J96,cal_habil,"sí")))</f>
        <v/>
      </c>
      <c r="AE96" s="5">
        <f>IF($AD96="","",IF($AD96&lt;0,"FUTURO",IF($AD96&gt;p_dias_backlog_max,"BACKLOG","MES CORRIENTE")))</f>
        <v/>
      </c>
      <c r="AF96" s="5">
        <f>IF($AD96="",FALSE,AND($AD96&gt;p_dias_backlog_min,$AD96&lt;=p_dias_backlog_max))</f>
        <v/>
      </c>
      <c r="AG96" s="4" t="inlineStr">
        <is>
          <t>Alberto Vargas</t>
        </is>
      </c>
      <c r="AH96" s="5">
        <f>IF($AG96="","",IF((IFERROR(INDEX('ASIGNACIONES'!$J$4:$J$451,MATCH($O96&amp;"|"&amp;$S96&amp;"|"&amp;$AG96,'ASIGNACIONES'!$N$4:$N$451,0)),""))=0,"",IFERROR(INDEX('ASIGNACIONES'!$J$4:$J$451,MATCH($O96&amp;"|"&amp;$S96&amp;"|"&amp;$AG96,'ASIGNACIONES'!$N$4:$N$451,0)),"")))</f>
        <v/>
      </c>
      <c r="AI96" s="25">
        <f>IF($AG96="","",SUMIFS('ORDENES'!$M$4:$M$1203,'ORDENES'!$AG$4:$AG$1203,$AG96,'ORDENES'!$O$4:$O$1203,$O96,'ORDENES'!$S$4:$S$1203,$S96))</f>
        <v/>
      </c>
      <c r="AJ96" s="25">
        <f>IF($AI96="","",p_factor_productividad*IFERROR(INDEX('ASIGNACIONES'!$M$4:$M$451,MATCH($O96&amp;"|"&amp;$S96&amp;"|"&amp;$AG96,'ASIGNACIONES'!$N$4:$N$451,0)),0)-$AI96)</f>
        <v/>
      </c>
      <c r="AK96" s="18">
        <f>IF($A96="","",IFERROR(INDEX('2_IMPORTAR_EJECUCION'!$F$9:$F$1208,MATCH($AT96,'2_IMPORTAR_EJECUCION'!$J$9:$J$1208,0)),0))</f>
        <v/>
      </c>
      <c r="AL96" s="18">
        <f>IF($A96="","",MAX(0,IFERROR(INDEX('2_IMPORTAR_EJECUCION'!$H$9:$H$1208,MATCH($AT96,'2_IMPORTAR_EJECUCION'!$J$9:$J$1208,0)),0)-$AK96))</f>
        <v/>
      </c>
      <c r="AM96" s="18">
        <f>IF($A96="","",$AK96+$AL96)</f>
        <v/>
      </c>
      <c r="AN96" s="5">
        <f>IF($A96="","",IF(OR((IFERROR(INDEX('CAT_ACTIVIDADES'!$D$4:$D$11,MATCH($H96,'CAT_ACTIVIDADES'!$A$4:$A$11,0)),""))=0,(IFERROR(INDEX('CAT_ACTIVIDADES'!$D$4:$D$11,MATCH($H96,'CAT_ACTIVIDADES'!$A$4:$A$11,0)),""))=""),"SIN CLASIFICAR",IFERROR(INDEX('CAT_ACTIVIDADES'!$D$4:$D$11,MATCH($H96,'CAT_ACTIVIDADES'!$A$4:$A$11,0)),"")))</f>
        <v/>
      </c>
      <c r="AO96" s="4" t="inlineStr"/>
      <c r="AP96" s="4" t="inlineStr"/>
      <c r="AQ96" s="4" t="inlineStr">
        <is>
          <t>ACT-01.pdf</t>
        </is>
      </c>
      <c r="AR96" s="5">
        <f>IF($AQ96="","",HYPERLINK(p_ruta_base_checklists&amp;$AQ96,"abrir"))</f>
        <v/>
      </c>
      <c r="AS96" s="4" t="inlineStr"/>
      <c r="AT96" s="5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22" t="n">
        <v>46233</v>
      </c>
      <c r="K97" s="5" t="n">
        <v>10</v>
      </c>
      <c r="L97" s="18" t="n">
        <v>250</v>
      </c>
      <c r="M97" s="5">
        <f>IF($A97="","",IFERROR(INDEX('AJUSTES'!$B$4:$B$303,MATCH($AT97,'AJUSTES'!$A$4:$A$303,0)),IF($K97="","",$K97)))</f>
        <v/>
      </c>
      <c r="N97" s="5">
        <f>IF($A97="","",IFERROR(INDEX('CAT_ESTADOS_ERP'!$B$4:$B$7,MATCH(IFERROR(INDEX('2_IMPORTAR_EJECUCION'!$C$9:$C$1208,MATCH($AT97,'2_IMPORTAR_EJECUCION'!$J$9:$J$1208,0)),""),'CAT_ESTADOS_ERP'!$A$4:$A$7,0)),"Pendiente"))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IF($J97="","",$P97&amp;"-"&amp;TEXT($Q97,"00"))</f>
        <v/>
      </c>
      <c r="S97" s="5">
        <f>IF($J97="","",INDEX(lista_dias,WEEKDAY($J97,2)))</f>
        <v/>
      </c>
      <c r="T97" s="5">
        <f>IF($J97="","",IFERROR(INDEX('CALENDARIO'!$C$15:$C$214,MATCH(TEXT($J97,"yyyy-mm-dd")&amp;"|"&amp;$X97&amp;"|"&amp;$Y97,'CALENDARIO'!$G$15:$G$214,0)),IFERROR(INDEX('CALENDARIO'!$C$15:$C$214,MATCH(TEXT($J97,"yyyy-mm-dd")&amp;"|"&amp;$X97&amp;"|",'CALENDARIO'!$G$15:$G$214,0)),IFERROR(INDEX('CALENDARIO'!$C$15:$C$214,MATCH(TEXT($J97,"yyyy-mm-dd")&amp;"||",'CALENDARIO'!$G$15:$G$214,0)),INDEX(patronHabil,WEEKDAY($J97,2))))))</f>
        <v/>
      </c>
      <c r="U97" s="5">
        <f>IF($I97="","",IFERROR(INDEX('CAT_TIPOS_OT'!$C$4:$C$8,MATCH($I97,'CAT_TIPOS_OT'!$A$4:$A$8,0)),"sin_clasificar"))</f>
        <v/>
      </c>
      <c r="V97" s="5">
        <f>IF($I97="","",IF(IFERROR(INDEX('CAT_TIPOS_OT'!$D$4:$D$8,MATCH($I97,'CAT_TIPOS_OT'!$A$4:$A$8,0)),"SIN CLASIFICAR")="","SIN CLASIFICAR",IFERROR(INDEX('CAT_TIPOS_OT'!$D$4:$D$8,MATCH($I97,'CAT_TIPOS_OT'!$A$4:$A$8,0)),"SIN CLASIFICAR")))</f>
        <v/>
      </c>
      <c r="W97" s="5">
        <f>IF($F97="","",IFERROR(INDEX('CAT_CENTROS_COSTO'!$F$4:$F$13,MATCH($F97,'CAT_CENTROS_COSTO'!$A$4:$A$13,0)),"(sin catálogo)"))</f>
        <v/>
      </c>
      <c r="X97" s="5">
        <f>IF($F97="","",IFERROR(INDEX('CAT_CENTROS_COSTO'!$D$4:$D$13,MATCH($F97,'CAT_CENTROS_COSTO'!$A$4:$A$13,0)),"(sin catálogo)"))</f>
        <v/>
      </c>
      <c r="Y97" s="5">
        <f>IF($F97="","",IF((IFERROR(INDEX('CAT_CENTROS_COSTO'!$E$4:$E$13,MATCH($F97,'CAT_CENTROS_COSTO'!$A$4:$A$13,0)),""))&lt;&gt;"",IFERROR(INDEX('CAT_CENTROS_COSTO'!$E$4:$E$13,MATCH($F97,'CAT_CENTROS_COSTO'!$A$4:$A$13,0)),""),$X97))</f>
        <v/>
      </c>
      <c r="Z97" s="5">
        <f>IF($F97="","",IFERROR(INDEX('CAT_CENTROS_COSTO'!$G$4:$G$13,MATCH($F97,'CAT_CENTROS_COSTO'!$A$4:$A$13,0)),"(sin catálogo)"))</f>
        <v/>
      </c>
      <c r="AA97" s="5">
        <f>IF($G97="","",IFERROR(INDEX('CAT_PUESTOS'!$B$4:$B$8,MATCH($G97,'CAT_PUESTOS'!$A$4:$A$8,0)),"(sin catálogo)"))</f>
        <v/>
      </c>
      <c r="AB97" s="5">
        <f>IF($H97="","",IFERROR(INDEX('CAT_ACTIVIDADES'!$B$4:$B$11,MATCH($H97,'CAT_ACTIVIDADES'!$A$4:$A$11,0)),"(sin catálogo)"))</f>
        <v/>
      </c>
      <c r="AC97" s="20">
        <f>IF($J97="","",TODAY()-$J97)</f>
        <v/>
      </c>
      <c r="AD97" s="20">
        <f>IF($J97="","",IF($J97&lt;=TODAY(),COUNTIFS(cal_fechas,"&gt;="&amp;$J97,cal_fechas,"&lt;"&amp;TODAY(),cal_habil,"sí"),-COUNTIFS(cal_fechas,"&gt;="&amp;TODAY(),cal_fechas,"&lt;"&amp;$J97,cal_habil,"sí")))</f>
        <v/>
      </c>
      <c r="AE97" s="5">
        <f>IF($AD97="","",IF($AD97&lt;0,"FUTURO",IF($AD97&gt;p_dias_backlog_max,"BACKLOG","MES CORRIENTE")))</f>
        <v/>
      </c>
      <c r="AF97" s="5">
        <f>IF($AD97="",FALSE,AND($AD97&gt;p_dias_backlog_min,$AD97&lt;=p_dias_backlog_max))</f>
        <v/>
      </c>
      <c r="AG97" s="4" t="inlineStr">
        <is>
          <t>Daniela Medina</t>
        </is>
      </c>
      <c r="AH97" s="5">
        <f>IF($AG97="","",IF((IFERROR(INDEX('ASIGNACIONES'!$J$4:$J$451,MATCH($O97&amp;"|"&amp;$S97&amp;"|"&amp;$AG97,'ASIGNACIONES'!$N$4:$N$451,0)),""))=0,"",IFERROR(INDEX('ASIGNACIONES'!$J$4:$J$451,MATCH($O97&amp;"|"&amp;$S97&amp;"|"&amp;$AG97,'ASIGNACIONES'!$N$4:$N$451,0)),"")))</f>
        <v/>
      </c>
      <c r="AI97" s="25">
        <f>IF($AG97="","",SUMIFS('ORDENES'!$M$4:$M$1203,'ORDENES'!$AG$4:$AG$1203,$AG97,'ORDENES'!$O$4:$O$1203,$O97,'ORDENES'!$S$4:$S$1203,$S97))</f>
        <v/>
      </c>
      <c r="AJ97" s="25">
        <f>IF($AI97="","",p_factor_productividad*IFERROR(INDEX('ASIGNACIONES'!$M$4:$M$451,MATCH($O97&amp;"|"&amp;$S97&amp;"|"&amp;$AG97,'ASIGNACIONES'!$N$4:$N$451,0)),0)-$AI97)</f>
        <v/>
      </c>
      <c r="AK97" s="18">
        <f>IF($A97="","",IFERROR(INDEX('2_IMPORTAR_EJECUCION'!$F$9:$F$1208,MATCH($AT97,'2_IMPORTAR_EJECUCION'!$J$9:$J$1208,0)),0))</f>
        <v/>
      </c>
      <c r="AL97" s="18">
        <f>IF($A97="","",MAX(0,IFERROR(INDEX('2_IMPORTAR_EJECUCION'!$H$9:$H$1208,MATCH($AT97,'2_IMPORTAR_EJECUCION'!$J$9:$J$1208,0)),0)-$AK97))</f>
        <v/>
      </c>
      <c r="AM97" s="18">
        <f>IF($A97="","",$AK97+$AL97)</f>
        <v/>
      </c>
      <c r="AN97" s="5">
        <f>IF($A97="","",IF(OR((IFERROR(INDEX('CAT_ACTIVIDADES'!$D$4:$D$11,MATCH($H97,'CAT_ACTIVIDADES'!$A$4:$A$11,0)),""))=0,(IFERROR(INDEX('CAT_ACTIVIDADES'!$D$4:$D$11,MATCH($H97,'CAT_ACTIVIDADES'!$A$4:$A$11,0)),""))=""),"SIN CLASIFICAR",IFERROR(INDEX('CAT_ACTIVIDADES'!$D$4:$D$11,MATCH($H97,'CAT_ACTIVIDADES'!$A$4:$A$11,0)),"")))</f>
        <v/>
      </c>
      <c r="AO97" s="4" t="inlineStr"/>
      <c r="AP97" s="4" t="inlineStr"/>
      <c r="AQ97" s="4" t="inlineStr">
        <is>
          <t>ACT-02.pdf</t>
        </is>
      </c>
      <c r="AR97" s="5">
        <f>IF($AQ97="","",HYPERLINK(p_ruta_base_checklists&amp;$AQ97,"abrir"))</f>
        <v/>
      </c>
      <c r="AS97" s="4" t="inlineStr"/>
      <c r="AT97" s="5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22" t="n">
        <v>46234</v>
      </c>
      <c r="K98" s="5" t="n">
        <v>11</v>
      </c>
      <c r="L98" s="18" t="n">
        <v>275</v>
      </c>
      <c r="M98" s="5">
        <f>IF($A98="","",IFERROR(INDEX('AJUSTES'!$B$4:$B$303,MATCH($AT98,'AJUSTES'!$A$4:$A$303,0)),IF($K98="","",$K98)))</f>
        <v/>
      </c>
      <c r="N98" s="5">
        <f>IF($A98="","",IFERROR(INDEX('CAT_ESTADOS_ERP'!$B$4:$B$7,MATCH(IFERROR(INDEX('2_IMPORTAR_EJECUCION'!$C$9:$C$1208,MATCH($AT98,'2_IMPORTAR_EJECUCION'!$J$9:$J$1208,0)),""),'CAT_ESTADOS_ERP'!$A$4:$A$7,0)),"Pendiente"))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IF($J98="","",$P98&amp;"-"&amp;TEXT($Q98,"00"))</f>
        <v/>
      </c>
      <c r="S98" s="5">
        <f>IF($J98="","",INDEX(lista_dias,WEEKDAY($J98,2)))</f>
        <v/>
      </c>
      <c r="T98" s="5">
        <f>IF($J98="","",IFERROR(INDEX('CALENDARIO'!$C$15:$C$214,MATCH(TEXT($J98,"yyyy-mm-dd")&amp;"|"&amp;$X98&amp;"|"&amp;$Y98,'CALENDARIO'!$G$15:$G$214,0)),IFERROR(INDEX('CALENDARIO'!$C$15:$C$214,MATCH(TEXT($J98,"yyyy-mm-dd")&amp;"|"&amp;$X98&amp;"|",'CALENDARIO'!$G$15:$G$214,0)),IFERROR(INDEX('CALENDARIO'!$C$15:$C$214,MATCH(TEXT($J98,"yyyy-mm-dd")&amp;"||",'CALENDARIO'!$G$15:$G$214,0)),INDEX(patronHabil,WEEKDAY($J98,2))))))</f>
        <v/>
      </c>
      <c r="U98" s="5">
        <f>IF($I98="","",IFERROR(INDEX('CAT_TIPOS_OT'!$C$4:$C$8,MATCH($I98,'CAT_TIPOS_OT'!$A$4:$A$8,0)),"sin_clasificar"))</f>
        <v/>
      </c>
      <c r="V98" s="5">
        <f>IF($I98="","",IF(IFERROR(INDEX('CAT_TIPOS_OT'!$D$4:$D$8,MATCH($I98,'CAT_TIPOS_OT'!$A$4:$A$8,0)),"SIN CLASIFICAR")="","SIN CLASIFICAR",IFERROR(INDEX('CAT_TIPOS_OT'!$D$4:$D$8,MATCH($I98,'CAT_TIPOS_OT'!$A$4:$A$8,0)),"SIN CLASIFICAR")))</f>
        <v/>
      </c>
      <c r="W98" s="5">
        <f>IF($F98="","",IFERROR(INDEX('CAT_CENTROS_COSTO'!$F$4:$F$13,MATCH($F98,'CAT_CENTROS_COSTO'!$A$4:$A$13,0)),"(sin catálogo)"))</f>
        <v/>
      </c>
      <c r="X98" s="5">
        <f>IF($F98="","",IFERROR(INDEX('CAT_CENTROS_COSTO'!$D$4:$D$13,MATCH($F98,'CAT_CENTROS_COSTO'!$A$4:$A$13,0)),"(sin catálogo)"))</f>
        <v/>
      </c>
      <c r="Y98" s="5">
        <f>IF($F98="","",IF((IFERROR(INDEX('CAT_CENTROS_COSTO'!$E$4:$E$13,MATCH($F98,'CAT_CENTROS_COSTO'!$A$4:$A$13,0)),""))&lt;&gt;"",IFERROR(INDEX('CAT_CENTROS_COSTO'!$E$4:$E$13,MATCH($F98,'CAT_CENTROS_COSTO'!$A$4:$A$13,0)),""),$X98))</f>
        <v/>
      </c>
      <c r="Z98" s="5">
        <f>IF($F98="","",IFERROR(INDEX('CAT_CENTROS_COSTO'!$G$4:$G$13,MATCH($F98,'CAT_CENTROS_COSTO'!$A$4:$A$13,0)),"(sin catálogo)"))</f>
        <v/>
      </c>
      <c r="AA98" s="5">
        <f>IF($G98="","",IFERROR(INDEX('CAT_PUESTOS'!$B$4:$B$8,MATCH($G98,'CAT_PUESTOS'!$A$4:$A$8,0)),"(sin catálogo)"))</f>
        <v/>
      </c>
      <c r="AB98" s="5">
        <f>IF($H98="","",IFERROR(INDEX('CAT_ACTIVIDADES'!$B$4:$B$11,MATCH($H98,'CAT_ACTIVIDADES'!$A$4:$A$11,0)),"(sin catálogo)"))</f>
        <v/>
      </c>
      <c r="AC98" s="20">
        <f>IF($J98="","",TODAY()-$J98)</f>
        <v/>
      </c>
      <c r="AD98" s="20">
        <f>IF($J98="","",IF($J98&lt;=TODAY(),COUNTIFS(cal_fechas,"&gt;="&amp;$J98,cal_fechas,"&lt;"&amp;TODAY(),cal_habil,"sí"),-COUNTIFS(cal_fechas,"&gt;="&amp;TODAY(),cal_fechas,"&lt;"&amp;$J98,cal_habil,"sí")))</f>
        <v/>
      </c>
      <c r="AE98" s="5">
        <f>IF($AD98="","",IF($AD98&lt;0,"FUTURO",IF($AD98&gt;p_dias_backlog_max,"BACKLOG","MES CORRIENTE")))</f>
        <v/>
      </c>
      <c r="AF98" s="5">
        <f>IF($AD98="",FALSE,AND($AD98&gt;p_dias_backlog_min,$AD98&lt;=p_dias_backlog_max))</f>
        <v/>
      </c>
      <c r="AG98" s="4" t="inlineStr">
        <is>
          <t>Alberto Vargas</t>
        </is>
      </c>
      <c r="AH98" s="5">
        <f>IF($AG98="","",IF((IFERROR(INDEX('ASIGNACIONES'!$J$4:$J$451,MATCH($O98&amp;"|"&amp;$S98&amp;"|"&amp;$AG98,'ASIGNACIONES'!$N$4:$N$451,0)),""))=0,"",IFERROR(INDEX('ASIGNACIONES'!$J$4:$J$451,MATCH($O98&amp;"|"&amp;$S98&amp;"|"&amp;$AG98,'ASIGNACIONES'!$N$4:$N$451,0)),"")))</f>
        <v/>
      </c>
      <c r="AI98" s="25">
        <f>IF($AG98="","",SUMIFS('ORDENES'!$M$4:$M$1203,'ORDENES'!$AG$4:$AG$1203,$AG98,'ORDENES'!$O$4:$O$1203,$O98,'ORDENES'!$S$4:$S$1203,$S98))</f>
        <v/>
      </c>
      <c r="AJ98" s="25">
        <f>IF($AI98="","",p_factor_productividad*IFERROR(INDEX('ASIGNACIONES'!$M$4:$M$451,MATCH($O98&amp;"|"&amp;$S98&amp;"|"&amp;$AG98,'ASIGNACIONES'!$N$4:$N$451,0)),0)-$AI98)</f>
        <v/>
      </c>
      <c r="AK98" s="18">
        <f>IF($A98="","",IFERROR(INDEX('2_IMPORTAR_EJECUCION'!$F$9:$F$1208,MATCH($AT98,'2_IMPORTAR_EJECUCION'!$J$9:$J$1208,0)),0))</f>
        <v/>
      </c>
      <c r="AL98" s="18">
        <f>IF($A98="","",MAX(0,IFERROR(INDEX('2_IMPORTAR_EJECUCION'!$H$9:$H$1208,MATCH($AT98,'2_IMPORTAR_EJECUCION'!$J$9:$J$1208,0)),0)-$AK98))</f>
        <v/>
      </c>
      <c r="AM98" s="18">
        <f>IF($A98="","",$AK98+$AL98)</f>
        <v/>
      </c>
      <c r="AN98" s="5">
        <f>IF($A98="","",IF(OR((IFERROR(INDEX('CAT_ACTIVIDADES'!$D$4:$D$11,MATCH($H98,'CAT_ACTIVIDADES'!$A$4:$A$11,0)),""))=0,(IFERROR(INDEX('CAT_ACTIVIDADES'!$D$4:$D$11,MATCH($H98,'CAT_ACTIVIDADES'!$A$4:$A$11,0)),""))=""),"SIN CLASIFICAR",IFERROR(INDEX('CAT_ACTIVIDADES'!$D$4:$D$11,MATCH($H98,'CAT_ACTIVIDADES'!$A$4:$A$11,0)),"")))</f>
        <v/>
      </c>
      <c r="AO98" s="4" t="inlineStr"/>
      <c r="AP98" s="4" t="inlineStr"/>
      <c r="AQ98" s="4" t="inlineStr">
        <is>
          <t>ACT-04.pdf</t>
        </is>
      </c>
      <c r="AR98" s="5">
        <f>IF($AQ98="","",HYPERLINK(p_ruta_base_checklists&amp;$AQ98,"abrir"))</f>
        <v/>
      </c>
      <c r="AS98" s="4" t="inlineStr"/>
      <c r="AT98" s="5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22" t="n">
        <v>46230</v>
      </c>
      <c r="K99" s="5" t="n">
        <v>10</v>
      </c>
      <c r="L99" s="18" t="n">
        <v>400</v>
      </c>
      <c r="M99" s="5">
        <f>IF($A99="","",IFERROR(INDEX('AJUSTES'!$B$4:$B$303,MATCH($AT99,'AJUSTES'!$A$4:$A$303,0)),IF($K99="","",$K99)))</f>
        <v/>
      </c>
      <c r="N99" s="5">
        <f>IF($A99="","",IFERROR(INDEX('CAT_ESTADOS_ERP'!$B$4:$B$7,MATCH(IFERROR(INDEX('2_IMPORTAR_EJECUCION'!$C$9:$C$1208,MATCH($AT99,'2_IMPORTAR_EJECUCION'!$J$9:$J$1208,0)),""),'CAT_ESTADOS_ERP'!$A$4:$A$7,0)),"Pendiente"))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IF($J99="","",$P99&amp;"-"&amp;TEXT($Q99,"00"))</f>
        <v/>
      </c>
      <c r="S99" s="5">
        <f>IF($J99="","",INDEX(lista_dias,WEEKDAY($J99,2)))</f>
        <v/>
      </c>
      <c r="T99" s="5">
        <f>IF($J99="","",IFERROR(INDEX('CALENDARIO'!$C$15:$C$214,MATCH(TEXT($J99,"yyyy-mm-dd")&amp;"|"&amp;$X99&amp;"|"&amp;$Y99,'CALENDARIO'!$G$15:$G$214,0)),IFERROR(INDEX('CALENDARIO'!$C$15:$C$214,MATCH(TEXT($J99,"yyyy-mm-dd")&amp;"|"&amp;$X99&amp;"|",'CALENDARIO'!$G$15:$G$214,0)),IFERROR(INDEX('CALENDARIO'!$C$15:$C$214,MATCH(TEXT($J99,"yyyy-mm-dd")&amp;"||",'CALENDARIO'!$G$15:$G$214,0)),INDEX(patronHabil,WEEKDAY($J99,2))))))</f>
        <v/>
      </c>
      <c r="U99" s="5">
        <f>IF($I99="","",IFERROR(INDEX('CAT_TIPOS_OT'!$C$4:$C$8,MATCH($I99,'CAT_TIPOS_OT'!$A$4:$A$8,0)),"sin_clasificar"))</f>
        <v/>
      </c>
      <c r="V99" s="5">
        <f>IF($I99="","",IF(IFERROR(INDEX('CAT_TIPOS_OT'!$D$4:$D$8,MATCH($I99,'CAT_TIPOS_OT'!$A$4:$A$8,0)),"SIN CLASIFICAR")="","SIN CLASIFICAR",IFERROR(INDEX('CAT_TIPOS_OT'!$D$4:$D$8,MATCH($I99,'CAT_TIPOS_OT'!$A$4:$A$8,0)),"SIN CLASIFICAR")))</f>
        <v/>
      </c>
      <c r="W99" s="5">
        <f>IF($F99="","",IFERROR(INDEX('CAT_CENTROS_COSTO'!$F$4:$F$13,MATCH($F99,'CAT_CENTROS_COSTO'!$A$4:$A$13,0)),"(sin catálogo)"))</f>
        <v/>
      </c>
      <c r="X99" s="5">
        <f>IF($F99="","",IFERROR(INDEX('CAT_CENTROS_COSTO'!$D$4:$D$13,MATCH($F99,'CAT_CENTROS_COSTO'!$A$4:$A$13,0)),"(sin catálogo)"))</f>
        <v/>
      </c>
      <c r="Y99" s="5">
        <f>IF($F99="","",IF((IFERROR(INDEX('CAT_CENTROS_COSTO'!$E$4:$E$13,MATCH($F99,'CAT_CENTROS_COSTO'!$A$4:$A$13,0)),""))&lt;&gt;"",IFERROR(INDEX('CAT_CENTROS_COSTO'!$E$4:$E$13,MATCH($F99,'CAT_CENTROS_COSTO'!$A$4:$A$13,0)),""),$X99))</f>
        <v/>
      </c>
      <c r="Z99" s="5">
        <f>IF($F99="","",IFERROR(INDEX('CAT_CENTROS_COSTO'!$G$4:$G$13,MATCH($F99,'CAT_CENTROS_COSTO'!$A$4:$A$13,0)),"(sin catálogo)"))</f>
        <v/>
      </c>
      <c r="AA99" s="5">
        <f>IF($G99="","",IFERROR(INDEX('CAT_PUESTOS'!$B$4:$B$8,MATCH($G99,'CAT_PUESTOS'!$A$4:$A$8,0)),"(sin catálogo)"))</f>
        <v/>
      </c>
      <c r="AB99" s="5">
        <f>IF($H99="","",IFERROR(INDEX('CAT_ACTIVIDADES'!$B$4:$B$11,MATCH($H99,'CAT_ACTIVIDADES'!$A$4:$A$11,0)),"(sin catálogo)"))</f>
        <v/>
      </c>
      <c r="AC99" s="20">
        <f>IF($J99="","",TODAY()-$J99)</f>
        <v/>
      </c>
      <c r="AD99" s="20">
        <f>IF($J99="","",IF($J99&lt;=TODAY(),COUNTIFS(cal_fechas,"&gt;="&amp;$J99,cal_fechas,"&lt;"&amp;TODAY(),cal_habil,"sí"),-COUNTIFS(cal_fechas,"&gt;="&amp;TODAY(),cal_fechas,"&lt;"&amp;$J99,cal_habil,"sí")))</f>
        <v/>
      </c>
      <c r="AE99" s="5">
        <f>IF($AD99="","",IF($AD99&lt;0,"FUTURO",IF($AD99&gt;p_dias_backlog_max,"BACKLOG","MES CORRIENTE")))</f>
        <v/>
      </c>
      <c r="AF99" s="5">
        <f>IF($AD99="",FALSE,AND($AD99&gt;p_dias_backlog_min,$AD99&lt;=p_dias_backlog_max))</f>
        <v/>
      </c>
      <c r="AG99" s="4" t="inlineStr"/>
      <c r="AH99" s="5">
        <f>IF($AG99="","",IF((IFERROR(INDEX('ASIGNACIONES'!$J$4:$J$451,MATCH($O99&amp;"|"&amp;$S99&amp;"|"&amp;$AG99,'ASIGNACIONES'!$N$4:$N$451,0)),""))=0,"",IFERROR(INDEX('ASIGNACIONES'!$J$4:$J$451,MATCH($O99&amp;"|"&amp;$S99&amp;"|"&amp;$AG99,'ASIGNACIONES'!$N$4:$N$451,0)),"")))</f>
        <v/>
      </c>
      <c r="AI99" s="25">
        <f>IF($AG99="","",SUMIFS('ORDENES'!$M$4:$M$1203,'ORDENES'!$AG$4:$AG$1203,$AG99,'ORDENES'!$O$4:$O$1203,$O99,'ORDENES'!$S$4:$S$1203,$S99))</f>
        <v/>
      </c>
      <c r="AJ99" s="25">
        <f>IF($AI99="","",p_factor_productividad*IFERROR(INDEX('ASIGNACIONES'!$M$4:$M$451,MATCH($O99&amp;"|"&amp;$S99&amp;"|"&amp;$AG99,'ASIGNACIONES'!$N$4:$N$451,0)),0)-$AI99)</f>
        <v/>
      </c>
      <c r="AK99" s="18">
        <f>IF($A99="","",IFERROR(INDEX('2_IMPORTAR_EJECUCION'!$F$9:$F$1208,MATCH($AT99,'2_IMPORTAR_EJECUCION'!$J$9:$J$1208,0)),0))</f>
        <v/>
      </c>
      <c r="AL99" s="18">
        <f>IF($A99="","",MAX(0,IFERROR(INDEX('2_IMPORTAR_EJECUCION'!$H$9:$H$1208,MATCH($AT99,'2_IMPORTAR_EJECUCION'!$J$9:$J$1208,0)),0)-$AK99))</f>
        <v/>
      </c>
      <c r="AM99" s="18">
        <f>IF($A99="","",$AK99+$AL99)</f>
        <v/>
      </c>
      <c r="AN99" s="5">
        <f>IF($A99="","",IF(OR((IFERROR(INDEX('CAT_ACTIVIDADES'!$D$4:$D$11,MATCH($H99,'CAT_ACTIVIDADES'!$A$4:$A$11,0)),""))=0,(IFERROR(INDEX('CAT_ACTIVIDADES'!$D$4:$D$11,MATCH($H99,'CAT_ACTIVIDADES'!$A$4:$A$11,0)),""))=""),"SIN CLASIFICAR",IFERROR(INDEX('CAT_ACTIVIDADES'!$D$4:$D$11,MATCH($H99,'CAT_ACTIVIDADES'!$A$4:$A$11,0)),"")))</f>
        <v/>
      </c>
      <c r="AO99" s="4" t="inlineStr">
        <is>
          <t>PT-CALIENTE</t>
        </is>
      </c>
      <c r="AP99" s="4" t="inlineStr">
        <is>
          <t>LOTO</t>
        </is>
      </c>
      <c r="AQ99" s="4" t="inlineStr"/>
      <c r="AR99" s="5">
        <f>IF($AQ99="","",HYPERLINK(p_ruta_base_checklists&amp;$AQ99,"abrir"))</f>
        <v/>
      </c>
      <c r="AS99" s="4" t="inlineStr"/>
      <c r="AT99" s="5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22" t="n">
        <v>46238</v>
      </c>
      <c r="K100" s="5" t="n">
        <v>10</v>
      </c>
      <c r="L100" s="18" t="n">
        <v>250</v>
      </c>
      <c r="M100" s="5">
        <f>IF($A100="","",IFERROR(INDEX('AJUSTES'!$B$4:$B$303,MATCH($AT100,'AJUSTES'!$A$4:$A$303,0)),IF($K100="","",$K100)))</f>
        <v/>
      </c>
      <c r="N100" s="5">
        <f>IF($A100="","",IFERROR(INDEX('CAT_ESTADOS_ERP'!$B$4:$B$7,MATCH(IFERROR(INDEX('2_IMPORTAR_EJECUCION'!$C$9:$C$1208,MATCH($AT100,'2_IMPORTAR_EJECUCION'!$J$9:$J$1208,0)),""),'CAT_ESTADOS_ERP'!$A$4:$A$7,0)),"Pendiente"))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IF($J100="","",$P100&amp;"-"&amp;TEXT($Q100,"00"))</f>
        <v/>
      </c>
      <c r="S100" s="5">
        <f>IF($J100="","",INDEX(lista_dias,WEEKDAY($J100,2)))</f>
        <v/>
      </c>
      <c r="T100" s="5">
        <f>IF($J100="","",IFERROR(INDEX('CALENDARIO'!$C$15:$C$214,MATCH(TEXT($J100,"yyyy-mm-dd")&amp;"|"&amp;$X100&amp;"|"&amp;$Y100,'CALENDARIO'!$G$15:$G$214,0)),IFERROR(INDEX('CALENDARIO'!$C$15:$C$214,MATCH(TEXT($J100,"yyyy-mm-dd")&amp;"|"&amp;$X100&amp;"|",'CALENDARIO'!$G$15:$G$214,0)),IFERROR(INDEX('CALENDARIO'!$C$15:$C$214,MATCH(TEXT($J100,"yyyy-mm-dd")&amp;"||",'CALENDARIO'!$G$15:$G$214,0)),INDEX(patronHabil,WEEKDAY($J100,2))))))</f>
        <v/>
      </c>
      <c r="U100" s="5">
        <f>IF($I100="","",IFERROR(INDEX('CAT_TIPOS_OT'!$C$4:$C$8,MATCH($I100,'CAT_TIPOS_OT'!$A$4:$A$8,0)),"sin_clasificar"))</f>
        <v/>
      </c>
      <c r="V100" s="5">
        <f>IF($I100="","",IF(IFERROR(INDEX('CAT_TIPOS_OT'!$D$4:$D$8,MATCH($I100,'CAT_TIPOS_OT'!$A$4:$A$8,0)),"SIN CLASIFICAR")="","SIN CLASIFICAR",IFERROR(INDEX('CAT_TIPOS_OT'!$D$4:$D$8,MATCH($I100,'CAT_TIPOS_OT'!$A$4:$A$8,0)),"SIN CLASIFICAR")))</f>
        <v/>
      </c>
      <c r="W100" s="5">
        <f>IF($F100="","",IFERROR(INDEX('CAT_CENTROS_COSTO'!$F$4:$F$13,MATCH($F100,'CAT_CENTROS_COSTO'!$A$4:$A$13,0)),"(sin catálogo)"))</f>
        <v/>
      </c>
      <c r="X100" s="5">
        <f>IF($F100="","",IFERROR(INDEX('CAT_CENTROS_COSTO'!$D$4:$D$13,MATCH($F100,'CAT_CENTROS_COSTO'!$A$4:$A$13,0)),"(sin catálogo)"))</f>
        <v/>
      </c>
      <c r="Y100" s="5">
        <f>IF($F100="","",IF((IFERROR(INDEX('CAT_CENTROS_COSTO'!$E$4:$E$13,MATCH($F100,'CAT_CENTROS_COSTO'!$A$4:$A$13,0)),""))&lt;&gt;"",IFERROR(INDEX('CAT_CENTROS_COSTO'!$E$4:$E$13,MATCH($F100,'CAT_CENTROS_COSTO'!$A$4:$A$13,0)),""),$X100))</f>
        <v/>
      </c>
      <c r="Z100" s="5">
        <f>IF($F100="","",IFERROR(INDEX('CAT_CENTROS_COSTO'!$G$4:$G$13,MATCH($F100,'CAT_CENTROS_COSTO'!$A$4:$A$13,0)),"(sin catálogo)"))</f>
        <v/>
      </c>
      <c r="AA100" s="5">
        <f>IF($G100="","",IFERROR(INDEX('CAT_PUESTOS'!$B$4:$B$8,MATCH($G100,'CAT_PUESTOS'!$A$4:$A$8,0)),"(sin catálogo)"))</f>
        <v/>
      </c>
      <c r="AB100" s="5">
        <f>IF($H100="","",IFERROR(INDEX('CAT_ACTIVIDADES'!$B$4:$B$11,MATCH($H100,'CAT_ACTIVIDADES'!$A$4:$A$11,0)),"(sin catálogo)"))</f>
        <v/>
      </c>
      <c r="AC100" s="20">
        <f>IF($J100="","",TODAY()-$J100)</f>
        <v/>
      </c>
      <c r="AD100" s="20">
        <f>IF($J100="","",IF($J100&lt;=TODAY(),COUNTIFS(cal_fechas,"&gt;="&amp;$J100,cal_fechas,"&lt;"&amp;TODAY(),cal_habil,"sí"),-COUNTIFS(cal_fechas,"&gt;="&amp;TODAY(),cal_fechas,"&lt;"&amp;$J100,cal_habil,"sí")))</f>
        <v/>
      </c>
      <c r="AE100" s="5">
        <f>IF($AD100="","",IF($AD100&lt;0,"FUTURO",IF($AD100&gt;p_dias_backlog_max,"BACKLOG","MES CORRIENTE")))</f>
        <v/>
      </c>
      <c r="AF100" s="5">
        <f>IF($AD100="",FALSE,AND($AD100&gt;p_dias_backlog_min,$AD100&lt;=p_dias_backlog_max))</f>
        <v/>
      </c>
      <c r="AG100" s="4" t="inlineStr">
        <is>
          <t>Alberto Vargas</t>
        </is>
      </c>
      <c r="AH100" s="5">
        <f>IF($AG100="","",IF((IFERROR(INDEX('ASIGNACIONES'!$J$4:$J$451,MATCH($O100&amp;"|"&amp;$S100&amp;"|"&amp;$AG100,'ASIGNACIONES'!$N$4:$N$451,0)),""))=0,"",IFERROR(INDEX('ASIGNACIONES'!$J$4:$J$451,MATCH($O100&amp;"|"&amp;$S100&amp;"|"&amp;$AG100,'ASIGNACIONES'!$N$4:$N$451,0)),"")))</f>
        <v/>
      </c>
      <c r="AI100" s="25">
        <f>IF($AG100="","",SUMIFS('ORDENES'!$M$4:$M$1203,'ORDENES'!$AG$4:$AG$1203,$AG100,'ORDENES'!$O$4:$O$1203,$O100,'ORDENES'!$S$4:$S$1203,$S100))</f>
        <v/>
      </c>
      <c r="AJ100" s="25">
        <f>IF($AI100="","",p_factor_productividad*IFERROR(INDEX('ASIGNACIONES'!$M$4:$M$451,MATCH($O100&amp;"|"&amp;$S100&amp;"|"&amp;$AG100,'ASIGNACIONES'!$N$4:$N$451,0)),0)-$AI100)</f>
        <v/>
      </c>
      <c r="AK100" s="18">
        <f>IF($A100="","",IFERROR(INDEX('2_IMPORTAR_EJECUCION'!$F$9:$F$1208,MATCH($AT100,'2_IMPORTAR_EJECUCION'!$J$9:$J$1208,0)),0))</f>
        <v/>
      </c>
      <c r="AL100" s="18">
        <f>IF($A100="","",MAX(0,IFERROR(INDEX('2_IMPORTAR_EJECUCION'!$H$9:$H$1208,MATCH($AT100,'2_IMPORTAR_EJECUCION'!$J$9:$J$1208,0)),0)-$AK100))</f>
        <v/>
      </c>
      <c r="AM100" s="18">
        <f>IF($A100="","",$AK100+$AL100)</f>
        <v/>
      </c>
      <c r="AN100" s="5">
        <f>IF($A100="","",IF(OR((IFERROR(INDEX('CAT_ACTIVIDADES'!$D$4:$D$11,MATCH($H100,'CAT_ACTIVIDADES'!$A$4:$A$11,0)),""))=0,(IFERROR(INDEX('CAT_ACTIVIDADES'!$D$4:$D$11,MATCH($H100,'CAT_ACTIVIDADES'!$A$4:$A$11,0)),""))=""),"SIN CLASIFICAR",IFERROR(INDEX('CAT_ACTIVIDADES'!$D$4:$D$11,MATCH($H100,'CAT_ACTIVIDADES'!$A$4:$A$11,0)),"")))</f>
        <v/>
      </c>
      <c r="AO100" s="4" t="inlineStr"/>
      <c r="AP100" s="4" t="inlineStr"/>
      <c r="AQ100" s="4" t="inlineStr">
        <is>
          <t>ACT-02.pdf</t>
        </is>
      </c>
      <c r="AR100" s="5">
        <f>IF($AQ100="","",HYPERLINK(p_ruta_base_checklists&amp;$AQ100,"abrir"))</f>
        <v/>
      </c>
      <c r="AS100" s="4" t="inlineStr"/>
      <c r="AT100" s="5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22" t="n">
        <v>46239</v>
      </c>
      <c r="K101" s="5" t="n">
        <v>8</v>
      </c>
      <c r="L101" s="18" t="n">
        <v>200</v>
      </c>
      <c r="M101" s="5">
        <f>IF($A101="","",IFERROR(INDEX('AJUSTES'!$B$4:$B$303,MATCH($AT101,'AJUSTES'!$A$4:$A$303,0)),IF($K101="","",$K101)))</f>
        <v/>
      </c>
      <c r="N101" s="5">
        <f>IF($A101="","",IFERROR(INDEX('CAT_ESTADOS_ERP'!$B$4:$B$7,MATCH(IFERROR(INDEX('2_IMPORTAR_EJECUCION'!$C$9:$C$1208,MATCH($AT101,'2_IMPORTAR_EJECUCION'!$J$9:$J$1208,0)),""),'CAT_ESTADOS_ERP'!$A$4:$A$7,0)),"Pendiente"))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IF($J101="","",$P101&amp;"-"&amp;TEXT($Q101,"00"))</f>
        <v/>
      </c>
      <c r="S101" s="5">
        <f>IF($J101="","",INDEX(lista_dias,WEEKDAY($J101,2)))</f>
        <v/>
      </c>
      <c r="T101" s="5">
        <f>IF($J101="","",IFERROR(INDEX('CALENDARIO'!$C$15:$C$214,MATCH(TEXT($J101,"yyyy-mm-dd")&amp;"|"&amp;$X101&amp;"|"&amp;$Y101,'CALENDARIO'!$G$15:$G$214,0)),IFERROR(INDEX('CALENDARIO'!$C$15:$C$214,MATCH(TEXT($J101,"yyyy-mm-dd")&amp;"|"&amp;$X101&amp;"|",'CALENDARIO'!$G$15:$G$214,0)),IFERROR(INDEX('CALENDARIO'!$C$15:$C$214,MATCH(TEXT($J101,"yyyy-mm-dd")&amp;"||",'CALENDARIO'!$G$15:$G$214,0)),INDEX(patronHabil,WEEKDAY($J101,2))))))</f>
        <v/>
      </c>
      <c r="U101" s="5">
        <f>IF($I101="","",IFERROR(INDEX('CAT_TIPOS_OT'!$C$4:$C$8,MATCH($I101,'CAT_TIPOS_OT'!$A$4:$A$8,0)),"sin_clasificar"))</f>
        <v/>
      </c>
      <c r="V101" s="5">
        <f>IF($I101="","",IF(IFERROR(INDEX('CAT_TIPOS_OT'!$D$4:$D$8,MATCH($I101,'CAT_TIPOS_OT'!$A$4:$A$8,0)),"SIN CLASIFICAR")="","SIN CLASIFICAR",IFERROR(INDEX('CAT_TIPOS_OT'!$D$4:$D$8,MATCH($I101,'CAT_TIPOS_OT'!$A$4:$A$8,0)),"SIN CLASIFICAR")))</f>
        <v/>
      </c>
      <c r="W101" s="5">
        <f>IF($F101="","",IFERROR(INDEX('CAT_CENTROS_COSTO'!$F$4:$F$13,MATCH($F101,'CAT_CENTROS_COSTO'!$A$4:$A$13,0)),"(sin catálogo)"))</f>
        <v/>
      </c>
      <c r="X101" s="5">
        <f>IF($F101="","",IFERROR(INDEX('CAT_CENTROS_COSTO'!$D$4:$D$13,MATCH($F101,'CAT_CENTROS_COSTO'!$A$4:$A$13,0)),"(sin catálogo)"))</f>
        <v/>
      </c>
      <c r="Y101" s="5">
        <f>IF($F101="","",IF((IFERROR(INDEX('CAT_CENTROS_COSTO'!$E$4:$E$13,MATCH($F101,'CAT_CENTROS_COSTO'!$A$4:$A$13,0)),""))&lt;&gt;"",IFERROR(INDEX('CAT_CENTROS_COSTO'!$E$4:$E$13,MATCH($F101,'CAT_CENTROS_COSTO'!$A$4:$A$13,0)),""),$X101))</f>
        <v/>
      </c>
      <c r="Z101" s="5">
        <f>IF($F101="","",IFERROR(INDEX('CAT_CENTROS_COSTO'!$G$4:$G$13,MATCH($F101,'CAT_CENTROS_COSTO'!$A$4:$A$13,0)),"(sin catálogo)"))</f>
        <v/>
      </c>
      <c r="AA101" s="5">
        <f>IF($G101="","",IFERROR(INDEX('CAT_PUESTOS'!$B$4:$B$8,MATCH($G101,'CAT_PUESTOS'!$A$4:$A$8,0)),"(sin catálogo)"))</f>
        <v/>
      </c>
      <c r="AB101" s="5">
        <f>IF($H101="","",IFERROR(INDEX('CAT_ACTIVIDADES'!$B$4:$B$11,MATCH($H101,'CAT_ACTIVIDADES'!$A$4:$A$11,0)),"(sin catálogo)"))</f>
        <v/>
      </c>
      <c r="AC101" s="20">
        <f>IF($J101="","",TODAY()-$J101)</f>
        <v/>
      </c>
      <c r="AD101" s="20">
        <f>IF($J101="","",IF($J101&lt;=TODAY(),COUNTIFS(cal_fechas,"&gt;="&amp;$J101,cal_fechas,"&lt;"&amp;TODAY(),cal_habil,"sí"),-COUNTIFS(cal_fechas,"&gt;="&amp;TODAY(),cal_fechas,"&lt;"&amp;$J101,cal_habil,"sí")))</f>
        <v/>
      </c>
      <c r="AE101" s="5">
        <f>IF($AD101="","",IF($AD101&lt;0,"FUTURO",IF($AD101&gt;p_dias_backlog_max,"BACKLOG","MES CORRIENTE")))</f>
        <v/>
      </c>
      <c r="AF101" s="5">
        <f>IF($AD101="",FALSE,AND($AD101&gt;p_dias_backlog_min,$AD101&lt;=p_dias_backlog_max))</f>
        <v/>
      </c>
      <c r="AG101" s="4" t="inlineStr">
        <is>
          <t>Daniela Medina</t>
        </is>
      </c>
      <c r="AH101" s="5">
        <f>IF($AG101="","",IF((IFERROR(INDEX('ASIGNACIONES'!$J$4:$J$451,MATCH($O101&amp;"|"&amp;$S101&amp;"|"&amp;$AG101,'ASIGNACIONES'!$N$4:$N$451,0)),""))=0,"",IFERROR(INDEX('ASIGNACIONES'!$J$4:$J$451,MATCH($O101&amp;"|"&amp;$S101&amp;"|"&amp;$AG101,'ASIGNACIONES'!$N$4:$N$451,0)),"")))</f>
        <v/>
      </c>
      <c r="AI101" s="25">
        <f>IF($AG101="","",SUMIFS('ORDENES'!$M$4:$M$1203,'ORDENES'!$AG$4:$AG$1203,$AG101,'ORDENES'!$O$4:$O$1203,$O101,'ORDENES'!$S$4:$S$1203,$S101))</f>
        <v/>
      </c>
      <c r="AJ101" s="25">
        <f>IF($AI101="","",p_factor_productividad*IFERROR(INDEX('ASIGNACIONES'!$M$4:$M$451,MATCH($O101&amp;"|"&amp;$S101&amp;"|"&amp;$AG101,'ASIGNACIONES'!$N$4:$N$451,0)),0)-$AI101)</f>
        <v/>
      </c>
      <c r="AK101" s="18">
        <f>IF($A101="","",IFERROR(INDEX('2_IMPORTAR_EJECUCION'!$F$9:$F$1208,MATCH($AT101,'2_IMPORTAR_EJECUCION'!$J$9:$J$1208,0)),0))</f>
        <v/>
      </c>
      <c r="AL101" s="18">
        <f>IF($A101="","",MAX(0,IFERROR(INDEX('2_IMPORTAR_EJECUCION'!$H$9:$H$1208,MATCH($AT101,'2_IMPORTAR_EJECUCION'!$J$9:$J$1208,0)),0)-$AK101))</f>
        <v/>
      </c>
      <c r="AM101" s="18">
        <f>IF($A101="","",$AK101+$AL101)</f>
        <v/>
      </c>
      <c r="AN101" s="5">
        <f>IF($A101="","",IF(OR((IFERROR(INDEX('CAT_ACTIVIDADES'!$D$4:$D$11,MATCH($H101,'CAT_ACTIVIDADES'!$A$4:$A$11,0)),""))=0,(IFERROR(INDEX('CAT_ACTIVIDADES'!$D$4:$D$11,MATCH($H101,'CAT_ACTIVIDADES'!$A$4:$A$11,0)),""))=""),"SIN CLASIFICAR",IFERROR(INDEX('CAT_ACTIVIDADES'!$D$4:$D$11,MATCH($H101,'CAT_ACTIVIDADES'!$A$4:$A$11,0)),"")))</f>
        <v/>
      </c>
      <c r="AO101" s="4" t="inlineStr"/>
      <c r="AP101" s="4" t="inlineStr"/>
      <c r="AQ101" s="4" t="inlineStr">
        <is>
          <t>ACT-04.pdf</t>
        </is>
      </c>
      <c r="AR101" s="5">
        <f>IF($AQ101="","",HYPERLINK(p_ruta_base_checklists&amp;$AQ101,"abrir"))</f>
        <v/>
      </c>
      <c r="AS101" s="4" t="inlineStr"/>
      <c r="AT101" s="5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22" t="n">
        <v>46240</v>
      </c>
      <c r="K102" s="5" t="n">
        <v>6</v>
      </c>
      <c r="L102" s="18" t="n">
        <v>150</v>
      </c>
      <c r="M102" s="5">
        <f>IF($A102="","",IFERROR(INDEX('AJUSTES'!$B$4:$B$303,MATCH($AT102,'AJUSTES'!$A$4:$A$303,0)),IF($K102="","",$K102)))</f>
        <v/>
      </c>
      <c r="N102" s="5">
        <f>IF($A102="","",IFERROR(INDEX('CAT_ESTADOS_ERP'!$B$4:$B$7,MATCH(IFERROR(INDEX('2_IMPORTAR_EJECUCION'!$C$9:$C$1208,MATCH($AT102,'2_IMPORTAR_EJECUCION'!$J$9:$J$1208,0)),""),'CAT_ESTADOS_ERP'!$A$4:$A$7,0)),"Pendiente"))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IF($J102="","",$P102&amp;"-"&amp;TEXT($Q102,"00"))</f>
        <v/>
      </c>
      <c r="S102" s="5">
        <f>IF($J102="","",INDEX(lista_dias,WEEKDAY($J102,2)))</f>
        <v/>
      </c>
      <c r="T102" s="5">
        <f>IF($J102="","",IFERROR(INDEX('CALENDARIO'!$C$15:$C$214,MATCH(TEXT($J102,"yyyy-mm-dd")&amp;"|"&amp;$X102&amp;"|"&amp;$Y102,'CALENDARIO'!$G$15:$G$214,0)),IFERROR(INDEX('CALENDARIO'!$C$15:$C$214,MATCH(TEXT($J102,"yyyy-mm-dd")&amp;"|"&amp;$X102&amp;"|",'CALENDARIO'!$G$15:$G$214,0)),IFERROR(INDEX('CALENDARIO'!$C$15:$C$214,MATCH(TEXT($J102,"yyyy-mm-dd")&amp;"||",'CALENDARIO'!$G$15:$G$214,0)),INDEX(patronHabil,WEEKDAY($J102,2))))))</f>
        <v/>
      </c>
      <c r="U102" s="5">
        <f>IF($I102="","",IFERROR(INDEX('CAT_TIPOS_OT'!$C$4:$C$8,MATCH($I102,'CAT_TIPOS_OT'!$A$4:$A$8,0)),"sin_clasificar"))</f>
        <v/>
      </c>
      <c r="V102" s="5">
        <f>IF($I102="","",IF(IFERROR(INDEX('CAT_TIPOS_OT'!$D$4:$D$8,MATCH($I102,'CAT_TIPOS_OT'!$A$4:$A$8,0)),"SIN CLASIFICAR")="","SIN CLASIFICAR",IFERROR(INDEX('CAT_TIPOS_OT'!$D$4:$D$8,MATCH($I102,'CAT_TIPOS_OT'!$A$4:$A$8,0)),"SIN CLASIFICAR")))</f>
        <v/>
      </c>
      <c r="W102" s="5">
        <f>IF($F102="","",IFERROR(INDEX('CAT_CENTROS_COSTO'!$F$4:$F$13,MATCH($F102,'CAT_CENTROS_COSTO'!$A$4:$A$13,0)),"(sin catálogo)"))</f>
        <v/>
      </c>
      <c r="X102" s="5">
        <f>IF($F102="","",IFERROR(INDEX('CAT_CENTROS_COSTO'!$D$4:$D$13,MATCH($F102,'CAT_CENTROS_COSTO'!$A$4:$A$13,0)),"(sin catálogo)"))</f>
        <v/>
      </c>
      <c r="Y102" s="5">
        <f>IF($F102="","",IF((IFERROR(INDEX('CAT_CENTROS_COSTO'!$E$4:$E$13,MATCH($F102,'CAT_CENTROS_COSTO'!$A$4:$A$13,0)),""))&lt;&gt;"",IFERROR(INDEX('CAT_CENTROS_COSTO'!$E$4:$E$13,MATCH($F102,'CAT_CENTROS_COSTO'!$A$4:$A$13,0)),""),$X102))</f>
        <v/>
      </c>
      <c r="Z102" s="5">
        <f>IF($F102="","",IFERROR(INDEX('CAT_CENTROS_COSTO'!$G$4:$G$13,MATCH($F102,'CAT_CENTROS_COSTO'!$A$4:$A$13,0)),"(sin catálogo)"))</f>
        <v/>
      </c>
      <c r="AA102" s="5">
        <f>IF($G102="","",IFERROR(INDEX('CAT_PUESTOS'!$B$4:$B$8,MATCH($G102,'CAT_PUESTOS'!$A$4:$A$8,0)),"(sin catálogo)"))</f>
        <v/>
      </c>
      <c r="AB102" s="5">
        <f>IF($H102="","",IFERROR(INDEX('CAT_ACTIVIDADES'!$B$4:$B$11,MATCH($H102,'CAT_ACTIVIDADES'!$A$4:$A$11,0)),"(sin catálogo)"))</f>
        <v/>
      </c>
      <c r="AC102" s="20">
        <f>IF($J102="","",TODAY()-$J102)</f>
        <v/>
      </c>
      <c r="AD102" s="20">
        <f>IF($J102="","",IF($J102&lt;=TODAY(),COUNTIFS(cal_fechas,"&gt;="&amp;$J102,cal_fechas,"&lt;"&amp;TODAY(),cal_habil,"sí"),-COUNTIFS(cal_fechas,"&gt;="&amp;TODAY(),cal_fechas,"&lt;"&amp;$J102,cal_habil,"sí")))</f>
        <v/>
      </c>
      <c r="AE102" s="5">
        <f>IF($AD102="","",IF($AD102&lt;0,"FUTURO",IF($AD102&gt;p_dias_backlog_max,"BACKLOG","MES CORRIENTE")))</f>
        <v/>
      </c>
      <c r="AF102" s="5">
        <f>IF($AD102="",FALSE,AND($AD102&gt;p_dias_backlog_min,$AD102&lt;=p_dias_backlog_max))</f>
        <v/>
      </c>
      <c r="AG102" s="4" t="inlineStr">
        <is>
          <t>Alberto Vargas</t>
        </is>
      </c>
      <c r="AH102" s="5">
        <f>IF($AG102="","",IF((IFERROR(INDEX('ASIGNACIONES'!$J$4:$J$451,MATCH($O102&amp;"|"&amp;$S102&amp;"|"&amp;$AG102,'ASIGNACIONES'!$N$4:$N$451,0)),""))=0,"",IFERROR(INDEX('ASIGNACIONES'!$J$4:$J$451,MATCH($O102&amp;"|"&amp;$S102&amp;"|"&amp;$AG102,'ASIGNACIONES'!$N$4:$N$451,0)),"")))</f>
        <v/>
      </c>
      <c r="AI102" s="25">
        <f>IF($AG102="","",SUMIFS('ORDENES'!$M$4:$M$1203,'ORDENES'!$AG$4:$AG$1203,$AG102,'ORDENES'!$O$4:$O$1203,$O102,'ORDENES'!$S$4:$S$1203,$S102))</f>
        <v/>
      </c>
      <c r="AJ102" s="25">
        <f>IF($AI102="","",p_factor_productividad*IFERROR(INDEX('ASIGNACIONES'!$M$4:$M$451,MATCH($O102&amp;"|"&amp;$S102&amp;"|"&amp;$AG102,'ASIGNACIONES'!$N$4:$N$451,0)),0)-$AI102)</f>
        <v/>
      </c>
      <c r="AK102" s="18">
        <f>IF($A102="","",IFERROR(INDEX('2_IMPORTAR_EJECUCION'!$F$9:$F$1208,MATCH($AT102,'2_IMPORTAR_EJECUCION'!$J$9:$J$1208,0)),0))</f>
        <v/>
      </c>
      <c r="AL102" s="18">
        <f>IF($A102="","",MAX(0,IFERROR(INDEX('2_IMPORTAR_EJECUCION'!$H$9:$H$1208,MATCH($AT102,'2_IMPORTAR_EJECUCION'!$J$9:$J$1208,0)),0)-$AK102))</f>
        <v/>
      </c>
      <c r="AM102" s="18">
        <f>IF($A102="","",$AK102+$AL102)</f>
        <v/>
      </c>
      <c r="AN102" s="5">
        <f>IF($A102="","",IF(OR((IFERROR(INDEX('CAT_ACTIVIDADES'!$D$4:$D$11,MATCH($H102,'CAT_ACTIVIDADES'!$A$4:$A$11,0)),""))=0,(IFERROR(INDEX('CAT_ACTIVIDADES'!$D$4:$D$11,MATCH($H102,'CAT_ACTIVIDADES'!$A$4:$A$11,0)),""))=""),"SIN CLASIFICAR",IFERROR(INDEX('CAT_ACTIVIDADES'!$D$4:$D$11,MATCH($H102,'CAT_ACTIVIDADES'!$A$4:$A$11,0)),"")))</f>
        <v/>
      </c>
      <c r="AO102" s="4" t="inlineStr"/>
      <c r="AP102" s="4" t="inlineStr"/>
      <c r="AQ102" s="4" t="inlineStr">
        <is>
          <t>ACT-01.pdf</t>
        </is>
      </c>
      <c r="AR102" s="5">
        <f>IF($AQ102="","",HYPERLINK(p_ruta_base_checklists&amp;$AQ102,"abrir"))</f>
        <v/>
      </c>
      <c r="AS102" s="4" t="inlineStr"/>
      <c r="AT102" s="5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22" t="n">
        <v>46241</v>
      </c>
      <c r="K103" s="5" t="n">
        <v>11</v>
      </c>
      <c r="L103" s="18" t="n">
        <v>275</v>
      </c>
      <c r="M103" s="5">
        <f>IF($A103="","",IFERROR(INDEX('AJUSTES'!$B$4:$B$303,MATCH($AT103,'AJUSTES'!$A$4:$A$303,0)),IF($K103="","",$K103)))</f>
        <v/>
      </c>
      <c r="N103" s="5">
        <f>IF($A103="","",IFERROR(INDEX('CAT_ESTADOS_ERP'!$B$4:$B$7,MATCH(IFERROR(INDEX('2_IMPORTAR_EJECUCION'!$C$9:$C$1208,MATCH($AT103,'2_IMPORTAR_EJECUCION'!$J$9:$J$1208,0)),""),'CAT_ESTADOS_ERP'!$A$4:$A$7,0)),"Pendiente"))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IF($J103="","",$P103&amp;"-"&amp;TEXT($Q103,"00"))</f>
        <v/>
      </c>
      <c r="S103" s="5">
        <f>IF($J103="","",INDEX(lista_dias,WEEKDAY($J103,2)))</f>
        <v/>
      </c>
      <c r="T103" s="5">
        <f>IF($J103="","",IFERROR(INDEX('CALENDARIO'!$C$15:$C$214,MATCH(TEXT($J103,"yyyy-mm-dd")&amp;"|"&amp;$X103&amp;"|"&amp;$Y103,'CALENDARIO'!$G$15:$G$214,0)),IFERROR(INDEX('CALENDARIO'!$C$15:$C$214,MATCH(TEXT($J103,"yyyy-mm-dd")&amp;"|"&amp;$X103&amp;"|",'CALENDARIO'!$G$15:$G$214,0)),IFERROR(INDEX('CALENDARIO'!$C$15:$C$214,MATCH(TEXT($J103,"yyyy-mm-dd")&amp;"||",'CALENDARIO'!$G$15:$G$214,0)),INDEX(patronHabil,WEEKDAY($J103,2))))))</f>
        <v/>
      </c>
      <c r="U103" s="5">
        <f>IF($I103="","",IFERROR(INDEX('CAT_TIPOS_OT'!$C$4:$C$8,MATCH($I103,'CAT_TIPOS_OT'!$A$4:$A$8,0)),"sin_clasificar"))</f>
        <v/>
      </c>
      <c r="V103" s="5">
        <f>IF($I103="","",IF(IFERROR(INDEX('CAT_TIPOS_OT'!$D$4:$D$8,MATCH($I103,'CAT_TIPOS_OT'!$A$4:$A$8,0)),"SIN CLASIFICAR")="","SIN CLASIFICAR",IFERROR(INDEX('CAT_TIPOS_OT'!$D$4:$D$8,MATCH($I103,'CAT_TIPOS_OT'!$A$4:$A$8,0)),"SIN CLASIFICAR")))</f>
        <v/>
      </c>
      <c r="W103" s="5">
        <f>IF($F103="","",IFERROR(INDEX('CAT_CENTROS_COSTO'!$F$4:$F$13,MATCH($F103,'CAT_CENTROS_COSTO'!$A$4:$A$13,0)),"(sin catálogo)"))</f>
        <v/>
      </c>
      <c r="X103" s="5">
        <f>IF($F103="","",IFERROR(INDEX('CAT_CENTROS_COSTO'!$D$4:$D$13,MATCH($F103,'CAT_CENTROS_COSTO'!$A$4:$A$13,0)),"(sin catálogo)"))</f>
        <v/>
      </c>
      <c r="Y103" s="5">
        <f>IF($F103="","",IF((IFERROR(INDEX('CAT_CENTROS_COSTO'!$E$4:$E$13,MATCH($F103,'CAT_CENTROS_COSTO'!$A$4:$A$13,0)),""))&lt;&gt;"",IFERROR(INDEX('CAT_CENTROS_COSTO'!$E$4:$E$13,MATCH($F103,'CAT_CENTROS_COSTO'!$A$4:$A$13,0)),""),$X103))</f>
        <v/>
      </c>
      <c r="Z103" s="5">
        <f>IF($F103="","",IFERROR(INDEX('CAT_CENTROS_COSTO'!$G$4:$G$13,MATCH($F103,'CAT_CENTROS_COSTO'!$A$4:$A$13,0)),"(sin catálogo)"))</f>
        <v/>
      </c>
      <c r="AA103" s="5">
        <f>IF($G103="","",IFERROR(INDEX('CAT_PUESTOS'!$B$4:$B$8,MATCH($G103,'CAT_PUESTOS'!$A$4:$A$8,0)),"(sin catálogo)"))</f>
        <v/>
      </c>
      <c r="AB103" s="5">
        <f>IF($H103="","",IFERROR(INDEX('CAT_ACTIVIDADES'!$B$4:$B$11,MATCH($H103,'CAT_ACTIVIDADES'!$A$4:$A$11,0)),"(sin catálogo)"))</f>
        <v/>
      </c>
      <c r="AC103" s="20">
        <f>IF($J103="","",TODAY()-$J103)</f>
        <v/>
      </c>
      <c r="AD103" s="20">
        <f>IF($J103="","",IF($J103&lt;=TODAY(),COUNTIFS(cal_fechas,"&gt;="&amp;$J103,cal_fechas,"&lt;"&amp;TODAY(),cal_habil,"sí"),-COUNTIFS(cal_fechas,"&gt;="&amp;TODAY(),cal_fechas,"&lt;"&amp;$J103,cal_habil,"sí")))</f>
        <v/>
      </c>
      <c r="AE103" s="5">
        <f>IF($AD103="","",IF($AD103&lt;0,"FUTURO",IF($AD103&gt;p_dias_backlog_max,"BACKLOG","MES CORRIENTE")))</f>
        <v/>
      </c>
      <c r="AF103" s="5">
        <f>IF($AD103="",FALSE,AND($AD103&gt;p_dias_backlog_min,$AD103&lt;=p_dias_backlog_max))</f>
        <v/>
      </c>
      <c r="AG103" s="4" t="inlineStr">
        <is>
          <t>Daniela Medina</t>
        </is>
      </c>
      <c r="AH103" s="5">
        <f>IF($AG103="","",IF((IFERROR(INDEX('ASIGNACIONES'!$J$4:$J$451,MATCH($O103&amp;"|"&amp;$S103&amp;"|"&amp;$AG103,'ASIGNACIONES'!$N$4:$N$451,0)),""))=0,"",IFERROR(INDEX('ASIGNACIONES'!$J$4:$J$451,MATCH($O103&amp;"|"&amp;$S103&amp;"|"&amp;$AG103,'ASIGNACIONES'!$N$4:$N$451,0)),"")))</f>
        <v/>
      </c>
      <c r="AI103" s="25">
        <f>IF($AG103="","",SUMIFS('ORDENES'!$M$4:$M$1203,'ORDENES'!$AG$4:$AG$1203,$AG103,'ORDENES'!$O$4:$O$1203,$O103,'ORDENES'!$S$4:$S$1203,$S103))</f>
        <v/>
      </c>
      <c r="AJ103" s="25">
        <f>IF($AI103="","",p_factor_productividad*IFERROR(INDEX('ASIGNACIONES'!$M$4:$M$451,MATCH($O103&amp;"|"&amp;$S103&amp;"|"&amp;$AG103,'ASIGNACIONES'!$N$4:$N$451,0)),0)-$AI103)</f>
        <v/>
      </c>
      <c r="AK103" s="18">
        <f>IF($A103="","",IFERROR(INDEX('2_IMPORTAR_EJECUCION'!$F$9:$F$1208,MATCH($AT103,'2_IMPORTAR_EJECUCION'!$J$9:$J$1208,0)),0))</f>
        <v/>
      </c>
      <c r="AL103" s="18">
        <f>IF($A103="","",MAX(0,IFERROR(INDEX('2_IMPORTAR_EJECUCION'!$H$9:$H$1208,MATCH($AT103,'2_IMPORTAR_EJECUCION'!$J$9:$J$1208,0)),0)-$AK103))</f>
        <v/>
      </c>
      <c r="AM103" s="18">
        <f>IF($A103="","",$AK103+$AL103)</f>
        <v/>
      </c>
      <c r="AN103" s="5">
        <f>IF($A103="","",IF(OR((IFERROR(INDEX('CAT_ACTIVIDADES'!$D$4:$D$11,MATCH($H103,'CAT_ACTIVIDADES'!$A$4:$A$11,0)),""))=0,(IFERROR(INDEX('CAT_ACTIVIDADES'!$D$4:$D$11,MATCH($H103,'CAT_ACTIVIDADES'!$A$4:$A$11,0)),""))=""),"SIN CLASIFICAR",IFERROR(INDEX('CAT_ACTIVIDADES'!$D$4:$D$11,MATCH($H103,'CAT_ACTIVIDADES'!$A$4:$A$11,0)),"")))</f>
        <v/>
      </c>
      <c r="AO103" s="4" t="inlineStr"/>
      <c r="AP103" s="4" t="inlineStr"/>
      <c r="AQ103" s="4" t="inlineStr">
        <is>
          <t>ACT-02.pdf</t>
        </is>
      </c>
      <c r="AR103" s="5">
        <f>IF($AQ103="","",HYPERLINK(p_ruta_base_checklists&amp;$AQ103,"abrir"))</f>
        <v/>
      </c>
      <c r="AS103" s="4" t="inlineStr"/>
      <c r="AT103" s="5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22" t="n">
        <v>46237</v>
      </c>
      <c r="K104" s="5" t="n">
        <v>7</v>
      </c>
      <c r="L104" s="18" t="n">
        <v>280</v>
      </c>
      <c r="M104" s="5">
        <f>IF($A104="","",IFERROR(INDEX('AJUSTES'!$B$4:$B$303,MATCH($AT104,'AJUSTES'!$A$4:$A$303,0)),IF($K104="","",$K104)))</f>
        <v/>
      </c>
      <c r="N104" s="5">
        <f>IF($A104="","",IFERROR(INDEX('CAT_ESTADOS_ERP'!$B$4:$B$7,MATCH(IFERROR(INDEX('2_IMPORTAR_EJECUCION'!$C$9:$C$1208,MATCH($AT104,'2_IMPORTAR_EJECUCION'!$J$9:$J$1208,0)),""),'CAT_ESTADOS_ERP'!$A$4:$A$7,0)),"Pendiente"))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IF($J104="","",$P104&amp;"-"&amp;TEXT($Q104,"00"))</f>
        <v/>
      </c>
      <c r="S104" s="5">
        <f>IF($J104="","",INDEX(lista_dias,WEEKDAY($J104,2)))</f>
        <v/>
      </c>
      <c r="T104" s="5">
        <f>IF($J104="","",IFERROR(INDEX('CALENDARIO'!$C$15:$C$214,MATCH(TEXT($J104,"yyyy-mm-dd")&amp;"|"&amp;$X104&amp;"|"&amp;$Y104,'CALENDARIO'!$G$15:$G$214,0)),IFERROR(INDEX('CALENDARIO'!$C$15:$C$214,MATCH(TEXT($J104,"yyyy-mm-dd")&amp;"|"&amp;$X104&amp;"|",'CALENDARIO'!$G$15:$G$214,0)),IFERROR(INDEX('CALENDARIO'!$C$15:$C$214,MATCH(TEXT($J104,"yyyy-mm-dd")&amp;"||",'CALENDARIO'!$G$15:$G$214,0)),INDEX(patronHabil,WEEKDAY($J104,2))))))</f>
        <v/>
      </c>
      <c r="U104" s="5">
        <f>IF($I104="","",IFERROR(INDEX('CAT_TIPOS_OT'!$C$4:$C$8,MATCH($I104,'CAT_TIPOS_OT'!$A$4:$A$8,0)),"sin_clasificar"))</f>
        <v/>
      </c>
      <c r="V104" s="5">
        <f>IF($I104="","",IF(IFERROR(INDEX('CAT_TIPOS_OT'!$D$4:$D$8,MATCH($I104,'CAT_TIPOS_OT'!$A$4:$A$8,0)),"SIN CLASIFICAR")="","SIN CLASIFICAR",IFERROR(INDEX('CAT_TIPOS_OT'!$D$4:$D$8,MATCH($I104,'CAT_TIPOS_OT'!$A$4:$A$8,0)),"SIN CLASIFICAR")))</f>
        <v/>
      </c>
      <c r="W104" s="5">
        <f>IF($F104="","",IFERROR(INDEX('CAT_CENTROS_COSTO'!$F$4:$F$13,MATCH($F104,'CAT_CENTROS_COSTO'!$A$4:$A$13,0)),"(sin catálogo)"))</f>
        <v/>
      </c>
      <c r="X104" s="5">
        <f>IF($F104="","",IFERROR(INDEX('CAT_CENTROS_COSTO'!$D$4:$D$13,MATCH($F104,'CAT_CENTROS_COSTO'!$A$4:$A$13,0)),"(sin catálogo)"))</f>
        <v/>
      </c>
      <c r="Y104" s="5">
        <f>IF($F104="","",IF((IFERROR(INDEX('CAT_CENTROS_COSTO'!$E$4:$E$13,MATCH($F104,'CAT_CENTROS_COSTO'!$A$4:$A$13,0)),""))&lt;&gt;"",IFERROR(INDEX('CAT_CENTROS_COSTO'!$E$4:$E$13,MATCH($F104,'CAT_CENTROS_COSTO'!$A$4:$A$13,0)),""),$X104))</f>
        <v/>
      </c>
      <c r="Z104" s="5">
        <f>IF($F104="","",IFERROR(INDEX('CAT_CENTROS_COSTO'!$G$4:$G$13,MATCH($F104,'CAT_CENTROS_COSTO'!$A$4:$A$13,0)),"(sin catálogo)"))</f>
        <v/>
      </c>
      <c r="AA104" s="5">
        <f>IF($G104="","",IFERROR(INDEX('CAT_PUESTOS'!$B$4:$B$8,MATCH($G104,'CAT_PUESTOS'!$A$4:$A$8,0)),"(sin catálogo)"))</f>
        <v/>
      </c>
      <c r="AB104" s="5">
        <f>IF($H104="","",IFERROR(INDEX('CAT_ACTIVIDADES'!$B$4:$B$11,MATCH($H104,'CAT_ACTIVIDADES'!$A$4:$A$11,0)),"(sin catálogo)"))</f>
        <v/>
      </c>
      <c r="AC104" s="20">
        <f>IF($J104="","",TODAY()-$J104)</f>
        <v/>
      </c>
      <c r="AD104" s="20">
        <f>IF($J104="","",IF($J104&lt;=TODAY(),COUNTIFS(cal_fechas,"&gt;="&amp;$J104,cal_fechas,"&lt;"&amp;TODAY(),cal_habil,"sí"),-COUNTIFS(cal_fechas,"&gt;="&amp;TODAY(),cal_fechas,"&lt;"&amp;$J104,cal_habil,"sí")))</f>
        <v/>
      </c>
      <c r="AE104" s="5">
        <f>IF($AD104="","",IF($AD104&lt;0,"FUTURO",IF($AD104&gt;p_dias_backlog_max,"BACKLOG","MES CORRIENTE")))</f>
        <v/>
      </c>
      <c r="AF104" s="5">
        <f>IF($AD104="",FALSE,AND($AD104&gt;p_dias_backlog_min,$AD104&lt;=p_dias_backlog_max))</f>
        <v/>
      </c>
      <c r="AG104" s="4" t="inlineStr">
        <is>
          <t>Alberto Vargas</t>
        </is>
      </c>
      <c r="AH104" s="5">
        <f>IF($AG104="","",IF((IFERROR(INDEX('ASIGNACIONES'!$J$4:$J$451,MATCH($O104&amp;"|"&amp;$S104&amp;"|"&amp;$AG104,'ASIGNACIONES'!$N$4:$N$451,0)),""))=0,"",IFERROR(INDEX('ASIGNACIONES'!$J$4:$J$451,MATCH($O104&amp;"|"&amp;$S104&amp;"|"&amp;$AG104,'ASIGNACIONES'!$N$4:$N$451,0)),"")))</f>
        <v/>
      </c>
      <c r="AI104" s="25">
        <f>IF($AG104="","",SUMIFS('ORDENES'!$M$4:$M$1203,'ORDENES'!$AG$4:$AG$1203,$AG104,'ORDENES'!$O$4:$O$1203,$O104,'ORDENES'!$S$4:$S$1203,$S104))</f>
        <v/>
      </c>
      <c r="AJ104" s="25">
        <f>IF($AI104="","",p_factor_productividad*IFERROR(INDEX('ASIGNACIONES'!$M$4:$M$451,MATCH($O104&amp;"|"&amp;$S104&amp;"|"&amp;$AG104,'ASIGNACIONES'!$N$4:$N$451,0)),0)-$AI104)</f>
        <v/>
      </c>
      <c r="AK104" s="18">
        <f>IF($A104="","",IFERROR(INDEX('2_IMPORTAR_EJECUCION'!$F$9:$F$1208,MATCH($AT104,'2_IMPORTAR_EJECUCION'!$J$9:$J$1208,0)),0))</f>
        <v/>
      </c>
      <c r="AL104" s="18">
        <f>IF($A104="","",MAX(0,IFERROR(INDEX('2_IMPORTAR_EJECUCION'!$H$9:$H$1208,MATCH($AT104,'2_IMPORTAR_EJECUCION'!$J$9:$J$1208,0)),0)-$AK104))</f>
        <v/>
      </c>
      <c r="AM104" s="18">
        <f>IF($A104="","",$AK104+$AL104)</f>
        <v/>
      </c>
      <c r="AN104" s="5">
        <f>IF($A104="","",IF(OR((IFERROR(INDEX('CAT_ACTIVIDADES'!$D$4:$D$11,MATCH($H104,'CAT_ACTIVIDADES'!$A$4:$A$11,0)),""))=0,(IFERROR(INDEX('CAT_ACTIVIDADES'!$D$4:$D$11,MATCH($H104,'CAT_ACTIVIDADES'!$A$4:$A$11,0)),""))=""),"SIN CLASIFICAR",IFERROR(INDEX('CAT_ACTIVIDADES'!$D$4:$D$11,MATCH($H104,'CAT_ACTIVIDADES'!$A$4:$A$11,0)),"")))</f>
        <v/>
      </c>
      <c r="AO104" s="4" t="inlineStr"/>
      <c r="AP104" s="4" t="inlineStr"/>
      <c r="AQ104" s="4" t="inlineStr"/>
      <c r="AR104" s="5">
        <f>IF($AQ104="","",HYPERLINK(p_ruta_base_checklists&amp;$AQ104,"abrir"))</f>
        <v/>
      </c>
      <c r="AS104" s="4" t="inlineStr"/>
      <c r="AT104" s="5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22" t="n">
        <v>46245</v>
      </c>
      <c r="K105" s="5" t="n">
        <v>10</v>
      </c>
      <c r="L105" s="18" t="n">
        <v>250</v>
      </c>
      <c r="M105" s="5">
        <f>IF($A105="","",IFERROR(INDEX('AJUSTES'!$B$4:$B$303,MATCH($AT105,'AJUSTES'!$A$4:$A$303,0)),IF($K105="","",$K105)))</f>
        <v/>
      </c>
      <c r="N105" s="5">
        <f>IF($A105="","",IFERROR(INDEX('CAT_ESTADOS_ERP'!$B$4:$B$7,MATCH(IFERROR(INDEX('2_IMPORTAR_EJECUCION'!$C$9:$C$1208,MATCH($AT105,'2_IMPORTAR_EJECUCION'!$J$9:$J$1208,0)),""),'CAT_ESTADOS_ERP'!$A$4:$A$7,0)),"Pendiente"))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IF($J105="","",$P105&amp;"-"&amp;TEXT($Q105,"00"))</f>
        <v/>
      </c>
      <c r="S105" s="5">
        <f>IF($J105="","",INDEX(lista_dias,WEEKDAY($J105,2)))</f>
        <v/>
      </c>
      <c r="T105" s="5">
        <f>IF($J105="","",IFERROR(INDEX('CALENDARIO'!$C$15:$C$214,MATCH(TEXT($J105,"yyyy-mm-dd")&amp;"|"&amp;$X105&amp;"|"&amp;$Y105,'CALENDARIO'!$G$15:$G$214,0)),IFERROR(INDEX('CALENDARIO'!$C$15:$C$214,MATCH(TEXT($J105,"yyyy-mm-dd")&amp;"|"&amp;$X105&amp;"|",'CALENDARIO'!$G$15:$G$214,0)),IFERROR(INDEX('CALENDARIO'!$C$15:$C$214,MATCH(TEXT($J105,"yyyy-mm-dd")&amp;"||",'CALENDARIO'!$G$15:$G$214,0)),INDEX(patronHabil,WEEKDAY($J105,2))))))</f>
        <v/>
      </c>
      <c r="U105" s="5">
        <f>IF($I105="","",IFERROR(INDEX('CAT_TIPOS_OT'!$C$4:$C$8,MATCH($I105,'CAT_TIPOS_OT'!$A$4:$A$8,0)),"sin_clasificar"))</f>
        <v/>
      </c>
      <c r="V105" s="5">
        <f>IF($I105="","",IF(IFERROR(INDEX('CAT_TIPOS_OT'!$D$4:$D$8,MATCH($I105,'CAT_TIPOS_OT'!$A$4:$A$8,0)),"SIN CLASIFICAR")="","SIN CLASIFICAR",IFERROR(INDEX('CAT_TIPOS_OT'!$D$4:$D$8,MATCH($I105,'CAT_TIPOS_OT'!$A$4:$A$8,0)),"SIN CLASIFICAR")))</f>
        <v/>
      </c>
      <c r="W105" s="5">
        <f>IF($F105="","",IFERROR(INDEX('CAT_CENTROS_COSTO'!$F$4:$F$13,MATCH($F105,'CAT_CENTROS_COSTO'!$A$4:$A$13,0)),"(sin catálogo)"))</f>
        <v/>
      </c>
      <c r="X105" s="5">
        <f>IF($F105="","",IFERROR(INDEX('CAT_CENTROS_COSTO'!$D$4:$D$13,MATCH($F105,'CAT_CENTROS_COSTO'!$A$4:$A$13,0)),"(sin catálogo)"))</f>
        <v/>
      </c>
      <c r="Y105" s="5">
        <f>IF($F105="","",IF((IFERROR(INDEX('CAT_CENTROS_COSTO'!$E$4:$E$13,MATCH($F105,'CAT_CENTROS_COSTO'!$A$4:$A$13,0)),""))&lt;&gt;"",IFERROR(INDEX('CAT_CENTROS_COSTO'!$E$4:$E$13,MATCH($F105,'CAT_CENTROS_COSTO'!$A$4:$A$13,0)),""),$X105))</f>
        <v/>
      </c>
      <c r="Z105" s="5">
        <f>IF($F105="","",IFERROR(INDEX('CAT_CENTROS_COSTO'!$G$4:$G$13,MATCH($F105,'CAT_CENTROS_COSTO'!$A$4:$A$13,0)),"(sin catálogo)"))</f>
        <v/>
      </c>
      <c r="AA105" s="5">
        <f>IF($G105="","",IFERROR(INDEX('CAT_PUESTOS'!$B$4:$B$8,MATCH($G105,'CAT_PUESTOS'!$A$4:$A$8,0)),"(sin catálogo)"))</f>
        <v/>
      </c>
      <c r="AB105" s="5">
        <f>IF($H105="","",IFERROR(INDEX('CAT_ACTIVIDADES'!$B$4:$B$11,MATCH($H105,'CAT_ACTIVIDADES'!$A$4:$A$11,0)),"(sin catálogo)"))</f>
        <v/>
      </c>
      <c r="AC105" s="20">
        <f>IF($J105="","",TODAY()-$J105)</f>
        <v/>
      </c>
      <c r="AD105" s="20">
        <f>IF($J105="","",IF($J105&lt;=TODAY(),COUNTIFS(cal_fechas,"&gt;="&amp;$J105,cal_fechas,"&lt;"&amp;TODAY(),cal_habil,"sí"),-COUNTIFS(cal_fechas,"&gt;="&amp;TODAY(),cal_fechas,"&lt;"&amp;$J105,cal_habil,"sí")))</f>
        <v/>
      </c>
      <c r="AE105" s="5">
        <f>IF($AD105="","",IF($AD105&lt;0,"FUTURO",IF($AD105&gt;p_dias_backlog_max,"BACKLOG","MES CORRIENTE")))</f>
        <v/>
      </c>
      <c r="AF105" s="5">
        <f>IF($AD105="",FALSE,AND($AD105&gt;p_dias_backlog_min,$AD105&lt;=p_dias_backlog_max))</f>
        <v/>
      </c>
      <c r="AG105" s="4" t="inlineStr">
        <is>
          <t>Daniela Medina</t>
        </is>
      </c>
      <c r="AH105" s="5">
        <f>IF($AG105="","",IF((IFERROR(INDEX('ASIGNACIONES'!$J$4:$J$451,MATCH($O105&amp;"|"&amp;$S105&amp;"|"&amp;$AG105,'ASIGNACIONES'!$N$4:$N$451,0)),""))=0,"",IFERROR(INDEX('ASIGNACIONES'!$J$4:$J$451,MATCH($O105&amp;"|"&amp;$S105&amp;"|"&amp;$AG105,'ASIGNACIONES'!$N$4:$N$451,0)),"")))</f>
        <v/>
      </c>
      <c r="AI105" s="25">
        <f>IF($AG105="","",SUMIFS('ORDENES'!$M$4:$M$1203,'ORDENES'!$AG$4:$AG$1203,$AG105,'ORDENES'!$O$4:$O$1203,$O105,'ORDENES'!$S$4:$S$1203,$S105))</f>
        <v/>
      </c>
      <c r="AJ105" s="25">
        <f>IF($AI105="","",p_factor_productividad*IFERROR(INDEX('ASIGNACIONES'!$M$4:$M$451,MATCH($O105&amp;"|"&amp;$S105&amp;"|"&amp;$AG105,'ASIGNACIONES'!$N$4:$N$451,0)),0)-$AI105)</f>
        <v/>
      </c>
      <c r="AK105" s="18">
        <f>IF($A105="","",IFERROR(INDEX('2_IMPORTAR_EJECUCION'!$F$9:$F$1208,MATCH($AT105,'2_IMPORTAR_EJECUCION'!$J$9:$J$1208,0)),0))</f>
        <v/>
      </c>
      <c r="AL105" s="18">
        <f>IF($A105="","",MAX(0,IFERROR(INDEX('2_IMPORTAR_EJECUCION'!$H$9:$H$1208,MATCH($AT105,'2_IMPORTAR_EJECUCION'!$J$9:$J$1208,0)),0)-$AK105))</f>
        <v/>
      </c>
      <c r="AM105" s="18">
        <f>IF($A105="","",$AK105+$AL105)</f>
        <v/>
      </c>
      <c r="AN105" s="5">
        <f>IF($A105="","",IF(OR((IFERROR(INDEX('CAT_ACTIVIDADES'!$D$4:$D$11,MATCH($H105,'CAT_ACTIVIDADES'!$A$4:$A$11,0)),""))=0,(IFERROR(INDEX('CAT_ACTIVIDADES'!$D$4:$D$11,MATCH($H105,'CAT_ACTIVIDADES'!$A$4:$A$11,0)),""))=""),"SIN CLASIFICAR",IFERROR(INDEX('CAT_ACTIVIDADES'!$D$4:$D$11,MATCH($H105,'CAT_ACTIVIDADES'!$A$4:$A$11,0)),"")))</f>
        <v/>
      </c>
      <c r="AO105" s="4" t="inlineStr"/>
      <c r="AP105" s="4" t="inlineStr"/>
      <c r="AQ105" s="4" t="inlineStr">
        <is>
          <t>ACT-01.pdf</t>
        </is>
      </c>
      <c r="AR105" s="5">
        <f>IF($AQ105="","",HYPERLINK(p_ruta_base_checklists&amp;$AQ105,"abrir"))</f>
        <v/>
      </c>
      <c r="AS105" s="4" t="inlineStr"/>
      <c r="AT105" s="5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22" t="n">
        <v>46246</v>
      </c>
      <c r="K106" s="5" t="n">
        <v>8</v>
      </c>
      <c r="L106" s="18" t="n">
        <v>200</v>
      </c>
      <c r="M106" s="5">
        <f>IF($A106="","",IFERROR(INDEX('AJUSTES'!$B$4:$B$303,MATCH($AT106,'AJUSTES'!$A$4:$A$303,0)),IF($K106="","",$K106)))</f>
        <v/>
      </c>
      <c r="N106" s="5">
        <f>IF($A106="","",IFERROR(INDEX('CAT_ESTADOS_ERP'!$B$4:$B$7,MATCH(IFERROR(INDEX('2_IMPORTAR_EJECUCION'!$C$9:$C$1208,MATCH($AT106,'2_IMPORTAR_EJECUCION'!$J$9:$J$1208,0)),""),'CAT_ESTADOS_ERP'!$A$4:$A$7,0)),"Pendiente"))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IF($J106="","",$P106&amp;"-"&amp;TEXT($Q106,"00"))</f>
        <v/>
      </c>
      <c r="S106" s="5">
        <f>IF($J106="","",INDEX(lista_dias,WEEKDAY($J106,2)))</f>
        <v/>
      </c>
      <c r="T106" s="5">
        <f>IF($J106="","",IFERROR(INDEX('CALENDARIO'!$C$15:$C$214,MATCH(TEXT($J106,"yyyy-mm-dd")&amp;"|"&amp;$X106&amp;"|"&amp;$Y106,'CALENDARIO'!$G$15:$G$214,0)),IFERROR(INDEX('CALENDARIO'!$C$15:$C$214,MATCH(TEXT($J106,"yyyy-mm-dd")&amp;"|"&amp;$X106&amp;"|",'CALENDARIO'!$G$15:$G$214,0)),IFERROR(INDEX('CALENDARIO'!$C$15:$C$214,MATCH(TEXT($J106,"yyyy-mm-dd")&amp;"||",'CALENDARIO'!$G$15:$G$214,0)),INDEX(patronHabil,WEEKDAY($J106,2))))))</f>
        <v/>
      </c>
      <c r="U106" s="5">
        <f>IF($I106="","",IFERROR(INDEX('CAT_TIPOS_OT'!$C$4:$C$8,MATCH($I106,'CAT_TIPOS_OT'!$A$4:$A$8,0)),"sin_clasificar"))</f>
        <v/>
      </c>
      <c r="V106" s="5">
        <f>IF($I106="","",IF(IFERROR(INDEX('CAT_TIPOS_OT'!$D$4:$D$8,MATCH($I106,'CAT_TIPOS_OT'!$A$4:$A$8,0)),"SIN CLASIFICAR")="","SIN CLASIFICAR",IFERROR(INDEX('CAT_TIPOS_OT'!$D$4:$D$8,MATCH($I106,'CAT_TIPOS_OT'!$A$4:$A$8,0)),"SIN CLASIFICAR")))</f>
        <v/>
      </c>
      <c r="W106" s="5">
        <f>IF($F106="","",IFERROR(INDEX('CAT_CENTROS_COSTO'!$F$4:$F$13,MATCH($F106,'CAT_CENTROS_COSTO'!$A$4:$A$13,0)),"(sin catálogo)"))</f>
        <v/>
      </c>
      <c r="X106" s="5">
        <f>IF($F106="","",IFERROR(INDEX('CAT_CENTROS_COSTO'!$D$4:$D$13,MATCH($F106,'CAT_CENTROS_COSTO'!$A$4:$A$13,0)),"(sin catálogo)"))</f>
        <v/>
      </c>
      <c r="Y106" s="5">
        <f>IF($F106="","",IF((IFERROR(INDEX('CAT_CENTROS_COSTO'!$E$4:$E$13,MATCH($F106,'CAT_CENTROS_COSTO'!$A$4:$A$13,0)),""))&lt;&gt;"",IFERROR(INDEX('CAT_CENTROS_COSTO'!$E$4:$E$13,MATCH($F106,'CAT_CENTROS_COSTO'!$A$4:$A$13,0)),""),$X106))</f>
        <v/>
      </c>
      <c r="Z106" s="5">
        <f>IF($F106="","",IFERROR(INDEX('CAT_CENTROS_COSTO'!$G$4:$G$13,MATCH($F106,'CAT_CENTROS_COSTO'!$A$4:$A$13,0)),"(sin catálogo)"))</f>
        <v/>
      </c>
      <c r="AA106" s="5">
        <f>IF($G106="","",IFERROR(INDEX('CAT_PUESTOS'!$B$4:$B$8,MATCH($G106,'CAT_PUESTOS'!$A$4:$A$8,0)),"(sin catálogo)"))</f>
        <v/>
      </c>
      <c r="AB106" s="5">
        <f>IF($H106="","",IFERROR(INDEX('CAT_ACTIVIDADES'!$B$4:$B$11,MATCH($H106,'CAT_ACTIVIDADES'!$A$4:$A$11,0)),"(sin catálogo)"))</f>
        <v/>
      </c>
      <c r="AC106" s="20">
        <f>IF($J106="","",TODAY()-$J106)</f>
        <v/>
      </c>
      <c r="AD106" s="20">
        <f>IF($J106="","",IF($J106&lt;=TODAY(),COUNTIFS(cal_fechas,"&gt;="&amp;$J106,cal_fechas,"&lt;"&amp;TODAY(),cal_habil,"sí"),-COUNTIFS(cal_fechas,"&gt;="&amp;TODAY(),cal_fechas,"&lt;"&amp;$J106,cal_habil,"sí")))</f>
        <v/>
      </c>
      <c r="AE106" s="5">
        <f>IF($AD106="","",IF($AD106&lt;0,"FUTURO",IF($AD106&gt;p_dias_backlog_max,"BACKLOG","MES CORRIENTE")))</f>
        <v/>
      </c>
      <c r="AF106" s="5">
        <f>IF($AD106="",FALSE,AND($AD106&gt;p_dias_backlog_min,$AD106&lt;=p_dias_backlog_max))</f>
        <v/>
      </c>
      <c r="AG106" s="4" t="inlineStr">
        <is>
          <t>Alberto Vargas</t>
        </is>
      </c>
      <c r="AH106" s="5">
        <f>IF($AG106="","",IF((IFERROR(INDEX('ASIGNACIONES'!$J$4:$J$451,MATCH($O106&amp;"|"&amp;$S106&amp;"|"&amp;$AG106,'ASIGNACIONES'!$N$4:$N$451,0)),""))=0,"",IFERROR(INDEX('ASIGNACIONES'!$J$4:$J$451,MATCH($O106&amp;"|"&amp;$S106&amp;"|"&amp;$AG106,'ASIGNACIONES'!$N$4:$N$451,0)),"")))</f>
        <v/>
      </c>
      <c r="AI106" s="25">
        <f>IF($AG106="","",SUMIFS('ORDENES'!$M$4:$M$1203,'ORDENES'!$AG$4:$AG$1203,$AG106,'ORDENES'!$O$4:$O$1203,$O106,'ORDENES'!$S$4:$S$1203,$S106))</f>
        <v/>
      </c>
      <c r="AJ106" s="25">
        <f>IF($AI106="","",p_factor_productividad*IFERROR(INDEX('ASIGNACIONES'!$M$4:$M$451,MATCH($O106&amp;"|"&amp;$S106&amp;"|"&amp;$AG106,'ASIGNACIONES'!$N$4:$N$451,0)),0)-$AI106)</f>
        <v/>
      </c>
      <c r="AK106" s="18">
        <f>IF($A106="","",IFERROR(INDEX('2_IMPORTAR_EJECUCION'!$F$9:$F$1208,MATCH($AT106,'2_IMPORTAR_EJECUCION'!$J$9:$J$1208,0)),0))</f>
        <v/>
      </c>
      <c r="AL106" s="18">
        <f>IF($A106="","",MAX(0,IFERROR(INDEX('2_IMPORTAR_EJECUCION'!$H$9:$H$1208,MATCH($AT106,'2_IMPORTAR_EJECUCION'!$J$9:$J$1208,0)),0)-$AK106))</f>
        <v/>
      </c>
      <c r="AM106" s="18">
        <f>IF($A106="","",$AK106+$AL106)</f>
        <v/>
      </c>
      <c r="AN106" s="5">
        <f>IF($A106="","",IF(OR((IFERROR(INDEX('CAT_ACTIVIDADES'!$D$4:$D$11,MATCH($H106,'CAT_ACTIVIDADES'!$A$4:$A$11,0)),""))=0,(IFERROR(INDEX('CAT_ACTIVIDADES'!$D$4:$D$11,MATCH($H106,'CAT_ACTIVIDADES'!$A$4:$A$11,0)),""))=""),"SIN CLASIFICAR",IFERROR(INDEX('CAT_ACTIVIDADES'!$D$4:$D$11,MATCH($H106,'CAT_ACTIVIDADES'!$A$4:$A$11,0)),"")))</f>
        <v/>
      </c>
      <c r="AO106" s="4" t="inlineStr"/>
      <c r="AP106" s="4" t="inlineStr"/>
      <c r="AQ106" s="4" t="inlineStr">
        <is>
          <t>ACT-02.pdf</t>
        </is>
      </c>
      <c r="AR106" s="5">
        <f>IF($AQ106="","",HYPERLINK(p_ruta_base_checklists&amp;$AQ106,"abrir"))</f>
        <v/>
      </c>
      <c r="AS106" s="4" t="inlineStr"/>
      <c r="AT106" s="5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22" t="n">
        <v>46247</v>
      </c>
      <c r="K107" s="5" t="n">
        <v>6</v>
      </c>
      <c r="L107" s="18" t="n">
        <v>150</v>
      </c>
      <c r="M107" s="5">
        <f>IF($A107="","",IFERROR(INDEX('AJUSTES'!$B$4:$B$303,MATCH($AT107,'AJUSTES'!$A$4:$A$303,0)),IF($K107="","",$K107)))</f>
        <v/>
      </c>
      <c r="N107" s="5">
        <f>IF($A107="","",IFERROR(INDEX('CAT_ESTADOS_ERP'!$B$4:$B$7,MATCH(IFERROR(INDEX('2_IMPORTAR_EJECUCION'!$C$9:$C$1208,MATCH($AT107,'2_IMPORTAR_EJECUCION'!$J$9:$J$1208,0)),""),'CAT_ESTADOS_ERP'!$A$4:$A$7,0)),"Pendiente"))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IF($J107="","",$P107&amp;"-"&amp;TEXT($Q107,"00"))</f>
        <v/>
      </c>
      <c r="S107" s="5">
        <f>IF($J107="","",INDEX(lista_dias,WEEKDAY($J107,2)))</f>
        <v/>
      </c>
      <c r="T107" s="5">
        <f>IF($J107="","",IFERROR(INDEX('CALENDARIO'!$C$15:$C$214,MATCH(TEXT($J107,"yyyy-mm-dd")&amp;"|"&amp;$X107&amp;"|"&amp;$Y107,'CALENDARIO'!$G$15:$G$214,0)),IFERROR(INDEX('CALENDARIO'!$C$15:$C$214,MATCH(TEXT($J107,"yyyy-mm-dd")&amp;"|"&amp;$X107&amp;"|",'CALENDARIO'!$G$15:$G$214,0)),IFERROR(INDEX('CALENDARIO'!$C$15:$C$214,MATCH(TEXT($J107,"yyyy-mm-dd")&amp;"||",'CALENDARIO'!$G$15:$G$214,0)),INDEX(patronHabil,WEEKDAY($J107,2))))))</f>
        <v/>
      </c>
      <c r="U107" s="5">
        <f>IF($I107="","",IFERROR(INDEX('CAT_TIPOS_OT'!$C$4:$C$8,MATCH($I107,'CAT_TIPOS_OT'!$A$4:$A$8,0)),"sin_clasificar"))</f>
        <v/>
      </c>
      <c r="V107" s="5">
        <f>IF($I107="","",IF(IFERROR(INDEX('CAT_TIPOS_OT'!$D$4:$D$8,MATCH($I107,'CAT_TIPOS_OT'!$A$4:$A$8,0)),"SIN CLASIFICAR")="","SIN CLASIFICAR",IFERROR(INDEX('CAT_TIPOS_OT'!$D$4:$D$8,MATCH($I107,'CAT_TIPOS_OT'!$A$4:$A$8,0)),"SIN CLASIFICAR")))</f>
        <v/>
      </c>
      <c r="W107" s="5">
        <f>IF($F107="","",IFERROR(INDEX('CAT_CENTROS_COSTO'!$F$4:$F$13,MATCH($F107,'CAT_CENTROS_COSTO'!$A$4:$A$13,0)),"(sin catálogo)"))</f>
        <v/>
      </c>
      <c r="X107" s="5">
        <f>IF($F107="","",IFERROR(INDEX('CAT_CENTROS_COSTO'!$D$4:$D$13,MATCH($F107,'CAT_CENTROS_COSTO'!$A$4:$A$13,0)),"(sin catálogo)"))</f>
        <v/>
      </c>
      <c r="Y107" s="5">
        <f>IF($F107="","",IF((IFERROR(INDEX('CAT_CENTROS_COSTO'!$E$4:$E$13,MATCH($F107,'CAT_CENTROS_COSTO'!$A$4:$A$13,0)),""))&lt;&gt;"",IFERROR(INDEX('CAT_CENTROS_COSTO'!$E$4:$E$13,MATCH($F107,'CAT_CENTROS_COSTO'!$A$4:$A$13,0)),""),$X107))</f>
        <v/>
      </c>
      <c r="Z107" s="5">
        <f>IF($F107="","",IFERROR(INDEX('CAT_CENTROS_COSTO'!$G$4:$G$13,MATCH($F107,'CAT_CENTROS_COSTO'!$A$4:$A$13,0)),"(sin catálogo)"))</f>
        <v/>
      </c>
      <c r="AA107" s="5">
        <f>IF($G107="","",IFERROR(INDEX('CAT_PUESTOS'!$B$4:$B$8,MATCH($G107,'CAT_PUESTOS'!$A$4:$A$8,0)),"(sin catálogo)"))</f>
        <v/>
      </c>
      <c r="AB107" s="5">
        <f>IF($H107="","",IFERROR(INDEX('CAT_ACTIVIDADES'!$B$4:$B$11,MATCH($H107,'CAT_ACTIVIDADES'!$A$4:$A$11,0)),"(sin catálogo)"))</f>
        <v/>
      </c>
      <c r="AC107" s="20">
        <f>IF($J107="","",TODAY()-$J107)</f>
        <v/>
      </c>
      <c r="AD107" s="20">
        <f>IF($J107="","",IF($J107&lt;=TODAY(),COUNTIFS(cal_fechas,"&gt;="&amp;$J107,cal_fechas,"&lt;"&amp;TODAY(),cal_habil,"sí"),-COUNTIFS(cal_fechas,"&gt;="&amp;TODAY(),cal_fechas,"&lt;"&amp;$J107,cal_habil,"sí")))</f>
        <v/>
      </c>
      <c r="AE107" s="5">
        <f>IF($AD107="","",IF($AD107&lt;0,"FUTURO",IF($AD107&gt;p_dias_backlog_max,"BACKLOG","MES CORRIENTE")))</f>
        <v/>
      </c>
      <c r="AF107" s="5">
        <f>IF($AD107="",FALSE,AND($AD107&gt;p_dias_backlog_min,$AD107&lt;=p_dias_backlog_max))</f>
        <v/>
      </c>
      <c r="AG107" s="4" t="inlineStr">
        <is>
          <t>Daniela Medina</t>
        </is>
      </c>
      <c r="AH107" s="5">
        <f>IF($AG107="","",IF((IFERROR(INDEX('ASIGNACIONES'!$J$4:$J$451,MATCH($O107&amp;"|"&amp;$S107&amp;"|"&amp;$AG107,'ASIGNACIONES'!$N$4:$N$451,0)),""))=0,"",IFERROR(INDEX('ASIGNACIONES'!$J$4:$J$451,MATCH($O107&amp;"|"&amp;$S107&amp;"|"&amp;$AG107,'ASIGNACIONES'!$N$4:$N$451,0)),"")))</f>
        <v/>
      </c>
      <c r="AI107" s="25">
        <f>IF($AG107="","",SUMIFS('ORDENES'!$M$4:$M$1203,'ORDENES'!$AG$4:$AG$1203,$AG107,'ORDENES'!$O$4:$O$1203,$O107,'ORDENES'!$S$4:$S$1203,$S107))</f>
        <v/>
      </c>
      <c r="AJ107" s="25">
        <f>IF($AI107="","",p_factor_productividad*IFERROR(INDEX('ASIGNACIONES'!$M$4:$M$451,MATCH($O107&amp;"|"&amp;$S107&amp;"|"&amp;$AG107,'ASIGNACIONES'!$N$4:$N$451,0)),0)-$AI107)</f>
        <v/>
      </c>
      <c r="AK107" s="18">
        <f>IF($A107="","",IFERROR(INDEX('2_IMPORTAR_EJECUCION'!$F$9:$F$1208,MATCH($AT107,'2_IMPORTAR_EJECUCION'!$J$9:$J$1208,0)),0))</f>
        <v/>
      </c>
      <c r="AL107" s="18">
        <f>IF($A107="","",MAX(0,IFERROR(INDEX('2_IMPORTAR_EJECUCION'!$H$9:$H$1208,MATCH($AT107,'2_IMPORTAR_EJECUCION'!$J$9:$J$1208,0)),0)-$AK107))</f>
        <v/>
      </c>
      <c r="AM107" s="18">
        <f>IF($A107="","",$AK107+$AL107)</f>
        <v/>
      </c>
      <c r="AN107" s="5">
        <f>IF($A107="","",IF(OR((IFERROR(INDEX('CAT_ACTIVIDADES'!$D$4:$D$11,MATCH($H107,'CAT_ACTIVIDADES'!$A$4:$A$11,0)),""))=0,(IFERROR(INDEX('CAT_ACTIVIDADES'!$D$4:$D$11,MATCH($H107,'CAT_ACTIVIDADES'!$A$4:$A$11,0)),""))=""),"SIN CLASIFICAR",IFERROR(INDEX('CAT_ACTIVIDADES'!$D$4:$D$11,MATCH($H107,'CAT_ACTIVIDADES'!$A$4:$A$11,0)),"")))</f>
        <v/>
      </c>
      <c r="AO107" s="4" t="inlineStr"/>
      <c r="AP107" s="4" t="inlineStr"/>
      <c r="AQ107" s="4" t="inlineStr">
        <is>
          <t>ACT-04.pdf</t>
        </is>
      </c>
      <c r="AR107" s="5">
        <f>IF($AQ107="","",HYPERLINK(p_ruta_base_checklists&amp;$AQ107,"abrir"))</f>
        <v/>
      </c>
      <c r="AS107" s="4" t="inlineStr"/>
      <c r="AT107" s="5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22" t="n">
        <v>46248</v>
      </c>
      <c r="K108" s="5" t="n">
        <v>6</v>
      </c>
      <c r="L108" s="18" t="n">
        <v>150</v>
      </c>
      <c r="M108" s="5">
        <f>IF($A108="","",IFERROR(INDEX('AJUSTES'!$B$4:$B$303,MATCH($AT108,'AJUSTES'!$A$4:$A$303,0)),IF($K108="","",$K108)))</f>
        <v/>
      </c>
      <c r="N108" s="5">
        <f>IF($A108="","",IFERROR(INDEX('CAT_ESTADOS_ERP'!$B$4:$B$7,MATCH(IFERROR(INDEX('2_IMPORTAR_EJECUCION'!$C$9:$C$1208,MATCH($AT108,'2_IMPORTAR_EJECUCION'!$J$9:$J$1208,0)),""),'CAT_ESTADOS_ERP'!$A$4:$A$7,0)),"Pendiente"))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IF($J108="","",$P108&amp;"-"&amp;TEXT($Q108,"00"))</f>
        <v/>
      </c>
      <c r="S108" s="5">
        <f>IF($J108="","",INDEX(lista_dias,WEEKDAY($J108,2)))</f>
        <v/>
      </c>
      <c r="T108" s="5">
        <f>IF($J108="","",IFERROR(INDEX('CALENDARIO'!$C$15:$C$214,MATCH(TEXT($J108,"yyyy-mm-dd")&amp;"|"&amp;$X108&amp;"|"&amp;$Y108,'CALENDARIO'!$G$15:$G$214,0)),IFERROR(INDEX('CALENDARIO'!$C$15:$C$214,MATCH(TEXT($J108,"yyyy-mm-dd")&amp;"|"&amp;$X108&amp;"|",'CALENDARIO'!$G$15:$G$214,0)),IFERROR(INDEX('CALENDARIO'!$C$15:$C$214,MATCH(TEXT($J108,"yyyy-mm-dd")&amp;"||",'CALENDARIO'!$G$15:$G$214,0)),INDEX(patronHabil,WEEKDAY($J108,2))))))</f>
        <v/>
      </c>
      <c r="U108" s="5">
        <f>IF($I108="","",IFERROR(INDEX('CAT_TIPOS_OT'!$C$4:$C$8,MATCH($I108,'CAT_TIPOS_OT'!$A$4:$A$8,0)),"sin_clasificar"))</f>
        <v/>
      </c>
      <c r="V108" s="5">
        <f>IF($I108="","",IF(IFERROR(INDEX('CAT_TIPOS_OT'!$D$4:$D$8,MATCH($I108,'CAT_TIPOS_OT'!$A$4:$A$8,0)),"SIN CLASIFICAR")="","SIN CLASIFICAR",IFERROR(INDEX('CAT_TIPOS_OT'!$D$4:$D$8,MATCH($I108,'CAT_TIPOS_OT'!$A$4:$A$8,0)),"SIN CLASIFICAR")))</f>
        <v/>
      </c>
      <c r="W108" s="5">
        <f>IF($F108="","",IFERROR(INDEX('CAT_CENTROS_COSTO'!$F$4:$F$13,MATCH($F108,'CAT_CENTROS_COSTO'!$A$4:$A$13,0)),"(sin catálogo)"))</f>
        <v/>
      </c>
      <c r="X108" s="5">
        <f>IF($F108="","",IFERROR(INDEX('CAT_CENTROS_COSTO'!$D$4:$D$13,MATCH($F108,'CAT_CENTROS_COSTO'!$A$4:$A$13,0)),"(sin catálogo)"))</f>
        <v/>
      </c>
      <c r="Y108" s="5">
        <f>IF($F108="","",IF((IFERROR(INDEX('CAT_CENTROS_COSTO'!$E$4:$E$13,MATCH($F108,'CAT_CENTROS_COSTO'!$A$4:$A$13,0)),""))&lt;&gt;"",IFERROR(INDEX('CAT_CENTROS_COSTO'!$E$4:$E$13,MATCH($F108,'CAT_CENTROS_COSTO'!$A$4:$A$13,0)),""),$X108))</f>
        <v/>
      </c>
      <c r="Z108" s="5">
        <f>IF($F108="","",IFERROR(INDEX('CAT_CENTROS_COSTO'!$G$4:$G$13,MATCH($F108,'CAT_CENTROS_COSTO'!$A$4:$A$13,0)),"(sin catálogo)"))</f>
        <v/>
      </c>
      <c r="AA108" s="5">
        <f>IF($G108="","",IFERROR(INDEX('CAT_PUESTOS'!$B$4:$B$8,MATCH($G108,'CAT_PUESTOS'!$A$4:$A$8,0)),"(sin catálogo)"))</f>
        <v/>
      </c>
      <c r="AB108" s="5">
        <f>IF($H108="","",IFERROR(INDEX('CAT_ACTIVIDADES'!$B$4:$B$11,MATCH($H108,'CAT_ACTIVIDADES'!$A$4:$A$11,0)),"(sin catálogo)"))</f>
        <v/>
      </c>
      <c r="AC108" s="20">
        <f>IF($J108="","",TODAY()-$J108)</f>
        <v/>
      </c>
      <c r="AD108" s="20">
        <f>IF($J108="","",IF($J108&lt;=TODAY(),COUNTIFS(cal_fechas,"&gt;="&amp;$J108,cal_fechas,"&lt;"&amp;TODAY(),cal_habil,"sí"),-COUNTIFS(cal_fechas,"&gt;="&amp;TODAY(),cal_fechas,"&lt;"&amp;$J108,cal_habil,"sí")))</f>
        <v/>
      </c>
      <c r="AE108" s="5">
        <f>IF($AD108="","",IF($AD108&lt;0,"FUTURO",IF($AD108&gt;p_dias_backlog_max,"BACKLOG","MES CORRIENTE")))</f>
        <v/>
      </c>
      <c r="AF108" s="5">
        <f>IF($AD108="",FALSE,AND($AD108&gt;p_dias_backlog_min,$AD108&lt;=p_dias_backlog_max))</f>
        <v/>
      </c>
      <c r="AG108" s="4" t="inlineStr">
        <is>
          <t>Alberto Vargas</t>
        </is>
      </c>
      <c r="AH108" s="5">
        <f>IF($AG108="","",IF((IFERROR(INDEX('ASIGNACIONES'!$J$4:$J$451,MATCH($O108&amp;"|"&amp;$S108&amp;"|"&amp;$AG108,'ASIGNACIONES'!$N$4:$N$451,0)),""))=0,"",IFERROR(INDEX('ASIGNACIONES'!$J$4:$J$451,MATCH($O108&amp;"|"&amp;$S108&amp;"|"&amp;$AG108,'ASIGNACIONES'!$N$4:$N$451,0)),"")))</f>
        <v/>
      </c>
      <c r="AI108" s="25">
        <f>IF($AG108="","",SUMIFS('ORDENES'!$M$4:$M$1203,'ORDENES'!$AG$4:$AG$1203,$AG108,'ORDENES'!$O$4:$O$1203,$O108,'ORDENES'!$S$4:$S$1203,$S108))</f>
        <v/>
      </c>
      <c r="AJ108" s="25">
        <f>IF($AI108="","",p_factor_productividad*IFERROR(INDEX('ASIGNACIONES'!$M$4:$M$451,MATCH($O108&amp;"|"&amp;$S108&amp;"|"&amp;$AG108,'ASIGNACIONES'!$N$4:$N$451,0)),0)-$AI108)</f>
        <v/>
      </c>
      <c r="AK108" s="18">
        <f>IF($A108="","",IFERROR(INDEX('2_IMPORTAR_EJECUCION'!$F$9:$F$1208,MATCH($AT108,'2_IMPORTAR_EJECUCION'!$J$9:$J$1208,0)),0))</f>
        <v/>
      </c>
      <c r="AL108" s="18">
        <f>IF($A108="","",MAX(0,IFERROR(INDEX('2_IMPORTAR_EJECUCION'!$H$9:$H$1208,MATCH($AT108,'2_IMPORTAR_EJECUCION'!$J$9:$J$1208,0)),0)-$AK108))</f>
        <v/>
      </c>
      <c r="AM108" s="18">
        <f>IF($A108="","",$AK108+$AL108)</f>
        <v/>
      </c>
      <c r="AN108" s="5">
        <f>IF($A108="","",IF(OR((IFERROR(INDEX('CAT_ACTIVIDADES'!$D$4:$D$11,MATCH($H108,'CAT_ACTIVIDADES'!$A$4:$A$11,0)),""))=0,(IFERROR(INDEX('CAT_ACTIVIDADES'!$D$4:$D$11,MATCH($H108,'CAT_ACTIVIDADES'!$A$4:$A$11,0)),""))=""),"SIN CLASIFICAR",IFERROR(INDEX('CAT_ACTIVIDADES'!$D$4:$D$11,MATCH($H108,'CAT_ACTIVIDADES'!$A$4:$A$11,0)),"")))</f>
        <v/>
      </c>
      <c r="AO108" s="4" t="inlineStr"/>
      <c r="AP108" s="4" t="inlineStr"/>
      <c r="AQ108" s="4" t="inlineStr">
        <is>
          <t>ACT-01.pdf</t>
        </is>
      </c>
      <c r="AR108" s="5">
        <f>IF($AQ108="","",HYPERLINK(p_ruta_base_checklists&amp;$AQ108,"abrir"))</f>
        <v/>
      </c>
      <c r="AS108" s="4" t="inlineStr"/>
      <c r="AT108" s="5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22" t="n">
        <v>46244</v>
      </c>
      <c r="K109" s="5" t="n">
        <v>6</v>
      </c>
      <c r="L109" s="18" t="n">
        <v>240</v>
      </c>
      <c r="M109" s="5">
        <f>IF($A109="","",IFERROR(INDEX('AJUSTES'!$B$4:$B$303,MATCH($AT109,'AJUSTES'!$A$4:$A$303,0)),IF($K109="","",$K109)))</f>
        <v/>
      </c>
      <c r="N109" s="5">
        <f>IF($A109="","",IFERROR(INDEX('CAT_ESTADOS_ERP'!$B$4:$B$7,MATCH(IFERROR(INDEX('2_IMPORTAR_EJECUCION'!$C$9:$C$1208,MATCH($AT109,'2_IMPORTAR_EJECUCION'!$J$9:$J$1208,0)),""),'CAT_ESTADOS_ERP'!$A$4:$A$7,0)),"Pendiente"))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IF($J109="","",$P109&amp;"-"&amp;TEXT($Q109,"00"))</f>
        <v/>
      </c>
      <c r="S109" s="5">
        <f>IF($J109="","",INDEX(lista_dias,WEEKDAY($J109,2)))</f>
        <v/>
      </c>
      <c r="T109" s="5">
        <f>IF($J109="","",IFERROR(INDEX('CALENDARIO'!$C$15:$C$214,MATCH(TEXT($J109,"yyyy-mm-dd")&amp;"|"&amp;$X109&amp;"|"&amp;$Y109,'CALENDARIO'!$G$15:$G$214,0)),IFERROR(INDEX('CALENDARIO'!$C$15:$C$214,MATCH(TEXT($J109,"yyyy-mm-dd")&amp;"|"&amp;$X109&amp;"|",'CALENDARIO'!$G$15:$G$214,0)),IFERROR(INDEX('CALENDARIO'!$C$15:$C$214,MATCH(TEXT($J109,"yyyy-mm-dd")&amp;"||",'CALENDARIO'!$G$15:$G$214,0)),INDEX(patronHabil,WEEKDAY($J109,2))))))</f>
        <v/>
      </c>
      <c r="U109" s="5">
        <f>IF($I109="","",IFERROR(INDEX('CAT_TIPOS_OT'!$C$4:$C$8,MATCH($I109,'CAT_TIPOS_OT'!$A$4:$A$8,0)),"sin_clasificar"))</f>
        <v/>
      </c>
      <c r="V109" s="5">
        <f>IF($I109="","",IF(IFERROR(INDEX('CAT_TIPOS_OT'!$D$4:$D$8,MATCH($I109,'CAT_TIPOS_OT'!$A$4:$A$8,0)),"SIN CLASIFICAR")="","SIN CLASIFICAR",IFERROR(INDEX('CAT_TIPOS_OT'!$D$4:$D$8,MATCH($I109,'CAT_TIPOS_OT'!$A$4:$A$8,0)),"SIN CLASIFICAR")))</f>
        <v/>
      </c>
      <c r="W109" s="5">
        <f>IF($F109="","",IFERROR(INDEX('CAT_CENTROS_COSTO'!$F$4:$F$13,MATCH($F109,'CAT_CENTROS_COSTO'!$A$4:$A$13,0)),"(sin catálogo)"))</f>
        <v/>
      </c>
      <c r="X109" s="5">
        <f>IF($F109="","",IFERROR(INDEX('CAT_CENTROS_COSTO'!$D$4:$D$13,MATCH($F109,'CAT_CENTROS_COSTO'!$A$4:$A$13,0)),"(sin catálogo)"))</f>
        <v/>
      </c>
      <c r="Y109" s="5">
        <f>IF($F109="","",IF((IFERROR(INDEX('CAT_CENTROS_COSTO'!$E$4:$E$13,MATCH($F109,'CAT_CENTROS_COSTO'!$A$4:$A$13,0)),""))&lt;&gt;"",IFERROR(INDEX('CAT_CENTROS_COSTO'!$E$4:$E$13,MATCH($F109,'CAT_CENTROS_COSTO'!$A$4:$A$13,0)),""),$X109))</f>
        <v/>
      </c>
      <c r="Z109" s="5">
        <f>IF($F109="","",IFERROR(INDEX('CAT_CENTROS_COSTO'!$G$4:$G$13,MATCH($F109,'CAT_CENTROS_COSTO'!$A$4:$A$13,0)),"(sin catálogo)"))</f>
        <v/>
      </c>
      <c r="AA109" s="5">
        <f>IF($G109="","",IFERROR(INDEX('CAT_PUESTOS'!$B$4:$B$8,MATCH($G109,'CAT_PUESTOS'!$A$4:$A$8,0)),"(sin catálogo)"))</f>
        <v/>
      </c>
      <c r="AB109" s="5">
        <f>IF($H109="","",IFERROR(INDEX('CAT_ACTIVIDADES'!$B$4:$B$11,MATCH($H109,'CAT_ACTIVIDADES'!$A$4:$A$11,0)),"(sin catálogo)"))</f>
        <v/>
      </c>
      <c r="AC109" s="20">
        <f>IF($J109="","",TODAY()-$J109)</f>
        <v/>
      </c>
      <c r="AD109" s="20">
        <f>IF($J109="","",IF($J109&lt;=TODAY(),COUNTIFS(cal_fechas,"&gt;="&amp;$J109,cal_fechas,"&lt;"&amp;TODAY(),cal_habil,"sí"),-COUNTIFS(cal_fechas,"&gt;="&amp;TODAY(),cal_fechas,"&lt;"&amp;$J109,cal_habil,"sí")))</f>
        <v/>
      </c>
      <c r="AE109" s="5">
        <f>IF($AD109="","",IF($AD109&lt;0,"FUTURO",IF($AD109&gt;p_dias_backlog_max,"BACKLOG","MES CORRIENTE")))</f>
        <v/>
      </c>
      <c r="AF109" s="5">
        <f>IF($AD109="",FALSE,AND($AD109&gt;p_dias_backlog_min,$AD109&lt;=p_dias_backlog_max))</f>
        <v/>
      </c>
      <c r="AG109" s="4" t="inlineStr">
        <is>
          <t>Daniela Medina</t>
        </is>
      </c>
      <c r="AH109" s="5">
        <f>IF($AG109="","",IF((IFERROR(INDEX('ASIGNACIONES'!$J$4:$J$451,MATCH($O109&amp;"|"&amp;$S109&amp;"|"&amp;$AG109,'ASIGNACIONES'!$N$4:$N$451,0)),""))=0,"",IFERROR(INDEX('ASIGNACIONES'!$J$4:$J$451,MATCH($O109&amp;"|"&amp;$S109&amp;"|"&amp;$AG109,'ASIGNACIONES'!$N$4:$N$451,0)),"")))</f>
        <v/>
      </c>
      <c r="AI109" s="25">
        <f>IF($AG109="","",SUMIFS('ORDENES'!$M$4:$M$1203,'ORDENES'!$AG$4:$AG$1203,$AG109,'ORDENES'!$O$4:$O$1203,$O109,'ORDENES'!$S$4:$S$1203,$S109))</f>
        <v/>
      </c>
      <c r="AJ109" s="25">
        <f>IF($AI109="","",p_factor_productividad*IFERROR(INDEX('ASIGNACIONES'!$M$4:$M$451,MATCH($O109&amp;"|"&amp;$S109&amp;"|"&amp;$AG109,'ASIGNACIONES'!$N$4:$N$451,0)),0)-$AI109)</f>
        <v/>
      </c>
      <c r="AK109" s="18">
        <f>IF($A109="","",IFERROR(INDEX('2_IMPORTAR_EJECUCION'!$F$9:$F$1208,MATCH($AT109,'2_IMPORTAR_EJECUCION'!$J$9:$J$1208,0)),0))</f>
        <v/>
      </c>
      <c r="AL109" s="18">
        <f>IF($A109="","",MAX(0,IFERROR(INDEX('2_IMPORTAR_EJECUCION'!$H$9:$H$1208,MATCH($AT109,'2_IMPORTAR_EJECUCION'!$J$9:$J$1208,0)),0)-$AK109))</f>
        <v/>
      </c>
      <c r="AM109" s="18">
        <f>IF($A109="","",$AK109+$AL109)</f>
        <v/>
      </c>
      <c r="AN109" s="5">
        <f>IF($A109="","",IF(OR((IFERROR(INDEX('CAT_ACTIVIDADES'!$D$4:$D$11,MATCH($H109,'CAT_ACTIVIDADES'!$A$4:$A$11,0)),""))=0,(IFERROR(INDEX('CAT_ACTIVIDADES'!$D$4:$D$11,MATCH($H109,'CAT_ACTIVIDADES'!$A$4:$A$11,0)),""))=""),"SIN CLASIFICAR",IFERROR(INDEX('CAT_ACTIVIDADES'!$D$4:$D$11,MATCH($H109,'CAT_ACTIVIDADES'!$A$4:$A$11,0)),"")))</f>
        <v/>
      </c>
      <c r="AO109" s="4" t="inlineStr"/>
      <c r="AP109" s="4" t="inlineStr"/>
      <c r="AQ109" s="4" t="inlineStr"/>
      <c r="AR109" s="5">
        <f>IF($AQ109="","",HYPERLINK(p_ruta_base_checklists&amp;$AQ109,"abrir"))</f>
        <v/>
      </c>
      <c r="AS109" s="4" t="inlineStr"/>
      <c r="AT109" s="5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22" t="n">
        <v>46230</v>
      </c>
      <c r="K110" s="5" t="n">
        <v>10</v>
      </c>
      <c r="L110" s="18" t="n">
        <v>250</v>
      </c>
      <c r="M110" s="5">
        <f>IF($A110="","",IFERROR(INDEX('AJUSTES'!$B$4:$B$303,MATCH($AT110,'AJUSTES'!$A$4:$A$303,0)),IF($K110="","",$K110)))</f>
        <v/>
      </c>
      <c r="N110" s="5">
        <f>IF($A110="","",IFERROR(INDEX('CAT_ESTADOS_ERP'!$B$4:$B$7,MATCH(IFERROR(INDEX('2_IMPORTAR_EJECUCION'!$C$9:$C$1208,MATCH($AT110,'2_IMPORTAR_EJECUCION'!$J$9:$J$1208,0)),""),'CAT_ESTADOS_ERP'!$A$4:$A$7,0)),"Pendiente"))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IF($J110="","",$P110&amp;"-"&amp;TEXT($Q110,"00"))</f>
        <v/>
      </c>
      <c r="S110" s="5">
        <f>IF($J110="","",INDEX(lista_dias,WEEKDAY($J110,2)))</f>
        <v/>
      </c>
      <c r="T110" s="5">
        <f>IF($J110="","",IFERROR(INDEX('CALENDARIO'!$C$15:$C$214,MATCH(TEXT($J110,"yyyy-mm-dd")&amp;"|"&amp;$X110&amp;"|"&amp;$Y110,'CALENDARIO'!$G$15:$G$214,0)),IFERROR(INDEX('CALENDARIO'!$C$15:$C$214,MATCH(TEXT($J110,"yyyy-mm-dd")&amp;"|"&amp;$X110&amp;"|",'CALENDARIO'!$G$15:$G$214,0)),IFERROR(INDEX('CALENDARIO'!$C$15:$C$214,MATCH(TEXT($J110,"yyyy-mm-dd")&amp;"||",'CALENDARIO'!$G$15:$G$214,0)),INDEX(patronHabil,WEEKDAY($J110,2))))))</f>
        <v/>
      </c>
      <c r="U110" s="5">
        <f>IF($I110="","",IFERROR(INDEX('CAT_TIPOS_OT'!$C$4:$C$8,MATCH($I110,'CAT_TIPOS_OT'!$A$4:$A$8,0)),"sin_clasificar"))</f>
        <v/>
      </c>
      <c r="V110" s="5">
        <f>IF($I110="","",IF(IFERROR(INDEX('CAT_TIPOS_OT'!$D$4:$D$8,MATCH($I110,'CAT_TIPOS_OT'!$A$4:$A$8,0)),"SIN CLASIFICAR")="","SIN CLASIFICAR",IFERROR(INDEX('CAT_TIPOS_OT'!$D$4:$D$8,MATCH($I110,'CAT_TIPOS_OT'!$A$4:$A$8,0)),"SIN CLASIFICAR")))</f>
        <v/>
      </c>
      <c r="W110" s="5">
        <f>IF($F110="","",IFERROR(INDEX('CAT_CENTROS_COSTO'!$F$4:$F$13,MATCH($F110,'CAT_CENTROS_COSTO'!$A$4:$A$13,0)),"(sin catálogo)"))</f>
        <v/>
      </c>
      <c r="X110" s="5">
        <f>IF($F110="","",IFERROR(INDEX('CAT_CENTROS_COSTO'!$D$4:$D$13,MATCH($F110,'CAT_CENTROS_COSTO'!$A$4:$A$13,0)),"(sin catálogo)"))</f>
        <v/>
      </c>
      <c r="Y110" s="5">
        <f>IF($F110="","",IF((IFERROR(INDEX('CAT_CENTROS_COSTO'!$E$4:$E$13,MATCH($F110,'CAT_CENTROS_COSTO'!$A$4:$A$13,0)),""))&lt;&gt;"",IFERROR(INDEX('CAT_CENTROS_COSTO'!$E$4:$E$13,MATCH($F110,'CAT_CENTROS_COSTO'!$A$4:$A$13,0)),""),$X110))</f>
        <v/>
      </c>
      <c r="Z110" s="5">
        <f>IF($F110="","",IFERROR(INDEX('CAT_CENTROS_COSTO'!$G$4:$G$13,MATCH($F110,'CAT_CENTROS_COSTO'!$A$4:$A$13,0)),"(sin catálogo)"))</f>
        <v/>
      </c>
      <c r="AA110" s="5">
        <f>IF($G110="","",IFERROR(INDEX('CAT_PUESTOS'!$B$4:$B$8,MATCH($G110,'CAT_PUESTOS'!$A$4:$A$8,0)),"(sin catálogo)"))</f>
        <v/>
      </c>
      <c r="AB110" s="5">
        <f>IF($H110="","",IFERROR(INDEX('CAT_ACTIVIDADES'!$B$4:$B$11,MATCH($H110,'CAT_ACTIVIDADES'!$A$4:$A$11,0)),"(sin catálogo)"))</f>
        <v/>
      </c>
      <c r="AC110" s="20">
        <f>IF($J110="","",TODAY()-$J110)</f>
        <v/>
      </c>
      <c r="AD110" s="20">
        <f>IF($J110="","",IF($J110&lt;=TODAY(),COUNTIFS(cal_fechas,"&gt;="&amp;$J110,cal_fechas,"&lt;"&amp;TODAY(),cal_habil,"sí"),-COUNTIFS(cal_fechas,"&gt;="&amp;TODAY(),cal_fechas,"&lt;"&amp;$J110,cal_habil,"sí")))</f>
        <v/>
      </c>
      <c r="AE110" s="5">
        <f>IF($AD110="","",IF($AD110&lt;0,"FUTURO",IF($AD110&gt;p_dias_backlog_max,"BACKLOG","MES CORRIENTE")))</f>
        <v/>
      </c>
      <c r="AF110" s="5">
        <f>IF($AD110="",FALSE,AND($AD110&gt;p_dias_backlog_min,$AD110&lt;=p_dias_backlog_max))</f>
        <v/>
      </c>
      <c r="AG110" s="4" t="inlineStr"/>
      <c r="AH110" s="5">
        <f>IF($AG110="","",IF((IFERROR(INDEX('ASIGNACIONES'!$J$4:$J$451,MATCH($O110&amp;"|"&amp;$S110&amp;"|"&amp;$AG110,'ASIGNACIONES'!$N$4:$N$451,0)),""))=0,"",IFERROR(INDEX('ASIGNACIONES'!$J$4:$J$451,MATCH($O110&amp;"|"&amp;$S110&amp;"|"&amp;$AG110,'ASIGNACIONES'!$N$4:$N$451,0)),"")))</f>
        <v/>
      </c>
      <c r="AI110" s="25">
        <f>IF($AG110="","",SUMIFS('ORDENES'!$M$4:$M$1203,'ORDENES'!$AG$4:$AG$1203,$AG110,'ORDENES'!$O$4:$O$1203,$O110,'ORDENES'!$S$4:$S$1203,$S110))</f>
        <v/>
      </c>
      <c r="AJ110" s="25">
        <f>IF($AI110="","",p_factor_productividad*IFERROR(INDEX('ASIGNACIONES'!$M$4:$M$451,MATCH($O110&amp;"|"&amp;$S110&amp;"|"&amp;$AG110,'ASIGNACIONES'!$N$4:$N$451,0)),0)-$AI110)</f>
        <v/>
      </c>
      <c r="AK110" s="18">
        <f>IF($A110="","",IFERROR(INDEX('2_IMPORTAR_EJECUCION'!$F$9:$F$1208,MATCH($AT110,'2_IMPORTAR_EJECUCION'!$J$9:$J$1208,0)),0))</f>
        <v/>
      </c>
      <c r="AL110" s="18">
        <f>IF($A110="","",MAX(0,IFERROR(INDEX('2_IMPORTAR_EJECUCION'!$H$9:$H$1208,MATCH($AT110,'2_IMPORTAR_EJECUCION'!$J$9:$J$1208,0)),0)-$AK110))</f>
        <v/>
      </c>
      <c r="AM110" s="18">
        <f>IF($A110="","",$AK110+$AL110)</f>
        <v/>
      </c>
      <c r="AN110" s="5">
        <f>IF($A110="","",IF(OR((IFERROR(INDEX('CAT_ACTIVIDADES'!$D$4:$D$11,MATCH($H110,'CAT_ACTIVIDADES'!$A$4:$A$11,0)),""))=0,(IFERROR(INDEX('CAT_ACTIVIDADES'!$D$4:$D$11,MATCH($H110,'CAT_ACTIVIDADES'!$A$4:$A$11,0)),""))=""),"SIN CLASIFICAR",IFERROR(INDEX('CAT_ACTIVIDADES'!$D$4:$D$11,MATCH($H110,'CAT_ACTIVIDADES'!$A$4:$A$11,0)),"")))</f>
        <v/>
      </c>
      <c r="AO110" s="4" t="inlineStr"/>
      <c r="AP110" s="4" t="inlineStr"/>
      <c r="AQ110" s="4" t="inlineStr"/>
      <c r="AR110" s="5">
        <f>IF($AQ110="","",HYPERLINK(p_ruta_base_checklists&amp;$AQ110,"abrir"))</f>
        <v/>
      </c>
      <c r="AS110" s="4" t="inlineStr"/>
      <c r="AT110" s="5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22" t="n">
        <v>46231</v>
      </c>
      <c r="K111" s="5" t="n">
        <v>6</v>
      </c>
      <c r="L111" s="18" t="n">
        <v>150</v>
      </c>
      <c r="M111" s="5">
        <f>IF($A111="","",IFERROR(INDEX('AJUSTES'!$B$4:$B$303,MATCH($AT111,'AJUSTES'!$A$4:$A$303,0)),IF($K111="","",$K111)))</f>
        <v/>
      </c>
      <c r="N111" s="5">
        <f>IF($A111="","",IFERROR(INDEX('CAT_ESTADOS_ERP'!$B$4:$B$7,MATCH(IFERROR(INDEX('2_IMPORTAR_EJECUCION'!$C$9:$C$1208,MATCH($AT111,'2_IMPORTAR_EJECUCION'!$J$9:$J$1208,0)),""),'CAT_ESTADOS_ERP'!$A$4:$A$7,0)),"Pendiente"))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IF($J111="","",$P111&amp;"-"&amp;TEXT($Q111,"00"))</f>
        <v/>
      </c>
      <c r="S111" s="5">
        <f>IF($J111="","",INDEX(lista_dias,WEEKDAY($J111,2)))</f>
        <v/>
      </c>
      <c r="T111" s="5">
        <f>IF($J111="","",IFERROR(INDEX('CALENDARIO'!$C$15:$C$214,MATCH(TEXT($J111,"yyyy-mm-dd")&amp;"|"&amp;$X111&amp;"|"&amp;$Y111,'CALENDARIO'!$G$15:$G$214,0)),IFERROR(INDEX('CALENDARIO'!$C$15:$C$214,MATCH(TEXT($J111,"yyyy-mm-dd")&amp;"|"&amp;$X111&amp;"|",'CALENDARIO'!$G$15:$G$214,0)),IFERROR(INDEX('CALENDARIO'!$C$15:$C$214,MATCH(TEXT($J111,"yyyy-mm-dd")&amp;"||",'CALENDARIO'!$G$15:$G$214,0)),INDEX(patronHabil,WEEKDAY($J111,2))))))</f>
        <v/>
      </c>
      <c r="U111" s="5">
        <f>IF($I111="","",IFERROR(INDEX('CAT_TIPOS_OT'!$C$4:$C$8,MATCH($I111,'CAT_TIPOS_OT'!$A$4:$A$8,0)),"sin_clasificar"))</f>
        <v/>
      </c>
      <c r="V111" s="5">
        <f>IF($I111="","",IF(IFERROR(INDEX('CAT_TIPOS_OT'!$D$4:$D$8,MATCH($I111,'CAT_TIPOS_OT'!$A$4:$A$8,0)),"SIN CLASIFICAR")="","SIN CLASIFICAR",IFERROR(INDEX('CAT_TIPOS_OT'!$D$4:$D$8,MATCH($I111,'CAT_TIPOS_OT'!$A$4:$A$8,0)),"SIN CLASIFICAR")))</f>
        <v/>
      </c>
      <c r="W111" s="5">
        <f>IF($F111="","",IFERROR(INDEX('CAT_CENTROS_COSTO'!$F$4:$F$13,MATCH($F111,'CAT_CENTROS_COSTO'!$A$4:$A$13,0)),"(sin catálogo)"))</f>
        <v/>
      </c>
      <c r="X111" s="5">
        <f>IF($F111="","",IFERROR(INDEX('CAT_CENTROS_COSTO'!$D$4:$D$13,MATCH($F111,'CAT_CENTROS_COSTO'!$A$4:$A$13,0)),"(sin catálogo)"))</f>
        <v/>
      </c>
      <c r="Y111" s="5">
        <f>IF($F111="","",IF((IFERROR(INDEX('CAT_CENTROS_COSTO'!$E$4:$E$13,MATCH($F111,'CAT_CENTROS_COSTO'!$A$4:$A$13,0)),""))&lt;&gt;"",IFERROR(INDEX('CAT_CENTROS_COSTO'!$E$4:$E$13,MATCH($F111,'CAT_CENTROS_COSTO'!$A$4:$A$13,0)),""),$X111))</f>
        <v/>
      </c>
      <c r="Z111" s="5">
        <f>IF($F111="","",IFERROR(INDEX('CAT_CENTROS_COSTO'!$G$4:$G$13,MATCH($F111,'CAT_CENTROS_COSTO'!$A$4:$A$13,0)),"(sin catálogo)"))</f>
        <v/>
      </c>
      <c r="AA111" s="5">
        <f>IF($G111="","",IFERROR(INDEX('CAT_PUESTOS'!$B$4:$B$8,MATCH($G111,'CAT_PUESTOS'!$A$4:$A$8,0)),"(sin catálogo)"))</f>
        <v/>
      </c>
      <c r="AB111" s="5">
        <f>IF($H111="","",IFERROR(INDEX('CAT_ACTIVIDADES'!$B$4:$B$11,MATCH($H111,'CAT_ACTIVIDADES'!$A$4:$A$11,0)),"(sin catálogo)"))</f>
        <v/>
      </c>
      <c r="AC111" s="20">
        <f>IF($J111="","",TODAY()-$J111)</f>
        <v/>
      </c>
      <c r="AD111" s="20">
        <f>IF($J111="","",IF($J111&lt;=TODAY(),COUNTIFS(cal_fechas,"&gt;="&amp;$J111,cal_fechas,"&lt;"&amp;TODAY(),cal_habil,"sí"),-COUNTIFS(cal_fechas,"&gt;="&amp;TODAY(),cal_fechas,"&lt;"&amp;$J111,cal_habil,"sí")))</f>
        <v/>
      </c>
      <c r="AE111" s="5">
        <f>IF($AD111="","",IF($AD111&lt;0,"FUTURO",IF($AD111&gt;p_dias_backlog_max,"BACKLOG","MES CORRIENTE")))</f>
        <v/>
      </c>
      <c r="AF111" s="5">
        <f>IF($AD111="",FALSE,AND($AD111&gt;p_dias_backlog_min,$AD111&lt;=p_dias_backlog_max))</f>
        <v/>
      </c>
      <c r="AG111" s="4" t="inlineStr"/>
      <c r="AH111" s="5">
        <f>IF($AG111="","",IF((IFERROR(INDEX('ASIGNACIONES'!$J$4:$J$451,MATCH($O111&amp;"|"&amp;$S111&amp;"|"&amp;$AG111,'ASIGNACIONES'!$N$4:$N$451,0)),""))=0,"",IFERROR(INDEX('ASIGNACIONES'!$J$4:$J$451,MATCH($O111&amp;"|"&amp;$S111&amp;"|"&amp;$AG111,'ASIGNACIONES'!$N$4:$N$451,0)),"")))</f>
        <v/>
      </c>
      <c r="AI111" s="25">
        <f>IF($AG111="","",SUMIFS('ORDENES'!$M$4:$M$1203,'ORDENES'!$AG$4:$AG$1203,$AG111,'ORDENES'!$O$4:$O$1203,$O111,'ORDENES'!$S$4:$S$1203,$S111))</f>
        <v/>
      </c>
      <c r="AJ111" s="25">
        <f>IF($AI111="","",p_factor_productividad*IFERROR(INDEX('ASIGNACIONES'!$M$4:$M$451,MATCH($O111&amp;"|"&amp;$S111&amp;"|"&amp;$AG111,'ASIGNACIONES'!$N$4:$N$451,0)),0)-$AI111)</f>
        <v/>
      </c>
      <c r="AK111" s="18">
        <f>IF($A111="","",IFERROR(INDEX('2_IMPORTAR_EJECUCION'!$F$9:$F$1208,MATCH($AT111,'2_IMPORTAR_EJECUCION'!$J$9:$J$1208,0)),0))</f>
        <v/>
      </c>
      <c r="AL111" s="18">
        <f>IF($A111="","",MAX(0,IFERROR(INDEX('2_IMPORTAR_EJECUCION'!$H$9:$H$1208,MATCH($AT111,'2_IMPORTAR_EJECUCION'!$J$9:$J$1208,0)),0)-$AK111))</f>
        <v/>
      </c>
      <c r="AM111" s="18">
        <f>IF($A111="","",$AK111+$AL111)</f>
        <v/>
      </c>
      <c r="AN111" s="5">
        <f>IF($A111="","",IF(OR((IFERROR(INDEX('CAT_ACTIVIDADES'!$D$4:$D$11,MATCH($H111,'CAT_ACTIVIDADES'!$A$4:$A$11,0)),""))=0,(IFERROR(INDEX('CAT_ACTIVIDADES'!$D$4:$D$11,MATCH($H111,'CAT_ACTIVIDADES'!$A$4:$A$11,0)),""))=""),"SIN CLASIFICAR",IFERROR(INDEX('CAT_ACTIVIDADES'!$D$4:$D$11,MATCH($H111,'CAT_ACTIVIDADES'!$A$4:$A$11,0)),"")))</f>
        <v/>
      </c>
      <c r="AO111" s="4" t="inlineStr"/>
      <c r="AP111" s="4" t="inlineStr"/>
      <c r="AQ111" s="4" t="inlineStr"/>
      <c r="AR111" s="5">
        <f>IF($AQ111="","",HYPERLINK(p_ruta_base_checklists&amp;$AQ111,"abrir"))</f>
        <v/>
      </c>
      <c r="AS111" s="4" t="inlineStr"/>
      <c r="AT111" s="5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22" t="n">
        <v>46237</v>
      </c>
      <c r="K112" s="5" t="n">
        <v>10</v>
      </c>
      <c r="L112" s="18" t="n">
        <v>250</v>
      </c>
      <c r="M112" s="5">
        <f>IF($A112="","",IFERROR(INDEX('AJUSTES'!$B$4:$B$303,MATCH($AT112,'AJUSTES'!$A$4:$A$303,0)),IF($K112="","",$K112)))</f>
        <v/>
      </c>
      <c r="N112" s="5">
        <f>IF($A112="","",IFERROR(INDEX('CAT_ESTADOS_ERP'!$B$4:$B$7,MATCH(IFERROR(INDEX('2_IMPORTAR_EJECUCION'!$C$9:$C$1208,MATCH($AT112,'2_IMPORTAR_EJECUCION'!$J$9:$J$1208,0)),""),'CAT_ESTADOS_ERP'!$A$4:$A$7,0)),"Pendiente"))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IF($J112="","",$P112&amp;"-"&amp;TEXT($Q112,"00"))</f>
        <v/>
      </c>
      <c r="S112" s="5">
        <f>IF($J112="","",INDEX(lista_dias,WEEKDAY($J112,2)))</f>
        <v/>
      </c>
      <c r="T112" s="5">
        <f>IF($J112="","",IFERROR(INDEX('CALENDARIO'!$C$15:$C$214,MATCH(TEXT($J112,"yyyy-mm-dd")&amp;"|"&amp;$X112&amp;"|"&amp;$Y112,'CALENDARIO'!$G$15:$G$214,0)),IFERROR(INDEX('CALENDARIO'!$C$15:$C$214,MATCH(TEXT($J112,"yyyy-mm-dd")&amp;"|"&amp;$X112&amp;"|",'CALENDARIO'!$G$15:$G$214,0)),IFERROR(INDEX('CALENDARIO'!$C$15:$C$214,MATCH(TEXT($J112,"yyyy-mm-dd")&amp;"||",'CALENDARIO'!$G$15:$G$214,0)),INDEX(patronHabil,WEEKDAY($J112,2))))))</f>
        <v/>
      </c>
      <c r="U112" s="5">
        <f>IF($I112="","",IFERROR(INDEX('CAT_TIPOS_OT'!$C$4:$C$8,MATCH($I112,'CAT_TIPOS_OT'!$A$4:$A$8,0)),"sin_clasificar"))</f>
        <v/>
      </c>
      <c r="V112" s="5">
        <f>IF($I112="","",IF(IFERROR(INDEX('CAT_TIPOS_OT'!$D$4:$D$8,MATCH($I112,'CAT_TIPOS_OT'!$A$4:$A$8,0)),"SIN CLASIFICAR")="","SIN CLASIFICAR",IFERROR(INDEX('CAT_TIPOS_OT'!$D$4:$D$8,MATCH($I112,'CAT_TIPOS_OT'!$A$4:$A$8,0)),"SIN CLASIFICAR")))</f>
        <v/>
      </c>
      <c r="W112" s="5">
        <f>IF($F112="","",IFERROR(INDEX('CAT_CENTROS_COSTO'!$F$4:$F$13,MATCH($F112,'CAT_CENTROS_COSTO'!$A$4:$A$13,0)),"(sin catálogo)"))</f>
        <v/>
      </c>
      <c r="X112" s="5">
        <f>IF($F112="","",IFERROR(INDEX('CAT_CENTROS_COSTO'!$D$4:$D$13,MATCH($F112,'CAT_CENTROS_COSTO'!$A$4:$A$13,0)),"(sin catálogo)"))</f>
        <v/>
      </c>
      <c r="Y112" s="5">
        <f>IF($F112="","",IF((IFERROR(INDEX('CAT_CENTROS_COSTO'!$E$4:$E$13,MATCH($F112,'CAT_CENTROS_COSTO'!$A$4:$A$13,0)),""))&lt;&gt;"",IFERROR(INDEX('CAT_CENTROS_COSTO'!$E$4:$E$13,MATCH($F112,'CAT_CENTROS_COSTO'!$A$4:$A$13,0)),""),$X112))</f>
        <v/>
      </c>
      <c r="Z112" s="5">
        <f>IF($F112="","",IFERROR(INDEX('CAT_CENTROS_COSTO'!$G$4:$G$13,MATCH($F112,'CAT_CENTROS_COSTO'!$A$4:$A$13,0)),"(sin catálogo)"))</f>
        <v/>
      </c>
      <c r="AA112" s="5">
        <f>IF($G112="","",IFERROR(INDEX('CAT_PUESTOS'!$B$4:$B$8,MATCH($G112,'CAT_PUESTOS'!$A$4:$A$8,0)),"(sin catálogo)"))</f>
        <v/>
      </c>
      <c r="AB112" s="5">
        <f>IF($H112="","",IFERROR(INDEX('CAT_ACTIVIDADES'!$B$4:$B$11,MATCH($H112,'CAT_ACTIVIDADES'!$A$4:$A$11,0)),"(sin catálogo)"))</f>
        <v/>
      </c>
      <c r="AC112" s="20">
        <f>IF($J112="","",TODAY()-$J112)</f>
        <v/>
      </c>
      <c r="AD112" s="20">
        <f>IF($J112="","",IF($J112&lt;=TODAY(),COUNTIFS(cal_fechas,"&gt;="&amp;$J112,cal_fechas,"&lt;"&amp;TODAY(),cal_habil,"sí"),-COUNTIFS(cal_fechas,"&gt;="&amp;TODAY(),cal_fechas,"&lt;"&amp;$J112,cal_habil,"sí")))</f>
        <v/>
      </c>
      <c r="AE112" s="5">
        <f>IF($AD112="","",IF($AD112&lt;0,"FUTURO",IF($AD112&gt;p_dias_backlog_max,"BACKLOG","MES CORRIENTE")))</f>
        <v/>
      </c>
      <c r="AF112" s="5">
        <f>IF($AD112="",FALSE,AND($AD112&gt;p_dias_backlog_min,$AD112&lt;=p_dias_backlog_max))</f>
        <v/>
      </c>
      <c r="AG112" s="4" t="inlineStr"/>
      <c r="AH112" s="5">
        <f>IF($AG112="","",IF((IFERROR(INDEX('ASIGNACIONES'!$J$4:$J$451,MATCH($O112&amp;"|"&amp;$S112&amp;"|"&amp;$AG112,'ASIGNACIONES'!$N$4:$N$451,0)),""))=0,"",IFERROR(INDEX('ASIGNACIONES'!$J$4:$J$451,MATCH($O112&amp;"|"&amp;$S112&amp;"|"&amp;$AG112,'ASIGNACIONES'!$N$4:$N$451,0)),"")))</f>
        <v/>
      </c>
      <c r="AI112" s="25">
        <f>IF($AG112="","",SUMIFS('ORDENES'!$M$4:$M$1203,'ORDENES'!$AG$4:$AG$1203,$AG112,'ORDENES'!$O$4:$O$1203,$O112,'ORDENES'!$S$4:$S$1203,$S112))</f>
        <v/>
      </c>
      <c r="AJ112" s="25">
        <f>IF($AI112="","",p_factor_productividad*IFERROR(INDEX('ASIGNACIONES'!$M$4:$M$451,MATCH($O112&amp;"|"&amp;$S112&amp;"|"&amp;$AG112,'ASIGNACIONES'!$N$4:$N$451,0)),0)-$AI112)</f>
        <v/>
      </c>
      <c r="AK112" s="18">
        <f>IF($A112="","",IFERROR(INDEX('2_IMPORTAR_EJECUCION'!$F$9:$F$1208,MATCH($AT112,'2_IMPORTAR_EJECUCION'!$J$9:$J$1208,0)),0))</f>
        <v/>
      </c>
      <c r="AL112" s="18">
        <f>IF($A112="","",MAX(0,IFERROR(INDEX('2_IMPORTAR_EJECUCION'!$H$9:$H$1208,MATCH($AT112,'2_IMPORTAR_EJECUCION'!$J$9:$J$1208,0)),0)-$AK112))</f>
        <v/>
      </c>
      <c r="AM112" s="18">
        <f>IF($A112="","",$AK112+$AL112)</f>
        <v/>
      </c>
      <c r="AN112" s="5">
        <f>IF($A112="","",IF(OR((IFERROR(INDEX('CAT_ACTIVIDADES'!$D$4:$D$11,MATCH($H112,'CAT_ACTIVIDADES'!$A$4:$A$11,0)),""))=0,(IFERROR(INDEX('CAT_ACTIVIDADES'!$D$4:$D$11,MATCH($H112,'CAT_ACTIVIDADES'!$A$4:$A$11,0)),""))=""),"SIN CLASIFICAR",IFERROR(INDEX('CAT_ACTIVIDADES'!$D$4:$D$11,MATCH($H112,'CAT_ACTIVIDADES'!$A$4:$A$11,0)),"")))</f>
        <v/>
      </c>
      <c r="AO112" s="4" t="inlineStr"/>
      <c r="AP112" s="4" t="inlineStr"/>
      <c r="AQ112" s="4" t="inlineStr"/>
      <c r="AR112" s="5">
        <f>IF($AQ112="","",HYPERLINK(p_ruta_base_checklists&amp;$AQ112,"abrir"))</f>
        <v/>
      </c>
      <c r="AS112" s="4" t="inlineStr"/>
      <c r="AT112" s="5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22" t="n">
        <v>46238</v>
      </c>
      <c r="K113" s="5" t="n">
        <v>2</v>
      </c>
      <c r="L113" s="18" t="n">
        <v>50</v>
      </c>
      <c r="M113" s="5">
        <f>IF($A113="","",IFERROR(INDEX('AJUSTES'!$B$4:$B$303,MATCH($AT113,'AJUSTES'!$A$4:$A$303,0)),IF($K113="","",$K113)))</f>
        <v/>
      </c>
      <c r="N113" s="5">
        <f>IF($A113="","",IFERROR(INDEX('CAT_ESTADOS_ERP'!$B$4:$B$7,MATCH(IFERROR(INDEX('2_IMPORTAR_EJECUCION'!$C$9:$C$1208,MATCH($AT113,'2_IMPORTAR_EJECUCION'!$J$9:$J$1208,0)),""),'CAT_ESTADOS_ERP'!$A$4:$A$7,0)),"Pendiente"))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IF($J113="","",$P113&amp;"-"&amp;TEXT($Q113,"00"))</f>
        <v/>
      </c>
      <c r="S113" s="5">
        <f>IF($J113="","",INDEX(lista_dias,WEEKDAY($J113,2)))</f>
        <v/>
      </c>
      <c r="T113" s="5">
        <f>IF($J113="","",IFERROR(INDEX('CALENDARIO'!$C$15:$C$214,MATCH(TEXT($J113,"yyyy-mm-dd")&amp;"|"&amp;$X113&amp;"|"&amp;$Y113,'CALENDARIO'!$G$15:$G$214,0)),IFERROR(INDEX('CALENDARIO'!$C$15:$C$214,MATCH(TEXT($J113,"yyyy-mm-dd")&amp;"|"&amp;$X113&amp;"|",'CALENDARIO'!$G$15:$G$214,0)),IFERROR(INDEX('CALENDARIO'!$C$15:$C$214,MATCH(TEXT($J113,"yyyy-mm-dd")&amp;"||",'CALENDARIO'!$G$15:$G$214,0)),INDEX(patronHabil,WEEKDAY($J113,2))))))</f>
        <v/>
      </c>
      <c r="U113" s="5">
        <f>IF($I113="","",IFERROR(INDEX('CAT_TIPOS_OT'!$C$4:$C$8,MATCH($I113,'CAT_TIPOS_OT'!$A$4:$A$8,0)),"sin_clasificar"))</f>
        <v/>
      </c>
      <c r="V113" s="5">
        <f>IF($I113="","",IF(IFERROR(INDEX('CAT_TIPOS_OT'!$D$4:$D$8,MATCH($I113,'CAT_TIPOS_OT'!$A$4:$A$8,0)),"SIN CLASIFICAR")="","SIN CLASIFICAR",IFERROR(INDEX('CAT_TIPOS_OT'!$D$4:$D$8,MATCH($I113,'CAT_TIPOS_OT'!$A$4:$A$8,0)),"SIN CLASIFICAR")))</f>
        <v/>
      </c>
      <c r="W113" s="5">
        <f>IF($F113="","",IFERROR(INDEX('CAT_CENTROS_COSTO'!$F$4:$F$13,MATCH($F113,'CAT_CENTROS_COSTO'!$A$4:$A$13,0)),"(sin catálogo)"))</f>
        <v/>
      </c>
      <c r="X113" s="5">
        <f>IF($F113="","",IFERROR(INDEX('CAT_CENTROS_COSTO'!$D$4:$D$13,MATCH($F113,'CAT_CENTROS_COSTO'!$A$4:$A$13,0)),"(sin catálogo)"))</f>
        <v/>
      </c>
      <c r="Y113" s="5">
        <f>IF($F113="","",IF((IFERROR(INDEX('CAT_CENTROS_COSTO'!$E$4:$E$13,MATCH($F113,'CAT_CENTROS_COSTO'!$A$4:$A$13,0)),""))&lt;&gt;"",IFERROR(INDEX('CAT_CENTROS_COSTO'!$E$4:$E$13,MATCH($F113,'CAT_CENTROS_COSTO'!$A$4:$A$13,0)),""),$X113))</f>
        <v/>
      </c>
      <c r="Z113" s="5">
        <f>IF($F113="","",IFERROR(INDEX('CAT_CENTROS_COSTO'!$G$4:$G$13,MATCH($F113,'CAT_CENTROS_COSTO'!$A$4:$A$13,0)),"(sin catálogo)"))</f>
        <v/>
      </c>
      <c r="AA113" s="5">
        <f>IF($G113="","",IFERROR(INDEX('CAT_PUESTOS'!$B$4:$B$8,MATCH($G113,'CAT_PUESTOS'!$A$4:$A$8,0)),"(sin catálogo)"))</f>
        <v/>
      </c>
      <c r="AB113" s="5">
        <f>IF($H113="","",IFERROR(INDEX('CAT_ACTIVIDADES'!$B$4:$B$11,MATCH($H113,'CAT_ACTIVIDADES'!$A$4:$A$11,0)),"(sin catálogo)"))</f>
        <v/>
      </c>
      <c r="AC113" s="20">
        <f>IF($J113="","",TODAY()-$J113)</f>
        <v/>
      </c>
      <c r="AD113" s="20">
        <f>IF($J113="","",IF($J113&lt;=TODAY(),COUNTIFS(cal_fechas,"&gt;="&amp;$J113,cal_fechas,"&lt;"&amp;TODAY(),cal_habil,"sí"),-COUNTIFS(cal_fechas,"&gt;="&amp;TODAY(),cal_fechas,"&lt;"&amp;$J113,cal_habil,"sí")))</f>
        <v/>
      </c>
      <c r="AE113" s="5">
        <f>IF($AD113="","",IF($AD113&lt;0,"FUTURO",IF($AD113&gt;p_dias_backlog_max,"BACKLOG","MES CORRIENTE")))</f>
        <v/>
      </c>
      <c r="AF113" s="5">
        <f>IF($AD113="",FALSE,AND($AD113&gt;p_dias_backlog_min,$AD113&lt;=p_dias_backlog_max))</f>
        <v/>
      </c>
      <c r="AG113" s="4" t="inlineStr"/>
      <c r="AH113" s="5">
        <f>IF($AG113="","",IF((IFERROR(INDEX('ASIGNACIONES'!$J$4:$J$451,MATCH($O113&amp;"|"&amp;$S113&amp;"|"&amp;$AG113,'ASIGNACIONES'!$N$4:$N$451,0)),""))=0,"",IFERROR(INDEX('ASIGNACIONES'!$J$4:$J$451,MATCH($O113&amp;"|"&amp;$S113&amp;"|"&amp;$AG113,'ASIGNACIONES'!$N$4:$N$451,0)),"")))</f>
        <v/>
      </c>
      <c r="AI113" s="25">
        <f>IF($AG113="","",SUMIFS('ORDENES'!$M$4:$M$1203,'ORDENES'!$AG$4:$AG$1203,$AG113,'ORDENES'!$O$4:$O$1203,$O113,'ORDENES'!$S$4:$S$1203,$S113))</f>
        <v/>
      </c>
      <c r="AJ113" s="25">
        <f>IF($AI113="","",p_factor_productividad*IFERROR(INDEX('ASIGNACIONES'!$M$4:$M$451,MATCH($O113&amp;"|"&amp;$S113&amp;"|"&amp;$AG113,'ASIGNACIONES'!$N$4:$N$451,0)),0)-$AI113)</f>
        <v/>
      </c>
      <c r="AK113" s="18">
        <f>IF($A113="","",IFERROR(INDEX('2_IMPORTAR_EJECUCION'!$F$9:$F$1208,MATCH($AT113,'2_IMPORTAR_EJECUCION'!$J$9:$J$1208,0)),0))</f>
        <v/>
      </c>
      <c r="AL113" s="18">
        <f>IF($A113="","",MAX(0,IFERROR(INDEX('2_IMPORTAR_EJECUCION'!$H$9:$H$1208,MATCH($AT113,'2_IMPORTAR_EJECUCION'!$J$9:$J$1208,0)),0)-$AK113))</f>
        <v/>
      </c>
      <c r="AM113" s="18">
        <f>IF($A113="","",$AK113+$AL113)</f>
        <v/>
      </c>
      <c r="AN113" s="5">
        <f>IF($A113="","",IF(OR((IFERROR(INDEX('CAT_ACTIVIDADES'!$D$4:$D$11,MATCH($H113,'CAT_ACTIVIDADES'!$A$4:$A$11,0)),""))=0,(IFERROR(INDEX('CAT_ACTIVIDADES'!$D$4:$D$11,MATCH($H113,'CAT_ACTIVIDADES'!$A$4:$A$11,0)),""))=""),"SIN CLASIFICAR",IFERROR(INDEX('CAT_ACTIVIDADES'!$D$4:$D$11,MATCH($H113,'CAT_ACTIVIDADES'!$A$4:$A$11,0)),"")))</f>
        <v/>
      </c>
      <c r="AO113" s="4" t="inlineStr"/>
      <c r="AP113" s="4" t="inlineStr"/>
      <c r="AQ113" s="4" t="inlineStr"/>
      <c r="AR113" s="5">
        <f>IF($AQ113="","",HYPERLINK(p_ruta_base_checklists&amp;$AQ113,"abrir"))</f>
        <v/>
      </c>
      <c r="AS113" s="4" t="inlineStr"/>
      <c r="AT113" s="5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22" t="n">
        <v>46235</v>
      </c>
      <c r="K114" s="5" t="n">
        <v>6</v>
      </c>
      <c r="L114" s="18" t="n">
        <v>240</v>
      </c>
      <c r="M114" s="5">
        <f>IF($A114="","",IFERROR(INDEX('AJUSTES'!$B$4:$B$303,MATCH($AT114,'AJUSTES'!$A$4:$A$303,0)),IF($K114="","",$K114)))</f>
        <v/>
      </c>
      <c r="N114" s="5">
        <f>IF($A114="","",IFERROR(INDEX('CAT_ESTADOS_ERP'!$B$4:$B$7,MATCH(IFERROR(INDEX('2_IMPORTAR_EJECUCION'!$C$9:$C$1208,MATCH($AT114,'2_IMPORTAR_EJECUCION'!$J$9:$J$1208,0)),""),'CAT_ESTADOS_ERP'!$A$4:$A$7,0)),"Pendiente"))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IF($J114="","",$P114&amp;"-"&amp;TEXT($Q114,"00"))</f>
        <v/>
      </c>
      <c r="S114" s="5">
        <f>IF($J114="","",INDEX(lista_dias,WEEKDAY($J114,2)))</f>
        <v/>
      </c>
      <c r="T114" s="5">
        <f>IF($J114="","",IFERROR(INDEX('CALENDARIO'!$C$15:$C$214,MATCH(TEXT($J114,"yyyy-mm-dd")&amp;"|"&amp;$X114&amp;"|"&amp;$Y114,'CALENDARIO'!$G$15:$G$214,0)),IFERROR(INDEX('CALENDARIO'!$C$15:$C$214,MATCH(TEXT($J114,"yyyy-mm-dd")&amp;"|"&amp;$X114&amp;"|",'CALENDARIO'!$G$15:$G$214,0)),IFERROR(INDEX('CALENDARIO'!$C$15:$C$214,MATCH(TEXT($J114,"yyyy-mm-dd")&amp;"||",'CALENDARIO'!$G$15:$G$214,0)),INDEX(patronHabil,WEEKDAY($J114,2))))))</f>
        <v/>
      </c>
      <c r="U114" s="5">
        <f>IF($I114="","",IFERROR(INDEX('CAT_TIPOS_OT'!$C$4:$C$8,MATCH($I114,'CAT_TIPOS_OT'!$A$4:$A$8,0)),"sin_clasificar"))</f>
        <v/>
      </c>
      <c r="V114" s="5">
        <f>IF($I114="","",IF(IFERROR(INDEX('CAT_TIPOS_OT'!$D$4:$D$8,MATCH($I114,'CAT_TIPOS_OT'!$A$4:$A$8,0)),"SIN CLASIFICAR")="","SIN CLASIFICAR",IFERROR(INDEX('CAT_TIPOS_OT'!$D$4:$D$8,MATCH($I114,'CAT_TIPOS_OT'!$A$4:$A$8,0)),"SIN CLASIFICAR")))</f>
        <v/>
      </c>
      <c r="W114" s="5">
        <f>IF($F114="","",IFERROR(INDEX('CAT_CENTROS_COSTO'!$F$4:$F$13,MATCH($F114,'CAT_CENTROS_COSTO'!$A$4:$A$13,0)),"(sin catálogo)"))</f>
        <v/>
      </c>
      <c r="X114" s="5">
        <f>IF($F114="","",IFERROR(INDEX('CAT_CENTROS_COSTO'!$D$4:$D$13,MATCH($F114,'CAT_CENTROS_COSTO'!$A$4:$A$13,0)),"(sin catálogo)"))</f>
        <v/>
      </c>
      <c r="Y114" s="5">
        <f>IF($F114="","",IF((IFERROR(INDEX('CAT_CENTROS_COSTO'!$E$4:$E$13,MATCH($F114,'CAT_CENTROS_COSTO'!$A$4:$A$13,0)),""))&lt;&gt;"",IFERROR(INDEX('CAT_CENTROS_COSTO'!$E$4:$E$13,MATCH($F114,'CAT_CENTROS_COSTO'!$A$4:$A$13,0)),""),$X114))</f>
        <v/>
      </c>
      <c r="Z114" s="5">
        <f>IF($F114="","",IFERROR(INDEX('CAT_CENTROS_COSTO'!$G$4:$G$13,MATCH($F114,'CAT_CENTROS_COSTO'!$A$4:$A$13,0)),"(sin catálogo)"))</f>
        <v/>
      </c>
      <c r="AA114" s="5">
        <f>IF($G114="","",IFERROR(INDEX('CAT_PUESTOS'!$B$4:$B$8,MATCH($G114,'CAT_PUESTOS'!$A$4:$A$8,0)),"(sin catálogo)"))</f>
        <v/>
      </c>
      <c r="AB114" s="5">
        <f>IF($H114="","",IFERROR(INDEX('CAT_ACTIVIDADES'!$B$4:$B$11,MATCH($H114,'CAT_ACTIVIDADES'!$A$4:$A$11,0)),"(sin catálogo)"))</f>
        <v/>
      </c>
      <c r="AC114" s="20">
        <f>IF($J114="","",TODAY()-$J114)</f>
        <v/>
      </c>
      <c r="AD114" s="20">
        <f>IF($J114="","",IF($J114&lt;=TODAY(),COUNTIFS(cal_fechas,"&gt;="&amp;$J114,cal_fechas,"&lt;"&amp;TODAY(),cal_habil,"sí"),-COUNTIFS(cal_fechas,"&gt;="&amp;TODAY(),cal_fechas,"&lt;"&amp;$J114,cal_habil,"sí")))</f>
        <v/>
      </c>
      <c r="AE114" s="5">
        <f>IF($AD114="","",IF($AD114&lt;0,"FUTURO",IF($AD114&gt;p_dias_backlog_max,"BACKLOG","MES CORRIENTE")))</f>
        <v/>
      </c>
      <c r="AF114" s="5">
        <f>IF($AD114="",FALSE,AND($AD114&gt;p_dias_backlog_min,$AD114&lt;=p_dias_backlog_max))</f>
        <v/>
      </c>
      <c r="AG114" s="4" t="inlineStr">
        <is>
          <t>Carlos Pérez</t>
        </is>
      </c>
      <c r="AH114" s="5">
        <f>IF($AG114="","",IF((IFERROR(INDEX('ASIGNACIONES'!$J$4:$J$451,MATCH($O114&amp;"|"&amp;$S114&amp;"|"&amp;$AG114,'ASIGNACIONES'!$N$4:$N$451,0)),""))=0,"",IFERROR(INDEX('ASIGNACIONES'!$J$4:$J$451,MATCH($O114&amp;"|"&amp;$S114&amp;"|"&amp;$AG114,'ASIGNACIONES'!$N$4:$N$451,0)),"")))</f>
        <v/>
      </c>
      <c r="AI114" s="25">
        <f>IF($AG114="","",SUMIFS('ORDENES'!$M$4:$M$1203,'ORDENES'!$AG$4:$AG$1203,$AG114,'ORDENES'!$O$4:$O$1203,$O114,'ORDENES'!$S$4:$S$1203,$S114))</f>
        <v/>
      </c>
      <c r="AJ114" s="25">
        <f>IF($AI114="","",p_factor_productividad*IFERROR(INDEX('ASIGNACIONES'!$M$4:$M$451,MATCH($O114&amp;"|"&amp;$S114&amp;"|"&amp;$AG114,'ASIGNACIONES'!$N$4:$N$451,0)),0)-$AI114)</f>
        <v/>
      </c>
      <c r="AK114" s="18">
        <f>IF($A114="","",IFERROR(INDEX('2_IMPORTAR_EJECUCION'!$F$9:$F$1208,MATCH($AT114,'2_IMPORTAR_EJECUCION'!$J$9:$J$1208,0)),0))</f>
        <v/>
      </c>
      <c r="AL114" s="18">
        <f>IF($A114="","",MAX(0,IFERROR(INDEX('2_IMPORTAR_EJECUCION'!$H$9:$H$1208,MATCH($AT114,'2_IMPORTAR_EJECUCION'!$J$9:$J$1208,0)),0)-$AK114))</f>
        <v/>
      </c>
      <c r="AM114" s="18">
        <f>IF($A114="","",$AK114+$AL114)</f>
        <v/>
      </c>
      <c r="AN114" s="5">
        <f>IF($A114="","",IF(OR((IFERROR(INDEX('CAT_ACTIVIDADES'!$D$4:$D$11,MATCH($H114,'CAT_ACTIVIDADES'!$A$4:$A$11,0)),""))=0,(IFERROR(INDEX('CAT_ACTIVIDADES'!$D$4:$D$11,MATCH($H114,'CAT_ACTIVIDADES'!$A$4:$A$11,0)),""))=""),"SIN CLASIFICAR",IFERROR(INDEX('CAT_ACTIVIDADES'!$D$4:$D$11,MATCH($H114,'CAT_ACTIVIDADES'!$A$4:$A$11,0)),"")))</f>
        <v/>
      </c>
      <c r="AO114" s="4" t="inlineStr"/>
      <c r="AP114" s="4" t="inlineStr"/>
      <c r="AQ114" s="4" t="inlineStr"/>
      <c r="AR114" s="5">
        <f>IF($AQ114="","",HYPERLINK(p_ruta_base_checklists&amp;$AQ114,"abrir"))</f>
        <v/>
      </c>
      <c r="AS114" s="4" t="inlineStr"/>
      <c r="AT114" s="5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22" t="n">
        <v>46235</v>
      </c>
      <c r="K115" s="5" t="n">
        <v>4</v>
      </c>
      <c r="L115" s="18" t="n">
        <v>160</v>
      </c>
      <c r="M115" s="5">
        <f>IF($A115="","",IFERROR(INDEX('AJUSTES'!$B$4:$B$303,MATCH($AT115,'AJUSTES'!$A$4:$A$303,0)),IF($K115="","",$K115)))</f>
        <v/>
      </c>
      <c r="N115" s="5">
        <f>IF($A115="","",IFERROR(INDEX('CAT_ESTADOS_ERP'!$B$4:$B$7,MATCH(IFERROR(INDEX('2_IMPORTAR_EJECUCION'!$C$9:$C$1208,MATCH($AT115,'2_IMPORTAR_EJECUCION'!$J$9:$J$1208,0)),""),'CAT_ESTADOS_ERP'!$A$4:$A$7,0)),"Pendiente"))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IF($J115="","",$P115&amp;"-"&amp;TEXT($Q115,"00"))</f>
        <v/>
      </c>
      <c r="S115" s="5">
        <f>IF($J115="","",INDEX(lista_dias,WEEKDAY($J115,2)))</f>
        <v/>
      </c>
      <c r="T115" s="5">
        <f>IF($J115="","",IFERROR(INDEX('CALENDARIO'!$C$15:$C$214,MATCH(TEXT($J115,"yyyy-mm-dd")&amp;"|"&amp;$X115&amp;"|"&amp;$Y115,'CALENDARIO'!$G$15:$G$214,0)),IFERROR(INDEX('CALENDARIO'!$C$15:$C$214,MATCH(TEXT($J115,"yyyy-mm-dd")&amp;"|"&amp;$X115&amp;"|",'CALENDARIO'!$G$15:$G$214,0)),IFERROR(INDEX('CALENDARIO'!$C$15:$C$214,MATCH(TEXT($J115,"yyyy-mm-dd")&amp;"||",'CALENDARIO'!$G$15:$G$214,0)),INDEX(patronHabil,WEEKDAY($J115,2))))))</f>
        <v/>
      </c>
      <c r="U115" s="5">
        <f>IF($I115="","",IFERROR(INDEX('CAT_TIPOS_OT'!$C$4:$C$8,MATCH($I115,'CAT_TIPOS_OT'!$A$4:$A$8,0)),"sin_clasificar"))</f>
        <v/>
      </c>
      <c r="V115" s="5">
        <f>IF($I115="","",IF(IFERROR(INDEX('CAT_TIPOS_OT'!$D$4:$D$8,MATCH($I115,'CAT_TIPOS_OT'!$A$4:$A$8,0)),"SIN CLASIFICAR")="","SIN CLASIFICAR",IFERROR(INDEX('CAT_TIPOS_OT'!$D$4:$D$8,MATCH($I115,'CAT_TIPOS_OT'!$A$4:$A$8,0)),"SIN CLASIFICAR")))</f>
        <v/>
      </c>
      <c r="W115" s="5">
        <f>IF($F115="","",IFERROR(INDEX('CAT_CENTROS_COSTO'!$F$4:$F$13,MATCH($F115,'CAT_CENTROS_COSTO'!$A$4:$A$13,0)),"(sin catálogo)"))</f>
        <v/>
      </c>
      <c r="X115" s="5">
        <f>IF($F115="","",IFERROR(INDEX('CAT_CENTROS_COSTO'!$D$4:$D$13,MATCH($F115,'CAT_CENTROS_COSTO'!$A$4:$A$13,0)),"(sin catálogo)"))</f>
        <v/>
      </c>
      <c r="Y115" s="5">
        <f>IF($F115="","",IF((IFERROR(INDEX('CAT_CENTROS_COSTO'!$E$4:$E$13,MATCH($F115,'CAT_CENTROS_COSTO'!$A$4:$A$13,0)),""))&lt;&gt;"",IFERROR(INDEX('CAT_CENTROS_COSTO'!$E$4:$E$13,MATCH($F115,'CAT_CENTROS_COSTO'!$A$4:$A$13,0)),""),$X115))</f>
        <v/>
      </c>
      <c r="Z115" s="5">
        <f>IF($F115="","",IFERROR(INDEX('CAT_CENTROS_COSTO'!$G$4:$G$13,MATCH($F115,'CAT_CENTROS_COSTO'!$A$4:$A$13,0)),"(sin catálogo)"))</f>
        <v/>
      </c>
      <c r="AA115" s="5">
        <f>IF($G115="","",IFERROR(INDEX('CAT_PUESTOS'!$B$4:$B$8,MATCH($G115,'CAT_PUESTOS'!$A$4:$A$8,0)),"(sin catálogo)"))</f>
        <v/>
      </c>
      <c r="AB115" s="5">
        <f>IF($H115="","",IFERROR(INDEX('CAT_ACTIVIDADES'!$B$4:$B$11,MATCH($H115,'CAT_ACTIVIDADES'!$A$4:$A$11,0)),"(sin catálogo)"))</f>
        <v/>
      </c>
      <c r="AC115" s="20">
        <f>IF($J115="","",TODAY()-$J115)</f>
        <v/>
      </c>
      <c r="AD115" s="20">
        <f>IF($J115="","",IF($J115&lt;=TODAY(),COUNTIFS(cal_fechas,"&gt;="&amp;$J115,cal_fechas,"&lt;"&amp;TODAY(),cal_habil,"sí"),-COUNTIFS(cal_fechas,"&gt;="&amp;TODAY(),cal_fechas,"&lt;"&amp;$J115,cal_habil,"sí")))</f>
        <v/>
      </c>
      <c r="AE115" s="5">
        <f>IF($AD115="","",IF($AD115&lt;0,"FUTURO",IF($AD115&gt;p_dias_backlog_max,"BACKLOG","MES CORRIENTE")))</f>
        <v/>
      </c>
      <c r="AF115" s="5">
        <f>IF($AD115="",FALSE,AND($AD115&gt;p_dias_backlog_min,$AD115&lt;=p_dias_backlog_max))</f>
        <v/>
      </c>
      <c r="AG115" s="4" t="inlineStr">
        <is>
          <t>Jorge Díaz</t>
        </is>
      </c>
      <c r="AH115" s="5">
        <f>IF($AG115="","",IF((IFERROR(INDEX('ASIGNACIONES'!$J$4:$J$451,MATCH($O115&amp;"|"&amp;$S115&amp;"|"&amp;$AG115,'ASIGNACIONES'!$N$4:$N$451,0)),""))=0,"",IFERROR(INDEX('ASIGNACIONES'!$J$4:$J$451,MATCH($O115&amp;"|"&amp;$S115&amp;"|"&amp;$AG115,'ASIGNACIONES'!$N$4:$N$451,0)),"")))</f>
        <v/>
      </c>
      <c r="AI115" s="25">
        <f>IF($AG115="","",SUMIFS('ORDENES'!$M$4:$M$1203,'ORDENES'!$AG$4:$AG$1203,$AG115,'ORDENES'!$O$4:$O$1203,$O115,'ORDENES'!$S$4:$S$1203,$S115))</f>
        <v/>
      </c>
      <c r="AJ115" s="25">
        <f>IF($AI115="","",p_factor_productividad*IFERROR(INDEX('ASIGNACIONES'!$M$4:$M$451,MATCH($O115&amp;"|"&amp;$S115&amp;"|"&amp;$AG115,'ASIGNACIONES'!$N$4:$N$451,0)),0)-$AI115)</f>
        <v/>
      </c>
      <c r="AK115" s="18">
        <f>IF($A115="","",IFERROR(INDEX('2_IMPORTAR_EJECUCION'!$F$9:$F$1208,MATCH($AT115,'2_IMPORTAR_EJECUCION'!$J$9:$J$1208,0)),0))</f>
        <v/>
      </c>
      <c r="AL115" s="18">
        <f>IF($A115="","",MAX(0,IFERROR(INDEX('2_IMPORTAR_EJECUCION'!$H$9:$H$1208,MATCH($AT115,'2_IMPORTAR_EJECUCION'!$J$9:$J$1208,0)),0)-$AK115))</f>
        <v/>
      </c>
      <c r="AM115" s="18">
        <f>IF($A115="","",$AK115+$AL115)</f>
        <v/>
      </c>
      <c r="AN115" s="5">
        <f>IF($A115="","",IF(OR((IFERROR(INDEX('CAT_ACTIVIDADES'!$D$4:$D$11,MATCH($H115,'CAT_ACTIVIDADES'!$A$4:$A$11,0)),""))=0,(IFERROR(INDEX('CAT_ACTIVIDADES'!$D$4:$D$11,MATCH($H115,'CAT_ACTIVIDADES'!$A$4:$A$11,0)),""))=""),"SIN CLASIFICAR",IFERROR(INDEX('CAT_ACTIVIDADES'!$D$4:$D$11,MATCH($H115,'CAT_ACTIVIDADES'!$A$4:$A$11,0)),"")))</f>
        <v/>
      </c>
      <c r="AO115" s="4" t="inlineStr"/>
      <c r="AP115" s="4" t="inlineStr"/>
      <c r="AQ115" s="4" t="inlineStr"/>
      <c r="AR115" s="5">
        <f>IF($AQ115="","",HYPERLINK(p_ruta_base_checklists&amp;$AQ115,"abrir"))</f>
        <v/>
      </c>
      <c r="AS115" s="4" t="inlineStr"/>
      <c r="AT115" s="5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22" t="n">
        <v>46236</v>
      </c>
      <c r="K116" s="5" t="n">
        <v>8</v>
      </c>
      <c r="L116" s="18" t="n">
        <v>320</v>
      </c>
      <c r="M116" s="5">
        <f>IF($A116="","",IFERROR(INDEX('AJUSTES'!$B$4:$B$303,MATCH($AT116,'AJUSTES'!$A$4:$A$303,0)),IF($K116="","",$K116)))</f>
        <v/>
      </c>
      <c r="N116" s="5">
        <f>IF($A116="","",IFERROR(INDEX('CAT_ESTADOS_ERP'!$B$4:$B$7,MATCH(IFERROR(INDEX('2_IMPORTAR_EJECUCION'!$C$9:$C$1208,MATCH($AT116,'2_IMPORTAR_EJECUCION'!$J$9:$J$1208,0)),""),'CAT_ESTADOS_ERP'!$A$4:$A$7,0)),"Pendiente"))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IF($J116="","",$P116&amp;"-"&amp;TEXT($Q116,"00"))</f>
        <v/>
      </c>
      <c r="S116" s="5">
        <f>IF($J116="","",INDEX(lista_dias,WEEKDAY($J116,2)))</f>
        <v/>
      </c>
      <c r="T116" s="5">
        <f>IF($J116="","",IFERROR(INDEX('CALENDARIO'!$C$15:$C$214,MATCH(TEXT($J116,"yyyy-mm-dd")&amp;"|"&amp;$X116&amp;"|"&amp;$Y116,'CALENDARIO'!$G$15:$G$214,0)),IFERROR(INDEX('CALENDARIO'!$C$15:$C$214,MATCH(TEXT($J116,"yyyy-mm-dd")&amp;"|"&amp;$X116&amp;"|",'CALENDARIO'!$G$15:$G$214,0)),IFERROR(INDEX('CALENDARIO'!$C$15:$C$214,MATCH(TEXT($J116,"yyyy-mm-dd")&amp;"||",'CALENDARIO'!$G$15:$G$214,0)),INDEX(patronHabil,WEEKDAY($J116,2))))))</f>
        <v/>
      </c>
      <c r="U116" s="5">
        <f>IF($I116="","",IFERROR(INDEX('CAT_TIPOS_OT'!$C$4:$C$8,MATCH($I116,'CAT_TIPOS_OT'!$A$4:$A$8,0)),"sin_clasificar"))</f>
        <v/>
      </c>
      <c r="V116" s="5">
        <f>IF($I116="","",IF(IFERROR(INDEX('CAT_TIPOS_OT'!$D$4:$D$8,MATCH($I116,'CAT_TIPOS_OT'!$A$4:$A$8,0)),"SIN CLASIFICAR")="","SIN CLASIFICAR",IFERROR(INDEX('CAT_TIPOS_OT'!$D$4:$D$8,MATCH($I116,'CAT_TIPOS_OT'!$A$4:$A$8,0)),"SIN CLASIFICAR")))</f>
        <v/>
      </c>
      <c r="W116" s="5">
        <f>IF($F116="","",IFERROR(INDEX('CAT_CENTROS_COSTO'!$F$4:$F$13,MATCH($F116,'CAT_CENTROS_COSTO'!$A$4:$A$13,0)),"(sin catálogo)"))</f>
        <v/>
      </c>
      <c r="X116" s="5">
        <f>IF($F116="","",IFERROR(INDEX('CAT_CENTROS_COSTO'!$D$4:$D$13,MATCH($F116,'CAT_CENTROS_COSTO'!$A$4:$A$13,0)),"(sin catálogo)"))</f>
        <v/>
      </c>
      <c r="Y116" s="5">
        <f>IF($F116="","",IF((IFERROR(INDEX('CAT_CENTROS_COSTO'!$E$4:$E$13,MATCH($F116,'CAT_CENTROS_COSTO'!$A$4:$A$13,0)),""))&lt;&gt;"",IFERROR(INDEX('CAT_CENTROS_COSTO'!$E$4:$E$13,MATCH($F116,'CAT_CENTROS_COSTO'!$A$4:$A$13,0)),""),$X116))</f>
        <v/>
      </c>
      <c r="Z116" s="5">
        <f>IF($F116="","",IFERROR(INDEX('CAT_CENTROS_COSTO'!$G$4:$G$13,MATCH($F116,'CAT_CENTROS_COSTO'!$A$4:$A$13,0)),"(sin catálogo)"))</f>
        <v/>
      </c>
      <c r="AA116" s="5">
        <f>IF($G116="","",IFERROR(INDEX('CAT_PUESTOS'!$B$4:$B$8,MATCH($G116,'CAT_PUESTOS'!$A$4:$A$8,0)),"(sin catálogo)"))</f>
        <v/>
      </c>
      <c r="AB116" s="5">
        <f>IF($H116="","",IFERROR(INDEX('CAT_ACTIVIDADES'!$B$4:$B$11,MATCH($H116,'CAT_ACTIVIDADES'!$A$4:$A$11,0)),"(sin catálogo)"))</f>
        <v/>
      </c>
      <c r="AC116" s="20">
        <f>IF($J116="","",TODAY()-$J116)</f>
        <v/>
      </c>
      <c r="AD116" s="20">
        <f>IF($J116="","",IF($J116&lt;=TODAY(),COUNTIFS(cal_fechas,"&gt;="&amp;$J116,cal_fechas,"&lt;"&amp;TODAY(),cal_habil,"sí"),-COUNTIFS(cal_fechas,"&gt;="&amp;TODAY(),cal_fechas,"&lt;"&amp;$J116,cal_habil,"sí")))</f>
        <v/>
      </c>
      <c r="AE116" s="5">
        <f>IF($AD116="","",IF($AD116&lt;0,"FUTURO",IF($AD116&gt;p_dias_backlog_max,"BACKLOG","MES CORRIENTE")))</f>
        <v/>
      </c>
      <c r="AF116" s="5">
        <f>IF($AD116="",FALSE,AND($AD116&gt;p_dias_backlog_min,$AD116&lt;=p_dias_backlog_max))</f>
        <v/>
      </c>
      <c r="AG116" s="4" t="inlineStr"/>
      <c r="AH116" s="5">
        <f>IF($AG116="","",IF((IFERROR(INDEX('ASIGNACIONES'!$J$4:$J$451,MATCH($O116&amp;"|"&amp;$S116&amp;"|"&amp;$AG116,'ASIGNACIONES'!$N$4:$N$451,0)),""))=0,"",IFERROR(INDEX('ASIGNACIONES'!$J$4:$J$451,MATCH($O116&amp;"|"&amp;$S116&amp;"|"&amp;$AG116,'ASIGNACIONES'!$N$4:$N$451,0)),"")))</f>
        <v/>
      </c>
      <c r="AI116" s="25">
        <f>IF($AG116="","",SUMIFS('ORDENES'!$M$4:$M$1203,'ORDENES'!$AG$4:$AG$1203,$AG116,'ORDENES'!$O$4:$O$1203,$O116,'ORDENES'!$S$4:$S$1203,$S116))</f>
        <v/>
      </c>
      <c r="AJ116" s="25">
        <f>IF($AI116="","",p_factor_productividad*IFERROR(INDEX('ASIGNACIONES'!$M$4:$M$451,MATCH($O116&amp;"|"&amp;$S116&amp;"|"&amp;$AG116,'ASIGNACIONES'!$N$4:$N$451,0)),0)-$AI116)</f>
        <v/>
      </c>
      <c r="AK116" s="18">
        <f>IF($A116="","",IFERROR(INDEX('2_IMPORTAR_EJECUCION'!$F$9:$F$1208,MATCH($AT116,'2_IMPORTAR_EJECUCION'!$J$9:$J$1208,0)),0))</f>
        <v/>
      </c>
      <c r="AL116" s="18">
        <f>IF($A116="","",MAX(0,IFERROR(INDEX('2_IMPORTAR_EJECUCION'!$H$9:$H$1208,MATCH($AT116,'2_IMPORTAR_EJECUCION'!$J$9:$J$1208,0)),0)-$AK116))</f>
        <v/>
      </c>
      <c r="AM116" s="18">
        <f>IF($A116="","",$AK116+$AL116)</f>
        <v/>
      </c>
      <c r="AN116" s="5">
        <f>IF($A116="","",IF(OR((IFERROR(INDEX('CAT_ACTIVIDADES'!$D$4:$D$11,MATCH($H116,'CAT_ACTIVIDADES'!$A$4:$A$11,0)),""))=0,(IFERROR(INDEX('CAT_ACTIVIDADES'!$D$4:$D$11,MATCH($H116,'CAT_ACTIVIDADES'!$A$4:$A$11,0)),""))=""),"SIN CLASIFICAR",IFERROR(INDEX('CAT_ACTIVIDADES'!$D$4:$D$11,MATCH($H116,'CAT_ACTIVIDADES'!$A$4:$A$11,0)),"")))</f>
        <v/>
      </c>
      <c r="AO116" s="4" t="inlineStr"/>
      <c r="AP116" s="4" t="inlineStr"/>
      <c r="AQ116" s="4" t="inlineStr"/>
      <c r="AR116" s="5">
        <f>IF($AQ116="","",HYPERLINK(p_ruta_base_checklists&amp;$AQ116,"abrir"))</f>
        <v/>
      </c>
      <c r="AS116" s="4" t="inlineStr"/>
      <c r="AT116" s="5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22" t="n">
        <v>46223</v>
      </c>
      <c r="K117" s="5" t="n">
        <v>2</v>
      </c>
      <c r="L117" s="18" t="n">
        <v>50</v>
      </c>
      <c r="M117" s="5">
        <f>IF($A117="","",IFERROR(INDEX('AJUSTES'!$B$4:$B$303,MATCH($AT117,'AJUSTES'!$A$4:$A$303,0)),IF($K117="","",$K117)))</f>
        <v/>
      </c>
      <c r="N117" s="5">
        <f>IF($A117="","",IFERROR(INDEX('CAT_ESTADOS_ERP'!$B$4:$B$7,MATCH(IFERROR(INDEX('2_IMPORTAR_EJECUCION'!$C$9:$C$1208,MATCH($AT117,'2_IMPORTAR_EJECUCION'!$J$9:$J$1208,0)),""),'CAT_ESTADOS_ERP'!$A$4:$A$7,0)),"Pendiente"))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IF($J117="","",$P117&amp;"-"&amp;TEXT($Q117,"00"))</f>
        <v/>
      </c>
      <c r="S117" s="5">
        <f>IF($J117="","",INDEX(lista_dias,WEEKDAY($J117,2)))</f>
        <v/>
      </c>
      <c r="T117" s="5">
        <f>IF($J117="","",IFERROR(INDEX('CALENDARIO'!$C$15:$C$214,MATCH(TEXT($J117,"yyyy-mm-dd")&amp;"|"&amp;$X117&amp;"|"&amp;$Y117,'CALENDARIO'!$G$15:$G$214,0)),IFERROR(INDEX('CALENDARIO'!$C$15:$C$214,MATCH(TEXT($J117,"yyyy-mm-dd")&amp;"|"&amp;$X117&amp;"|",'CALENDARIO'!$G$15:$G$214,0)),IFERROR(INDEX('CALENDARIO'!$C$15:$C$214,MATCH(TEXT($J117,"yyyy-mm-dd")&amp;"||",'CALENDARIO'!$G$15:$G$214,0)),INDEX(patronHabil,WEEKDAY($J117,2))))))</f>
        <v/>
      </c>
      <c r="U117" s="5">
        <f>IF($I117="","",IFERROR(INDEX('CAT_TIPOS_OT'!$C$4:$C$8,MATCH($I117,'CAT_TIPOS_OT'!$A$4:$A$8,0)),"sin_clasificar"))</f>
        <v/>
      </c>
      <c r="V117" s="5">
        <f>IF($I117="","",IF(IFERROR(INDEX('CAT_TIPOS_OT'!$D$4:$D$8,MATCH($I117,'CAT_TIPOS_OT'!$A$4:$A$8,0)),"SIN CLASIFICAR")="","SIN CLASIFICAR",IFERROR(INDEX('CAT_TIPOS_OT'!$D$4:$D$8,MATCH($I117,'CAT_TIPOS_OT'!$A$4:$A$8,0)),"SIN CLASIFICAR")))</f>
        <v/>
      </c>
      <c r="W117" s="5">
        <f>IF($F117="","",IFERROR(INDEX('CAT_CENTROS_COSTO'!$F$4:$F$13,MATCH($F117,'CAT_CENTROS_COSTO'!$A$4:$A$13,0)),"(sin catálogo)"))</f>
        <v/>
      </c>
      <c r="X117" s="5">
        <f>IF($F117="","",IFERROR(INDEX('CAT_CENTROS_COSTO'!$D$4:$D$13,MATCH($F117,'CAT_CENTROS_COSTO'!$A$4:$A$13,0)),"(sin catálogo)"))</f>
        <v/>
      </c>
      <c r="Y117" s="5">
        <f>IF($F117="","",IF((IFERROR(INDEX('CAT_CENTROS_COSTO'!$E$4:$E$13,MATCH($F117,'CAT_CENTROS_COSTO'!$A$4:$A$13,0)),""))&lt;&gt;"",IFERROR(INDEX('CAT_CENTROS_COSTO'!$E$4:$E$13,MATCH($F117,'CAT_CENTROS_COSTO'!$A$4:$A$13,0)),""),$X117))</f>
        <v/>
      </c>
      <c r="Z117" s="5">
        <f>IF($F117="","",IFERROR(INDEX('CAT_CENTROS_COSTO'!$G$4:$G$13,MATCH($F117,'CAT_CENTROS_COSTO'!$A$4:$A$13,0)),"(sin catálogo)"))</f>
        <v/>
      </c>
      <c r="AA117" s="5">
        <f>IF($G117="","",IFERROR(INDEX('CAT_PUESTOS'!$B$4:$B$8,MATCH($G117,'CAT_PUESTOS'!$A$4:$A$8,0)),"(sin catálogo)"))</f>
        <v/>
      </c>
      <c r="AB117" s="5">
        <f>IF($H117="","",IFERROR(INDEX('CAT_ACTIVIDADES'!$B$4:$B$11,MATCH($H117,'CAT_ACTIVIDADES'!$A$4:$A$11,0)),"(sin catálogo)"))</f>
        <v/>
      </c>
      <c r="AC117" s="20">
        <f>IF($J117="","",TODAY()-$J117)</f>
        <v/>
      </c>
      <c r="AD117" s="20">
        <f>IF($J117="","",IF($J117&lt;=TODAY(),COUNTIFS(cal_fechas,"&gt;="&amp;$J117,cal_fechas,"&lt;"&amp;TODAY(),cal_habil,"sí"),-COUNTIFS(cal_fechas,"&gt;="&amp;TODAY(),cal_fechas,"&lt;"&amp;$J117,cal_habil,"sí")))</f>
        <v/>
      </c>
      <c r="AE117" s="5">
        <f>IF($AD117="","",IF($AD117&lt;0,"FUTURO",IF($AD117&gt;p_dias_backlog_max,"BACKLOG","MES CORRIENTE")))</f>
        <v/>
      </c>
      <c r="AF117" s="5">
        <f>IF($AD117="",FALSE,AND($AD117&gt;p_dias_backlog_min,$AD117&lt;=p_dias_backlog_max))</f>
        <v/>
      </c>
      <c r="AG117" s="4" t="inlineStr">
        <is>
          <t>Carlos Pérez</t>
        </is>
      </c>
      <c r="AH117" s="5">
        <f>IF($AG117="","",IF((IFERROR(INDEX('ASIGNACIONES'!$J$4:$J$451,MATCH($O117&amp;"|"&amp;$S117&amp;"|"&amp;$AG117,'ASIGNACIONES'!$N$4:$N$451,0)),""))=0,"",IFERROR(INDEX('ASIGNACIONES'!$J$4:$J$451,MATCH($O117&amp;"|"&amp;$S117&amp;"|"&amp;$AG117,'ASIGNACIONES'!$N$4:$N$451,0)),"")))</f>
        <v/>
      </c>
      <c r="AI117" s="25">
        <f>IF($AG117="","",SUMIFS('ORDENES'!$M$4:$M$1203,'ORDENES'!$AG$4:$AG$1203,$AG117,'ORDENES'!$O$4:$O$1203,$O117,'ORDENES'!$S$4:$S$1203,$S117))</f>
        <v/>
      </c>
      <c r="AJ117" s="25">
        <f>IF($AI117="","",p_factor_productividad*IFERROR(INDEX('ASIGNACIONES'!$M$4:$M$451,MATCH($O117&amp;"|"&amp;$S117&amp;"|"&amp;$AG117,'ASIGNACIONES'!$N$4:$N$451,0)),0)-$AI117)</f>
        <v/>
      </c>
      <c r="AK117" s="18">
        <f>IF($A117="","",IFERROR(INDEX('2_IMPORTAR_EJECUCION'!$F$9:$F$1208,MATCH($AT117,'2_IMPORTAR_EJECUCION'!$J$9:$J$1208,0)),0))</f>
        <v/>
      </c>
      <c r="AL117" s="18">
        <f>IF($A117="","",MAX(0,IFERROR(INDEX('2_IMPORTAR_EJECUCION'!$H$9:$H$1208,MATCH($AT117,'2_IMPORTAR_EJECUCION'!$J$9:$J$1208,0)),0)-$AK117))</f>
        <v/>
      </c>
      <c r="AM117" s="18">
        <f>IF($A117="","",$AK117+$AL117)</f>
        <v/>
      </c>
      <c r="AN117" s="5">
        <f>IF($A117="","",IF(OR((IFERROR(INDEX('CAT_ACTIVIDADES'!$D$4:$D$11,MATCH($H117,'CAT_ACTIVIDADES'!$A$4:$A$11,0)),""))=0,(IFERROR(INDEX('CAT_ACTIVIDADES'!$D$4:$D$11,MATCH($H117,'CAT_ACTIVIDADES'!$A$4:$A$11,0)),""))=""),"SIN CLASIFICAR",IFERROR(INDEX('CAT_ACTIVIDADES'!$D$4:$D$11,MATCH($H117,'CAT_ACTIVIDADES'!$A$4:$A$11,0)),"")))</f>
        <v/>
      </c>
      <c r="AO117" s="4" t="inlineStr"/>
      <c r="AP117" s="4" t="inlineStr"/>
      <c r="AQ117" s="4" t="inlineStr"/>
      <c r="AR117" s="5">
        <f>IF($AQ117="","",HYPERLINK(p_ruta_base_checklists&amp;$AQ117,"abrir"))</f>
        <v/>
      </c>
      <c r="AS117" s="4" t="inlineStr"/>
      <c r="AT117" s="5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22" t="n">
        <v>46244</v>
      </c>
      <c r="K118" s="5" t="n">
        <v>2</v>
      </c>
      <c r="L118" s="18" t="n">
        <v>50</v>
      </c>
      <c r="M118" s="5">
        <f>IF($A118="","",IFERROR(INDEX('AJUSTES'!$B$4:$B$303,MATCH($AT118,'AJUSTES'!$A$4:$A$303,0)),IF($K118="","",$K118)))</f>
        <v/>
      </c>
      <c r="N118" s="5">
        <f>IF($A118="","",IFERROR(INDEX('CAT_ESTADOS_ERP'!$B$4:$B$7,MATCH(IFERROR(INDEX('2_IMPORTAR_EJECUCION'!$C$9:$C$1208,MATCH($AT118,'2_IMPORTAR_EJECUCION'!$J$9:$J$1208,0)),""),'CAT_ESTADOS_ERP'!$A$4:$A$7,0)),"Pendiente"))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IF($J118="","",$P118&amp;"-"&amp;TEXT($Q118,"00"))</f>
        <v/>
      </c>
      <c r="S118" s="5">
        <f>IF($J118="","",INDEX(lista_dias,WEEKDAY($J118,2)))</f>
        <v/>
      </c>
      <c r="T118" s="5">
        <f>IF($J118="","",IFERROR(INDEX('CALENDARIO'!$C$15:$C$214,MATCH(TEXT($J118,"yyyy-mm-dd")&amp;"|"&amp;$X118&amp;"|"&amp;$Y118,'CALENDARIO'!$G$15:$G$214,0)),IFERROR(INDEX('CALENDARIO'!$C$15:$C$214,MATCH(TEXT($J118,"yyyy-mm-dd")&amp;"|"&amp;$X118&amp;"|",'CALENDARIO'!$G$15:$G$214,0)),IFERROR(INDEX('CALENDARIO'!$C$15:$C$214,MATCH(TEXT($J118,"yyyy-mm-dd")&amp;"||",'CALENDARIO'!$G$15:$G$214,0)),INDEX(patronHabil,WEEKDAY($J118,2))))))</f>
        <v/>
      </c>
      <c r="U118" s="5">
        <f>IF($I118="","",IFERROR(INDEX('CAT_TIPOS_OT'!$C$4:$C$8,MATCH($I118,'CAT_TIPOS_OT'!$A$4:$A$8,0)),"sin_clasificar"))</f>
        <v/>
      </c>
      <c r="V118" s="5">
        <f>IF($I118="","",IF(IFERROR(INDEX('CAT_TIPOS_OT'!$D$4:$D$8,MATCH($I118,'CAT_TIPOS_OT'!$A$4:$A$8,0)),"SIN CLASIFICAR")="","SIN CLASIFICAR",IFERROR(INDEX('CAT_TIPOS_OT'!$D$4:$D$8,MATCH($I118,'CAT_TIPOS_OT'!$A$4:$A$8,0)),"SIN CLASIFICAR")))</f>
        <v/>
      </c>
      <c r="W118" s="5">
        <f>IF($F118="","",IFERROR(INDEX('CAT_CENTROS_COSTO'!$F$4:$F$13,MATCH($F118,'CAT_CENTROS_COSTO'!$A$4:$A$13,0)),"(sin catálogo)"))</f>
        <v/>
      </c>
      <c r="X118" s="5">
        <f>IF($F118="","",IFERROR(INDEX('CAT_CENTROS_COSTO'!$D$4:$D$13,MATCH($F118,'CAT_CENTROS_COSTO'!$A$4:$A$13,0)),"(sin catálogo)"))</f>
        <v/>
      </c>
      <c r="Y118" s="5">
        <f>IF($F118="","",IF((IFERROR(INDEX('CAT_CENTROS_COSTO'!$E$4:$E$13,MATCH($F118,'CAT_CENTROS_COSTO'!$A$4:$A$13,0)),""))&lt;&gt;"",IFERROR(INDEX('CAT_CENTROS_COSTO'!$E$4:$E$13,MATCH($F118,'CAT_CENTROS_COSTO'!$A$4:$A$13,0)),""),$X118))</f>
        <v/>
      </c>
      <c r="Z118" s="5">
        <f>IF($F118="","",IFERROR(INDEX('CAT_CENTROS_COSTO'!$G$4:$G$13,MATCH($F118,'CAT_CENTROS_COSTO'!$A$4:$A$13,0)),"(sin catálogo)"))</f>
        <v/>
      </c>
      <c r="AA118" s="5">
        <f>IF($G118="","",IFERROR(INDEX('CAT_PUESTOS'!$B$4:$B$8,MATCH($G118,'CAT_PUESTOS'!$A$4:$A$8,0)),"(sin catálogo)"))</f>
        <v/>
      </c>
      <c r="AB118" s="5">
        <f>IF($H118="","",IFERROR(INDEX('CAT_ACTIVIDADES'!$B$4:$B$11,MATCH($H118,'CAT_ACTIVIDADES'!$A$4:$A$11,0)),"(sin catálogo)"))</f>
        <v/>
      </c>
      <c r="AC118" s="20">
        <f>IF($J118="","",TODAY()-$J118)</f>
        <v/>
      </c>
      <c r="AD118" s="20">
        <f>IF($J118="","",IF($J118&lt;=TODAY(),COUNTIFS(cal_fechas,"&gt;="&amp;$J118,cal_fechas,"&lt;"&amp;TODAY(),cal_habil,"sí"),-COUNTIFS(cal_fechas,"&gt;="&amp;TODAY(),cal_fechas,"&lt;"&amp;$J118,cal_habil,"sí")))</f>
        <v/>
      </c>
      <c r="AE118" s="5">
        <f>IF($AD118="","",IF($AD118&lt;0,"FUTURO",IF($AD118&gt;p_dias_backlog_max,"BACKLOG","MES CORRIENTE")))</f>
        <v/>
      </c>
      <c r="AF118" s="5">
        <f>IF($AD118="",FALSE,AND($AD118&gt;p_dias_backlog_min,$AD118&lt;=p_dias_backlog_max))</f>
        <v/>
      </c>
      <c r="AG118" s="4" t="inlineStr">
        <is>
          <t>David Torres</t>
        </is>
      </c>
      <c r="AH118" s="5">
        <f>IF($AG118="","",IF((IFERROR(INDEX('ASIGNACIONES'!$J$4:$J$451,MATCH($O118&amp;"|"&amp;$S118&amp;"|"&amp;$AG118,'ASIGNACIONES'!$N$4:$N$451,0)),""))=0,"",IFERROR(INDEX('ASIGNACIONES'!$J$4:$J$451,MATCH($O118&amp;"|"&amp;$S118&amp;"|"&amp;$AG118,'ASIGNACIONES'!$N$4:$N$451,0)),"")))</f>
        <v/>
      </c>
      <c r="AI118" s="25">
        <f>IF($AG118="","",SUMIFS('ORDENES'!$M$4:$M$1203,'ORDENES'!$AG$4:$AG$1203,$AG118,'ORDENES'!$O$4:$O$1203,$O118,'ORDENES'!$S$4:$S$1203,$S118))</f>
        <v/>
      </c>
      <c r="AJ118" s="25">
        <f>IF($AI118="","",p_factor_productividad*IFERROR(INDEX('ASIGNACIONES'!$M$4:$M$451,MATCH($O118&amp;"|"&amp;$S118&amp;"|"&amp;$AG118,'ASIGNACIONES'!$N$4:$N$451,0)),0)-$AI118)</f>
        <v/>
      </c>
      <c r="AK118" s="18">
        <f>IF($A118="","",IFERROR(INDEX('2_IMPORTAR_EJECUCION'!$F$9:$F$1208,MATCH($AT118,'2_IMPORTAR_EJECUCION'!$J$9:$J$1208,0)),0))</f>
        <v/>
      </c>
      <c r="AL118" s="18">
        <f>IF($A118="","",MAX(0,IFERROR(INDEX('2_IMPORTAR_EJECUCION'!$H$9:$H$1208,MATCH($AT118,'2_IMPORTAR_EJECUCION'!$J$9:$J$1208,0)),0)-$AK118))</f>
        <v/>
      </c>
      <c r="AM118" s="18">
        <f>IF($A118="","",$AK118+$AL118)</f>
        <v/>
      </c>
      <c r="AN118" s="5">
        <f>IF($A118="","",IF(OR((IFERROR(INDEX('CAT_ACTIVIDADES'!$D$4:$D$11,MATCH($H118,'CAT_ACTIVIDADES'!$A$4:$A$11,0)),""))=0,(IFERROR(INDEX('CAT_ACTIVIDADES'!$D$4:$D$11,MATCH($H118,'CAT_ACTIVIDADES'!$A$4:$A$11,0)),""))=""),"SIN CLASIFICAR",IFERROR(INDEX('CAT_ACTIVIDADES'!$D$4:$D$11,MATCH($H118,'CAT_ACTIVIDADES'!$A$4:$A$11,0)),"")))</f>
        <v/>
      </c>
      <c r="AO118" s="4" t="inlineStr"/>
      <c r="AP118" s="4" t="inlineStr"/>
      <c r="AQ118" s="4" t="inlineStr"/>
      <c r="AR118" s="5">
        <f>IF($AQ118="","",HYPERLINK(p_ruta_base_checklists&amp;$AQ118,"abrir"))</f>
        <v/>
      </c>
      <c r="AS118" s="4" t="inlineStr"/>
      <c r="AT118" s="5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22" t="n">
        <v>46244</v>
      </c>
      <c r="K119" s="5" t="n">
        <v>2</v>
      </c>
      <c r="L119" s="18" t="n">
        <v>50</v>
      </c>
      <c r="M119" s="5">
        <f>IF($A119="","",IFERROR(INDEX('AJUSTES'!$B$4:$B$303,MATCH($AT119,'AJUSTES'!$A$4:$A$303,0)),IF($K119="","",$K119)))</f>
        <v/>
      </c>
      <c r="N119" s="5">
        <f>IF($A119="","",IFERROR(INDEX('CAT_ESTADOS_ERP'!$B$4:$B$7,MATCH(IFERROR(INDEX('2_IMPORTAR_EJECUCION'!$C$9:$C$1208,MATCH($AT119,'2_IMPORTAR_EJECUCION'!$J$9:$J$1208,0)),""),'CAT_ESTADOS_ERP'!$A$4:$A$7,0)),"Pendiente"))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IF($J119="","",$P119&amp;"-"&amp;TEXT($Q119,"00"))</f>
        <v/>
      </c>
      <c r="S119" s="5">
        <f>IF($J119="","",INDEX(lista_dias,WEEKDAY($J119,2)))</f>
        <v/>
      </c>
      <c r="T119" s="5">
        <f>IF($J119="","",IFERROR(INDEX('CALENDARIO'!$C$15:$C$214,MATCH(TEXT($J119,"yyyy-mm-dd")&amp;"|"&amp;$X119&amp;"|"&amp;$Y119,'CALENDARIO'!$G$15:$G$214,0)),IFERROR(INDEX('CALENDARIO'!$C$15:$C$214,MATCH(TEXT($J119,"yyyy-mm-dd")&amp;"|"&amp;$X119&amp;"|",'CALENDARIO'!$G$15:$G$214,0)),IFERROR(INDEX('CALENDARIO'!$C$15:$C$214,MATCH(TEXT($J119,"yyyy-mm-dd")&amp;"||",'CALENDARIO'!$G$15:$G$214,0)),INDEX(patronHabil,WEEKDAY($J119,2))))))</f>
        <v/>
      </c>
      <c r="U119" s="5">
        <f>IF($I119="","",IFERROR(INDEX('CAT_TIPOS_OT'!$C$4:$C$8,MATCH($I119,'CAT_TIPOS_OT'!$A$4:$A$8,0)),"sin_clasificar"))</f>
        <v/>
      </c>
      <c r="V119" s="5">
        <f>IF($I119="","",IF(IFERROR(INDEX('CAT_TIPOS_OT'!$D$4:$D$8,MATCH($I119,'CAT_TIPOS_OT'!$A$4:$A$8,0)),"SIN CLASIFICAR")="","SIN CLASIFICAR",IFERROR(INDEX('CAT_TIPOS_OT'!$D$4:$D$8,MATCH($I119,'CAT_TIPOS_OT'!$A$4:$A$8,0)),"SIN CLASIFICAR")))</f>
        <v/>
      </c>
      <c r="W119" s="5">
        <f>IF($F119="","",IFERROR(INDEX('CAT_CENTROS_COSTO'!$F$4:$F$13,MATCH($F119,'CAT_CENTROS_COSTO'!$A$4:$A$13,0)),"(sin catálogo)"))</f>
        <v/>
      </c>
      <c r="X119" s="5">
        <f>IF($F119="","",IFERROR(INDEX('CAT_CENTROS_COSTO'!$D$4:$D$13,MATCH($F119,'CAT_CENTROS_COSTO'!$A$4:$A$13,0)),"(sin catálogo)"))</f>
        <v/>
      </c>
      <c r="Y119" s="5">
        <f>IF($F119="","",IF((IFERROR(INDEX('CAT_CENTROS_COSTO'!$E$4:$E$13,MATCH($F119,'CAT_CENTROS_COSTO'!$A$4:$A$13,0)),""))&lt;&gt;"",IFERROR(INDEX('CAT_CENTROS_COSTO'!$E$4:$E$13,MATCH($F119,'CAT_CENTROS_COSTO'!$A$4:$A$13,0)),""),$X119))</f>
        <v/>
      </c>
      <c r="Z119" s="5">
        <f>IF($F119="","",IFERROR(INDEX('CAT_CENTROS_COSTO'!$G$4:$G$13,MATCH($F119,'CAT_CENTROS_COSTO'!$A$4:$A$13,0)),"(sin catálogo)"))</f>
        <v/>
      </c>
      <c r="AA119" s="5">
        <f>IF($G119="","",IFERROR(INDEX('CAT_PUESTOS'!$B$4:$B$8,MATCH($G119,'CAT_PUESTOS'!$A$4:$A$8,0)),"(sin catálogo)"))</f>
        <v/>
      </c>
      <c r="AB119" s="5">
        <f>IF($H119="","",IFERROR(INDEX('CAT_ACTIVIDADES'!$B$4:$B$11,MATCH($H119,'CAT_ACTIVIDADES'!$A$4:$A$11,0)),"(sin catálogo)"))</f>
        <v/>
      </c>
      <c r="AC119" s="20">
        <f>IF($J119="","",TODAY()-$J119)</f>
        <v/>
      </c>
      <c r="AD119" s="20">
        <f>IF($J119="","",IF($J119&lt;=TODAY(),COUNTIFS(cal_fechas,"&gt;="&amp;$J119,cal_fechas,"&lt;"&amp;TODAY(),cal_habil,"sí"),-COUNTIFS(cal_fechas,"&gt;="&amp;TODAY(),cal_fechas,"&lt;"&amp;$J119,cal_habil,"sí")))</f>
        <v/>
      </c>
      <c r="AE119" s="5">
        <f>IF($AD119="","",IF($AD119&lt;0,"FUTURO",IF($AD119&gt;p_dias_backlog_max,"BACKLOG","MES CORRIENTE")))</f>
        <v/>
      </c>
      <c r="AF119" s="5">
        <f>IF($AD119="",FALSE,AND($AD119&gt;p_dias_backlog_min,$AD119&lt;=p_dias_backlog_max))</f>
        <v/>
      </c>
      <c r="AG119" s="4" t="inlineStr">
        <is>
          <t>Ricardo Ortiz</t>
        </is>
      </c>
      <c r="AH119" s="5">
        <f>IF($AG119="","",IF((IFERROR(INDEX('ASIGNACIONES'!$J$4:$J$451,MATCH($O119&amp;"|"&amp;$S119&amp;"|"&amp;$AG119,'ASIGNACIONES'!$N$4:$N$451,0)),""))=0,"",IFERROR(INDEX('ASIGNACIONES'!$J$4:$J$451,MATCH($O119&amp;"|"&amp;$S119&amp;"|"&amp;$AG119,'ASIGNACIONES'!$N$4:$N$451,0)),"")))</f>
        <v/>
      </c>
      <c r="AI119" s="25">
        <f>IF($AG119="","",SUMIFS('ORDENES'!$M$4:$M$1203,'ORDENES'!$AG$4:$AG$1203,$AG119,'ORDENES'!$O$4:$O$1203,$O119,'ORDENES'!$S$4:$S$1203,$S119))</f>
        <v/>
      </c>
      <c r="AJ119" s="25">
        <f>IF($AI119="","",p_factor_productividad*IFERROR(INDEX('ASIGNACIONES'!$M$4:$M$451,MATCH($O119&amp;"|"&amp;$S119&amp;"|"&amp;$AG119,'ASIGNACIONES'!$N$4:$N$451,0)),0)-$AI119)</f>
        <v/>
      </c>
      <c r="AK119" s="18">
        <f>IF($A119="","",IFERROR(INDEX('2_IMPORTAR_EJECUCION'!$F$9:$F$1208,MATCH($AT119,'2_IMPORTAR_EJECUCION'!$J$9:$J$1208,0)),0))</f>
        <v/>
      </c>
      <c r="AL119" s="18">
        <f>IF($A119="","",MAX(0,IFERROR(INDEX('2_IMPORTAR_EJECUCION'!$H$9:$H$1208,MATCH($AT119,'2_IMPORTAR_EJECUCION'!$J$9:$J$1208,0)),0)-$AK119))</f>
        <v/>
      </c>
      <c r="AM119" s="18">
        <f>IF($A119="","",$AK119+$AL119)</f>
        <v/>
      </c>
      <c r="AN119" s="5">
        <f>IF($A119="","",IF(OR((IFERROR(INDEX('CAT_ACTIVIDADES'!$D$4:$D$11,MATCH($H119,'CAT_ACTIVIDADES'!$A$4:$A$11,0)),""))=0,(IFERROR(INDEX('CAT_ACTIVIDADES'!$D$4:$D$11,MATCH($H119,'CAT_ACTIVIDADES'!$A$4:$A$11,0)),""))=""),"SIN CLASIFICAR",IFERROR(INDEX('CAT_ACTIVIDADES'!$D$4:$D$11,MATCH($H119,'CAT_ACTIVIDADES'!$A$4:$A$11,0)),"")))</f>
        <v/>
      </c>
      <c r="AO119" s="4" t="inlineStr"/>
      <c r="AP119" s="4" t="inlineStr"/>
      <c r="AQ119" s="4" t="inlineStr"/>
      <c r="AR119" s="5">
        <f>IF($AQ119="","",HYPERLINK(p_ruta_base_checklists&amp;$AQ119,"abrir"))</f>
        <v/>
      </c>
      <c r="AS119" s="4" t="inlineStr"/>
      <c r="AT119" s="5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22" t="n">
        <v>46185</v>
      </c>
      <c r="K120" s="5" t="n">
        <v>4</v>
      </c>
      <c r="L120" s="18" t="n">
        <v>160</v>
      </c>
      <c r="M120" s="5">
        <f>IF($A120="","",IFERROR(INDEX('AJUSTES'!$B$4:$B$303,MATCH($AT120,'AJUSTES'!$A$4:$A$303,0)),IF($K120="","",$K120)))</f>
        <v/>
      </c>
      <c r="N120" s="5">
        <f>IF($A120="","",IFERROR(INDEX('CAT_ESTADOS_ERP'!$B$4:$B$7,MATCH(IFERROR(INDEX('2_IMPORTAR_EJECUCION'!$C$9:$C$1208,MATCH($AT120,'2_IMPORTAR_EJECUCION'!$J$9:$J$1208,0)),""),'CAT_ESTADOS_ERP'!$A$4:$A$7,0)),"Pendiente"))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IF($J120="","",$P120&amp;"-"&amp;TEXT($Q120,"00"))</f>
        <v/>
      </c>
      <c r="S120" s="5">
        <f>IF($J120="","",INDEX(lista_dias,WEEKDAY($J120,2)))</f>
        <v/>
      </c>
      <c r="T120" s="5">
        <f>IF($J120="","",IFERROR(INDEX('CALENDARIO'!$C$15:$C$214,MATCH(TEXT($J120,"yyyy-mm-dd")&amp;"|"&amp;$X120&amp;"|"&amp;$Y120,'CALENDARIO'!$G$15:$G$214,0)),IFERROR(INDEX('CALENDARIO'!$C$15:$C$214,MATCH(TEXT($J120,"yyyy-mm-dd")&amp;"|"&amp;$X120&amp;"|",'CALENDARIO'!$G$15:$G$214,0)),IFERROR(INDEX('CALENDARIO'!$C$15:$C$214,MATCH(TEXT($J120,"yyyy-mm-dd")&amp;"||",'CALENDARIO'!$G$15:$G$214,0)),INDEX(patronHabil,WEEKDAY($J120,2))))))</f>
        <v/>
      </c>
      <c r="U120" s="5">
        <f>IF($I120="","",IFERROR(INDEX('CAT_TIPOS_OT'!$C$4:$C$8,MATCH($I120,'CAT_TIPOS_OT'!$A$4:$A$8,0)),"sin_clasificar"))</f>
        <v/>
      </c>
      <c r="V120" s="5">
        <f>IF($I120="","",IF(IFERROR(INDEX('CAT_TIPOS_OT'!$D$4:$D$8,MATCH($I120,'CAT_TIPOS_OT'!$A$4:$A$8,0)),"SIN CLASIFICAR")="","SIN CLASIFICAR",IFERROR(INDEX('CAT_TIPOS_OT'!$D$4:$D$8,MATCH($I120,'CAT_TIPOS_OT'!$A$4:$A$8,0)),"SIN CLASIFICAR")))</f>
        <v/>
      </c>
      <c r="W120" s="5">
        <f>IF($F120="","",IFERROR(INDEX('CAT_CENTROS_COSTO'!$F$4:$F$13,MATCH($F120,'CAT_CENTROS_COSTO'!$A$4:$A$13,0)),"(sin catálogo)"))</f>
        <v/>
      </c>
      <c r="X120" s="5">
        <f>IF($F120="","",IFERROR(INDEX('CAT_CENTROS_COSTO'!$D$4:$D$13,MATCH($F120,'CAT_CENTROS_COSTO'!$A$4:$A$13,0)),"(sin catálogo)"))</f>
        <v/>
      </c>
      <c r="Y120" s="5">
        <f>IF($F120="","",IF((IFERROR(INDEX('CAT_CENTROS_COSTO'!$E$4:$E$13,MATCH($F120,'CAT_CENTROS_COSTO'!$A$4:$A$13,0)),""))&lt;&gt;"",IFERROR(INDEX('CAT_CENTROS_COSTO'!$E$4:$E$13,MATCH($F120,'CAT_CENTROS_COSTO'!$A$4:$A$13,0)),""),$X120))</f>
        <v/>
      </c>
      <c r="Z120" s="5">
        <f>IF($F120="","",IFERROR(INDEX('CAT_CENTROS_COSTO'!$G$4:$G$13,MATCH($F120,'CAT_CENTROS_COSTO'!$A$4:$A$13,0)),"(sin catálogo)"))</f>
        <v/>
      </c>
      <c r="AA120" s="5">
        <f>IF($G120="","",IFERROR(INDEX('CAT_PUESTOS'!$B$4:$B$8,MATCH($G120,'CAT_PUESTOS'!$A$4:$A$8,0)),"(sin catálogo)"))</f>
        <v/>
      </c>
      <c r="AB120" s="5">
        <f>IF($H120="","",IFERROR(INDEX('CAT_ACTIVIDADES'!$B$4:$B$11,MATCH($H120,'CAT_ACTIVIDADES'!$A$4:$A$11,0)),"(sin catálogo)"))</f>
        <v/>
      </c>
      <c r="AC120" s="20">
        <f>IF($J120="","",TODAY()-$J120)</f>
        <v/>
      </c>
      <c r="AD120" s="20">
        <f>IF($J120="","",IF($J120&lt;=TODAY(),COUNTIFS(cal_fechas,"&gt;="&amp;$J120,cal_fechas,"&lt;"&amp;TODAY(),cal_habil,"sí"),-COUNTIFS(cal_fechas,"&gt;="&amp;TODAY(),cal_fechas,"&lt;"&amp;$J120,cal_habil,"sí")))</f>
        <v/>
      </c>
      <c r="AE120" s="5">
        <f>IF($AD120="","",IF($AD120&lt;0,"FUTURO",IF($AD120&gt;p_dias_backlog_max,"BACKLOG","MES CORRIENTE")))</f>
        <v/>
      </c>
      <c r="AF120" s="5">
        <f>IF($AD120="",FALSE,AND($AD120&gt;p_dias_backlog_min,$AD120&lt;=p_dias_backlog_max))</f>
        <v/>
      </c>
      <c r="AG120" s="4" t="inlineStr"/>
      <c r="AH120" s="5">
        <f>IF($AG120="","",IF((IFERROR(INDEX('ASIGNACIONES'!$J$4:$J$451,MATCH($O120&amp;"|"&amp;$S120&amp;"|"&amp;$AG120,'ASIGNACIONES'!$N$4:$N$451,0)),""))=0,"",IFERROR(INDEX('ASIGNACIONES'!$J$4:$J$451,MATCH($O120&amp;"|"&amp;$S120&amp;"|"&amp;$AG120,'ASIGNACIONES'!$N$4:$N$451,0)),"")))</f>
        <v/>
      </c>
      <c r="AI120" s="25">
        <f>IF($AG120="","",SUMIFS('ORDENES'!$M$4:$M$1203,'ORDENES'!$AG$4:$AG$1203,$AG120,'ORDENES'!$O$4:$O$1203,$O120,'ORDENES'!$S$4:$S$1203,$S120))</f>
        <v/>
      </c>
      <c r="AJ120" s="25">
        <f>IF($AI120="","",p_factor_productividad*IFERROR(INDEX('ASIGNACIONES'!$M$4:$M$451,MATCH($O120&amp;"|"&amp;$S120&amp;"|"&amp;$AG120,'ASIGNACIONES'!$N$4:$N$451,0)),0)-$AI120)</f>
        <v/>
      </c>
      <c r="AK120" s="18">
        <f>IF($A120="","",IFERROR(INDEX('2_IMPORTAR_EJECUCION'!$F$9:$F$1208,MATCH($AT120,'2_IMPORTAR_EJECUCION'!$J$9:$J$1208,0)),0))</f>
        <v/>
      </c>
      <c r="AL120" s="18">
        <f>IF($A120="","",MAX(0,IFERROR(INDEX('2_IMPORTAR_EJECUCION'!$H$9:$H$1208,MATCH($AT120,'2_IMPORTAR_EJECUCION'!$J$9:$J$1208,0)),0)-$AK120))</f>
        <v/>
      </c>
      <c r="AM120" s="18">
        <f>IF($A120="","",$AK120+$AL120)</f>
        <v/>
      </c>
      <c r="AN120" s="5">
        <f>IF($A120="","",IF(OR((IFERROR(INDEX('CAT_ACTIVIDADES'!$D$4:$D$11,MATCH($H120,'CAT_ACTIVIDADES'!$A$4:$A$11,0)),""))=0,(IFERROR(INDEX('CAT_ACTIVIDADES'!$D$4:$D$11,MATCH($H120,'CAT_ACTIVIDADES'!$A$4:$A$11,0)),""))=""),"SIN CLASIFICAR",IFERROR(INDEX('CAT_ACTIVIDADES'!$D$4:$D$11,MATCH($H120,'CAT_ACTIVIDADES'!$A$4:$A$11,0)),"")))</f>
        <v/>
      </c>
      <c r="AO120" s="4" t="inlineStr"/>
      <c r="AP120" s="4" t="inlineStr"/>
      <c r="AQ120" s="4" t="inlineStr"/>
      <c r="AR120" s="5">
        <f>IF($AQ120="","",HYPERLINK(p_ruta_base_checklists&amp;$AQ120,"abrir"))</f>
        <v/>
      </c>
      <c r="AS120" s="4" t="inlineStr"/>
      <c r="AT120" s="5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22" t="n">
        <v>46185</v>
      </c>
      <c r="K121" s="5" t="n">
        <v>6</v>
      </c>
      <c r="L121" s="18" t="n">
        <v>240</v>
      </c>
      <c r="M121" s="5">
        <f>IF($A121="","",IFERROR(INDEX('AJUSTES'!$B$4:$B$303,MATCH($AT121,'AJUSTES'!$A$4:$A$303,0)),IF($K121="","",$K121)))</f>
        <v/>
      </c>
      <c r="N121" s="5">
        <f>IF($A121="","",IFERROR(INDEX('CAT_ESTADOS_ERP'!$B$4:$B$7,MATCH(IFERROR(INDEX('2_IMPORTAR_EJECUCION'!$C$9:$C$1208,MATCH($AT121,'2_IMPORTAR_EJECUCION'!$J$9:$J$1208,0)),""),'CAT_ESTADOS_ERP'!$A$4:$A$7,0)),"Pendiente"))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IF($J121="","",$P121&amp;"-"&amp;TEXT($Q121,"00"))</f>
        <v/>
      </c>
      <c r="S121" s="5">
        <f>IF($J121="","",INDEX(lista_dias,WEEKDAY($J121,2)))</f>
        <v/>
      </c>
      <c r="T121" s="5">
        <f>IF($J121="","",IFERROR(INDEX('CALENDARIO'!$C$15:$C$214,MATCH(TEXT($J121,"yyyy-mm-dd")&amp;"|"&amp;$X121&amp;"|"&amp;$Y121,'CALENDARIO'!$G$15:$G$214,0)),IFERROR(INDEX('CALENDARIO'!$C$15:$C$214,MATCH(TEXT($J121,"yyyy-mm-dd")&amp;"|"&amp;$X121&amp;"|",'CALENDARIO'!$G$15:$G$214,0)),IFERROR(INDEX('CALENDARIO'!$C$15:$C$214,MATCH(TEXT($J121,"yyyy-mm-dd")&amp;"||",'CALENDARIO'!$G$15:$G$214,0)),INDEX(patronHabil,WEEKDAY($J121,2))))))</f>
        <v/>
      </c>
      <c r="U121" s="5">
        <f>IF($I121="","",IFERROR(INDEX('CAT_TIPOS_OT'!$C$4:$C$8,MATCH($I121,'CAT_TIPOS_OT'!$A$4:$A$8,0)),"sin_clasificar"))</f>
        <v/>
      </c>
      <c r="V121" s="5">
        <f>IF($I121="","",IF(IFERROR(INDEX('CAT_TIPOS_OT'!$D$4:$D$8,MATCH($I121,'CAT_TIPOS_OT'!$A$4:$A$8,0)),"SIN CLASIFICAR")="","SIN CLASIFICAR",IFERROR(INDEX('CAT_TIPOS_OT'!$D$4:$D$8,MATCH($I121,'CAT_TIPOS_OT'!$A$4:$A$8,0)),"SIN CLASIFICAR")))</f>
        <v/>
      </c>
      <c r="W121" s="5">
        <f>IF($F121="","",IFERROR(INDEX('CAT_CENTROS_COSTO'!$F$4:$F$13,MATCH($F121,'CAT_CENTROS_COSTO'!$A$4:$A$13,0)),"(sin catálogo)"))</f>
        <v/>
      </c>
      <c r="X121" s="5">
        <f>IF($F121="","",IFERROR(INDEX('CAT_CENTROS_COSTO'!$D$4:$D$13,MATCH($F121,'CAT_CENTROS_COSTO'!$A$4:$A$13,0)),"(sin catálogo)"))</f>
        <v/>
      </c>
      <c r="Y121" s="5">
        <f>IF($F121="","",IF((IFERROR(INDEX('CAT_CENTROS_COSTO'!$E$4:$E$13,MATCH($F121,'CAT_CENTROS_COSTO'!$A$4:$A$13,0)),""))&lt;&gt;"",IFERROR(INDEX('CAT_CENTROS_COSTO'!$E$4:$E$13,MATCH($F121,'CAT_CENTROS_COSTO'!$A$4:$A$13,0)),""),$X121))</f>
        <v/>
      </c>
      <c r="Z121" s="5">
        <f>IF($F121="","",IFERROR(INDEX('CAT_CENTROS_COSTO'!$G$4:$G$13,MATCH($F121,'CAT_CENTROS_COSTO'!$A$4:$A$13,0)),"(sin catálogo)"))</f>
        <v/>
      </c>
      <c r="AA121" s="5">
        <f>IF($G121="","",IFERROR(INDEX('CAT_PUESTOS'!$B$4:$B$8,MATCH($G121,'CAT_PUESTOS'!$A$4:$A$8,0)),"(sin catálogo)"))</f>
        <v/>
      </c>
      <c r="AB121" s="5">
        <f>IF($H121="","",IFERROR(INDEX('CAT_ACTIVIDADES'!$B$4:$B$11,MATCH($H121,'CAT_ACTIVIDADES'!$A$4:$A$11,0)),"(sin catálogo)"))</f>
        <v/>
      </c>
      <c r="AC121" s="20">
        <f>IF($J121="","",TODAY()-$J121)</f>
        <v/>
      </c>
      <c r="AD121" s="20">
        <f>IF($J121="","",IF($J121&lt;=TODAY(),COUNTIFS(cal_fechas,"&gt;="&amp;$J121,cal_fechas,"&lt;"&amp;TODAY(),cal_habil,"sí"),-COUNTIFS(cal_fechas,"&gt;="&amp;TODAY(),cal_fechas,"&lt;"&amp;$J121,cal_habil,"sí")))</f>
        <v/>
      </c>
      <c r="AE121" s="5">
        <f>IF($AD121="","",IF($AD121&lt;0,"FUTURO",IF($AD121&gt;p_dias_backlog_max,"BACKLOG","MES CORRIENTE")))</f>
        <v/>
      </c>
      <c r="AF121" s="5">
        <f>IF($AD121="",FALSE,AND($AD121&gt;p_dias_backlog_min,$AD121&lt;=p_dias_backlog_max))</f>
        <v/>
      </c>
      <c r="AG121" s="4" t="inlineStr"/>
      <c r="AH121" s="5">
        <f>IF($AG121="","",IF((IFERROR(INDEX('ASIGNACIONES'!$J$4:$J$451,MATCH($O121&amp;"|"&amp;$S121&amp;"|"&amp;$AG121,'ASIGNACIONES'!$N$4:$N$451,0)),""))=0,"",IFERROR(INDEX('ASIGNACIONES'!$J$4:$J$451,MATCH($O121&amp;"|"&amp;$S121&amp;"|"&amp;$AG121,'ASIGNACIONES'!$N$4:$N$451,0)),"")))</f>
        <v/>
      </c>
      <c r="AI121" s="25">
        <f>IF($AG121="","",SUMIFS('ORDENES'!$M$4:$M$1203,'ORDENES'!$AG$4:$AG$1203,$AG121,'ORDENES'!$O$4:$O$1203,$O121,'ORDENES'!$S$4:$S$1203,$S121))</f>
        <v/>
      </c>
      <c r="AJ121" s="25">
        <f>IF($AI121="","",p_factor_productividad*IFERROR(INDEX('ASIGNACIONES'!$M$4:$M$451,MATCH($O121&amp;"|"&amp;$S121&amp;"|"&amp;$AG121,'ASIGNACIONES'!$N$4:$N$451,0)),0)-$AI121)</f>
        <v/>
      </c>
      <c r="AK121" s="18">
        <f>IF($A121="","",IFERROR(INDEX('2_IMPORTAR_EJECUCION'!$F$9:$F$1208,MATCH($AT121,'2_IMPORTAR_EJECUCION'!$J$9:$J$1208,0)),0))</f>
        <v/>
      </c>
      <c r="AL121" s="18">
        <f>IF($A121="","",MAX(0,IFERROR(INDEX('2_IMPORTAR_EJECUCION'!$H$9:$H$1208,MATCH($AT121,'2_IMPORTAR_EJECUCION'!$J$9:$J$1208,0)),0)-$AK121))</f>
        <v/>
      </c>
      <c r="AM121" s="18">
        <f>IF($A121="","",$AK121+$AL121)</f>
        <v/>
      </c>
      <c r="AN121" s="5">
        <f>IF($A121="","",IF(OR((IFERROR(INDEX('CAT_ACTIVIDADES'!$D$4:$D$11,MATCH($H121,'CAT_ACTIVIDADES'!$A$4:$A$11,0)),""))=0,(IFERROR(INDEX('CAT_ACTIVIDADES'!$D$4:$D$11,MATCH($H121,'CAT_ACTIVIDADES'!$A$4:$A$11,0)),""))=""),"SIN CLASIFICAR",IFERROR(INDEX('CAT_ACTIVIDADES'!$D$4:$D$11,MATCH($H121,'CAT_ACTIVIDADES'!$A$4:$A$11,0)),"")))</f>
        <v/>
      </c>
      <c r="AO121" s="4" t="inlineStr"/>
      <c r="AP121" s="4" t="inlineStr"/>
      <c r="AQ121" s="4" t="inlineStr"/>
      <c r="AR121" s="5">
        <f>IF($AQ121="","",HYPERLINK(p_ruta_base_checklists&amp;$AQ121,"abrir"))</f>
        <v/>
      </c>
      <c r="AS121" s="4" t="inlineStr"/>
      <c r="AT121" s="5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22" t="n">
        <v>46185</v>
      </c>
      <c r="K122" s="5" t="n">
        <v>8</v>
      </c>
      <c r="L122" s="18" t="n">
        <v>320</v>
      </c>
      <c r="M122" s="5">
        <f>IF($A122="","",IFERROR(INDEX('AJUSTES'!$B$4:$B$303,MATCH($AT122,'AJUSTES'!$A$4:$A$303,0)),IF($K122="","",$K122)))</f>
        <v/>
      </c>
      <c r="N122" s="5">
        <f>IF($A122="","",IFERROR(INDEX('CAT_ESTADOS_ERP'!$B$4:$B$7,MATCH(IFERROR(INDEX('2_IMPORTAR_EJECUCION'!$C$9:$C$1208,MATCH($AT122,'2_IMPORTAR_EJECUCION'!$J$9:$J$1208,0)),""),'CAT_ESTADOS_ERP'!$A$4:$A$7,0)),"Pendiente"))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IF($J122="","",$P122&amp;"-"&amp;TEXT($Q122,"00"))</f>
        <v/>
      </c>
      <c r="S122" s="5">
        <f>IF($J122="","",INDEX(lista_dias,WEEKDAY($J122,2)))</f>
        <v/>
      </c>
      <c r="T122" s="5">
        <f>IF($J122="","",IFERROR(INDEX('CALENDARIO'!$C$15:$C$214,MATCH(TEXT($J122,"yyyy-mm-dd")&amp;"|"&amp;$X122&amp;"|"&amp;$Y122,'CALENDARIO'!$G$15:$G$214,0)),IFERROR(INDEX('CALENDARIO'!$C$15:$C$214,MATCH(TEXT($J122,"yyyy-mm-dd")&amp;"|"&amp;$X122&amp;"|",'CALENDARIO'!$G$15:$G$214,0)),IFERROR(INDEX('CALENDARIO'!$C$15:$C$214,MATCH(TEXT($J122,"yyyy-mm-dd")&amp;"||",'CALENDARIO'!$G$15:$G$214,0)),INDEX(patronHabil,WEEKDAY($J122,2))))))</f>
        <v/>
      </c>
      <c r="U122" s="5">
        <f>IF($I122="","",IFERROR(INDEX('CAT_TIPOS_OT'!$C$4:$C$8,MATCH($I122,'CAT_TIPOS_OT'!$A$4:$A$8,0)),"sin_clasificar"))</f>
        <v/>
      </c>
      <c r="V122" s="5">
        <f>IF($I122="","",IF(IFERROR(INDEX('CAT_TIPOS_OT'!$D$4:$D$8,MATCH($I122,'CAT_TIPOS_OT'!$A$4:$A$8,0)),"SIN CLASIFICAR")="","SIN CLASIFICAR",IFERROR(INDEX('CAT_TIPOS_OT'!$D$4:$D$8,MATCH($I122,'CAT_TIPOS_OT'!$A$4:$A$8,0)),"SIN CLASIFICAR")))</f>
        <v/>
      </c>
      <c r="W122" s="5">
        <f>IF($F122="","",IFERROR(INDEX('CAT_CENTROS_COSTO'!$F$4:$F$13,MATCH($F122,'CAT_CENTROS_COSTO'!$A$4:$A$13,0)),"(sin catálogo)"))</f>
        <v/>
      </c>
      <c r="X122" s="5">
        <f>IF($F122="","",IFERROR(INDEX('CAT_CENTROS_COSTO'!$D$4:$D$13,MATCH($F122,'CAT_CENTROS_COSTO'!$A$4:$A$13,0)),"(sin catálogo)"))</f>
        <v/>
      </c>
      <c r="Y122" s="5">
        <f>IF($F122="","",IF((IFERROR(INDEX('CAT_CENTROS_COSTO'!$E$4:$E$13,MATCH($F122,'CAT_CENTROS_COSTO'!$A$4:$A$13,0)),""))&lt;&gt;"",IFERROR(INDEX('CAT_CENTROS_COSTO'!$E$4:$E$13,MATCH($F122,'CAT_CENTROS_COSTO'!$A$4:$A$13,0)),""),$X122))</f>
        <v/>
      </c>
      <c r="Z122" s="5">
        <f>IF($F122="","",IFERROR(INDEX('CAT_CENTROS_COSTO'!$G$4:$G$13,MATCH($F122,'CAT_CENTROS_COSTO'!$A$4:$A$13,0)),"(sin catálogo)"))</f>
        <v/>
      </c>
      <c r="AA122" s="5">
        <f>IF($G122="","",IFERROR(INDEX('CAT_PUESTOS'!$B$4:$B$8,MATCH($G122,'CAT_PUESTOS'!$A$4:$A$8,0)),"(sin catálogo)"))</f>
        <v/>
      </c>
      <c r="AB122" s="5">
        <f>IF($H122="","",IFERROR(INDEX('CAT_ACTIVIDADES'!$B$4:$B$11,MATCH($H122,'CAT_ACTIVIDADES'!$A$4:$A$11,0)),"(sin catálogo)"))</f>
        <v/>
      </c>
      <c r="AC122" s="20">
        <f>IF($J122="","",TODAY()-$J122)</f>
        <v/>
      </c>
      <c r="AD122" s="20">
        <f>IF($J122="","",IF($J122&lt;=TODAY(),COUNTIFS(cal_fechas,"&gt;="&amp;$J122,cal_fechas,"&lt;"&amp;TODAY(),cal_habil,"sí"),-COUNTIFS(cal_fechas,"&gt;="&amp;TODAY(),cal_fechas,"&lt;"&amp;$J122,cal_habil,"sí")))</f>
        <v/>
      </c>
      <c r="AE122" s="5">
        <f>IF($AD122="","",IF($AD122&lt;0,"FUTURO",IF($AD122&gt;p_dias_backlog_max,"BACKLOG","MES CORRIENTE")))</f>
        <v/>
      </c>
      <c r="AF122" s="5">
        <f>IF($AD122="",FALSE,AND($AD122&gt;p_dias_backlog_min,$AD122&lt;=p_dias_backlog_max))</f>
        <v/>
      </c>
      <c r="AG122" s="4" t="inlineStr"/>
      <c r="AH122" s="5">
        <f>IF($AG122="","",IF((IFERROR(INDEX('ASIGNACIONES'!$J$4:$J$451,MATCH($O122&amp;"|"&amp;$S122&amp;"|"&amp;$AG122,'ASIGNACIONES'!$N$4:$N$451,0)),""))=0,"",IFERROR(INDEX('ASIGNACIONES'!$J$4:$J$451,MATCH($O122&amp;"|"&amp;$S122&amp;"|"&amp;$AG122,'ASIGNACIONES'!$N$4:$N$451,0)),"")))</f>
        <v/>
      </c>
      <c r="AI122" s="25">
        <f>IF($AG122="","",SUMIFS('ORDENES'!$M$4:$M$1203,'ORDENES'!$AG$4:$AG$1203,$AG122,'ORDENES'!$O$4:$O$1203,$O122,'ORDENES'!$S$4:$S$1203,$S122))</f>
        <v/>
      </c>
      <c r="AJ122" s="25">
        <f>IF($AI122="","",p_factor_productividad*IFERROR(INDEX('ASIGNACIONES'!$M$4:$M$451,MATCH($O122&amp;"|"&amp;$S122&amp;"|"&amp;$AG122,'ASIGNACIONES'!$N$4:$N$451,0)),0)-$AI122)</f>
        <v/>
      </c>
      <c r="AK122" s="18">
        <f>IF($A122="","",IFERROR(INDEX('2_IMPORTAR_EJECUCION'!$F$9:$F$1208,MATCH($AT122,'2_IMPORTAR_EJECUCION'!$J$9:$J$1208,0)),0))</f>
        <v/>
      </c>
      <c r="AL122" s="18">
        <f>IF($A122="","",MAX(0,IFERROR(INDEX('2_IMPORTAR_EJECUCION'!$H$9:$H$1208,MATCH($AT122,'2_IMPORTAR_EJECUCION'!$J$9:$J$1208,0)),0)-$AK122))</f>
        <v/>
      </c>
      <c r="AM122" s="18">
        <f>IF($A122="","",$AK122+$AL122)</f>
        <v/>
      </c>
      <c r="AN122" s="5">
        <f>IF($A122="","",IF(OR((IFERROR(INDEX('CAT_ACTIVIDADES'!$D$4:$D$11,MATCH($H122,'CAT_ACTIVIDADES'!$A$4:$A$11,0)),""))=0,(IFERROR(INDEX('CAT_ACTIVIDADES'!$D$4:$D$11,MATCH($H122,'CAT_ACTIVIDADES'!$A$4:$A$11,0)),""))=""),"SIN CLASIFICAR",IFERROR(INDEX('CAT_ACTIVIDADES'!$D$4:$D$11,MATCH($H122,'CAT_ACTIVIDADES'!$A$4:$A$11,0)),"")))</f>
        <v/>
      </c>
      <c r="AO122" s="4" t="inlineStr"/>
      <c r="AP122" s="4" t="inlineStr"/>
      <c r="AQ122" s="4" t="inlineStr"/>
      <c r="AR122" s="5">
        <f>IF($AQ122="","",HYPERLINK(p_ruta_base_checklists&amp;$AQ122,"abrir"))</f>
        <v/>
      </c>
      <c r="AS122" s="4" t="inlineStr"/>
      <c r="AT122" s="5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22" t="n">
        <v>46185</v>
      </c>
      <c r="K123" s="5" t="n">
        <v>4</v>
      </c>
      <c r="L123" s="18" t="n">
        <v>100</v>
      </c>
      <c r="M123" s="5">
        <f>IF($A123="","",IFERROR(INDEX('AJUSTES'!$B$4:$B$303,MATCH($AT123,'AJUSTES'!$A$4:$A$303,0)),IF($K123="","",$K123)))</f>
        <v/>
      </c>
      <c r="N123" s="5">
        <f>IF($A123="","",IFERROR(INDEX('CAT_ESTADOS_ERP'!$B$4:$B$7,MATCH(IFERROR(INDEX('2_IMPORTAR_EJECUCION'!$C$9:$C$1208,MATCH($AT123,'2_IMPORTAR_EJECUCION'!$J$9:$J$1208,0)),""),'CAT_ESTADOS_ERP'!$A$4:$A$7,0)),"Pendiente"))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IF($J123="","",$P123&amp;"-"&amp;TEXT($Q123,"00"))</f>
        <v/>
      </c>
      <c r="S123" s="5">
        <f>IF($J123="","",INDEX(lista_dias,WEEKDAY($J123,2)))</f>
        <v/>
      </c>
      <c r="T123" s="5">
        <f>IF($J123="","",IFERROR(INDEX('CALENDARIO'!$C$15:$C$214,MATCH(TEXT($J123,"yyyy-mm-dd")&amp;"|"&amp;$X123&amp;"|"&amp;$Y123,'CALENDARIO'!$G$15:$G$214,0)),IFERROR(INDEX('CALENDARIO'!$C$15:$C$214,MATCH(TEXT($J123,"yyyy-mm-dd")&amp;"|"&amp;$X123&amp;"|",'CALENDARIO'!$G$15:$G$214,0)),IFERROR(INDEX('CALENDARIO'!$C$15:$C$214,MATCH(TEXT($J123,"yyyy-mm-dd")&amp;"||",'CALENDARIO'!$G$15:$G$214,0)),INDEX(patronHabil,WEEKDAY($J123,2))))))</f>
        <v/>
      </c>
      <c r="U123" s="5">
        <f>IF($I123="","",IFERROR(INDEX('CAT_TIPOS_OT'!$C$4:$C$8,MATCH($I123,'CAT_TIPOS_OT'!$A$4:$A$8,0)),"sin_clasificar"))</f>
        <v/>
      </c>
      <c r="V123" s="5">
        <f>IF($I123="","",IF(IFERROR(INDEX('CAT_TIPOS_OT'!$D$4:$D$8,MATCH($I123,'CAT_TIPOS_OT'!$A$4:$A$8,0)),"SIN CLASIFICAR")="","SIN CLASIFICAR",IFERROR(INDEX('CAT_TIPOS_OT'!$D$4:$D$8,MATCH($I123,'CAT_TIPOS_OT'!$A$4:$A$8,0)),"SIN CLASIFICAR")))</f>
        <v/>
      </c>
      <c r="W123" s="5">
        <f>IF($F123="","",IFERROR(INDEX('CAT_CENTROS_COSTO'!$F$4:$F$13,MATCH($F123,'CAT_CENTROS_COSTO'!$A$4:$A$13,0)),"(sin catálogo)"))</f>
        <v/>
      </c>
      <c r="X123" s="5">
        <f>IF($F123="","",IFERROR(INDEX('CAT_CENTROS_COSTO'!$D$4:$D$13,MATCH($F123,'CAT_CENTROS_COSTO'!$A$4:$A$13,0)),"(sin catálogo)"))</f>
        <v/>
      </c>
      <c r="Y123" s="5">
        <f>IF($F123="","",IF((IFERROR(INDEX('CAT_CENTROS_COSTO'!$E$4:$E$13,MATCH($F123,'CAT_CENTROS_COSTO'!$A$4:$A$13,0)),""))&lt;&gt;"",IFERROR(INDEX('CAT_CENTROS_COSTO'!$E$4:$E$13,MATCH($F123,'CAT_CENTROS_COSTO'!$A$4:$A$13,0)),""),$X123))</f>
        <v/>
      </c>
      <c r="Z123" s="5">
        <f>IF($F123="","",IFERROR(INDEX('CAT_CENTROS_COSTO'!$G$4:$G$13,MATCH($F123,'CAT_CENTROS_COSTO'!$A$4:$A$13,0)),"(sin catálogo)"))</f>
        <v/>
      </c>
      <c r="AA123" s="5">
        <f>IF($G123="","",IFERROR(INDEX('CAT_PUESTOS'!$B$4:$B$8,MATCH($G123,'CAT_PUESTOS'!$A$4:$A$8,0)),"(sin catálogo)"))</f>
        <v/>
      </c>
      <c r="AB123" s="5">
        <f>IF($H123="","",IFERROR(INDEX('CAT_ACTIVIDADES'!$B$4:$B$11,MATCH($H123,'CAT_ACTIVIDADES'!$A$4:$A$11,0)),"(sin catálogo)"))</f>
        <v/>
      </c>
      <c r="AC123" s="20">
        <f>IF($J123="","",TODAY()-$J123)</f>
        <v/>
      </c>
      <c r="AD123" s="20">
        <f>IF($J123="","",IF($J123&lt;=TODAY(),COUNTIFS(cal_fechas,"&gt;="&amp;$J123,cal_fechas,"&lt;"&amp;TODAY(),cal_habil,"sí"),-COUNTIFS(cal_fechas,"&gt;="&amp;TODAY(),cal_fechas,"&lt;"&amp;$J123,cal_habil,"sí")))</f>
        <v/>
      </c>
      <c r="AE123" s="5">
        <f>IF($AD123="","",IF($AD123&lt;0,"FUTURO",IF($AD123&gt;p_dias_backlog_max,"BACKLOG","MES CORRIENTE")))</f>
        <v/>
      </c>
      <c r="AF123" s="5">
        <f>IF($AD123="",FALSE,AND($AD123&gt;p_dias_backlog_min,$AD123&lt;=p_dias_backlog_max))</f>
        <v/>
      </c>
      <c r="AG123" s="4" t="inlineStr"/>
      <c r="AH123" s="5">
        <f>IF($AG123="","",IF((IFERROR(INDEX('ASIGNACIONES'!$J$4:$J$451,MATCH($O123&amp;"|"&amp;$S123&amp;"|"&amp;$AG123,'ASIGNACIONES'!$N$4:$N$451,0)),""))=0,"",IFERROR(INDEX('ASIGNACIONES'!$J$4:$J$451,MATCH($O123&amp;"|"&amp;$S123&amp;"|"&amp;$AG123,'ASIGNACIONES'!$N$4:$N$451,0)),"")))</f>
        <v/>
      </c>
      <c r="AI123" s="25">
        <f>IF($AG123="","",SUMIFS('ORDENES'!$M$4:$M$1203,'ORDENES'!$AG$4:$AG$1203,$AG123,'ORDENES'!$O$4:$O$1203,$O123,'ORDENES'!$S$4:$S$1203,$S123))</f>
        <v/>
      </c>
      <c r="AJ123" s="25">
        <f>IF($AI123="","",p_factor_productividad*IFERROR(INDEX('ASIGNACIONES'!$M$4:$M$451,MATCH($O123&amp;"|"&amp;$S123&amp;"|"&amp;$AG123,'ASIGNACIONES'!$N$4:$N$451,0)),0)-$AI123)</f>
        <v/>
      </c>
      <c r="AK123" s="18">
        <f>IF($A123="","",IFERROR(INDEX('2_IMPORTAR_EJECUCION'!$F$9:$F$1208,MATCH($AT123,'2_IMPORTAR_EJECUCION'!$J$9:$J$1208,0)),0))</f>
        <v/>
      </c>
      <c r="AL123" s="18">
        <f>IF($A123="","",MAX(0,IFERROR(INDEX('2_IMPORTAR_EJECUCION'!$H$9:$H$1208,MATCH($AT123,'2_IMPORTAR_EJECUCION'!$J$9:$J$1208,0)),0)-$AK123))</f>
        <v/>
      </c>
      <c r="AM123" s="18">
        <f>IF($A123="","",$AK123+$AL123)</f>
        <v/>
      </c>
      <c r="AN123" s="5">
        <f>IF($A123="","",IF(OR((IFERROR(INDEX('CAT_ACTIVIDADES'!$D$4:$D$11,MATCH($H123,'CAT_ACTIVIDADES'!$A$4:$A$11,0)),""))=0,(IFERROR(INDEX('CAT_ACTIVIDADES'!$D$4:$D$11,MATCH($H123,'CAT_ACTIVIDADES'!$A$4:$A$11,0)),""))=""),"SIN CLASIFICAR",IFERROR(INDEX('CAT_ACTIVIDADES'!$D$4:$D$11,MATCH($H123,'CAT_ACTIVIDADES'!$A$4:$A$11,0)),"")))</f>
        <v/>
      </c>
      <c r="AO123" s="4" t="inlineStr"/>
      <c r="AP123" s="4" t="inlineStr"/>
      <c r="AQ123" s="4" t="inlineStr"/>
      <c r="AR123" s="5">
        <f>IF($AQ123="","",HYPERLINK(p_ruta_base_checklists&amp;$AQ123,"abrir"))</f>
        <v/>
      </c>
      <c r="AS123" s="4" t="inlineStr"/>
      <c r="AT123" s="5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22" t="n">
        <v>46185</v>
      </c>
      <c r="K124" s="5" t="n">
        <v>6</v>
      </c>
      <c r="L124" s="18" t="n">
        <v>240</v>
      </c>
      <c r="M124" s="5">
        <f>IF($A124="","",IFERROR(INDEX('AJUSTES'!$B$4:$B$303,MATCH($AT124,'AJUSTES'!$A$4:$A$303,0)),IF($K124="","",$K124)))</f>
        <v/>
      </c>
      <c r="N124" s="5">
        <f>IF($A124="","",IFERROR(INDEX('CAT_ESTADOS_ERP'!$B$4:$B$7,MATCH(IFERROR(INDEX('2_IMPORTAR_EJECUCION'!$C$9:$C$1208,MATCH($AT124,'2_IMPORTAR_EJECUCION'!$J$9:$J$1208,0)),""),'CAT_ESTADOS_ERP'!$A$4:$A$7,0)),"Pendiente"))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IF($J124="","",$P124&amp;"-"&amp;TEXT($Q124,"00"))</f>
        <v/>
      </c>
      <c r="S124" s="5">
        <f>IF($J124="","",INDEX(lista_dias,WEEKDAY($J124,2)))</f>
        <v/>
      </c>
      <c r="T124" s="5">
        <f>IF($J124="","",IFERROR(INDEX('CALENDARIO'!$C$15:$C$214,MATCH(TEXT($J124,"yyyy-mm-dd")&amp;"|"&amp;$X124&amp;"|"&amp;$Y124,'CALENDARIO'!$G$15:$G$214,0)),IFERROR(INDEX('CALENDARIO'!$C$15:$C$214,MATCH(TEXT($J124,"yyyy-mm-dd")&amp;"|"&amp;$X124&amp;"|",'CALENDARIO'!$G$15:$G$214,0)),IFERROR(INDEX('CALENDARIO'!$C$15:$C$214,MATCH(TEXT($J124,"yyyy-mm-dd")&amp;"||",'CALENDARIO'!$G$15:$G$214,0)),INDEX(patronHabil,WEEKDAY($J124,2))))))</f>
        <v/>
      </c>
      <c r="U124" s="5">
        <f>IF($I124="","",IFERROR(INDEX('CAT_TIPOS_OT'!$C$4:$C$8,MATCH($I124,'CAT_TIPOS_OT'!$A$4:$A$8,0)),"sin_clasificar"))</f>
        <v/>
      </c>
      <c r="V124" s="5">
        <f>IF($I124="","",IF(IFERROR(INDEX('CAT_TIPOS_OT'!$D$4:$D$8,MATCH($I124,'CAT_TIPOS_OT'!$A$4:$A$8,0)),"SIN CLASIFICAR")="","SIN CLASIFICAR",IFERROR(INDEX('CAT_TIPOS_OT'!$D$4:$D$8,MATCH($I124,'CAT_TIPOS_OT'!$A$4:$A$8,0)),"SIN CLASIFICAR")))</f>
        <v/>
      </c>
      <c r="W124" s="5">
        <f>IF($F124="","",IFERROR(INDEX('CAT_CENTROS_COSTO'!$F$4:$F$13,MATCH($F124,'CAT_CENTROS_COSTO'!$A$4:$A$13,0)),"(sin catálogo)"))</f>
        <v/>
      </c>
      <c r="X124" s="5">
        <f>IF($F124="","",IFERROR(INDEX('CAT_CENTROS_COSTO'!$D$4:$D$13,MATCH($F124,'CAT_CENTROS_COSTO'!$A$4:$A$13,0)),"(sin catálogo)"))</f>
        <v/>
      </c>
      <c r="Y124" s="5">
        <f>IF($F124="","",IF((IFERROR(INDEX('CAT_CENTROS_COSTO'!$E$4:$E$13,MATCH($F124,'CAT_CENTROS_COSTO'!$A$4:$A$13,0)),""))&lt;&gt;"",IFERROR(INDEX('CAT_CENTROS_COSTO'!$E$4:$E$13,MATCH($F124,'CAT_CENTROS_COSTO'!$A$4:$A$13,0)),""),$X124))</f>
        <v/>
      </c>
      <c r="Z124" s="5">
        <f>IF($F124="","",IFERROR(INDEX('CAT_CENTROS_COSTO'!$G$4:$G$13,MATCH($F124,'CAT_CENTROS_COSTO'!$A$4:$A$13,0)),"(sin catálogo)"))</f>
        <v/>
      </c>
      <c r="AA124" s="5">
        <f>IF($G124="","",IFERROR(INDEX('CAT_PUESTOS'!$B$4:$B$8,MATCH($G124,'CAT_PUESTOS'!$A$4:$A$8,0)),"(sin catálogo)"))</f>
        <v/>
      </c>
      <c r="AB124" s="5">
        <f>IF($H124="","",IFERROR(INDEX('CAT_ACTIVIDADES'!$B$4:$B$11,MATCH($H124,'CAT_ACTIVIDADES'!$A$4:$A$11,0)),"(sin catálogo)"))</f>
        <v/>
      </c>
      <c r="AC124" s="20">
        <f>IF($J124="","",TODAY()-$J124)</f>
        <v/>
      </c>
      <c r="AD124" s="20">
        <f>IF($J124="","",IF($J124&lt;=TODAY(),COUNTIFS(cal_fechas,"&gt;="&amp;$J124,cal_fechas,"&lt;"&amp;TODAY(),cal_habil,"sí"),-COUNTIFS(cal_fechas,"&gt;="&amp;TODAY(),cal_fechas,"&lt;"&amp;$J124,cal_habil,"sí")))</f>
        <v/>
      </c>
      <c r="AE124" s="5">
        <f>IF($AD124="","",IF($AD124&lt;0,"FUTURO",IF($AD124&gt;p_dias_backlog_max,"BACKLOG","MES CORRIENTE")))</f>
        <v/>
      </c>
      <c r="AF124" s="5">
        <f>IF($AD124="",FALSE,AND($AD124&gt;p_dias_backlog_min,$AD124&lt;=p_dias_backlog_max))</f>
        <v/>
      </c>
      <c r="AG124" s="4" t="inlineStr"/>
      <c r="AH124" s="5">
        <f>IF($AG124="","",IF((IFERROR(INDEX('ASIGNACIONES'!$J$4:$J$451,MATCH($O124&amp;"|"&amp;$S124&amp;"|"&amp;$AG124,'ASIGNACIONES'!$N$4:$N$451,0)),""))=0,"",IFERROR(INDEX('ASIGNACIONES'!$J$4:$J$451,MATCH($O124&amp;"|"&amp;$S124&amp;"|"&amp;$AG124,'ASIGNACIONES'!$N$4:$N$451,0)),"")))</f>
        <v/>
      </c>
      <c r="AI124" s="25">
        <f>IF($AG124="","",SUMIFS('ORDENES'!$M$4:$M$1203,'ORDENES'!$AG$4:$AG$1203,$AG124,'ORDENES'!$O$4:$O$1203,$O124,'ORDENES'!$S$4:$S$1203,$S124))</f>
        <v/>
      </c>
      <c r="AJ124" s="25">
        <f>IF($AI124="","",p_factor_productividad*IFERROR(INDEX('ASIGNACIONES'!$M$4:$M$451,MATCH($O124&amp;"|"&amp;$S124&amp;"|"&amp;$AG124,'ASIGNACIONES'!$N$4:$N$451,0)),0)-$AI124)</f>
        <v/>
      </c>
      <c r="AK124" s="18">
        <f>IF($A124="","",IFERROR(INDEX('2_IMPORTAR_EJECUCION'!$F$9:$F$1208,MATCH($AT124,'2_IMPORTAR_EJECUCION'!$J$9:$J$1208,0)),0))</f>
        <v/>
      </c>
      <c r="AL124" s="18">
        <f>IF($A124="","",MAX(0,IFERROR(INDEX('2_IMPORTAR_EJECUCION'!$H$9:$H$1208,MATCH($AT124,'2_IMPORTAR_EJECUCION'!$J$9:$J$1208,0)),0)-$AK124))</f>
        <v/>
      </c>
      <c r="AM124" s="18">
        <f>IF($A124="","",$AK124+$AL124)</f>
        <v/>
      </c>
      <c r="AN124" s="5">
        <f>IF($A124="","",IF(OR((IFERROR(INDEX('CAT_ACTIVIDADES'!$D$4:$D$11,MATCH($H124,'CAT_ACTIVIDADES'!$A$4:$A$11,0)),""))=0,(IFERROR(INDEX('CAT_ACTIVIDADES'!$D$4:$D$11,MATCH($H124,'CAT_ACTIVIDADES'!$A$4:$A$11,0)),""))=""),"SIN CLASIFICAR",IFERROR(INDEX('CAT_ACTIVIDADES'!$D$4:$D$11,MATCH($H124,'CAT_ACTIVIDADES'!$A$4:$A$11,0)),"")))</f>
        <v/>
      </c>
      <c r="AO124" s="4" t="inlineStr"/>
      <c r="AP124" s="4" t="inlineStr"/>
      <c r="AQ124" s="4" t="inlineStr"/>
      <c r="AR124" s="5">
        <f>IF($AQ124="","",HYPERLINK(p_ruta_base_checklists&amp;$AQ124,"abrir"))</f>
        <v/>
      </c>
      <c r="AS124" s="4" t="inlineStr"/>
      <c r="AT124" s="5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22" t="n">
        <v>46185</v>
      </c>
      <c r="K125" s="5" t="n">
        <v>8</v>
      </c>
      <c r="L125" s="18" t="n">
        <v>320</v>
      </c>
      <c r="M125" s="5">
        <f>IF($A125="","",IFERROR(INDEX('AJUSTES'!$B$4:$B$303,MATCH($AT125,'AJUSTES'!$A$4:$A$303,0)),IF($K125="","",$K125)))</f>
        <v/>
      </c>
      <c r="N125" s="5">
        <f>IF($A125="","",IFERROR(INDEX('CAT_ESTADOS_ERP'!$B$4:$B$7,MATCH(IFERROR(INDEX('2_IMPORTAR_EJECUCION'!$C$9:$C$1208,MATCH($AT125,'2_IMPORTAR_EJECUCION'!$J$9:$J$1208,0)),""),'CAT_ESTADOS_ERP'!$A$4:$A$7,0)),"Pendiente"))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IF($J125="","",$P125&amp;"-"&amp;TEXT($Q125,"00"))</f>
        <v/>
      </c>
      <c r="S125" s="5">
        <f>IF($J125="","",INDEX(lista_dias,WEEKDAY($J125,2)))</f>
        <v/>
      </c>
      <c r="T125" s="5">
        <f>IF($J125="","",IFERROR(INDEX('CALENDARIO'!$C$15:$C$214,MATCH(TEXT($J125,"yyyy-mm-dd")&amp;"|"&amp;$X125&amp;"|"&amp;$Y125,'CALENDARIO'!$G$15:$G$214,0)),IFERROR(INDEX('CALENDARIO'!$C$15:$C$214,MATCH(TEXT($J125,"yyyy-mm-dd")&amp;"|"&amp;$X125&amp;"|",'CALENDARIO'!$G$15:$G$214,0)),IFERROR(INDEX('CALENDARIO'!$C$15:$C$214,MATCH(TEXT($J125,"yyyy-mm-dd")&amp;"||",'CALENDARIO'!$G$15:$G$214,0)),INDEX(patronHabil,WEEKDAY($J125,2))))))</f>
        <v/>
      </c>
      <c r="U125" s="5">
        <f>IF($I125="","",IFERROR(INDEX('CAT_TIPOS_OT'!$C$4:$C$8,MATCH($I125,'CAT_TIPOS_OT'!$A$4:$A$8,0)),"sin_clasificar"))</f>
        <v/>
      </c>
      <c r="V125" s="5">
        <f>IF($I125="","",IF(IFERROR(INDEX('CAT_TIPOS_OT'!$D$4:$D$8,MATCH($I125,'CAT_TIPOS_OT'!$A$4:$A$8,0)),"SIN CLASIFICAR")="","SIN CLASIFICAR",IFERROR(INDEX('CAT_TIPOS_OT'!$D$4:$D$8,MATCH($I125,'CAT_TIPOS_OT'!$A$4:$A$8,0)),"SIN CLASIFICAR")))</f>
        <v/>
      </c>
      <c r="W125" s="5">
        <f>IF($F125="","",IFERROR(INDEX('CAT_CENTROS_COSTO'!$F$4:$F$13,MATCH($F125,'CAT_CENTROS_COSTO'!$A$4:$A$13,0)),"(sin catálogo)"))</f>
        <v/>
      </c>
      <c r="X125" s="5">
        <f>IF($F125="","",IFERROR(INDEX('CAT_CENTROS_COSTO'!$D$4:$D$13,MATCH($F125,'CAT_CENTROS_COSTO'!$A$4:$A$13,0)),"(sin catálogo)"))</f>
        <v/>
      </c>
      <c r="Y125" s="5">
        <f>IF($F125="","",IF((IFERROR(INDEX('CAT_CENTROS_COSTO'!$E$4:$E$13,MATCH($F125,'CAT_CENTROS_COSTO'!$A$4:$A$13,0)),""))&lt;&gt;"",IFERROR(INDEX('CAT_CENTROS_COSTO'!$E$4:$E$13,MATCH($F125,'CAT_CENTROS_COSTO'!$A$4:$A$13,0)),""),$X125))</f>
        <v/>
      </c>
      <c r="Z125" s="5">
        <f>IF($F125="","",IFERROR(INDEX('CAT_CENTROS_COSTO'!$G$4:$G$13,MATCH($F125,'CAT_CENTROS_COSTO'!$A$4:$A$13,0)),"(sin catálogo)"))</f>
        <v/>
      </c>
      <c r="AA125" s="5">
        <f>IF($G125="","",IFERROR(INDEX('CAT_PUESTOS'!$B$4:$B$8,MATCH($G125,'CAT_PUESTOS'!$A$4:$A$8,0)),"(sin catálogo)"))</f>
        <v/>
      </c>
      <c r="AB125" s="5">
        <f>IF($H125="","",IFERROR(INDEX('CAT_ACTIVIDADES'!$B$4:$B$11,MATCH($H125,'CAT_ACTIVIDADES'!$A$4:$A$11,0)),"(sin catálogo)"))</f>
        <v/>
      </c>
      <c r="AC125" s="20">
        <f>IF($J125="","",TODAY()-$J125)</f>
        <v/>
      </c>
      <c r="AD125" s="20">
        <f>IF($J125="","",IF($J125&lt;=TODAY(),COUNTIFS(cal_fechas,"&gt;="&amp;$J125,cal_fechas,"&lt;"&amp;TODAY(),cal_habil,"sí"),-COUNTIFS(cal_fechas,"&gt;="&amp;TODAY(),cal_fechas,"&lt;"&amp;$J125,cal_habil,"sí")))</f>
        <v/>
      </c>
      <c r="AE125" s="5">
        <f>IF($AD125="","",IF($AD125&lt;0,"FUTURO",IF($AD125&gt;p_dias_backlog_max,"BACKLOG","MES CORRIENTE")))</f>
        <v/>
      </c>
      <c r="AF125" s="5">
        <f>IF($AD125="",FALSE,AND($AD125&gt;p_dias_backlog_min,$AD125&lt;=p_dias_backlog_max))</f>
        <v/>
      </c>
      <c r="AG125" s="4" t="inlineStr"/>
      <c r="AH125" s="5">
        <f>IF($AG125="","",IF((IFERROR(INDEX('ASIGNACIONES'!$J$4:$J$451,MATCH($O125&amp;"|"&amp;$S125&amp;"|"&amp;$AG125,'ASIGNACIONES'!$N$4:$N$451,0)),""))=0,"",IFERROR(INDEX('ASIGNACIONES'!$J$4:$J$451,MATCH($O125&amp;"|"&amp;$S125&amp;"|"&amp;$AG125,'ASIGNACIONES'!$N$4:$N$451,0)),"")))</f>
        <v/>
      </c>
      <c r="AI125" s="25">
        <f>IF($AG125="","",SUMIFS('ORDENES'!$M$4:$M$1203,'ORDENES'!$AG$4:$AG$1203,$AG125,'ORDENES'!$O$4:$O$1203,$O125,'ORDENES'!$S$4:$S$1203,$S125))</f>
        <v/>
      </c>
      <c r="AJ125" s="25">
        <f>IF($AI125="","",p_factor_productividad*IFERROR(INDEX('ASIGNACIONES'!$M$4:$M$451,MATCH($O125&amp;"|"&amp;$S125&amp;"|"&amp;$AG125,'ASIGNACIONES'!$N$4:$N$451,0)),0)-$AI125)</f>
        <v/>
      </c>
      <c r="AK125" s="18">
        <f>IF($A125="","",IFERROR(INDEX('2_IMPORTAR_EJECUCION'!$F$9:$F$1208,MATCH($AT125,'2_IMPORTAR_EJECUCION'!$J$9:$J$1208,0)),0))</f>
        <v/>
      </c>
      <c r="AL125" s="18">
        <f>IF($A125="","",MAX(0,IFERROR(INDEX('2_IMPORTAR_EJECUCION'!$H$9:$H$1208,MATCH($AT125,'2_IMPORTAR_EJECUCION'!$J$9:$J$1208,0)),0)-$AK125))</f>
        <v/>
      </c>
      <c r="AM125" s="18">
        <f>IF($A125="","",$AK125+$AL125)</f>
        <v/>
      </c>
      <c r="AN125" s="5">
        <f>IF($A125="","",IF(OR((IFERROR(INDEX('CAT_ACTIVIDADES'!$D$4:$D$11,MATCH($H125,'CAT_ACTIVIDADES'!$A$4:$A$11,0)),""))=0,(IFERROR(INDEX('CAT_ACTIVIDADES'!$D$4:$D$11,MATCH($H125,'CAT_ACTIVIDADES'!$A$4:$A$11,0)),""))=""),"SIN CLASIFICAR",IFERROR(INDEX('CAT_ACTIVIDADES'!$D$4:$D$11,MATCH($H125,'CAT_ACTIVIDADES'!$A$4:$A$11,0)),"")))</f>
        <v/>
      </c>
      <c r="AO125" s="4" t="inlineStr"/>
      <c r="AP125" s="4" t="inlineStr"/>
      <c r="AQ125" s="4" t="inlineStr"/>
      <c r="AR125" s="5">
        <f>IF($AQ125="","",HYPERLINK(p_ruta_base_checklists&amp;$AQ125,"abrir"))</f>
        <v/>
      </c>
      <c r="AS125" s="4" t="inlineStr"/>
      <c r="AT125" s="5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22" t="n">
        <v>46185</v>
      </c>
      <c r="K126" s="5" t="n">
        <v>4</v>
      </c>
      <c r="L126" s="18" t="n">
        <v>160</v>
      </c>
      <c r="M126" s="5">
        <f>IF($A126="","",IFERROR(INDEX('AJUSTES'!$B$4:$B$303,MATCH($AT126,'AJUSTES'!$A$4:$A$303,0)),IF($K126="","",$K126)))</f>
        <v/>
      </c>
      <c r="N126" s="5">
        <f>IF($A126="","",IFERROR(INDEX('CAT_ESTADOS_ERP'!$B$4:$B$7,MATCH(IFERROR(INDEX('2_IMPORTAR_EJECUCION'!$C$9:$C$1208,MATCH($AT126,'2_IMPORTAR_EJECUCION'!$J$9:$J$1208,0)),""),'CAT_ESTADOS_ERP'!$A$4:$A$7,0)),"Pendiente"))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IF($J126="","",$P126&amp;"-"&amp;TEXT($Q126,"00"))</f>
        <v/>
      </c>
      <c r="S126" s="5">
        <f>IF($J126="","",INDEX(lista_dias,WEEKDAY($J126,2)))</f>
        <v/>
      </c>
      <c r="T126" s="5">
        <f>IF($J126="","",IFERROR(INDEX('CALENDARIO'!$C$15:$C$214,MATCH(TEXT($J126,"yyyy-mm-dd")&amp;"|"&amp;$X126&amp;"|"&amp;$Y126,'CALENDARIO'!$G$15:$G$214,0)),IFERROR(INDEX('CALENDARIO'!$C$15:$C$214,MATCH(TEXT($J126,"yyyy-mm-dd")&amp;"|"&amp;$X126&amp;"|",'CALENDARIO'!$G$15:$G$214,0)),IFERROR(INDEX('CALENDARIO'!$C$15:$C$214,MATCH(TEXT($J126,"yyyy-mm-dd")&amp;"||",'CALENDARIO'!$G$15:$G$214,0)),INDEX(patronHabil,WEEKDAY($J126,2))))))</f>
        <v/>
      </c>
      <c r="U126" s="5">
        <f>IF($I126="","",IFERROR(INDEX('CAT_TIPOS_OT'!$C$4:$C$8,MATCH($I126,'CAT_TIPOS_OT'!$A$4:$A$8,0)),"sin_clasificar"))</f>
        <v/>
      </c>
      <c r="V126" s="5">
        <f>IF($I126="","",IF(IFERROR(INDEX('CAT_TIPOS_OT'!$D$4:$D$8,MATCH($I126,'CAT_TIPOS_OT'!$A$4:$A$8,0)),"SIN CLASIFICAR")="","SIN CLASIFICAR",IFERROR(INDEX('CAT_TIPOS_OT'!$D$4:$D$8,MATCH($I126,'CAT_TIPOS_OT'!$A$4:$A$8,0)),"SIN CLASIFICAR")))</f>
        <v/>
      </c>
      <c r="W126" s="5">
        <f>IF($F126="","",IFERROR(INDEX('CAT_CENTROS_COSTO'!$F$4:$F$13,MATCH($F126,'CAT_CENTROS_COSTO'!$A$4:$A$13,0)),"(sin catálogo)"))</f>
        <v/>
      </c>
      <c r="X126" s="5">
        <f>IF($F126="","",IFERROR(INDEX('CAT_CENTROS_COSTO'!$D$4:$D$13,MATCH($F126,'CAT_CENTROS_COSTO'!$A$4:$A$13,0)),"(sin catálogo)"))</f>
        <v/>
      </c>
      <c r="Y126" s="5">
        <f>IF($F126="","",IF((IFERROR(INDEX('CAT_CENTROS_COSTO'!$E$4:$E$13,MATCH($F126,'CAT_CENTROS_COSTO'!$A$4:$A$13,0)),""))&lt;&gt;"",IFERROR(INDEX('CAT_CENTROS_COSTO'!$E$4:$E$13,MATCH($F126,'CAT_CENTROS_COSTO'!$A$4:$A$13,0)),""),$X126))</f>
        <v/>
      </c>
      <c r="Z126" s="5">
        <f>IF($F126="","",IFERROR(INDEX('CAT_CENTROS_COSTO'!$G$4:$G$13,MATCH($F126,'CAT_CENTROS_COSTO'!$A$4:$A$13,0)),"(sin catálogo)"))</f>
        <v/>
      </c>
      <c r="AA126" s="5">
        <f>IF($G126="","",IFERROR(INDEX('CAT_PUESTOS'!$B$4:$B$8,MATCH($G126,'CAT_PUESTOS'!$A$4:$A$8,0)),"(sin catálogo)"))</f>
        <v/>
      </c>
      <c r="AB126" s="5">
        <f>IF($H126="","",IFERROR(INDEX('CAT_ACTIVIDADES'!$B$4:$B$11,MATCH($H126,'CAT_ACTIVIDADES'!$A$4:$A$11,0)),"(sin catálogo)"))</f>
        <v/>
      </c>
      <c r="AC126" s="20">
        <f>IF($J126="","",TODAY()-$J126)</f>
        <v/>
      </c>
      <c r="AD126" s="20">
        <f>IF($J126="","",IF($J126&lt;=TODAY(),COUNTIFS(cal_fechas,"&gt;="&amp;$J126,cal_fechas,"&lt;"&amp;TODAY(),cal_habil,"sí"),-COUNTIFS(cal_fechas,"&gt;="&amp;TODAY(),cal_fechas,"&lt;"&amp;$J126,cal_habil,"sí")))</f>
        <v/>
      </c>
      <c r="AE126" s="5">
        <f>IF($AD126="","",IF($AD126&lt;0,"FUTURO",IF($AD126&gt;p_dias_backlog_max,"BACKLOG","MES CORRIENTE")))</f>
        <v/>
      </c>
      <c r="AF126" s="5">
        <f>IF($AD126="",FALSE,AND($AD126&gt;p_dias_backlog_min,$AD126&lt;=p_dias_backlog_max))</f>
        <v/>
      </c>
      <c r="AG126" s="4" t="inlineStr"/>
      <c r="AH126" s="5">
        <f>IF($AG126="","",IF((IFERROR(INDEX('ASIGNACIONES'!$J$4:$J$451,MATCH($O126&amp;"|"&amp;$S126&amp;"|"&amp;$AG126,'ASIGNACIONES'!$N$4:$N$451,0)),""))=0,"",IFERROR(INDEX('ASIGNACIONES'!$J$4:$J$451,MATCH($O126&amp;"|"&amp;$S126&amp;"|"&amp;$AG126,'ASIGNACIONES'!$N$4:$N$451,0)),"")))</f>
        <v/>
      </c>
      <c r="AI126" s="25">
        <f>IF($AG126="","",SUMIFS('ORDENES'!$M$4:$M$1203,'ORDENES'!$AG$4:$AG$1203,$AG126,'ORDENES'!$O$4:$O$1203,$O126,'ORDENES'!$S$4:$S$1203,$S126))</f>
        <v/>
      </c>
      <c r="AJ126" s="25">
        <f>IF($AI126="","",p_factor_productividad*IFERROR(INDEX('ASIGNACIONES'!$M$4:$M$451,MATCH($O126&amp;"|"&amp;$S126&amp;"|"&amp;$AG126,'ASIGNACIONES'!$N$4:$N$451,0)),0)-$AI126)</f>
        <v/>
      </c>
      <c r="AK126" s="18">
        <f>IF($A126="","",IFERROR(INDEX('2_IMPORTAR_EJECUCION'!$F$9:$F$1208,MATCH($AT126,'2_IMPORTAR_EJECUCION'!$J$9:$J$1208,0)),0))</f>
        <v/>
      </c>
      <c r="AL126" s="18">
        <f>IF($A126="","",MAX(0,IFERROR(INDEX('2_IMPORTAR_EJECUCION'!$H$9:$H$1208,MATCH($AT126,'2_IMPORTAR_EJECUCION'!$J$9:$J$1208,0)),0)-$AK126))</f>
        <v/>
      </c>
      <c r="AM126" s="18">
        <f>IF($A126="","",$AK126+$AL126)</f>
        <v/>
      </c>
      <c r="AN126" s="5">
        <f>IF($A126="","",IF(OR((IFERROR(INDEX('CAT_ACTIVIDADES'!$D$4:$D$11,MATCH($H126,'CAT_ACTIVIDADES'!$A$4:$A$11,0)),""))=0,(IFERROR(INDEX('CAT_ACTIVIDADES'!$D$4:$D$11,MATCH($H126,'CAT_ACTIVIDADES'!$A$4:$A$11,0)),""))=""),"SIN CLASIFICAR",IFERROR(INDEX('CAT_ACTIVIDADES'!$D$4:$D$11,MATCH($H126,'CAT_ACTIVIDADES'!$A$4:$A$11,0)),"")))</f>
        <v/>
      </c>
      <c r="AO126" s="4" t="inlineStr"/>
      <c r="AP126" s="4" t="inlineStr"/>
      <c r="AQ126" s="4" t="inlineStr"/>
      <c r="AR126" s="5">
        <f>IF($AQ126="","",HYPERLINK(p_ruta_base_checklists&amp;$AQ126,"abrir"))</f>
        <v/>
      </c>
      <c r="AS126" s="4" t="inlineStr"/>
      <c r="AT126" s="5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22" t="n">
        <v>46185</v>
      </c>
      <c r="K127" s="5" t="n">
        <v>6</v>
      </c>
      <c r="L127" s="18" t="n">
        <v>150</v>
      </c>
      <c r="M127" s="5">
        <f>IF($A127="","",IFERROR(INDEX('AJUSTES'!$B$4:$B$303,MATCH($AT127,'AJUSTES'!$A$4:$A$303,0)),IF($K127="","",$K127)))</f>
        <v/>
      </c>
      <c r="N127" s="5">
        <f>IF($A127="","",IFERROR(INDEX('CAT_ESTADOS_ERP'!$B$4:$B$7,MATCH(IFERROR(INDEX('2_IMPORTAR_EJECUCION'!$C$9:$C$1208,MATCH($AT127,'2_IMPORTAR_EJECUCION'!$J$9:$J$1208,0)),""),'CAT_ESTADOS_ERP'!$A$4:$A$7,0)),"Pendiente"))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IF($J127="","",$P127&amp;"-"&amp;TEXT($Q127,"00"))</f>
        <v/>
      </c>
      <c r="S127" s="5">
        <f>IF($J127="","",INDEX(lista_dias,WEEKDAY($J127,2)))</f>
        <v/>
      </c>
      <c r="T127" s="5">
        <f>IF($J127="","",IFERROR(INDEX('CALENDARIO'!$C$15:$C$214,MATCH(TEXT($J127,"yyyy-mm-dd")&amp;"|"&amp;$X127&amp;"|"&amp;$Y127,'CALENDARIO'!$G$15:$G$214,0)),IFERROR(INDEX('CALENDARIO'!$C$15:$C$214,MATCH(TEXT($J127,"yyyy-mm-dd")&amp;"|"&amp;$X127&amp;"|",'CALENDARIO'!$G$15:$G$214,0)),IFERROR(INDEX('CALENDARIO'!$C$15:$C$214,MATCH(TEXT($J127,"yyyy-mm-dd")&amp;"||",'CALENDARIO'!$G$15:$G$214,0)),INDEX(patronHabil,WEEKDAY($J127,2))))))</f>
        <v/>
      </c>
      <c r="U127" s="5">
        <f>IF($I127="","",IFERROR(INDEX('CAT_TIPOS_OT'!$C$4:$C$8,MATCH($I127,'CAT_TIPOS_OT'!$A$4:$A$8,0)),"sin_clasificar"))</f>
        <v/>
      </c>
      <c r="V127" s="5">
        <f>IF($I127="","",IF(IFERROR(INDEX('CAT_TIPOS_OT'!$D$4:$D$8,MATCH($I127,'CAT_TIPOS_OT'!$A$4:$A$8,0)),"SIN CLASIFICAR")="","SIN CLASIFICAR",IFERROR(INDEX('CAT_TIPOS_OT'!$D$4:$D$8,MATCH($I127,'CAT_TIPOS_OT'!$A$4:$A$8,0)),"SIN CLASIFICAR")))</f>
        <v/>
      </c>
      <c r="W127" s="5">
        <f>IF($F127="","",IFERROR(INDEX('CAT_CENTROS_COSTO'!$F$4:$F$13,MATCH($F127,'CAT_CENTROS_COSTO'!$A$4:$A$13,0)),"(sin catálogo)"))</f>
        <v/>
      </c>
      <c r="X127" s="5">
        <f>IF($F127="","",IFERROR(INDEX('CAT_CENTROS_COSTO'!$D$4:$D$13,MATCH($F127,'CAT_CENTROS_COSTO'!$A$4:$A$13,0)),"(sin catálogo)"))</f>
        <v/>
      </c>
      <c r="Y127" s="5">
        <f>IF($F127="","",IF((IFERROR(INDEX('CAT_CENTROS_COSTO'!$E$4:$E$13,MATCH($F127,'CAT_CENTROS_COSTO'!$A$4:$A$13,0)),""))&lt;&gt;"",IFERROR(INDEX('CAT_CENTROS_COSTO'!$E$4:$E$13,MATCH($F127,'CAT_CENTROS_COSTO'!$A$4:$A$13,0)),""),$X127))</f>
        <v/>
      </c>
      <c r="Z127" s="5">
        <f>IF($F127="","",IFERROR(INDEX('CAT_CENTROS_COSTO'!$G$4:$G$13,MATCH($F127,'CAT_CENTROS_COSTO'!$A$4:$A$13,0)),"(sin catálogo)"))</f>
        <v/>
      </c>
      <c r="AA127" s="5">
        <f>IF($G127="","",IFERROR(INDEX('CAT_PUESTOS'!$B$4:$B$8,MATCH($G127,'CAT_PUESTOS'!$A$4:$A$8,0)),"(sin catálogo)"))</f>
        <v/>
      </c>
      <c r="AB127" s="5">
        <f>IF($H127="","",IFERROR(INDEX('CAT_ACTIVIDADES'!$B$4:$B$11,MATCH($H127,'CAT_ACTIVIDADES'!$A$4:$A$11,0)),"(sin catálogo)"))</f>
        <v/>
      </c>
      <c r="AC127" s="20">
        <f>IF($J127="","",TODAY()-$J127)</f>
        <v/>
      </c>
      <c r="AD127" s="20">
        <f>IF($J127="","",IF($J127&lt;=TODAY(),COUNTIFS(cal_fechas,"&gt;="&amp;$J127,cal_fechas,"&lt;"&amp;TODAY(),cal_habil,"sí"),-COUNTIFS(cal_fechas,"&gt;="&amp;TODAY(),cal_fechas,"&lt;"&amp;$J127,cal_habil,"sí")))</f>
        <v/>
      </c>
      <c r="AE127" s="5">
        <f>IF($AD127="","",IF($AD127&lt;0,"FUTURO",IF($AD127&gt;p_dias_backlog_max,"BACKLOG","MES CORRIENTE")))</f>
        <v/>
      </c>
      <c r="AF127" s="5">
        <f>IF($AD127="",FALSE,AND($AD127&gt;p_dias_backlog_min,$AD127&lt;=p_dias_backlog_max))</f>
        <v/>
      </c>
      <c r="AG127" s="4" t="inlineStr"/>
      <c r="AH127" s="5">
        <f>IF($AG127="","",IF((IFERROR(INDEX('ASIGNACIONES'!$J$4:$J$451,MATCH($O127&amp;"|"&amp;$S127&amp;"|"&amp;$AG127,'ASIGNACIONES'!$N$4:$N$451,0)),""))=0,"",IFERROR(INDEX('ASIGNACIONES'!$J$4:$J$451,MATCH($O127&amp;"|"&amp;$S127&amp;"|"&amp;$AG127,'ASIGNACIONES'!$N$4:$N$451,0)),"")))</f>
        <v/>
      </c>
      <c r="AI127" s="25">
        <f>IF($AG127="","",SUMIFS('ORDENES'!$M$4:$M$1203,'ORDENES'!$AG$4:$AG$1203,$AG127,'ORDENES'!$O$4:$O$1203,$O127,'ORDENES'!$S$4:$S$1203,$S127))</f>
        <v/>
      </c>
      <c r="AJ127" s="25">
        <f>IF($AI127="","",p_factor_productividad*IFERROR(INDEX('ASIGNACIONES'!$M$4:$M$451,MATCH($O127&amp;"|"&amp;$S127&amp;"|"&amp;$AG127,'ASIGNACIONES'!$N$4:$N$451,0)),0)-$AI127)</f>
        <v/>
      </c>
      <c r="AK127" s="18">
        <f>IF($A127="","",IFERROR(INDEX('2_IMPORTAR_EJECUCION'!$F$9:$F$1208,MATCH($AT127,'2_IMPORTAR_EJECUCION'!$J$9:$J$1208,0)),0))</f>
        <v/>
      </c>
      <c r="AL127" s="18">
        <f>IF($A127="","",MAX(0,IFERROR(INDEX('2_IMPORTAR_EJECUCION'!$H$9:$H$1208,MATCH($AT127,'2_IMPORTAR_EJECUCION'!$J$9:$J$1208,0)),0)-$AK127))</f>
        <v/>
      </c>
      <c r="AM127" s="18">
        <f>IF($A127="","",$AK127+$AL127)</f>
        <v/>
      </c>
      <c r="AN127" s="5">
        <f>IF($A127="","",IF(OR((IFERROR(INDEX('CAT_ACTIVIDADES'!$D$4:$D$11,MATCH($H127,'CAT_ACTIVIDADES'!$A$4:$A$11,0)),""))=0,(IFERROR(INDEX('CAT_ACTIVIDADES'!$D$4:$D$11,MATCH($H127,'CAT_ACTIVIDADES'!$A$4:$A$11,0)),""))=""),"SIN CLASIFICAR",IFERROR(INDEX('CAT_ACTIVIDADES'!$D$4:$D$11,MATCH($H127,'CAT_ACTIVIDADES'!$A$4:$A$11,0)),"")))</f>
        <v/>
      </c>
      <c r="AO127" s="4" t="inlineStr"/>
      <c r="AP127" s="4" t="inlineStr"/>
      <c r="AQ127" s="4" t="inlineStr"/>
      <c r="AR127" s="5">
        <f>IF($AQ127="","",HYPERLINK(p_ruta_base_checklists&amp;$AQ127,"abrir"))</f>
        <v/>
      </c>
      <c r="AS127" s="4" t="inlineStr"/>
      <c r="AT127" s="5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22" t="n">
        <v>46155</v>
      </c>
      <c r="K128" s="5" t="n">
        <v>4</v>
      </c>
      <c r="L128" s="18" t="n">
        <v>160</v>
      </c>
      <c r="M128" s="5">
        <f>IF($A128="","",IFERROR(INDEX('AJUSTES'!$B$4:$B$303,MATCH($AT128,'AJUSTES'!$A$4:$A$303,0)),IF($K128="","",$K128)))</f>
        <v/>
      </c>
      <c r="N128" s="5">
        <f>IF($A128="","",IFERROR(INDEX('CAT_ESTADOS_ERP'!$B$4:$B$7,MATCH(IFERROR(INDEX('2_IMPORTAR_EJECUCION'!$C$9:$C$1208,MATCH($AT128,'2_IMPORTAR_EJECUCION'!$J$9:$J$1208,0)),""),'CAT_ESTADOS_ERP'!$A$4:$A$7,0)),"Pendiente"))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IF($J128="","",$P128&amp;"-"&amp;TEXT($Q128,"00"))</f>
        <v/>
      </c>
      <c r="S128" s="5">
        <f>IF($J128="","",INDEX(lista_dias,WEEKDAY($J128,2)))</f>
        <v/>
      </c>
      <c r="T128" s="5">
        <f>IF($J128="","",IFERROR(INDEX('CALENDARIO'!$C$15:$C$214,MATCH(TEXT($J128,"yyyy-mm-dd")&amp;"|"&amp;$X128&amp;"|"&amp;$Y128,'CALENDARIO'!$G$15:$G$214,0)),IFERROR(INDEX('CALENDARIO'!$C$15:$C$214,MATCH(TEXT($J128,"yyyy-mm-dd")&amp;"|"&amp;$X128&amp;"|",'CALENDARIO'!$G$15:$G$214,0)),IFERROR(INDEX('CALENDARIO'!$C$15:$C$214,MATCH(TEXT($J128,"yyyy-mm-dd")&amp;"||",'CALENDARIO'!$G$15:$G$214,0)),INDEX(patronHabil,WEEKDAY($J128,2))))))</f>
        <v/>
      </c>
      <c r="U128" s="5">
        <f>IF($I128="","",IFERROR(INDEX('CAT_TIPOS_OT'!$C$4:$C$8,MATCH($I128,'CAT_TIPOS_OT'!$A$4:$A$8,0)),"sin_clasificar"))</f>
        <v/>
      </c>
      <c r="V128" s="5">
        <f>IF($I128="","",IF(IFERROR(INDEX('CAT_TIPOS_OT'!$D$4:$D$8,MATCH($I128,'CAT_TIPOS_OT'!$A$4:$A$8,0)),"SIN CLASIFICAR")="","SIN CLASIFICAR",IFERROR(INDEX('CAT_TIPOS_OT'!$D$4:$D$8,MATCH($I128,'CAT_TIPOS_OT'!$A$4:$A$8,0)),"SIN CLASIFICAR")))</f>
        <v/>
      </c>
      <c r="W128" s="5">
        <f>IF($F128="","",IFERROR(INDEX('CAT_CENTROS_COSTO'!$F$4:$F$13,MATCH($F128,'CAT_CENTROS_COSTO'!$A$4:$A$13,0)),"(sin catálogo)"))</f>
        <v/>
      </c>
      <c r="X128" s="5">
        <f>IF($F128="","",IFERROR(INDEX('CAT_CENTROS_COSTO'!$D$4:$D$13,MATCH($F128,'CAT_CENTROS_COSTO'!$A$4:$A$13,0)),"(sin catálogo)"))</f>
        <v/>
      </c>
      <c r="Y128" s="5">
        <f>IF($F128="","",IF((IFERROR(INDEX('CAT_CENTROS_COSTO'!$E$4:$E$13,MATCH($F128,'CAT_CENTROS_COSTO'!$A$4:$A$13,0)),""))&lt;&gt;"",IFERROR(INDEX('CAT_CENTROS_COSTO'!$E$4:$E$13,MATCH($F128,'CAT_CENTROS_COSTO'!$A$4:$A$13,0)),""),$X128))</f>
        <v/>
      </c>
      <c r="Z128" s="5">
        <f>IF($F128="","",IFERROR(INDEX('CAT_CENTROS_COSTO'!$G$4:$G$13,MATCH($F128,'CAT_CENTROS_COSTO'!$A$4:$A$13,0)),"(sin catálogo)"))</f>
        <v/>
      </c>
      <c r="AA128" s="5">
        <f>IF($G128="","",IFERROR(INDEX('CAT_PUESTOS'!$B$4:$B$8,MATCH($G128,'CAT_PUESTOS'!$A$4:$A$8,0)),"(sin catálogo)"))</f>
        <v/>
      </c>
      <c r="AB128" s="5">
        <f>IF($H128="","",IFERROR(INDEX('CAT_ACTIVIDADES'!$B$4:$B$11,MATCH($H128,'CAT_ACTIVIDADES'!$A$4:$A$11,0)),"(sin catálogo)"))</f>
        <v/>
      </c>
      <c r="AC128" s="20">
        <f>IF($J128="","",TODAY()-$J128)</f>
        <v/>
      </c>
      <c r="AD128" s="20">
        <f>IF($J128="","",IF($J128&lt;=TODAY(),COUNTIFS(cal_fechas,"&gt;="&amp;$J128,cal_fechas,"&lt;"&amp;TODAY(),cal_habil,"sí"),-COUNTIFS(cal_fechas,"&gt;="&amp;TODAY(),cal_fechas,"&lt;"&amp;$J128,cal_habil,"sí")))</f>
        <v/>
      </c>
      <c r="AE128" s="5">
        <f>IF($AD128="","",IF($AD128&lt;0,"FUTURO",IF($AD128&gt;p_dias_backlog_max,"BACKLOG","MES CORRIENTE")))</f>
        <v/>
      </c>
      <c r="AF128" s="5">
        <f>IF($AD128="",FALSE,AND($AD128&gt;p_dias_backlog_min,$AD128&lt;=p_dias_backlog_max))</f>
        <v/>
      </c>
      <c r="AG128" s="4" t="inlineStr"/>
      <c r="AH128" s="5">
        <f>IF($AG128="","",IF((IFERROR(INDEX('ASIGNACIONES'!$J$4:$J$451,MATCH($O128&amp;"|"&amp;$S128&amp;"|"&amp;$AG128,'ASIGNACIONES'!$N$4:$N$451,0)),""))=0,"",IFERROR(INDEX('ASIGNACIONES'!$J$4:$J$451,MATCH($O128&amp;"|"&amp;$S128&amp;"|"&amp;$AG128,'ASIGNACIONES'!$N$4:$N$451,0)),"")))</f>
        <v/>
      </c>
      <c r="AI128" s="25">
        <f>IF($AG128="","",SUMIFS('ORDENES'!$M$4:$M$1203,'ORDENES'!$AG$4:$AG$1203,$AG128,'ORDENES'!$O$4:$O$1203,$O128,'ORDENES'!$S$4:$S$1203,$S128))</f>
        <v/>
      </c>
      <c r="AJ128" s="25">
        <f>IF($AI128="","",p_factor_productividad*IFERROR(INDEX('ASIGNACIONES'!$M$4:$M$451,MATCH($O128&amp;"|"&amp;$S128&amp;"|"&amp;$AG128,'ASIGNACIONES'!$N$4:$N$451,0)),0)-$AI128)</f>
        <v/>
      </c>
      <c r="AK128" s="18">
        <f>IF($A128="","",IFERROR(INDEX('2_IMPORTAR_EJECUCION'!$F$9:$F$1208,MATCH($AT128,'2_IMPORTAR_EJECUCION'!$J$9:$J$1208,0)),0))</f>
        <v/>
      </c>
      <c r="AL128" s="18">
        <f>IF($A128="","",MAX(0,IFERROR(INDEX('2_IMPORTAR_EJECUCION'!$H$9:$H$1208,MATCH($AT128,'2_IMPORTAR_EJECUCION'!$J$9:$J$1208,0)),0)-$AK128))</f>
        <v/>
      </c>
      <c r="AM128" s="18">
        <f>IF($A128="","",$AK128+$AL128)</f>
        <v/>
      </c>
      <c r="AN128" s="5">
        <f>IF($A128="","",IF(OR((IFERROR(INDEX('CAT_ACTIVIDADES'!$D$4:$D$11,MATCH($H128,'CAT_ACTIVIDADES'!$A$4:$A$11,0)),""))=0,(IFERROR(INDEX('CAT_ACTIVIDADES'!$D$4:$D$11,MATCH($H128,'CAT_ACTIVIDADES'!$A$4:$A$11,0)),""))=""),"SIN CLASIFICAR",IFERROR(INDEX('CAT_ACTIVIDADES'!$D$4:$D$11,MATCH($H128,'CAT_ACTIVIDADES'!$A$4:$A$11,0)),"")))</f>
        <v/>
      </c>
      <c r="AO128" s="4" t="inlineStr"/>
      <c r="AP128" s="4" t="inlineStr"/>
      <c r="AQ128" s="4" t="inlineStr"/>
      <c r="AR128" s="5">
        <f>IF($AQ128="","",HYPERLINK(p_ruta_base_checklists&amp;$AQ128,"abrir"))</f>
        <v/>
      </c>
      <c r="AS128" s="4" t="inlineStr"/>
      <c r="AT128" s="5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22" t="n">
        <v>46155</v>
      </c>
      <c r="K129" s="5" t="n">
        <v>6</v>
      </c>
      <c r="L129" s="18" t="n">
        <v>240</v>
      </c>
      <c r="M129" s="5">
        <f>IF($A129="","",IFERROR(INDEX('AJUSTES'!$B$4:$B$303,MATCH($AT129,'AJUSTES'!$A$4:$A$303,0)),IF($K129="","",$K129)))</f>
        <v/>
      </c>
      <c r="N129" s="5">
        <f>IF($A129="","",IFERROR(INDEX('CAT_ESTADOS_ERP'!$B$4:$B$7,MATCH(IFERROR(INDEX('2_IMPORTAR_EJECUCION'!$C$9:$C$1208,MATCH($AT129,'2_IMPORTAR_EJECUCION'!$J$9:$J$1208,0)),""),'CAT_ESTADOS_ERP'!$A$4:$A$7,0)),"Pendiente"))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IF($J129="","",$P129&amp;"-"&amp;TEXT($Q129,"00"))</f>
        <v/>
      </c>
      <c r="S129" s="5">
        <f>IF($J129="","",INDEX(lista_dias,WEEKDAY($J129,2)))</f>
        <v/>
      </c>
      <c r="T129" s="5">
        <f>IF($J129="","",IFERROR(INDEX('CALENDARIO'!$C$15:$C$214,MATCH(TEXT($J129,"yyyy-mm-dd")&amp;"|"&amp;$X129&amp;"|"&amp;$Y129,'CALENDARIO'!$G$15:$G$214,0)),IFERROR(INDEX('CALENDARIO'!$C$15:$C$214,MATCH(TEXT($J129,"yyyy-mm-dd")&amp;"|"&amp;$X129&amp;"|",'CALENDARIO'!$G$15:$G$214,0)),IFERROR(INDEX('CALENDARIO'!$C$15:$C$214,MATCH(TEXT($J129,"yyyy-mm-dd")&amp;"||",'CALENDARIO'!$G$15:$G$214,0)),INDEX(patronHabil,WEEKDAY($J129,2))))))</f>
        <v/>
      </c>
      <c r="U129" s="5">
        <f>IF($I129="","",IFERROR(INDEX('CAT_TIPOS_OT'!$C$4:$C$8,MATCH($I129,'CAT_TIPOS_OT'!$A$4:$A$8,0)),"sin_clasificar"))</f>
        <v/>
      </c>
      <c r="V129" s="5">
        <f>IF($I129="","",IF(IFERROR(INDEX('CAT_TIPOS_OT'!$D$4:$D$8,MATCH($I129,'CAT_TIPOS_OT'!$A$4:$A$8,0)),"SIN CLASIFICAR")="","SIN CLASIFICAR",IFERROR(INDEX('CAT_TIPOS_OT'!$D$4:$D$8,MATCH($I129,'CAT_TIPOS_OT'!$A$4:$A$8,0)),"SIN CLASIFICAR")))</f>
        <v/>
      </c>
      <c r="W129" s="5">
        <f>IF($F129="","",IFERROR(INDEX('CAT_CENTROS_COSTO'!$F$4:$F$13,MATCH($F129,'CAT_CENTROS_COSTO'!$A$4:$A$13,0)),"(sin catálogo)"))</f>
        <v/>
      </c>
      <c r="X129" s="5">
        <f>IF($F129="","",IFERROR(INDEX('CAT_CENTROS_COSTO'!$D$4:$D$13,MATCH($F129,'CAT_CENTROS_COSTO'!$A$4:$A$13,0)),"(sin catálogo)"))</f>
        <v/>
      </c>
      <c r="Y129" s="5">
        <f>IF($F129="","",IF((IFERROR(INDEX('CAT_CENTROS_COSTO'!$E$4:$E$13,MATCH($F129,'CAT_CENTROS_COSTO'!$A$4:$A$13,0)),""))&lt;&gt;"",IFERROR(INDEX('CAT_CENTROS_COSTO'!$E$4:$E$13,MATCH($F129,'CAT_CENTROS_COSTO'!$A$4:$A$13,0)),""),$X129))</f>
        <v/>
      </c>
      <c r="Z129" s="5">
        <f>IF($F129="","",IFERROR(INDEX('CAT_CENTROS_COSTO'!$G$4:$G$13,MATCH($F129,'CAT_CENTROS_COSTO'!$A$4:$A$13,0)),"(sin catálogo)"))</f>
        <v/>
      </c>
      <c r="AA129" s="5">
        <f>IF($G129="","",IFERROR(INDEX('CAT_PUESTOS'!$B$4:$B$8,MATCH($G129,'CAT_PUESTOS'!$A$4:$A$8,0)),"(sin catálogo)"))</f>
        <v/>
      </c>
      <c r="AB129" s="5">
        <f>IF($H129="","",IFERROR(INDEX('CAT_ACTIVIDADES'!$B$4:$B$11,MATCH($H129,'CAT_ACTIVIDADES'!$A$4:$A$11,0)),"(sin catálogo)"))</f>
        <v/>
      </c>
      <c r="AC129" s="20">
        <f>IF($J129="","",TODAY()-$J129)</f>
        <v/>
      </c>
      <c r="AD129" s="20">
        <f>IF($J129="","",IF($J129&lt;=TODAY(),COUNTIFS(cal_fechas,"&gt;="&amp;$J129,cal_fechas,"&lt;"&amp;TODAY(),cal_habil,"sí"),-COUNTIFS(cal_fechas,"&gt;="&amp;TODAY(),cal_fechas,"&lt;"&amp;$J129,cal_habil,"sí")))</f>
        <v/>
      </c>
      <c r="AE129" s="5">
        <f>IF($AD129="","",IF($AD129&lt;0,"FUTURO",IF($AD129&gt;p_dias_backlog_max,"BACKLOG","MES CORRIENTE")))</f>
        <v/>
      </c>
      <c r="AF129" s="5">
        <f>IF($AD129="",FALSE,AND($AD129&gt;p_dias_backlog_min,$AD129&lt;=p_dias_backlog_max))</f>
        <v/>
      </c>
      <c r="AG129" s="4" t="inlineStr"/>
      <c r="AH129" s="5">
        <f>IF($AG129="","",IF((IFERROR(INDEX('ASIGNACIONES'!$J$4:$J$451,MATCH($O129&amp;"|"&amp;$S129&amp;"|"&amp;$AG129,'ASIGNACIONES'!$N$4:$N$451,0)),""))=0,"",IFERROR(INDEX('ASIGNACIONES'!$J$4:$J$451,MATCH($O129&amp;"|"&amp;$S129&amp;"|"&amp;$AG129,'ASIGNACIONES'!$N$4:$N$451,0)),"")))</f>
        <v/>
      </c>
      <c r="AI129" s="25">
        <f>IF($AG129="","",SUMIFS('ORDENES'!$M$4:$M$1203,'ORDENES'!$AG$4:$AG$1203,$AG129,'ORDENES'!$O$4:$O$1203,$O129,'ORDENES'!$S$4:$S$1203,$S129))</f>
        <v/>
      </c>
      <c r="AJ129" s="25">
        <f>IF($AI129="","",p_factor_productividad*IFERROR(INDEX('ASIGNACIONES'!$M$4:$M$451,MATCH($O129&amp;"|"&amp;$S129&amp;"|"&amp;$AG129,'ASIGNACIONES'!$N$4:$N$451,0)),0)-$AI129)</f>
        <v/>
      </c>
      <c r="AK129" s="18">
        <f>IF($A129="","",IFERROR(INDEX('2_IMPORTAR_EJECUCION'!$F$9:$F$1208,MATCH($AT129,'2_IMPORTAR_EJECUCION'!$J$9:$J$1208,0)),0))</f>
        <v/>
      </c>
      <c r="AL129" s="18">
        <f>IF($A129="","",MAX(0,IFERROR(INDEX('2_IMPORTAR_EJECUCION'!$H$9:$H$1208,MATCH($AT129,'2_IMPORTAR_EJECUCION'!$J$9:$J$1208,0)),0)-$AK129))</f>
        <v/>
      </c>
      <c r="AM129" s="18">
        <f>IF($A129="","",$AK129+$AL129)</f>
        <v/>
      </c>
      <c r="AN129" s="5">
        <f>IF($A129="","",IF(OR((IFERROR(INDEX('CAT_ACTIVIDADES'!$D$4:$D$11,MATCH($H129,'CAT_ACTIVIDADES'!$A$4:$A$11,0)),""))=0,(IFERROR(INDEX('CAT_ACTIVIDADES'!$D$4:$D$11,MATCH($H129,'CAT_ACTIVIDADES'!$A$4:$A$11,0)),""))=""),"SIN CLASIFICAR",IFERROR(INDEX('CAT_ACTIVIDADES'!$D$4:$D$11,MATCH($H129,'CAT_ACTIVIDADES'!$A$4:$A$11,0)),"")))</f>
        <v/>
      </c>
      <c r="AO129" s="4" t="inlineStr"/>
      <c r="AP129" s="4" t="inlineStr"/>
      <c r="AQ129" s="4" t="inlineStr"/>
      <c r="AR129" s="5">
        <f>IF($AQ129="","",HYPERLINK(p_ruta_base_checklists&amp;$AQ129,"abrir"))</f>
        <v/>
      </c>
      <c r="AS129" s="4" t="inlineStr"/>
      <c r="AT129" s="5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22" t="n">
        <v>46155</v>
      </c>
      <c r="K130" s="5" t="n">
        <v>8</v>
      </c>
      <c r="L130" s="18" t="n">
        <v>320</v>
      </c>
      <c r="M130" s="5">
        <f>IF($A130="","",IFERROR(INDEX('AJUSTES'!$B$4:$B$303,MATCH($AT130,'AJUSTES'!$A$4:$A$303,0)),IF($K130="","",$K130)))</f>
        <v/>
      </c>
      <c r="N130" s="5">
        <f>IF($A130="","",IFERROR(INDEX('CAT_ESTADOS_ERP'!$B$4:$B$7,MATCH(IFERROR(INDEX('2_IMPORTAR_EJECUCION'!$C$9:$C$1208,MATCH($AT130,'2_IMPORTAR_EJECUCION'!$J$9:$J$1208,0)),""),'CAT_ESTADOS_ERP'!$A$4:$A$7,0)),"Pendiente"))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IF($J130="","",$P130&amp;"-"&amp;TEXT($Q130,"00"))</f>
        <v/>
      </c>
      <c r="S130" s="5">
        <f>IF($J130="","",INDEX(lista_dias,WEEKDAY($J130,2)))</f>
        <v/>
      </c>
      <c r="T130" s="5">
        <f>IF($J130="","",IFERROR(INDEX('CALENDARIO'!$C$15:$C$214,MATCH(TEXT($J130,"yyyy-mm-dd")&amp;"|"&amp;$X130&amp;"|"&amp;$Y130,'CALENDARIO'!$G$15:$G$214,0)),IFERROR(INDEX('CALENDARIO'!$C$15:$C$214,MATCH(TEXT($J130,"yyyy-mm-dd")&amp;"|"&amp;$X130&amp;"|",'CALENDARIO'!$G$15:$G$214,0)),IFERROR(INDEX('CALENDARIO'!$C$15:$C$214,MATCH(TEXT($J130,"yyyy-mm-dd")&amp;"||",'CALENDARIO'!$G$15:$G$214,0)),INDEX(patronHabil,WEEKDAY($J130,2))))))</f>
        <v/>
      </c>
      <c r="U130" s="5">
        <f>IF($I130="","",IFERROR(INDEX('CAT_TIPOS_OT'!$C$4:$C$8,MATCH($I130,'CAT_TIPOS_OT'!$A$4:$A$8,0)),"sin_clasificar"))</f>
        <v/>
      </c>
      <c r="V130" s="5">
        <f>IF($I130="","",IF(IFERROR(INDEX('CAT_TIPOS_OT'!$D$4:$D$8,MATCH($I130,'CAT_TIPOS_OT'!$A$4:$A$8,0)),"SIN CLASIFICAR")="","SIN CLASIFICAR",IFERROR(INDEX('CAT_TIPOS_OT'!$D$4:$D$8,MATCH($I130,'CAT_TIPOS_OT'!$A$4:$A$8,0)),"SIN CLASIFICAR")))</f>
        <v/>
      </c>
      <c r="W130" s="5">
        <f>IF($F130="","",IFERROR(INDEX('CAT_CENTROS_COSTO'!$F$4:$F$13,MATCH($F130,'CAT_CENTROS_COSTO'!$A$4:$A$13,0)),"(sin catálogo)"))</f>
        <v/>
      </c>
      <c r="X130" s="5">
        <f>IF($F130="","",IFERROR(INDEX('CAT_CENTROS_COSTO'!$D$4:$D$13,MATCH($F130,'CAT_CENTROS_COSTO'!$A$4:$A$13,0)),"(sin catálogo)"))</f>
        <v/>
      </c>
      <c r="Y130" s="5">
        <f>IF($F130="","",IF((IFERROR(INDEX('CAT_CENTROS_COSTO'!$E$4:$E$13,MATCH($F130,'CAT_CENTROS_COSTO'!$A$4:$A$13,0)),""))&lt;&gt;"",IFERROR(INDEX('CAT_CENTROS_COSTO'!$E$4:$E$13,MATCH($F130,'CAT_CENTROS_COSTO'!$A$4:$A$13,0)),""),$X130))</f>
        <v/>
      </c>
      <c r="Z130" s="5">
        <f>IF($F130="","",IFERROR(INDEX('CAT_CENTROS_COSTO'!$G$4:$G$13,MATCH($F130,'CAT_CENTROS_COSTO'!$A$4:$A$13,0)),"(sin catálogo)"))</f>
        <v/>
      </c>
      <c r="AA130" s="5">
        <f>IF($G130="","",IFERROR(INDEX('CAT_PUESTOS'!$B$4:$B$8,MATCH($G130,'CAT_PUESTOS'!$A$4:$A$8,0)),"(sin catálogo)"))</f>
        <v/>
      </c>
      <c r="AB130" s="5">
        <f>IF($H130="","",IFERROR(INDEX('CAT_ACTIVIDADES'!$B$4:$B$11,MATCH($H130,'CAT_ACTIVIDADES'!$A$4:$A$11,0)),"(sin catálogo)"))</f>
        <v/>
      </c>
      <c r="AC130" s="20">
        <f>IF($J130="","",TODAY()-$J130)</f>
        <v/>
      </c>
      <c r="AD130" s="20">
        <f>IF($J130="","",IF($J130&lt;=TODAY(),COUNTIFS(cal_fechas,"&gt;="&amp;$J130,cal_fechas,"&lt;"&amp;TODAY(),cal_habil,"sí"),-COUNTIFS(cal_fechas,"&gt;="&amp;TODAY(),cal_fechas,"&lt;"&amp;$J130,cal_habil,"sí")))</f>
        <v/>
      </c>
      <c r="AE130" s="5">
        <f>IF($AD130="","",IF($AD130&lt;0,"FUTURO",IF($AD130&gt;p_dias_backlog_max,"BACKLOG","MES CORRIENTE")))</f>
        <v/>
      </c>
      <c r="AF130" s="5">
        <f>IF($AD130="",FALSE,AND($AD130&gt;p_dias_backlog_min,$AD130&lt;=p_dias_backlog_max))</f>
        <v/>
      </c>
      <c r="AG130" s="4" t="inlineStr"/>
      <c r="AH130" s="5">
        <f>IF($AG130="","",IF((IFERROR(INDEX('ASIGNACIONES'!$J$4:$J$451,MATCH($O130&amp;"|"&amp;$S130&amp;"|"&amp;$AG130,'ASIGNACIONES'!$N$4:$N$451,0)),""))=0,"",IFERROR(INDEX('ASIGNACIONES'!$J$4:$J$451,MATCH($O130&amp;"|"&amp;$S130&amp;"|"&amp;$AG130,'ASIGNACIONES'!$N$4:$N$451,0)),"")))</f>
        <v/>
      </c>
      <c r="AI130" s="25">
        <f>IF($AG130="","",SUMIFS('ORDENES'!$M$4:$M$1203,'ORDENES'!$AG$4:$AG$1203,$AG130,'ORDENES'!$O$4:$O$1203,$O130,'ORDENES'!$S$4:$S$1203,$S130))</f>
        <v/>
      </c>
      <c r="AJ130" s="25">
        <f>IF($AI130="","",p_factor_productividad*IFERROR(INDEX('ASIGNACIONES'!$M$4:$M$451,MATCH($O130&amp;"|"&amp;$S130&amp;"|"&amp;$AG130,'ASIGNACIONES'!$N$4:$N$451,0)),0)-$AI130)</f>
        <v/>
      </c>
      <c r="AK130" s="18">
        <f>IF($A130="","",IFERROR(INDEX('2_IMPORTAR_EJECUCION'!$F$9:$F$1208,MATCH($AT130,'2_IMPORTAR_EJECUCION'!$J$9:$J$1208,0)),0))</f>
        <v/>
      </c>
      <c r="AL130" s="18">
        <f>IF($A130="","",MAX(0,IFERROR(INDEX('2_IMPORTAR_EJECUCION'!$H$9:$H$1208,MATCH($AT130,'2_IMPORTAR_EJECUCION'!$J$9:$J$1208,0)),0)-$AK130))</f>
        <v/>
      </c>
      <c r="AM130" s="18">
        <f>IF($A130="","",$AK130+$AL130)</f>
        <v/>
      </c>
      <c r="AN130" s="5">
        <f>IF($A130="","",IF(OR((IFERROR(INDEX('CAT_ACTIVIDADES'!$D$4:$D$11,MATCH($H130,'CAT_ACTIVIDADES'!$A$4:$A$11,0)),""))=0,(IFERROR(INDEX('CAT_ACTIVIDADES'!$D$4:$D$11,MATCH($H130,'CAT_ACTIVIDADES'!$A$4:$A$11,0)),""))=""),"SIN CLASIFICAR",IFERROR(INDEX('CAT_ACTIVIDADES'!$D$4:$D$11,MATCH($H130,'CAT_ACTIVIDADES'!$A$4:$A$11,0)),"")))</f>
        <v/>
      </c>
      <c r="AO130" s="4" t="inlineStr"/>
      <c r="AP130" s="4" t="inlineStr"/>
      <c r="AQ130" s="4" t="inlineStr"/>
      <c r="AR130" s="5">
        <f>IF($AQ130="","",HYPERLINK(p_ruta_base_checklists&amp;$AQ130,"abrir"))</f>
        <v/>
      </c>
      <c r="AS130" s="4" t="inlineStr"/>
      <c r="AT130" s="5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22" t="n">
        <v>46155</v>
      </c>
      <c r="K131" s="5" t="n">
        <v>4</v>
      </c>
      <c r="L131" s="18" t="n">
        <v>100</v>
      </c>
      <c r="M131" s="5">
        <f>IF($A131="","",IFERROR(INDEX('AJUSTES'!$B$4:$B$303,MATCH($AT131,'AJUSTES'!$A$4:$A$303,0)),IF($K131="","",$K131)))</f>
        <v/>
      </c>
      <c r="N131" s="5">
        <f>IF($A131="","",IFERROR(INDEX('CAT_ESTADOS_ERP'!$B$4:$B$7,MATCH(IFERROR(INDEX('2_IMPORTAR_EJECUCION'!$C$9:$C$1208,MATCH($AT131,'2_IMPORTAR_EJECUCION'!$J$9:$J$1208,0)),""),'CAT_ESTADOS_ERP'!$A$4:$A$7,0)),"Pendiente"))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IF($J131="","",$P131&amp;"-"&amp;TEXT($Q131,"00"))</f>
        <v/>
      </c>
      <c r="S131" s="5">
        <f>IF($J131="","",INDEX(lista_dias,WEEKDAY($J131,2)))</f>
        <v/>
      </c>
      <c r="T131" s="5">
        <f>IF($J131="","",IFERROR(INDEX('CALENDARIO'!$C$15:$C$214,MATCH(TEXT($J131,"yyyy-mm-dd")&amp;"|"&amp;$X131&amp;"|"&amp;$Y131,'CALENDARIO'!$G$15:$G$214,0)),IFERROR(INDEX('CALENDARIO'!$C$15:$C$214,MATCH(TEXT($J131,"yyyy-mm-dd")&amp;"|"&amp;$X131&amp;"|",'CALENDARIO'!$G$15:$G$214,0)),IFERROR(INDEX('CALENDARIO'!$C$15:$C$214,MATCH(TEXT($J131,"yyyy-mm-dd")&amp;"||",'CALENDARIO'!$G$15:$G$214,0)),INDEX(patronHabil,WEEKDAY($J131,2))))))</f>
        <v/>
      </c>
      <c r="U131" s="5">
        <f>IF($I131="","",IFERROR(INDEX('CAT_TIPOS_OT'!$C$4:$C$8,MATCH($I131,'CAT_TIPOS_OT'!$A$4:$A$8,0)),"sin_clasificar"))</f>
        <v/>
      </c>
      <c r="V131" s="5">
        <f>IF($I131="","",IF(IFERROR(INDEX('CAT_TIPOS_OT'!$D$4:$D$8,MATCH($I131,'CAT_TIPOS_OT'!$A$4:$A$8,0)),"SIN CLASIFICAR")="","SIN CLASIFICAR",IFERROR(INDEX('CAT_TIPOS_OT'!$D$4:$D$8,MATCH($I131,'CAT_TIPOS_OT'!$A$4:$A$8,0)),"SIN CLASIFICAR")))</f>
        <v/>
      </c>
      <c r="W131" s="5">
        <f>IF($F131="","",IFERROR(INDEX('CAT_CENTROS_COSTO'!$F$4:$F$13,MATCH($F131,'CAT_CENTROS_COSTO'!$A$4:$A$13,0)),"(sin catálogo)"))</f>
        <v/>
      </c>
      <c r="X131" s="5">
        <f>IF($F131="","",IFERROR(INDEX('CAT_CENTROS_COSTO'!$D$4:$D$13,MATCH($F131,'CAT_CENTROS_COSTO'!$A$4:$A$13,0)),"(sin catálogo)"))</f>
        <v/>
      </c>
      <c r="Y131" s="5">
        <f>IF($F131="","",IF((IFERROR(INDEX('CAT_CENTROS_COSTO'!$E$4:$E$13,MATCH($F131,'CAT_CENTROS_COSTO'!$A$4:$A$13,0)),""))&lt;&gt;"",IFERROR(INDEX('CAT_CENTROS_COSTO'!$E$4:$E$13,MATCH($F131,'CAT_CENTROS_COSTO'!$A$4:$A$13,0)),""),$X131))</f>
        <v/>
      </c>
      <c r="Z131" s="5">
        <f>IF($F131="","",IFERROR(INDEX('CAT_CENTROS_COSTO'!$G$4:$G$13,MATCH($F131,'CAT_CENTROS_COSTO'!$A$4:$A$13,0)),"(sin catálogo)"))</f>
        <v/>
      </c>
      <c r="AA131" s="5">
        <f>IF($G131="","",IFERROR(INDEX('CAT_PUESTOS'!$B$4:$B$8,MATCH($G131,'CAT_PUESTOS'!$A$4:$A$8,0)),"(sin catálogo)"))</f>
        <v/>
      </c>
      <c r="AB131" s="5">
        <f>IF($H131="","",IFERROR(INDEX('CAT_ACTIVIDADES'!$B$4:$B$11,MATCH($H131,'CAT_ACTIVIDADES'!$A$4:$A$11,0)),"(sin catálogo)"))</f>
        <v/>
      </c>
      <c r="AC131" s="20">
        <f>IF($J131="","",TODAY()-$J131)</f>
        <v/>
      </c>
      <c r="AD131" s="20">
        <f>IF($J131="","",IF($J131&lt;=TODAY(),COUNTIFS(cal_fechas,"&gt;="&amp;$J131,cal_fechas,"&lt;"&amp;TODAY(),cal_habil,"sí"),-COUNTIFS(cal_fechas,"&gt;="&amp;TODAY(),cal_fechas,"&lt;"&amp;$J131,cal_habil,"sí")))</f>
        <v/>
      </c>
      <c r="AE131" s="5">
        <f>IF($AD131="","",IF($AD131&lt;0,"FUTURO",IF($AD131&gt;p_dias_backlog_max,"BACKLOG","MES CORRIENTE")))</f>
        <v/>
      </c>
      <c r="AF131" s="5">
        <f>IF($AD131="",FALSE,AND($AD131&gt;p_dias_backlog_min,$AD131&lt;=p_dias_backlog_max))</f>
        <v/>
      </c>
      <c r="AG131" s="4" t="inlineStr"/>
      <c r="AH131" s="5">
        <f>IF($AG131="","",IF((IFERROR(INDEX('ASIGNACIONES'!$J$4:$J$451,MATCH($O131&amp;"|"&amp;$S131&amp;"|"&amp;$AG131,'ASIGNACIONES'!$N$4:$N$451,0)),""))=0,"",IFERROR(INDEX('ASIGNACIONES'!$J$4:$J$451,MATCH($O131&amp;"|"&amp;$S131&amp;"|"&amp;$AG131,'ASIGNACIONES'!$N$4:$N$451,0)),"")))</f>
        <v/>
      </c>
      <c r="AI131" s="25">
        <f>IF($AG131="","",SUMIFS('ORDENES'!$M$4:$M$1203,'ORDENES'!$AG$4:$AG$1203,$AG131,'ORDENES'!$O$4:$O$1203,$O131,'ORDENES'!$S$4:$S$1203,$S131))</f>
        <v/>
      </c>
      <c r="AJ131" s="25">
        <f>IF($AI131="","",p_factor_productividad*IFERROR(INDEX('ASIGNACIONES'!$M$4:$M$451,MATCH($O131&amp;"|"&amp;$S131&amp;"|"&amp;$AG131,'ASIGNACIONES'!$N$4:$N$451,0)),0)-$AI131)</f>
        <v/>
      </c>
      <c r="AK131" s="18">
        <f>IF($A131="","",IFERROR(INDEX('2_IMPORTAR_EJECUCION'!$F$9:$F$1208,MATCH($AT131,'2_IMPORTAR_EJECUCION'!$J$9:$J$1208,0)),0))</f>
        <v/>
      </c>
      <c r="AL131" s="18">
        <f>IF($A131="","",MAX(0,IFERROR(INDEX('2_IMPORTAR_EJECUCION'!$H$9:$H$1208,MATCH($AT131,'2_IMPORTAR_EJECUCION'!$J$9:$J$1208,0)),0)-$AK131))</f>
        <v/>
      </c>
      <c r="AM131" s="18">
        <f>IF($A131="","",$AK131+$AL131)</f>
        <v/>
      </c>
      <c r="AN131" s="5">
        <f>IF($A131="","",IF(OR((IFERROR(INDEX('CAT_ACTIVIDADES'!$D$4:$D$11,MATCH($H131,'CAT_ACTIVIDADES'!$A$4:$A$11,0)),""))=0,(IFERROR(INDEX('CAT_ACTIVIDADES'!$D$4:$D$11,MATCH($H131,'CAT_ACTIVIDADES'!$A$4:$A$11,0)),""))=""),"SIN CLASIFICAR",IFERROR(INDEX('CAT_ACTIVIDADES'!$D$4:$D$11,MATCH($H131,'CAT_ACTIVIDADES'!$A$4:$A$11,0)),"")))</f>
        <v/>
      </c>
      <c r="AO131" s="4" t="inlineStr"/>
      <c r="AP131" s="4" t="inlineStr"/>
      <c r="AQ131" s="4" t="inlineStr"/>
      <c r="AR131" s="5">
        <f>IF($AQ131="","",HYPERLINK(p_ruta_base_checklists&amp;$AQ131,"abrir"))</f>
        <v/>
      </c>
      <c r="AS131" s="4" t="inlineStr"/>
      <c r="AT131" s="5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22" t="n">
        <v>46155</v>
      </c>
      <c r="K132" s="5" t="n">
        <v>6</v>
      </c>
      <c r="L132" s="18" t="n">
        <v>240</v>
      </c>
      <c r="M132" s="5">
        <f>IF($A132="","",IFERROR(INDEX('AJUSTES'!$B$4:$B$303,MATCH($AT132,'AJUSTES'!$A$4:$A$303,0)),IF($K132="","",$K132)))</f>
        <v/>
      </c>
      <c r="N132" s="5">
        <f>IF($A132="","",IFERROR(INDEX('CAT_ESTADOS_ERP'!$B$4:$B$7,MATCH(IFERROR(INDEX('2_IMPORTAR_EJECUCION'!$C$9:$C$1208,MATCH($AT132,'2_IMPORTAR_EJECUCION'!$J$9:$J$1208,0)),""),'CAT_ESTADOS_ERP'!$A$4:$A$7,0)),"Pendiente"))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IF($J132="","",$P132&amp;"-"&amp;TEXT($Q132,"00"))</f>
        <v/>
      </c>
      <c r="S132" s="5">
        <f>IF($J132="","",INDEX(lista_dias,WEEKDAY($J132,2)))</f>
        <v/>
      </c>
      <c r="T132" s="5">
        <f>IF($J132="","",IFERROR(INDEX('CALENDARIO'!$C$15:$C$214,MATCH(TEXT($J132,"yyyy-mm-dd")&amp;"|"&amp;$X132&amp;"|"&amp;$Y132,'CALENDARIO'!$G$15:$G$214,0)),IFERROR(INDEX('CALENDARIO'!$C$15:$C$214,MATCH(TEXT($J132,"yyyy-mm-dd")&amp;"|"&amp;$X132&amp;"|",'CALENDARIO'!$G$15:$G$214,0)),IFERROR(INDEX('CALENDARIO'!$C$15:$C$214,MATCH(TEXT($J132,"yyyy-mm-dd")&amp;"||",'CALENDARIO'!$G$15:$G$214,0)),INDEX(patronHabil,WEEKDAY($J132,2))))))</f>
        <v/>
      </c>
      <c r="U132" s="5">
        <f>IF($I132="","",IFERROR(INDEX('CAT_TIPOS_OT'!$C$4:$C$8,MATCH($I132,'CAT_TIPOS_OT'!$A$4:$A$8,0)),"sin_clasificar"))</f>
        <v/>
      </c>
      <c r="V132" s="5">
        <f>IF($I132="","",IF(IFERROR(INDEX('CAT_TIPOS_OT'!$D$4:$D$8,MATCH($I132,'CAT_TIPOS_OT'!$A$4:$A$8,0)),"SIN CLASIFICAR")="","SIN CLASIFICAR",IFERROR(INDEX('CAT_TIPOS_OT'!$D$4:$D$8,MATCH($I132,'CAT_TIPOS_OT'!$A$4:$A$8,0)),"SIN CLASIFICAR")))</f>
        <v/>
      </c>
      <c r="W132" s="5">
        <f>IF($F132="","",IFERROR(INDEX('CAT_CENTROS_COSTO'!$F$4:$F$13,MATCH($F132,'CAT_CENTROS_COSTO'!$A$4:$A$13,0)),"(sin catálogo)"))</f>
        <v/>
      </c>
      <c r="X132" s="5">
        <f>IF($F132="","",IFERROR(INDEX('CAT_CENTROS_COSTO'!$D$4:$D$13,MATCH($F132,'CAT_CENTROS_COSTO'!$A$4:$A$13,0)),"(sin catálogo)"))</f>
        <v/>
      </c>
      <c r="Y132" s="5">
        <f>IF($F132="","",IF((IFERROR(INDEX('CAT_CENTROS_COSTO'!$E$4:$E$13,MATCH($F132,'CAT_CENTROS_COSTO'!$A$4:$A$13,0)),""))&lt;&gt;"",IFERROR(INDEX('CAT_CENTROS_COSTO'!$E$4:$E$13,MATCH($F132,'CAT_CENTROS_COSTO'!$A$4:$A$13,0)),""),$X132))</f>
        <v/>
      </c>
      <c r="Z132" s="5">
        <f>IF($F132="","",IFERROR(INDEX('CAT_CENTROS_COSTO'!$G$4:$G$13,MATCH($F132,'CAT_CENTROS_COSTO'!$A$4:$A$13,0)),"(sin catálogo)"))</f>
        <v/>
      </c>
      <c r="AA132" s="5">
        <f>IF($G132="","",IFERROR(INDEX('CAT_PUESTOS'!$B$4:$B$8,MATCH($G132,'CAT_PUESTOS'!$A$4:$A$8,0)),"(sin catálogo)"))</f>
        <v/>
      </c>
      <c r="AB132" s="5">
        <f>IF($H132="","",IFERROR(INDEX('CAT_ACTIVIDADES'!$B$4:$B$11,MATCH($H132,'CAT_ACTIVIDADES'!$A$4:$A$11,0)),"(sin catálogo)"))</f>
        <v/>
      </c>
      <c r="AC132" s="20">
        <f>IF($J132="","",TODAY()-$J132)</f>
        <v/>
      </c>
      <c r="AD132" s="20">
        <f>IF($J132="","",IF($J132&lt;=TODAY(),COUNTIFS(cal_fechas,"&gt;="&amp;$J132,cal_fechas,"&lt;"&amp;TODAY(),cal_habil,"sí"),-COUNTIFS(cal_fechas,"&gt;="&amp;TODAY(),cal_fechas,"&lt;"&amp;$J132,cal_habil,"sí")))</f>
        <v/>
      </c>
      <c r="AE132" s="5">
        <f>IF($AD132="","",IF($AD132&lt;0,"FUTURO",IF($AD132&gt;p_dias_backlog_max,"BACKLOG","MES CORRIENTE")))</f>
        <v/>
      </c>
      <c r="AF132" s="5">
        <f>IF($AD132="",FALSE,AND($AD132&gt;p_dias_backlog_min,$AD132&lt;=p_dias_backlog_max))</f>
        <v/>
      </c>
      <c r="AG132" s="4" t="inlineStr"/>
      <c r="AH132" s="5">
        <f>IF($AG132="","",IF((IFERROR(INDEX('ASIGNACIONES'!$J$4:$J$451,MATCH($O132&amp;"|"&amp;$S132&amp;"|"&amp;$AG132,'ASIGNACIONES'!$N$4:$N$451,0)),""))=0,"",IFERROR(INDEX('ASIGNACIONES'!$J$4:$J$451,MATCH($O132&amp;"|"&amp;$S132&amp;"|"&amp;$AG132,'ASIGNACIONES'!$N$4:$N$451,0)),"")))</f>
        <v/>
      </c>
      <c r="AI132" s="25">
        <f>IF($AG132="","",SUMIFS('ORDENES'!$M$4:$M$1203,'ORDENES'!$AG$4:$AG$1203,$AG132,'ORDENES'!$O$4:$O$1203,$O132,'ORDENES'!$S$4:$S$1203,$S132))</f>
        <v/>
      </c>
      <c r="AJ132" s="25">
        <f>IF($AI132="","",p_factor_productividad*IFERROR(INDEX('ASIGNACIONES'!$M$4:$M$451,MATCH($O132&amp;"|"&amp;$S132&amp;"|"&amp;$AG132,'ASIGNACIONES'!$N$4:$N$451,0)),0)-$AI132)</f>
        <v/>
      </c>
      <c r="AK132" s="18">
        <f>IF($A132="","",IFERROR(INDEX('2_IMPORTAR_EJECUCION'!$F$9:$F$1208,MATCH($AT132,'2_IMPORTAR_EJECUCION'!$J$9:$J$1208,0)),0))</f>
        <v/>
      </c>
      <c r="AL132" s="18">
        <f>IF($A132="","",MAX(0,IFERROR(INDEX('2_IMPORTAR_EJECUCION'!$H$9:$H$1208,MATCH($AT132,'2_IMPORTAR_EJECUCION'!$J$9:$J$1208,0)),0)-$AK132))</f>
        <v/>
      </c>
      <c r="AM132" s="18">
        <f>IF($A132="","",$AK132+$AL132)</f>
        <v/>
      </c>
      <c r="AN132" s="5">
        <f>IF($A132="","",IF(OR((IFERROR(INDEX('CAT_ACTIVIDADES'!$D$4:$D$11,MATCH($H132,'CAT_ACTIVIDADES'!$A$4:$A$11,0)),""))=0,(IFERROR(INDEX('CAT_ACTIVIDADES'!$D$4:$D$11,MATCH($H132,'CAT_ACTIVIDADES'!$A$4:$A$11,0)),""))=""),"SIN CLASIFICAR",IFERROR(INDEX('CAT_ACTIVIDADES'!$D$4:$D$11,MATCH($H132,'CAT_ACTIVIDADES'!$A$4:$A$11,0)),"")))</f>
        <v/>
      </c>
      <c r="AO132" s="4" t="inlineStr"/>
      <c r="AP132" s="4" t="inlineStr"/>
      <c r="AQ132" s="4" t="inlineStr"/>
      <c r="AR132" s="5">
        <f>IF($AQ132="","",HYPERLINK(p_ruta_base_checklists&amp;$AQ132,"abrir"))</f>
        <v/>
      </c>
      <c r="AS132" s="4" t="inlineStr"/>
      <c r="AT132" s="5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22" t="n">
        <v>46155</v>
      </c>
      <c r="K133" s="5" t="n">
        <v>8</v>
      </c>
      <c r="L133" s="18" t="n">
        <v>320</v>
      </c>
      <c r="M133" s="5">
        <f>IF($A133="","",IFERROR(INDEX('AJUSTES'!$B$4:$B$303,MATCH($AT133,'AJUSTES'!$A$4:$A$303,0)),IF($K133="","",$K133)))</f>
        <v/>
      </c>
      <c r="N133" s="5">
        <f>IF($A133="","",IFERROR(INDEX('CAT_ESTADOS_ERP'!$B$4:$B$7,MATCH(IFERROR(INDEX('2_IMPORTAR_EJECUCION'!$C$9:$C$1208,MATCH($AT133,'2_IMPORTAR_EJECUCION'!$J$9:$J$1208,0)),""),'CAT_ESTADOS_ERP'!$A$4:$A$7,0)),"Pendiente"))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IF($J133="","",$P133&amp;"-"&amp;TEXT($Q133,"00"))</f>
        <v/>
      </c>
      <c r="S133" s="5">
        <f>IF($J133="","",INDEX(lista_dias,WEEKDAY($J133,2)))</f>
        <v/>
      </c>
      <c r="T133" s="5">
        <f>IF($J133="","",IFERROR(INDEX('CALENDARIO'!$C$15:$C$214,MATCH(TEXT($J133,"yyyy-mm-dd")&amp;"|"&amp;$X133&amp;"|"&amp;$Y133,'CALENDARIO'!$G$15:$G$214,0)),IFERROR(INDEX('CALENDARIO'!$C$15:$C$214,MATCH(TEXT($J133,"yyyy-mm-dd")&amp;"|"&amp;$X133&amp;"|",'CALENDARIO'!$G$15:$G$214,0)),IFERROR(INDEX('CALENDARIO'!$C$15:$C$214,MATCH(TEXT($J133,"yyyy-mm-dd")&amp;"||",'CALENDARIO'!$G$15:$G$214,0)),INDEX(patronHabil,WEEKDAY($J133,2))))))</f>
        <v/>
      </c>
      <c r="U133" s="5">
        <f>IF($I133="","",IFERROR(INDEX('CAT_TIPOS_OT'!$C$4:$C$8,MATCH($I133,'CAT_TIPOS_OT'!$A$4:$A$8,0)),"sin_clasificar"))</f>
        <v/>
      </c>
      <c r="V133" s="5">
        <f>IF($I133="","",IF(IFERROR(INDEX('CAT_TIPOS_OT'!$D$4:$D$8,MATCH($I133,'CAT_TIPOS_OT'!$A$4:$A$8,0)),"SIN CLASIFICAR")="","SIN CLASIFICAR",IFERROR(INDEX('CAT_TIPOS_OT'!$D$4:$D$8,MATCH($I133,'CAT_TIPOS_OT'!$A$4:$A$8,0)),"SIN CLASIFICAR")))</f>
        <v/>
      </c>
      <c r="W133" s="5">
        <f>IF($F133="","",IFERROR(INDEX('CAT_CENTROS_COSTO'!$F$4:$F$13,MATCH($F133,'CAT_CENTROS_COSTO'!$A$4:$A$13,0)),"(sin catálogo)"))</f>
        <v/>
      </c>
      <c r="X133" s="5">
        <f>IF($F133="","",IFERROR(INDEX('CAT_CENTROS_COSTO'!$D$4:$D$13,MATCH($F133,'CAT_CENTROS_COSTO'!$A$4:$A$13,0)),"(sin catálogo)"))</f>
        <v/>
      </c>
      <c r="Y133" s="5">
        <f>IF($F133="","",IF((IFERROR(INDEX('CAT_CENTROS_COSTO'!$E$4:$E$13,MATCH($F133,'CAT_CENTROS_COSTO'!$A$4:$A$13,0)),""))&lt;&gt;"",IFERROR(INDEX('CAT_CENTROS_COSTO'!$E$4:$E$13,MATCH($F133,'CAT_CENTROS_COSTO'!$A$4:$A$13,0)),""),$X133))</f>
        <v/>
      </c>
      <c r="Z133" s="5">
        <f>IF($F133="","",IFERROR(INDEX('CAT_CENTROS_COSTO'!$G$4:$G$13,MATCH($F133,'CAT_CENTROS_COSTO'!$A$4:$A$13,0)),"(sin catálogo)"))</f>
        <v/>
      </c>
      <c r="AA133" s="5">
        <f>IF($G133="","",IFERROR(INDEX('CAT_PUESTOS'!$B$4:$B$8,MATCH($G133,'CAT_PUESTOS'!$A$4:$A$8,0)),"(sin catálogo)"))</f>
        <v/>
      </c>
      <c r="AB133" s="5">
        <f>IF($H133="","",IFERROR(INDEX('CAT_ACTIVIDADES'!$B$4:$B$11,MATCH($H133,'CAT_ACTIVIDADES'!$A$4:$A$11,0)),"(sin catálogo)"))</f>
        <v/>
      </c>
      <c r="AC133" s="20">
        <f>IF($J133="","",TODAY()-$J133)</f>
        <v/>
      </c>
      <c r="AD133" s="20">
        <f>IF($J133="","",IF($J133&lt;=TODAY(),COUNTIFS(cal_fechas,"&gt;="&amp;$J133,cal_fechas,"&lt;"&amp;TODAY(),cal_habil,"sí"),-COUNTIFS(cal_fechas,"&gt;="&amp;TODAY(),cal_fechas,"&lt;"&amp;$J133,cal_habil,"sí")))</f>
        <v/>
      </c>
      <c r="AE133" s="5">
        <f>IF($AD133="","",IF($AD133&lt;0,"FUTURO",IF($AD133&gt;p_dias_backlog_max,"BACKLOG","MES CORRIENTE")))</f>
        <v/>
      </c>
      <c r="AF133" s="5">
        <f>IF($AD133="",FALSE,AND($AD133&gt;p_dias_backlog_min,$AD133&lt;=p_dias_backlog_max))</f>
        <v/>
      </c>
      <c r="AG133" s="4" t="inlineStr"/>
      <c r="AH133" s="5">
        <f>IF($AG133="","",IF((IFERROR(INDEX('ASIGNACIONES'!$J$4:$J$451,MATCH($O133&amp;"|"&amp;$S133&amp;"|"&amp;$AG133,'ASIGNACIONES'!$N$4:$N$451,0)),""))=0,"",IFERROR(INDEX('ASIGNACIONES'!$J$4:$J$451,MATCH($O133&amp;"|"&amp;$S133&amp;"|"&amp;$AG133,'ASIGNACIONES'!$N$4:$N$451,0)),"")))</f>
        <v/>
      </c>
      <c r="AI133" s="25">
        <f>IF($AG133="","",SUMIFS('ORDENES'!$M$4:$M$1203,'ORDENES'!$AG$4:$AG$1203,$AG133,'ORDENES'!$O$4:$O$1203,$O133,'ORDENES'!$S$4:$S$1203,$S133))</f>
        <v/>
      </c>
      <c r="AJ133" s="25">
        <f>IF($AI133="","",p_factor_productividad*IFERROR(INDEX('ASIGNACIONES'!$M$4:$M$451,MATCH($O133&amp;"|"&amp;$S133&amp;"|"&amp;$AG133,'ASIGNACIONES'!$N$4:$N$451,0)),0)-$AI133)</f>
        <v/>
      </c>
      <c r="AK133" s="18">
        <f>IF($A133="","",IFERROR(INDEX('2_IMPORTAR_EJECUCION'!$F$9:$F$1208,MATCH($AT133,'2_IMPORTAR_EJECUCION'!$J$9:$J$1208,0)),0))</f>
        <v/>
      </c>
      <c r="AL133" s="18">
        <f>IF($A133="","",MAX(0,IFERROR(INDEX('2_IMPORTAR_EJECUCION'!$H$9:$H$1208,MATCH($AT133,'2_IMPORTAR_EJECUCION'!$J$9:$J$1208,0)),0)-$AK133))</f>
        <v/>
      </c>
      <c r="AM133" s="18">
        <f>IF($A133="","",$AK133+$AL133)</f>
        <v/>
      </c>
      <c r="AN133" s="5">
        <f>IF($A133="","",IF(OR((IFERROR(INDEX('CAT_ACTIVIDADES'!$D$4:$D$11,MATCH($H133,'CAT_ACTIVIDADES'!$A$4:$A$11,0)),""))=0,(IFERROR(INDEX('CAT_ACTIVIDADES'!$D$4:$D$11,MATCH($H133,'CAT_ACTIVIDADES'!$A$4:$A$11,0)),""))=""),"SIN CLASIFICAR",IFERROR(INDEX('CAT_ACTIVIDADES'!$D$4:$D$11,MATCH($H133,'CAT_ACTIVIDADES'!$A$4:$A$11,0)),"")))</f>
        <v/>
      </c>
      <c r="AO133" s="4" t="inlineStr"/>
      <c r="AP133" s="4" t="inlineStr"/>
      <c r="AQ133" s="4" t="inlineStr"/>
      <c r="AR133" s="5">
        <f>IF($AQ133="","",HYPERLINK(p_ruta_base_checklists&amp;$AQ133,"abrir"))</f>
        <v/>
      </c>
      <c r="AS133" s="4" t="inlineStr"/>
      <c r="AT133" s="5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22" t="n">
        <v>46130</v>
      </c>
      <c r="K134" s="5" t="n">
        <v>4</v>
      </c>
      <c r="L134" s="18" t="n">
        <v>160</v>
      </c>
      <c r="M134" s="5">
        <f>IF($A134="","",IFERROR(INDEX('AJUSTES'!$B$4:$B$303,MATCH($AT134,'AJUSTES'!$A$4:$A$303,0)),IF($K134="","",$K134)))</f>
        <v/>
      </c>
      <c r="N134" s="5">
        <f>IF($A134="","",IFERROR(INDEX('CAT_ESTADOS_ERP'!$B$4:$B$7,MATCH(IFERROR(INDEX('2_IMPORTAR_EJECUCION'!$C$9:$C$1208,MATCH($AT134,'2_IMPORTAR_EJECUCION'!$J$9:$J$1208,0)),""),'CAT_ESTADOS_ERP'!$A$4:$A$7,0)),"Pendiente"))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IF($J134="","",$P134&amp;"-"&amp;TEXT($Q134,"00"))</f>
        <v/>
      </c>
      <c r="S134" s="5">
        <f>IF($J134="","",INDEX(lista_dias,WEEKDAY($J134,2)))</f>
        <v/>
      </c>
      <c r="T134" s="5">
        <f>IF($J134="","",IFERROR(INDEX('CALENDARIO'!$C$15:$C$214,MATCH(TEXT($J134,"yyyy-mm-dd")&amp;"|"&amp;$X134&amp;"|"&amp;$Y134,'CALENDARIO'!$G$15:$G$214,0)),IFERROR(INDEX('CALENDARIO'!$C$15:$C$214,MATCH(TEXT($J134,"yyyy-mm-dd")&amp;"|"&amp;$X134&amp;"|",'CALENDARIO'!$G$15:$G$214,0)),IFERROR(INDEX('CALENDARIO'!$C$15:$C$214,MATCH(TEXT($J134,"yyyy-mm-dd")&amp;"||",'CALENDARIO'!$G$15:$G$214,0)),INDEX(patronHabil,WEEKDAY($J134,2))))))</f>
        <v/>
      </c>
      <c r="U134" s="5">
        <f>IF($I134="","",IFERROR(INDEX('CAT_TIPOS_OT'!$C$4:$C$8,MATCH($I134,'CAT_TIPOS_OT'!$A$4:$A$8,0)),"sin_clasificar"))</f>
        <v/>
      </c>
      <c r="V134" s="5">
        <f>IF($I134="","",IF(IFERROR(INDEX('CAT_TIPOS_OT'!$D$4:$D$8,MATCH($I134,'CAT_TIPOS_OT'!$A$4:$A$8,0)),"SIN CLASIFICAR")="","SIN CLASIFICAR",IFERROR(INDEX('CAT_TIPOS_OT'!$D$4:$D$8,MATCH($I134,'CAT_TIPOS_OT'!$A$4:$A$8,0)),"SIN CLASIFICAR")))</f>
        <v/>
      </c>
      <c r="W134" s="5">
        <f>IF($F134="","",IFERROR(INDEX('CAT_CENTROS_COSTO'!$F$4:$F$13,MATCH($F134,'CAT_CENTROS_COSTO'!$A$4:$A$13,0)),"(sin catálogo)"))</f>
        <v/>
      </c>
      <c r="X134" s="5">
        <f>IF($F134="","",IFERROR(INDEX('CAT_CENTROS_COSTO'!$D$4:$D$13,MATCH($F134,'CAT_CENTROS_COSTO'!$A$4:$A$13,0)),"(sin catálogo)"))</f>
        <v/>
      </c>
      <c r="Y134" s="5">
        <f>IF($F134="","",IF((IFERROR(INDEX('CAT_CENTROS_COSTO'!$E$4:$E$13,MATCH($F134,'CAT_CENTROS_COSTO'!$A$4:$A$13,0)),""))&lt;&gt;"",IFERROR(INDEX('CAT_CENTROS_COSTO'!$E$4:$E$13,MATCH($F134,'CAT_CENTROS_COSTO'!$A$4:$A$13,0)),""),$X134))</f>
        <v/>
      </c>
      <c r="Z134" s="5">
        <f>IF($F134="","",IFERROR(INDEX('CAT_CENTROS_COSTO'!$G$4:$G$13,MATCH($F134,'CAT_CENTROS_COSTO'!$A$4:$A$13,0)),"(sin catálogo)"))</f>
        <v/>
      </c>
      <c r="AA134" s="5">
        <f>IF($G134="","",IFERROR(INDEX('CAT_PUESTOS'!$B$4:$B$8,MATCH($G134,'CAT_PUESTOS'!$A$4:$A$8,0)),"(sin catálogo)"))</f>
        <v/>
      </c>
      <c r="AB134" s="5">
        <f>IF($H134="","",IFERROR(INDEX('CAT_ACTIVIDADES'!$B$4:$B$11,MATCH($H134,'CAT_ACTIVIDADES'!$A$4:$A$11,0)),"(sin catálogo)"))</f>
        <v/>
      </c>
      <c r="AC134" s="20">
        <f>IF($J134="","",TODAY()-$J134)</f>
        <v/>
      </c>
      <c r="AD134" s="20">
        <f>IF($J134="","",IF($J134&lt;=TODAY(),COUNTIFS(cal_fechas,"&gt;="&amp;$J134,cal_fechas,"&lt;"&amp;TODAY(),cal_habil,"sí"),-COUNTIFS(cal_fechas,"&gt;="&amp;TODAY(),cal_fechas,"&lt;"&amp;$J134,cal_habil,"sí")))</f>
        <v/>
      </c>
      <c r="AE134" s="5">
        <f>IF($AD134="","",IF($AD134&lt;0,"FUTURO",IF($AD134&gt;p_dias_backlog_max,"BACKLOG","MES CORRIENTE")))</f>
        <v/>
      </c>
      <c r="AF134" s="5">
        <f>IF($AD134="",FALSE,AND($AD134&gt;p_dias_backlog_min,$AD134&lt;=p_dias_backlog_max))</f>
        <v/>
      </c>
      <c r="AG134" s="4" t="inlineStr"/>
      <c r="AH134" s="5">
        <f>IF($AG134="","",IF((IFERROR(INDEX('ASIGNACIONES'!$J$4:$J$451,MATCH($O134&amp;"|"&amp;$S134&amp;"|"&amp;$AG134,'ASIGNACIONES'!$N$4:$N$451,0)),""))=0,"",IFERROR(INDEX('ASIGNACIONES'!$J$4:$J$451,MATCH($O134&amp;"|"&amp;$S134&amp;"|"&amp;$AG134,'ASIGNACIONES'!$N$4:$N$451,0)),"")))</f>
        <v/>
      </c>
      <c r="AI134" s="25">
        <f>IF($AG134="","",SUMIFS('ORDENES'!$M$4:$M$1203,'ORDENES'!$AG$4:$AG$1203,$AG134,'ORDENES'!$O$4:$O$1203,$O134,'ORDENES'!$S$4:$S$1203,$S134))</f>
        <v/>
      </c>
      <c r="AJ134" s="25">
        <f>IF($AI134="","",p_factor_productividad*IFERROR(INDEX('ASIGNACIONES'!$M$4:$M$451,MATCH($O134&amp;"|"&amp;$S134&amp;"|"&amp;$AG134,'ASIGNACIONES'!$N$4:$N$451,0)),0)-$AI134)</f>
        <v/>
      </c>
      <c r="AK134" s="18">
        <f>IF($A134="","",IFERROR(INDEX('2_IMPORTAR_EJECUCION'!$F$9:$F$1208,MATCH($AT134,'2_IMPORTAR_EJECUCION'!$J$9:$J$1208,0)),0))</f>
        <v/>
      </c>
      <c r="AL134" s="18">
        <f>IF($A134="","",MAX(0,IFERROR(INDEX('2_IMPORTAR_EJECUCION'!$H$9:$H$1208,MATCH($AT134,'2_IMPORTAR_EJECUCION'!$J$9:$J$1208,0)),0)-$AK134))</f>
        <v/>
      </c>
      <c r="AM134" s="18">
        <f>IF($A134="","",$AK134+$AL134)</f>
        <v/>
      </c>
      <c r="AN134" s="5">
        <f>IF($A134="","",IF(OR((IFERROR(INDEX('CAT_ACTIVIDADES'!$D$4:$D$11,MATCH($H134,'CAT_ACTIVIDADES'!$A$4:$A$11,0)),""))=0,(IFERROR(INDEX('CAT_ACTIVIDADES'!$D$4:$D$11,MATCH($H134,'CAT_ACTIVIDADES'!$A$4:$A$11,0)),""))=""),"SIN CLASIFICAR",IFERROR(INDEX('CAT_ACTIVIDADES'!$D$4:$D$11,MATCH($H134,'CAT_ACTIVIDADES'!$A$4:$A$11,0)),"")))</f>
        <v/>
      </c>
      <c r="AO134" s="4" t="inlineStr"/>
      <c r="AP134" s="4" t="inlineStr"/>
      <c r="AQ134" s="4" t="inlineStr"/>
      <c r="AR134" s="5">
        <f>IF($AQ134="","",HYPERLINK(p_ruta_base_checklists&amp;$AQ134,"abrir"))</f>
        <v/>
      </c>
      <c r="AS134" s="4" t="inlineStr"/>
      <c r="AT134" s="5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22" t="n">
        <v>46130</v>
      </c>
      <c r="K135" s="5" t="n">
        <v>6</v>
      </c>
      <c r="L135" s="18" t="n">
        <v>240</v>
      </c>
      <c r="M135" s="5">
        <f>IF($A135="","",IFERROR(INDEX('AJUSTES'!$B$4:$B$303,MATCH($AT135,'AJUSTES'!$A$4:$A$303,0)),IF($K135="","",$K135)))</f>
        <v/>
      </c>
      <c r="N135" s="5">
        <f>IF($A135="","",IFERROR(INDEX('CAT_ESTADOS_ERP'!$B$4:$B$7,MATCH(IFERROR(INDEX('2_IMPORTAR_EJECUCION'!$C$9:$C$1208,MATCH($AT135,'2_IMPORTAR_EJECUCION'!$J$9:$J$1208,0)),""),'CAT_ESTADOS_ERP'!$A$4:$A$7,0)),"Pendiente"))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IF($J135="","",$P135&amp;"-"&amp;TEXT($Q135,"00"))</f>
        <v/>
      </c>
      <c r="S135" s="5">
        <f>IF($J135="","",INDEX(lista_dias,WEEKDAY($J135,2)))</f>
        <v/>
      </c>
      <c r="T135" s="5">
        <f>IF($J135="","",IFERROR(INDEX('CALENDARIO'!$C$15:$C$214,MATCH(TEXT($J135,"yyyy-mm-dd")&amp;"|"&amp;$X135&amp;"|"&amp;$Y135,'CALENDARIO'!$G$15:$G$214,0)),IFERROR(INDEX('CALENDARIO'!$C$15:$C$214,MATCH(TEXT($J135,"yyyy-mm-dd")&amp;"|"&amp;$X135&amp;"|",'CALENDARIO'!$G$15:$G$214,0)),IFERROR(INDEX('CALENDARIO'!$C$15:$C$214,MATCH(TEXT($J135,"yyyy-mm-dd")&amp;"||",'CALENDARIO'!$G$15:$G$214,0)),INDEX(patronHabil,WEEKDAY($J135,2))))))</f>
        <v/>
      </c>
      <c r="U135" s="5">
        <f>IF($I135="","",IFERROR(INDEX('CAT_TIPOS_OT'!$C$4:$C$8,MATCH($I135,'CAT_TIPOS_OT'!$A$4:$A$8,0)),"sin_clasificar"))</f>
        <v/>
      </c>
      <c r="V135" s="5">
        <f>IF($I135="","",IF(IFERROR(INDEX('CAT_TIPOS_OT'!$D$4:$D$8,MATCH($I135,'CAT_TIPOS_OT'!$A$4:$A$8,0)),"SIN CLASIFICAR")="","SIN CLASIFICAR",IFERROR(INDEX('CAT_TIPOS_OT'!$D$4:$D$8,MATCH($I135,'CAT_TIPOS_OT'!$A$4:$A$8,0)),"SIN CLASIFICAR")))</f>
        <v/>
      </c>
      <c r="W135" s="5">
        <f>IF($F135="","",IFERROR(INDEX('CAT_CENTROS_COSTO'!$F$4:$F$13,MATCH($F135,'CAT_CENTROS_COSTO'!$A$4:$A$13,0)),"(sin catálogo)"))</f>
        <v/>
      </c>
      <c r="X135" s="5">
        <f>IF($F135="","",IFERROR(INDEX('CAT_CENTROS_COSTO'!$D$4:$D$13,MATCH($F135,'CAT_CENTROS_COSTO'!$A$4:$A$13,0)),"(sin catálogo)"))</f>
        <v/>
      </c>
      <c r="Y135" s="5">
        <f>IF($F135="","",IF((IFERROR(INDEX('CAT_CENTROS_COSTO'!$E$4:$E$13,MATCH($F135,'CAT_CENTROS_COSTO'!$A$4:$A$13,0)),""))&lt;&gt;"",IFERROR(INDEX('CAT_CENTROS_COSTO'!$E$4:$E$13,MATCH($F135,'CAT_CENTROS_COSTO'!$A$4:$A$13,0)),""),$X135))</f>
        <v/>
      </c>
      <c r="Z135" s="5">
        <f>IF($F135="","",IFERROR(INDEX('CAT_CENTROS_COSTO'!$G$4:$G$13,MATCH($F135,'CAT_CENTROS_COSTO'!$A$4:$A$13,0)),"(sin catálogo)"))</f>
        <v/>
      </c>
      <c r="AA135" s="5">
        <f>IF($G135="","",IFERROR(INDEX('CAT_PUESTOS'!$B$4:$B$8,MATCH($G135,'CAT_PUESTOS'!$A$4:$A$8,0)),"(sin catálogo)"))</f>
        <v/>
      </c>
      <c r="AB135" s="5">
        <f>IF($H135="","",IFERROR(INDEX('CAT_ACTIVIDADES'!$B$4:$B$11,MATCH($H135,'CAT_ACTIVIDADES'!$A$4:$A$11,0)),"(sin catálogo)"))</f>
        <v/>
      </c>
      <c r="AC135" s="20">
        <f>IF($J135="","",TODAY()-$J135)</f>
        <v/>
      </c>
      <c r="AD135" s="20">
        <f>IF($J135="","",IF($J135&lt;=TODAY(),COUNTIFS(cal_fechas,"&gt;="&amp;$J135,cal_fechas,"&lt;"&amp;TODAY(),cal_habil,"sí"),-COUNTIFS(cal_fechas,"&gt;="&amp;TODAY(),cal_fechas,"&lt;"&amp;$J135,cal_habil,"sí")))</f>
        <v/>
      </c>
      <c r="AE135" s="5">
        <f>IF($AD135="","",IF($AD135&lt;0,"FUTURO",IF($AD135&gt;p_dias_backlog_max,"BACKLOG","MES CORRIENTE")))</f>
        <v/>
      </c>
      <c r="AF135" s="5">
        <f>IF($AD135="",FALSE,AND($AD135&gt;p_dias_backlog_min,$AD135&lt;=p_dias_backlog_max))</f>
        <v/>
      </c>
      <c r="AG135" s="4" t="inlineStr"/>
      <c r="AH135" s="5">
        <f>IF($AG135="","",IF((IFERROR(INDEX('ASIGNACIONES'!$J$4:$J$451,MATCH($O135&amp;"|"&amp;$S135&amp;"|"&amp;$AG135,'ASIGNACIONES'!$N$4:$N$451,0)),""))=0,"",IFERROR(INDEX('ASIGNACIONES'!$J$4:$J$451,MATCH($O135&amp;"|"&amp;$S135&amp;"|"&amp;$AG135,'ASIGNACIONES'!$N$4:$N$451,0)),"")))</f>
        <v/>
      </c>
      <c r="AI135" s="25">
        <f>IF($AG135="","",SUMIFS('ORDENES'!$M$4:$M$1203,'ORDENES'!$AG$4:$AG$1203,$AG135,'ORDENES'!$O$4:$O$1203,$O135,'ORDENES'!$S$4:$S$1203,$S135))</f>
        <v/>
      </c>
      <c r="AJ135" s="25">
        <f>IF($AI135="","",p_factor_productividad*IFERROR(INDEX('ASIGNACIONES'!$M$4:$M$451,MATCH($O135&amp;"|"&amp;$S135&amp;"|"&amp;$AG135,'ASIGNACIONES'!$N$4:$N$451,0)),0)-$AI135)</f>
        <v/>
      </c>
      <c r="AK135" s="18">
        <f>IF($A135="","",IFERROR(INDEX('2_IMPORTAR_EJECUCION'!$F$9:$F$1208,MATCH($AT135,'2_IMPORTAR_EJECUCION'!$J$9:$J$1208,0)),0))</f>
        <v/>
      </c>
      <c r="AL135" s="18">
        <f>IF($A135="","",MAX(0,IFERROR(INDEX('2_IMPORTAR_EJECUCION'!$H$9:$H$1208,MATCH($AT135,'2_IMPORTAR_EJECUCION'!$J$9:$J$1208,0)),0)-$AK135))</f>
        <v/>
      </c>
      <c r="AM135" s="18">
        <f>IF($A135="","",$AK135+$AL135)</f>
        <v/>
      </c>
      <c r="AN135" s="5">
        <f>IF($A135="","",IF(OR((IFERROR(INDEX('CAT_ACTIVIDADES'!$D$4:$D$11,MATCH($H135,'CAT_ACTIVIDADES'!$A$4:$A$11,0)),""))=0,(IFERROR(INDEX('CAT_ACTIVIDADES'!$D$4:$D$11,MATCH($H135,'CAT_ACTIVIDADES'!$A$4:$A$11,0)),""))=""),"SIN CLASIFICAR",IFERROR(INDEX('CAT_ACTIVIDADES'!$D$4:$D$11,MATCH($H135,'CAT_ACTIVIDADES'!$A$4:$A$11,0)),"")))</f>
        <v/>
      </c>
      <c r="AO135" s="4" t="inlineStr"/>
      <c r="AP135" s="4" t="inlineStr"/>
      <c r="AQ135" s="4" t="inlineStr"/>
      <c r="AR135" s="5">
        <f>IF($AQ135="","",HYPERLINK(p_ruta_base_checklists&amp;$AQ135,"abrir"))</f>
        <v/>
      </c>
      <c r="AS135" s="4" t="inlineStr"/>
      <c r="AT135" s="5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22" t="n">
        <v>46130</v>
      </c>
      <c r="K136" s="5" t="n">
        <v>8</v>
      </c>
      <c r="L136" s="18" t="n">
        <v>320</v>
      </c>
      <c r="M136" s="5">
        <f>IF($A136="","",IFERROR(INDEX('AJUSTES'!$B$4:$B$303,MATCH($AT136,'AJUSTES'!$A$4:$A$303,0)),IF($K136="","",$K136)))</f>
        <v/>
      </c>
      <c r="N136" s="5">
        <f>IF($A136="","",IFERROR(INDEX('CAT_ESTADOS_ERP'!$B$4:$B$7,MATCH(IFERROR(INDEX('2_IMPORTAR_EJECUCION'!$C$9:$C$1208,MATCH($AT136,'2_IMPORTAR_EJECUCION'!$J$9:$J$1208,0)),""),'CAT_ESTADOS_ERP'!$A$4:$A$7,0)),"Pendiente"))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IF($J136="","",$P136&amp;"-"&amp;TEXT($Q136,"00"))</f>
        <v/>
      </c>
      <c r="S136" s="5">
        <f>IF($J136="","",INDEX(lista_dias,WEEKDAY($J136,2)))</f>
        <v/>
      </c>
      <c r="T136" s="5">
        <f>IF($J136="","",IFERROR(INDEX('CALENDARIO'!$C$15:$C$214,MATCH(TEXT($J136,"yyyy-mm-dd")&amp;"|"&amp;$X136&amp;"|"&amp;$Y136,'CALENDARIO'!$G$15:$G$214,0)),IFERROR(INDEX('CALENDARIO'!$C$15:$C$214,MATCH(TEXT($J136,"yyyy-mm-dd")&amp;"|"&amp;$X136&amp;"|",'CALENDARIO'!$G$15:$G$214,0)),IFERROR(INDEX('CALENDARIO'!$C$15:$C$214,MATCH(TEXT($J136,"yyyy-mm-dd")&amp;"||",'CALENDARIO'!$G$15:$G$214,0)),INDEX(patronHabil,WEEKDAY($J136,2))))))</f>
        <v/>
      </c>
      <c r="U136" s="5">
        <f>IF($I136="","",IFERROR(INDEX('CAT_TIPOS_OT'!$C$4:$C$8,MATCH($I136,'CAT_TIPOS_OT'!$A$4:$A$8,0)),"sin_clasificar"))</f>
        <v/>
      </c>
      <c r="V136" s="5">
        <f>IF($I136="","",IF(IFERROR(INDEX('CAT_TIPOS_OT'!$D$4:$D$8,MATCH($I136,'CAT_TIPOS_OT'!$A$4:$A$8,0)),"SIN CLASIFICAR")="","SIN CLASIFICAR",IFERROR(INDEX('CAT_TIPOS_OT'!$D$4:$D$8,MATCH($I136,'CAT_TIPOS_OT'!$A$4:$A$8,0)),"SIN CLASIFICAR")))</f>
        <v/>
      </c>
      <c r="W136" s="5">
        <f>IF($F136="","",IFERROR(INDEX('CAT_CENTROS_COSTO'!$F$4:$F$13,MATCH($F136,'CAT_CENTROS_COSTO'!$A$4:$A$13,0)),"(sin catálogo)"))</f>
        <v/>
      </c>
      <c r="X136" s="5">
        <f>IF($F136="","",IFERROR(INDEX('CAT_CENTROS_COSTO'!$D$4:$D$13,MATCH($F136,'CAT_CENTROS_COSTO'!$A$4:$A$13,0)),"(sin catálogo)"))</f>
        <v/>
      </c>
      <c r="Y136" s="5">
        <f>IF($F136="","",IF((IFERROR(INDEX('CAT_CENTROS_COSTO'!$E$4:$E$13,MATCH($F136,'CAT_CENTROS_COSTO'!$A$4:$A$13,0)),""))&lt;&gt;"",IFERROR(INDEX('CAT_CENTROS_COSTO'!$E$4:$E$13,MATCH($F136,'CAT_CENTROS_COSTO'!$A$4:$A$13,0)),""),$X136))</f>
        <v/>
      </c>
      <c r="Z136" s="5">
        <f>IF($F136="","",IFERROR(INDEX('CAT_CENTROS_COSTO'!$G$4:$G$13,MATCH($F136,'CAT_CENTROS_COSTO'!$A$4:$A$13,0)),"(sin catálogo)"))</f>
        <v/>
      </c>
      <c r="AA136" s="5">
        <f>IF($G136="","",IFERROR(INDEX('CAT_PUESTOS'!$B$4:$B$8,MATCH($G136,'CAT_PUESTOS'!$A$4:$A$8,0)),"(sin catálogo)"))</f>
        <v/>
      </c>
      <c r="AB136" s="5">
        <f>IF($H136="","",IFERROR(INDEX('CAT_ACTIVIDADES'!$B$4:$B$11,MATCH($H136,'CAT_ACTIVIDADES'!$A$4:$A$11,0)),"(sin catálogo)"))</f>
        <v/>
      </c>
      <c r="AC136" s="20">
        <f>IF($J136="","",TODAY()-$J136)</f>
        <v/>
      </c>
      <c r="AD136" s="20">
        <f>IF($J136="","",IF($J136&lt;=TODAY(),COUNTIFS(cal_fechas,"&gt;="&amp;$J136,cal_fechas,"&lt;"&amp;TODAY(),cal_habil,"sí"),-COUNTIFS(cal_fechas,"&gt;="&amp;TODAY(),cal_fechas,"&lt;"&amp;$J136,cal_habil,"sí")))</f>
        <v/>
      </c>
      <c r="AE136" s="5">
        <f>IF($AD136="","",IF($AD136&lt;0,"FUTURO",IF($AD136&gt;p_dias_backlog_max,"BACKLOG","MES CORRIENTE")))</f>
        <v/>
      </c>
      <c r="AF136" s="5">
        <f>IF($AD136="",FALSE,AND($AD136&gt;p_dias_backlog_min,$AD136&lt;=p_dias_backlog_max))</f>
        <v/>
      </c>
      <c r="AG136" s="4" t="inlineStr"/>
      <c r="AH136" s="5">
        <f>IF($AG136="","",IF((IFERROR(INDEX('ASIGNACIONES'!$J$4:$J$451,MATCH($O136&amp;"|"&amp;$S136&amp;"|"&amp;$AG136,'ASIGNACIONES'!$N$4:$N$451,0)),""))=0,"",IFERROR(INDEX('ASIGNACIONES'!$J$4:$J$451,MATCH($O136&amp;"|"&amp;$S136&amp;"|"&amp;$AG136,'ASIGNACIONES'!$N$4:$N$451,0)),"")))</f>
        <v/>
      </c>
      <c r="AI136" s="25">
        <f>IF($AG136="","",SUMIFS('ORDENES'!$M$4:$M$1203,'ORDENES'!$AG$4:$AG$1203,$AG136,'ORDENES'!$O$4:$O$1203,$O136,'ORDENES'!$S$4:$S$1203,$S136))</f>
        <v/>
      </c>
      <c r="AJ136" s="25">
        <f>IF($AI136="","",p_factor_productividad*IFERROR(INDEX('ASIGNACIONES'!$M$4:$M$451,MATCH($O136&amp;"|"&amp;$S136&amp;"|"&amp;$AG136,'ASIGNACIONES'!$N$4:$N$451,0)),0)-$AI136)</f>
        <v/>
      </c>
      <c r="AK136" s="18">
        <f>IF($A136="","",IFERROR(INDEX('2_IMPORTAR_EJECUCION'!$F$9:$F$1208,MATCH($AT136,'2_IMPORTAR_EJECUCION'!$J$9:$J$1208,0)),0))</f>
        <v/>
      </c>
      <c r="AL136" s="18">
        <f>IF($A136="","",MAX(0,IFERROR(INDEX('2_IMPORTAR_EJECUCION'!$H$9:$H$1208,MATCH($AT136,'2_IMPORTAR_EJECUCION'!$J$9:$J$1208,0)),0)-$AK136))</f>
        <v/>
      </c>
      <c r="AM136" s="18">
        <f>IF($A136="","",$AK136+$AL136)</f>
        <v/>
      </c>
      <c r="AN136" s="5">
        <f>IF($A136="","",IF(OR((IFERROR(INDEX('CAT_ACTIVIDADES'!$D$4:$D$11,MATCH($H136,'CAT_ACTIVIDADES'!$A$4:$A$11,0)),""))=0,(IFERROR(INDEX('CAT_ACTIVIDADES'!$D$4:$D$11,MATCH($H136,'CAT_ACTIVIDADES'!$A$4:$A$11,0)),""))=""),"SIN CLASIFICAR",IFERROR(INDEX('CAT_ACTIVIDADES'!$D$4:$D$11,MATCH($H136,'CAT_ACTIVIDADES'!$A$4:$A$11,0)),"")))</f>
        <v/>
      </c>
      <c r="AO136" s="4" t="inlineStr"/>
      <c r="AP136" s="4" t="inlineStr"/>
      <c r="AQ136" s="4" t="inlineStr"/>
      <c r="AR136" s="5">
        <f>IF($AQ136="","",HYPERLINK(p_ruta_base_checklists&amp;$AQ136,"abrir"))</f>
        <v/>
      </c>
      <c r="AS136" s="4" t="inlineStr"/>
      <c r="AT136" s="5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22" t="n">
        <v>46130</v>
      </c>
      <c r="K137" s="5" t="n">
        <v>4</v>
      </c>
      <c r="L137" s="18" t="n">
        <v>100</v>
      </c>
      <c r="M137" s="5">
        <f>IF($A137="","",IFERROR(INDEX('AJUSTES'!$B$4:$B$303,MATCH($AT137,'AJUSTES'!$A$4:$A$303,0)),IF($K137="","",$K137)))</f>
        <v/>
      </c>
      <c r="N137" s="5">
        <f>IF($A137="","",IFERROR(INDEX('CAT_ESTADOS_ERP'!$B$4:$B$7,MATCH(IFERROR(INDEX('2_IMPORTAR_EJECUCION'!$C$9:$C$1208,MATCH($AT137,'2_IMPORTAR_EJECUCION'!$J$9:$J$1208,0)),""),'CAT_ESTADOS_ERP'!$A$4:$A$7,0)),"Pendiente"))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IF($J137="","",$P137&amp;"-"&amp;TEXT($Q137,"00"))</f>
        <v/>
      </c>
      <c r="S137" s="5">
        <f>IF($J137="","",INDEX(lista_dias,WEEKDAY($J137,2)))</f>
        <v/>
      </c>
      <c r="T137" s="5">
        <f>IF($J137="","",IFERROR(INDEX('CALENDARIO'!$C$15:$C$214,MATCH(TEXT($J137,"yyyy-mm-dd")&amp;"|"&amp;$X137&amp;"|"&amp;$Y137,'CALENDARIO'!$G$15:$G$214,0)),IFERROR(INDEX('CALENDARIO'!$C$15:$C$214,MATCH(TEXT($J137,"yyyy-mm-dd")&amp;"|"&amp;$X137&amp;"|",'CALENDARIO'!$G$15:$G$214,0)),IFERROR(INDEX('CALENDARIO'!$C$15:$C$214,MATCH(TEXT($J137,"yyyy-mm-dd")&amp;"||",'CALENDARIO'!$G$15:$G$214,0)),INDEX(patronHabil,WEEKDAY($J137,2))))))</f>
        <v/>
      </c>
      <c r="U137" s="5">
        <f>IF($I137="","",IFERROR(INDEX('CAT_TIPOS_OT'!$C$4:$C$8,MATCH($I137,'CAT_TIPOS_OT'!$A$4:$A$8,0)),"sin_clasificar"))</f>
        <v/>
      </c>
      <c r="V137" s="5">
        <f>IF($I137="","",IF(IFERROR(INDEX('CAT_TIPOS_OT'!$D$4:$D$8,MATCH($I137,'CAT_TIPOS_OT'!$A$4:$A$8,0)),"SIN CLASIFICAR")="","SIN CLASIFICAR",IFERROR(INDEX('CAT_TIPOS_OT'!$D$4:$D$8,MATCH($I137,'CAT_TIPOS_OT'!$A$4:$A$8,0)),"SIN CLASIFICAR")))</f>
        <v/>
      </c>
      <c r="W137" s="5">
        <f>IF($F137="","",IFERROR(INDEX('CAT_CENTROS_COSTO'!$F$4:$F$13,MATCH($F137,'CAT_CENTROS_COSTO'!$A$4:$A$13,0)),"(sin catálogo)"))</f>
        <v/>
      </c>
      <c r="X137" s="5">
        <f>IF($F137="","",IFERROR(INDEX('CAT_CENTROS_COSTO'!$D$4:$D$13,MATCH($F137,'CAT_CENTROS_COSTO'!$A$4:$A$13,0)),"(sin catálogo)"))</f>
        <v/>
      </c>
      <c r="Y137" s="5">
        <f>IF($F137="","",IF((IFERROR(INDEX('CAT_CENTROS_COSTO'!$E$4:$E$13,MATCH($F137,'CAT_CENTROS_COSTO'!$A$4:$A$13,0)),""))&lt;&gt;"",IFERROR(INDEX('CAT_CENTROS_COSTO'!$E$4:$E$13,MATCH($F137,'CAT_CENTROS_COSTO'!$A$4:$A$13,0)),""),$X137))</f>
        <v/>
      </c>
      <c r="Z137" s="5">
        <f>IF($F137="","",IFERROR(INDEX('CAT_CENTROS_COSTO'!$G$4:$G$13,MATCH($F137,'CAT_CENTROS_COSTO'!$A$4:$A$13,0)),"(sin catálogo)"))</f>
        <v/>
      </c>
      <c r="AA137" s="5">
        <f>IF($G137="","",IFERROR(INDEX('CAT_PUESTOS'!$B$4:$B$8,MATCH($G137,'CAT_PUESTOS'!$A$4:$A$8,0)),"(sin catálogo)"))</f>
        <v/>
      </c>
      <c r="AB137" s="5">
        <f>IF($H137="","",IFERROR(INDEX('CAT_ACTIVIDADES'!$B$4:$B$11,MATCH($H137,'CAT_ACTIVIDADES'!$A$4:$A$11,0)),"(sin catálogo)"))</f>
        <v/>
      </c>
      <c r="AC137" s="20">
        <f>IF($J137="","",TODAY()-$J137)</f>
        <v/>
      </c>
      <c r="AD137" s="20">
        <f>IF($J137="","",IF($J137&lt;=TODAY(),COUNTIFS(cal_fechas,"&gt;="&amp;$J137,cal_fechas,"&lt;"&amp;TODAY(),cal_habil,"sí"),-COUNTIFS(cal_fechas,"&gt;="&amp;TODAY(),cal_fechas,"&lt;"&amp;$J137,cal_habil,"sí")))</f>
        <v/>
      </c>
      <c r="AE137" s="5">
        <f>IF($AD137="","",IF($AD137&lt;0,"FUTURO",IF($AD137&gt;p_dias_backlog_max,"BACKLOG","MES CORRIENTE")))</f>
        <v/>
      </c>
      <c r="AF137" s="5">
        <f>IF($AD137="",FALSE,AND($AD137&gt;p_dias_backlog_min,$AD137&lt;=p_dias_backlog_max))</f>
        <v/>
      </c>
      <c r="AG137" s="4" t="inlineStr"/>
      <c r="AH137" s="5">
        <f>IF($AG137="","",IF((IFERROR(INDEX('ASIGNACIONES'!$J$4:$J$451,MATCH($O137&amp;"|"&amp;$S137&amp;"|"&amp;$AG137,'ASIGNACIONES'!$N$4:$N$451,0)),""))=0,"",IFERROR(INDEX('ASIGNACIONES'!$J$4:$J$451,MATCH($O137&amp;"|"&amp;$S137&amp;"|"&amp;$AG137,'ASIGNACIONES'!$N$4:$N$451,0)),"")))</f>
        <v/>
      </c>
      <c r="AI137" s="25">
        <f>IF($AG137="","",SUMIFS('ORDENES'!$M$4:$M$1203,'ORDENES'!$AG$4:$AG$1203,$AG137,'ORDENES'!$O$4:$O$1203,$O137,'ORDENES'!$S$4:$S$1203,$S137))</f>
        <v/>
      </c>
      <c r="AJ137" s="25">
        <f>IF($AI137="","",p_factor_productividad*IFERROR(INDEX('ASIGNACIONES'!$M$4:$M$451,MATCH($O137&amp;"|"&amp;$S137&amp;"|"&amp;$AG137,'ASIGNACIONES'!$N$4:$N$451,0)),0)-$AI137)</f>
        <v/>
      </c>
      <c r="AK137" s="18">
        <f>IF($A137="","",IFERROR(INDEX('2_IMPORTAR_EJECUCION'!$F$9:$F$1208,MATCH($AT137,'2_IMPORTAR_EJECUCION'!$J$9:$J$1208,0)),0))</f>
        <v/>
      </c>
      <c r="AL137" s="18">
        <f>IF($A137="","",MAX(0,IFERROR(INDEX('2_IMPORTAR_EJECUCION'!$H$9:$H$1208,MATCH($AT137,'2_IMPORTAR_EJECUCION'!$J$9:$J$1208,0)),0)-$AK137))</f>
        <v/>
      </c>
      <c r="AM137" s="18">
        <f>IF($A137="","",$AK137+$AL137)</f>
        <v/>
      </c>
      <c r="AN137" s="5">
        <f>IF($A137="","",IF(OR((IFERROR(INDEX('CAT_ACTIVIDADES'!$D$4:$D$11,MATCH($H137,'CAT_ACTIVIDADES'!$A$4:$A$11,0)),""))=0,(IFERROR(INDEX('CAT_ACTIVIDADES'!$D$4:$D$11,MATCH($H137,'CAT_ACTIVIDADES'!$A$4:$A$11,0)),""))=""),"SIN CLASIFICAR",IFERROR(INDEX('CAT_ACTIVIDADES'!$D$4:$D$11,MATCH($H137,'CAT_ACTIVIDADES'!$A$4:$A$11,0)),"")))</f>
        <v/>
      </c>
      <c r="AO137" s="4" t="inlineStr"/>
      <c r="AP137" s="4" t="inlineStr"/>
      <c r="AQ137" s="4" t="inlineStr"/>
      <c r="AR137" s="5">
        <f>IF($AQ137="","",HYPERLINK(p_ruta_base_checklists&amp;$AQ137,"abrir"))</f>
        <v/>
      </c>
      <c r="AS137" s="4" t="inlineStr"/>
      <c r="AT137" s="5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22" t="n">
        <v>46130</v>
      </c>
      <c r="K138" s="5" t="n">
        <v>6</v>
      </c>
      <c r="L138" s="18" t="n">
        <v>240</v>
      </c>
      <c r="M138" s="5">
        <f>IF($A138="","",IFERROR(INDEX('AJUSTES'!$B$4:$B$303,MATCH($AT138,'AJUSTES'!$A$4:$A$303,0)),IF($K138="","",$K138)))</f>
        <v/>
      </c>
      <c r="N138" s="5">
        <f>IF($A138="","",IFERROR(INDEX('CAT_ESTADOS_ERP'!$B$4:$B$7,MATCH(IFERROR(INDEX('2_IMPORTAR_EJECUCION'!$C$9:$C$1208,MATCH($AT138,'2_IMPORTAR_EJECUCION'!$J$9:$J$1208,0)),""),'CAT_ESTADOS_ERP'!$A$4:$A$7,0)),"Pendiente"))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IF($J138="","",$P138&amp;"-"&amp;TEXT($Q138,"00"))</f>
        <v/>
      </c>
      <c r="S138" s="5">
        <f>IF($J138="","",INDEX(lista_dias,WEEKDAY($J138,2)))</f>
        <v/>
      </c>
      <c r="T138" s="5">
        <f>IF($J138="","",IFERROR(INDEX('CALENDARIO'!$C$15:$C$214,MATCH(TEXT($J138,"yyyy-mm-dd")&amp;"|"&amp;$X138&amp;"|"&amp;$Y138,'CALENDARIO'!$G$15:$G$214,0)),IFERROR(INDEX('CALENDARIO'!$C$15:$C$214,MATCH(TEXT($J138,"yyyy-mm-dd")&amp;"|"&amp;$X138&amp;"|",'CALENDARIO'!$G$15:$G$214,0)),IFERROR(INDEX('CALENDARIO'!$C$15:$C$214,MATCH(TEXT($J138,"yyyy-mm-dd")&amp;"||",'CALENDARIO'!$G$15:$G$214,0)),INDEX(patronHabil,WEEKDAY($J138,2))))))</f>
        <v/>
      </c>
      <c r="U138" s="5">
        <f>IF($I138="","",IFERROR(INDEX('CAT_TIPOS_OT'!$C$4:$C$8,MATCH($I138,'CAT_TIPOS_OT'!$A$4:$A$8,0)),"sin_clasificar"))</f>
        <v/>
      </c>
      <c r="V138" s="5">
        <f>IF($I138="","",IF(IFERROR(INDEX('CAT_TIPOS_OT'!$D$4:$D$8,MATCH($I138,'CAT_TIPOS_OT'!$A$4:$A$8,0)),"SIN CLASIFICAR")="","SIN CLASIFICAR",IFERROR(INDEX('CAT_TIPOS_OT'!$D$4:$D$8,MATCH($I138,'CAT_TIPOS_OT'!$A$4:$A$8,0)),"SIN CLASIFICAR")))</f>
        <v/>
      </c>
      <c r="W138" s="5">
        <f>IF($F138="","",IFERROR(INDEX('CAT_CENTROS_COSTO'!$F$4:$F$13,MATCH($F138,'CAT_CENTROS_COSTO'!$A$4:$A$13,0)),"(sin catálogo)"))</f>
        <v/>
      </c>
      <c r="X138" s="5">
        <f>IF($F138="","",IFERROR(INDEX('CAT_CENTROS_COSTO'!$D$4:$D$13,MATCH($F138,'CAT_CENTROS_COSTO'!$A$4:$A$13,0)),"(sin catálogo)"))</f>
        <v/>
      </c>
      <c r="Y138" s="5">
        <f>IF($F138="","",IF((IFERROR(INDEX('CAT_CENTROS_COSTO'!$E$4:$E$13,MATCH($F138,'CAT_CENTROS_COSTO'!$A$4:$A$13,0)),""))&lt;&gt;"",IFERROR(INDEX('CAT_CENTROS_COSTO'!$E$4:$E$13,MATCH($F138,'CAT_CENTROS_COSTO'!$A$4:$A$13,0)),""),$X138))</f>
        <v/>
      </c>
      <c r="Z138" s="5">
        <f>IF($F138="","",IFERROR(INDEX('CAT_CENTROS_COSTO'!$G$4:$G$13,MATCH($F138,'CAT_CENTROS_COSTO'!$A$4:$A$13,0)),"(sin catálogo)"))</f>
        <v/>
      </c>
      <c r="AA138" s="5">
        <f>IF($G138="","",IFERROR(INDEX('CAT_PUESTOS'!$B$4:$B$8,MATCH($G138,'CAT_PUESTOS'!$A$4:$A$8,0)),"(sin catálogo)"))</f>
        <v/>
      </c>
      <c r="AB138" s="5">
        <f>IF($H138="","",IFERROR(INDEX('CAT_ACTIVIDADES'!$B$4:$B$11,MATCH($H138,'CAT_ACTIVIDADES'!$A$4:$A$11,0)),"(sin catálogo)"))</f>
        <v/>
      </c>
      <c r="AC138" s="20">
        <f>IF($J138="","",TODAY()-$J138)</f>
        <v/>
      </c>
      <c r="AD138" s="20">
        <f>IF($J138="","",IF($J138&lt;=TODAY(),COUNTIFS(cal_fechas,"&gt;="&amp;$J138,cal_fechas,"&lt;"&amp;TODAY(),cal_habil,"sí"),-COUNTIFS(cal_fechas,"&gt;="&amp;TODAY(),cal_fechas,"&lt;"&amp;$J138,cal_habil,"sí")))</f>
        <v/>
      </c>
      <c r="AE138" s="5">
        <f>IF($AD138="","",IF($AD138&lt;0,"FUTURO",IF($AD138&gt;p_dias_backlog_max,"BACKLOG","MES CORRIENTE")))</f>
        <v/>
      </c>
      <c r="AF138" s="5">
        <f>IF($AD138="",FALSE,AND($AD138&gt;p_dias_backlog_min,$AD138&lt;=p_dias_backlog_max))</f>
        <v/>
      </c>
      <c r="AG138" s="4" t="inlineStr"/>
      <c r="AH138" s="5">
        <f>IF($AG138="","",IF((IFERROR(INDEX('ASIGNACIONES'!$J$4:$J$451,MATCH($O138&amp;"|"&amp;$S138&amp;"|"&amp;$AG138,'ASIGNACIONES'!$N$4:$N$451,0)),""))=0,"",IFERROR(INDEX('ASIGNACIONES'!$J$4:$J$451,MATCH($O138&amp;"|"&amp;$S138&amp;"|"&amp;$AG138,'ASIGNACIONES'!$N$4:$N$451,0)),"")))</f>
        <v/>
      </c>
      <c r="AI138" s="25">
        <f>IF($AG138="","",SUMIFS('ORDENES'!$M$4:$M$1203,'ORDENES'!$AG$4:$AG$1203,$AG138,'ORDENES'!$O$4:$O$1203,$O138,'ORDENES'!$S$4:$S$1203,$S138))</f>
        <v/>
      </c>
      <c r="AJ138" s="25">
        <f>IF($AI138="","",p_factor_productividad*IFERROR(INDEX('ASIGNACIONES'!$M$4:$M$451,MATCH($O138&amp;"|"&amp;$S138&amp;"|"&amp;$AG138,'ASIGNACIONES'!$N$4:$N$451,0)),0)-$AI138)</f>
        <v/>
      </c>
      <c r="AK138" s="18">
        <f>IF($A138="","",IFERROR(INDEX('2_IMPORTAR_EJECUCION'!$F$9:$F$1208,MATCH($AT138,'2_IMPORTAR_EJECUCION'!$J$9:$J$1208,0)),0))</f>
        <v/>
      </c>
      <c r="AL138" s="18">
        <f>IF($A138="","",MAX(0,IFERROR(INDEX('2_IMPORTAR_EJECUCION'!$H$9:$H$1208,MATCH($AT138,'2_IMPORTAR_EJECUCION'!$J$9:$J$1208,0)),0)-$AK138))</f>
        <v/>
      </c>
      <c r="AM138" s="18">
        <f>IF($A138="","",$AK138+$AL138)</f>
        <v/>
      </c>
      <c r="AN138" s="5">
        <f>IF($A138="","",IF(OR((IFERROR(INDEX('CAT_ACTIVIDADES'!$D$4:$D$11,MATCH($H138,'CAT_ACTIVIDADES'!$A$4:$A$11,0)),""))=0,(IFERROR(INDEX('CAT_ACTIVIDADES'!$D$4:$D$11,MATCH($H138,'CAT_ACTIVIDADES'!$A$4:$A$11,0)),""))=""),"SIN CLASIFICAR",IFERROR(INDEX('CAT_ACTIVIDADES'!$D$4:$D$11,MATCH($H138,'CAT_ACTIVIDADES'!$A$4:$A$11,0)),"")))</f>
        <v/>
      </c>
      <c r="AO138" s="4" t="inlineStr"/>
      <c r="AP138" s="4" t="inlineStr"/>
      <c r="AQ138" s="4" t="inlineStr"/>
      <c r="AR138" s="5">
        <f>IF($AQ138="","",HYPERLINK(p_ruta_base_checklists&amp;$AQ138,"abrir"))</f>
        <v/>
      </c>
      <c r="AS138" s="4" t="inlineStr"/>
      <c r="AT138" s="5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22" t="n">
        <v>46130</v>
      </c>
      <c r="K139" s="5" t="n">
        <v>8</v>
      </c>
      <c r="L139" s="18" t="n">
        <v>320</v>
      </c>
      <c r="M139" s="5">
        <f>IF($A139="","",IFERROR(INDEX('AJUSTES'!$B$4:$B$303,MATCH($AT139,'AJUSTES'!$A$4:$A$303,0)),IF($K139="","",$K139)))</f>
        <v/>
      </c>
      <c r="N139" s="5">
        <f>IF($A139="","",IFERROR(INDEX('CAT_ESTADOS_ERP'!$B$4:$B$7,MATCH(IFERROR(INDEX('2_IMPORTAR_EJECUCION'!$C$9:$C$1208,MATCH($AT139,'2_IMPORTAR_EJECUCION'!$J$9:$J$1208,0)),""),'CAT_ESTADOS_ERP'!$A$4:$A$7,0)),"Pendiente"))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IF($J139="","",$P139&amp;"-"&amp;TEXT($Q139,"00"))</f>
        <v/>
      </c>
      <c r="S139" s="5">
        <f>IF($J139="","",INDEX(lista_dias,WEEKDAY($J139,2)))</f>
        <v/>
      </c>
      <c r="T139" s="5">
        <f>IF($J139="","",IFERROR(INDEX('CALENDARIO'!$C$15:$C$214,MATCH(TEXT($J139,"yyyy-mm-dd")&amp;"|"&amp;$X139&amp;"|"&amp;$Y139,'CALENDARIO'!$G$15:$G$214,0)),IFERROR(INDEX('CALENDARIO'!$C$15:$C$214,MATCH(TEXT($J139,"yyyy-mm-dd")&amp;"|"&amp;$X139&amp;"|",'CALENDARIO'!$G$15:$G$214,0)),IFERROR(INDEX('CALENDARIO'!$C$15:$C$214,MATCH(TEXT($J139,"yyyy-mm-dd")&amp;"||",'CALENDARIO'!$G$15:$G$214,0)),INDEX(patronHabil,WEEKDAY($J139,2))))))</f>
        <v/>
      </c>
      <c r="U139" s="5">
        <f>IF($I139="","",IFERROR(INDEX('CAT_TIPOS_OT'!$C$4:$C$8,MATCH($I139,'CAT_TIPOS_OT'!$A$4:$A$8,0)),"sin_clasificar"))</f>
        <v/>
      </c>
      <c r="V139" s="5">
        <f>IF($I139="","",IF(IFERROR(INDEX('CAT_TIPOS_OT'!$D$4:$D$8,MATCH($I139,'CAT_TIPOS_OT'!$A$4:$A$8,0)),"SIN CLASIFICAR")="","SIN CLASIFICAR",IFERROR(INDEX('CAT_TIPOS_OT'!$D$4:$D$8,MATCH($I139,'CAT_TIPOS_OT'!$A$4:$A$8,0)),"SIN CLASIFICAR")))</f>
        <v/>
      </c>
      <c r="W139" s="5">
        <f>IF($F139="","",IFERROR(INDEX('CAT_CENTROS_COSTO'!$F$4:$F$13,MATCH($F139,'CAT_CENTROS_COSTO'!$A$4:$A$13,0)),"(sin catálogo)"))</f>
        <v/>
      </c>
      <c r="X139" s="5">
        <f>IF($F139="","",IFERROR(INDEX('CAT_CENTROS_COSTO'!$D$4:$D$13,MATCH($F139,'CAT_CENTROS_COSTO'!$A$4:$A$13,0)),"(sin catálogo)"))</f>
        <v/>
      </c>
      <c r="Y139" s="5">
        <f>IF($F139="","",IF((IFERROR(INDEX('CAT_CENTROS_COSTO'!$E$4:$E$13,MATCH($F139,'CAT_CENTROS_COSTO'!$A$4:$A$13,0)),""))&lt;&gt;"",IFERROR(INDEX('CAT_CENTROS_COSTO'!$E$4:$E$13,MATCH($F139,'CAT_CENTROS_COSTO'!$A$4:$A$13,0)),""),$X139))</f>
        <v/>
      </c>
      <c r="Z139" s="5">
        <f>IF($F139="","",IFERROR(INDEX('CAT_CENTROS_COSTO'!$G$4:$G$13,MATCH($F139,'CAT_CENTROS_COSTO'!$A$4:$A$13,0)),"(sin catálogo)"))</f>
        <v/>
      </c>
      <c r="AA139" s="5">
        <f>IF($G139="","",IFERROR(INDEX('CAT_PUESTOS'!$B$4:$B$8,MATCH($G139,'CAT_PUESTOS'!$A$4:$A$8,0)),"(sin catálogo)"))</f>
        <v/>
      </c>
      <c r="AB139" s="5">
        <f>IF($H139="","",IFERROR(INDEX('CAT_ACTIVIDADES'!$B$4:$B$11,MATCH($H139,'CAT_ACTIVIDADES'!$A$4:$A$11,0)),"(sin catálogo)"))</f>
        <v/>
      </c>
      <c r="AC139" s="20">
        <f>IF($J139="","",TODAY()-$J139)</f>
        <v/>
      </c>
      <c r="AD139" s="20">
        <f>IF($J139="","",IF($J139&lt;=TODAY(),COUNTIFS(cal_fechas,"&gt;="&amp;$J139,cal_fechas,"&lt;"&amp;TODAY(),cal_habil,"sí"),-COUNTIFS(cal_fechas,"&gt;="&amp;TODAY(),cal_fechas,"&lt;"&amp;$J139,cal_habil,"sí")))</f>
        <v/>
      </c>
      <c r="AE139" s="5">
        <f>IF($AD139="","",IF($AD139&lt;0,"FUTURO",IF($AD139&gt;p_dias_backlog_max,"BACKLOG","MES CORRIENTE")))</f>
        <v/>
      </c>
      <c r="AF139" s="5">
        <f>IF($AD139="",FALSE,AND($AD139&gt;p_dias_backlog_min,$AD139&lt;=p_dias_backlog_max))</f>
        <v/>
      </c>
      <c r="AG139" s="4" t="inlineStr"/>
      <c r="AH139" s="5">
        <f>IF($AG139="","",IF((IFERROR(INDEX('ASIGNACIONES'!$J$4:$J$451,MATCH($O139&amp;"|"&amp;$S139&amp;"|"&amp;$AG139,'ASIGNACIONES'!$N$4:$N$451,0)),""))=0,"",IFERROR(INDEX('ASIGNACIONES'!$J$4:$J$451,MATCH($O139&amp;"|"&amp;$S139&amp;"|"&amp;$AG139,'ASIGNACIONES'!$N$4:$N$451,0)),"")))</f>
        <v/>
      </c>
      <c r="AI139" s="25">
        <f>IF($AG139="","",SUMIFS('ORDENES'!$M$4:$M$1203,'ORDENES'!$AG$4:$AG$1203,$AG139,'ORDENES'!$O$4:$O$1203,$O139,'ORDENES'!$S$4:$S$1203,$S139))</f>
        <v/>
      </c>
      <c r="AJ139" s="25">
        <f>IF($AI139="","",p_factor_productividad*IFERROR(INDEX('ASIGNACIONES'!$M$4:$M$451,MATCH($O139&amp;"|"&amp;$S139&amp;"|"&amp;$AG139,'ASIGNACIONES'!$N$4:$N$451,0)),0)-$AI139)</f>
        <v/>
      </c>
      <c r="AK139" s="18">
        <f>IF($A139="","",IFERROR(INDEX('2_IMPORTAR_EJECUCION'!$F$9:$F$1208,MATCH($AT139,'2_IMPORTAR_EJECUCION'!$J$9:$J$1208,0)),0))</f>
        <v/>
      </c>
      <c r="AL139" s="18">
        <f>IF($A139="","",MAX(0,IFERROR(INDEX('2_IMPORTAR_EJECUCION'!$H$9:$H$1208,MATCH($AT139,'2_IMPORTAR_EJECUCION'!$J$9:$J$1208,0)),0)-$AK139))</f>
        <v/>
      </c>
      <c r="AM139" s="18">
        <f>IF($A139="","",$AK139+$AL139)</f>
        <v/>
      </c>
      <c r="AN139" s="5">
        <f>IF($A139="","",IF(OR((IFERROR(INDEX('CAT_ACTIVIDADES'!$D$4:$D$11,MATCH($H139,'CAT_ACTIVIDADES'!$A$4:$A$11,0)),""))=0,(IFERROR(INDEX('CAT_ACTIVIDADES'!$D$4:$D$11,MATCH($H139,'CAT_ACTIVIDADES'!$A$4:$A$11,0)),""))=""),"SIN CLASIFICAR",IFERROR(INDEX('CAT_ACTIVIDADES'!$D$4:$D$11,MATCH($H139,'CAT_ACTIVIDADES'!$A$4:$A$11,0)),"")))</f>
        <v/>
      </c>
      <c r="AO139" s="4" t="inlineStr"/>
      <c r="AP139" s="4" t="inlineStr"/>
      <c r="AQ139" s="4" t="inlineStr"/>
      <c r="AR139" s="5">
        <f>IF($AQ139="","",HYPERLINK(p_ruta_base_checklists&amp;$AQ139,"abrir"))</f>
        <v/>
      </c>
      <c r="AS139" s="4" t="inlineStr"/>
      <c r="AT139" s="5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22" t="n">
        <v>46110</v>
      </c>
      <c r="K140" s="5" t="n">
        <v>4</v>
      </c>
      <c r="L140" s="18" t="n">
        <v>160</v>
      </c>
      <c r="M140" s="5">
        <f>IF($A140="","",IFERROR(INDEX('AJUSTES'!$B$4:$B$303,MATCH($AT140,'AJUSTES'!$A$4:$A$303,0)),IF($K140="","",$K140)))</f>
        <v/>
      </c>
      <c r="N140" s="5">
        <f>IF($A140="","",IFERROR(INDEX('CAT_ESTADOS_ERP'!$B$4:$B$7,MATCH(IFERROR(INDEX('2_IMPORTAR_EJECUCION'!$C$9:$C$1208,MATCH($AT140,'2_IMPORTAR_EJECUCION'!$J$9:$J$1208,0)),""),'CAT_ESTADOS_ERP'!$A$4:$A$7,0)),"Pendiente"))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IF($J140="","",$P140&amp;"-"&amp;TEXT($Q140,"00"))</f>
        <v/>
      </c>
      <c r="S140" s="5">
        <f>IF($J140="","",INDEX(lista_dias,WEEKDAY($J140,2)))</f>
        <v/>
      </c>
      <c r="T140" s="5">
        <f>IF($J140="","",IFERROR(INDEX('CALENDARIO'!$C$15:$C$214,MATCH(TEXT($J140,"yyyy-mm-dd")&amp;"|"&amp;$X140&amp;"|"&amp;$Y140,'CALENDARIO'!$G$15:$G$214,0)),IFERROR(INDEX('CALENDARIO'!$C$15:$C$214,MATCH(TEXT($J140,"yyyy-mm-dd")&amp;"|"&amp;$X140&amp;"|",'CALENDARIO'!$G$15:$G$214,0)),IFERROR(INDEX('CALENDARIO'!$C$15:$C$214,MATCH(TEXT($J140,"yyyy-mm-dd")&amp;"||",'CALENDARIO'!$G$15:$G$214,0)),INDEX(patronHabil,WEEKDAY($J140,2))))))</f>
        <v/>
      </c>
      <c r="U140" s="5">
        <f>IF($I140="","",IFERROR(INDEX('CAT_TIPOS_OT'!$C$4:$C$8,MATCH($I140,'CAT_TIPOS_OT'!$A$4:$A$8,0)),"sin_clasificar"))</f>
        <v/>
      </c>
      <c r="V140" s="5">
        <f>IF($I140="","",IF(IFERROR(INDEX('CAT_TIPOS_OT'!$D$4:$D$8,MATCH($I140,'CAT_TIPOS_OT'!$A$4:$A$8,0)),"SIN CLASIFICAR")="","SIN CLASIFICAR",IFERROR(INDEX('CAT_TIPOS_OT'!$D$4:$D$8,MATCH($I140,'CAT_TIPOS_OT'!$A$4:$A$8,0)),"SIN CLASIFICAR")))</f>
        <v/>
      </c>
      <c r="W140" s="5">
        <f>IF($F140="","",IFERROR(INDEX('CAT_CENTROS_COSTO'!$F$4:$F$13,MATCH($F140,'CAT_CENTROS_COSTO'!$A$4:$A$13,0)),"(sin catálogo)"))</f>
        <v/>
      </c>
      <c r="X140" s="5">
        <f>IF($F140="","",IFERROR(INDEX('CAT_CENTROS_COSTO'!$D$4:$D$13,MATCH($F140,'CAT_CENTROS_COSTO'!$A$4:$A$13,0)),"(sin catálogo)"))</f>
        <v/>
      </c>
      <c r="Y140" s="5">
        <f>IF($F140="","",IF((IFERROR(INDEX('CAT_CENTROS_COSTO'!$E$4:$E$13,MATCH($F140,'CAT_CENTROS_COSTO'!$A$4:$A$13,0)),""))&lt;&gt;"",IFERROR(INDEX('CAT_CENTROS_COSTO'!$E$4:$E$13,MATCH($F140,'CAT_CENTROS_COSTO'!$A$4:$A$13,0)),""),$X140))</f>
        <v/>
      </c>
      <c r="Z140" s="5">
        <f>IF($F140="","",IFERROR(INDEX('CAT_CENTROS_COSTO'!$G$4:$G$13,MATCH($F140,'CAT_CENTROS_COSTO'!$A$4:$A$13,0)),"(sin catálogo)"))</f>
        <v/>
      </c>
      <c r="AA140" s="5">
        <f>IF($G140="","",IFERROR(INDEX('CAT_PUESTOS'!$B$4:$B$8,MATCH($G140,'CAT_PUESTOS'!$A$4:$A$8,0)),"(sin catálogo)"))</f>
        <v/>
      </c>
      <c r="AB140" s="5">
        <f>IF($H140="","",IFERROR(INDEX('CAT_ACTIVIDADES'!$B$4:$B$11,MATCH($H140,'CAT_ACTIVIDADES'!$A$4:$A$11,0)),"(sin catálogo)"))</f>
        <v/>
      </c>
      <c r="AC140" s="20">
        <f>IF($J140="","",TODAY()-$J140)</f>
        <v/>
      </c>
      <c r="AD140" s="20">
        <f>IF($J140="","",IF($J140&lt;=TODAY(),COUNTIFS(cal_fechas,"&gt;="&amp;$J140,cal_fechas,"&lt;"&amp;TODAY(),cal_habil,"sí"),-COUNTIFS(cal_fechas,"&gt;="&amp;TODAY(),cal_fechas,"&lt;"&amp;$J140,cal_habil,"sí")))</f>
        <v/>
      </c>
      <c r="AE140" s="5">
        <f>IF($AD140="","",IF($AD140&lt;0,"FUTURO",IF($AD140&gt;p_dias_backlog_max,"BACKLOG","MES CORRIENTE")))</f>
        <v/>
      </c>
      <c r="AF140" s="5">
        <f>IF($AD140="",FALSE,AND($AD140&gt;p_dias_backlog_min,$AD140&lt;=p_dias_backlog_max))</f>
        <v/>
      </c>
      <c r="AG140" s="4" t="inlineStr"/>
      <c r="AH140" s="5">
        <f>IF($AG140="","",IF((IFERROR(INDEX('ASIGNACIONES'!$J$4:$J$451,MATCH($O140&amp;"|"&amp;$S140&amp;"|"&amp;$AG140,'ASIGNACIONES'!$N$4:$N$451,0)),""))=0,"",IFERROR(INDEX('ASIGNACIONES'!$J$4:$J$451,MATCH($O140&amp;"|"&amp;$S140&amp;"|"&amp;$AG140,'ASIGNACIONES'!$N$4:$N$451,0)),"")))</f>
        <v/>
      </c>
      <c r="AI140" s="25">
        <f>IF($AG140="","",SUMIFS('ORDENES'!$M$4:$M$1203,'ORDENES'!$AG$4:$AG$1203,$AG140,'ORDENES'!$O$4:$O$1203,$O140,'ORDENES'!$S$4:$S$1203,$S140))</f>
        <v/>
      </c>
      <c r="AJ140" s="25">
        <f>IF($AI140="","",p_factor_productividad*IFERROR(INDEX('ASIGNACIONES'!$M$4:$M$451,MATCH($O140&amp;"|"&amp;$S140&amp;"|"&amp;$AG140,'ASIGNACIONES'!$N$4:$N$451,0)),0)-$AI140)</f>
        <v/>
      </c>
      <c r="AK140" s="18">
        <f>IF($A140="","",IFERROR(INDEX('2_IMPORTAR_EJECUCION'!$F$9:$F$1208,MATCH($AT140,'2_IMPORTAR_EJECUCION'!$J$9:$J$1208,0)),0))</f>
        <v/>
      </c>
      <c r="AL140" s="18">
        <f>IF($A140="","",MAX(0,IFERROR(INDEX('2_IMPORTAR_EJECUCION'!$H$9:$H$1208,MATCH($AT140,'2_IMPORTAR_EJECUCION'!$J$9:$J$1208,0)),0)-$AK140))</f>
        <v/>
      </c>
      <c r="AM140" s="18">
        <f>IF($A140="","",$AK140+$AL140)</f>
        <v/>
      </c>
      <c r="AN140" s="5">
        <f>IF($A140="","",IF(OR((IFERROR(INDEX('CAT_ACTIVIDADES'!$D$4:$D$11,MATCH($H140,'CAT_ACTIVIDADES'!$A$4:$A$11,0)),""))=0,(IFERROR(INDEX('CAT_ACTIVIDADES'!$D$4:$D$11,MATCH($H140,'CAT_ACTIVIDADES'!$A$4:$A$11,0)),""))=""),"SIN CLASIFICAR",IFERROR(INDEX('CAT_ACTIVIDADES'!$D$4:$D$11,MATCH($H140,'CAT_ACTIVIDADES'!$A$4:$A$11,0)),"")))</f>
        <v/>
      </c>
      <c r="AO140" s="4" t="inlineStr"/>
      <c r="AP140" s="4" t="inlineStr"/>
      <c r="AQ140" s="4" t="inlineStr"/>
      <c r="AR140" s="5">
        <f>IF($AQ140="","",HYPERLINK(p_ruta_base_checklists&amp;$AQ140,"abrir"))</f>
        <v/>
      </c>
      <c r="AS140" s="4" t="inlineStr"/>
      <c r="AT140" s="5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22" t="n">
        <v>46110</v>
      </c>
      <c r="K141" s="5" t="n">
        <v>6</v>
      </c>
      <c r="L141" s="18" t="n">
        <v>240</v>
      </c>
      <c r="M141" s="5">
        <f>IF($A141="","",IFERROR(INDEX('AJUSTES'!$B$4:$B$303,MATCH($AT141,'AJUSTES'!$A$4:$A$303,0)),IF($K141="","",$K141)))</f>
        <v/>
      </c>
      <c r="N141" s="5">
        <f>IF($A141="","",IFERROR(INDEX('CAT_ESTADOS_ERP'!$B$4:$B$7,MATCH(IFERROR(INDEX('2_IMPORTAR_EJECUCION'!$C$9:$C$1208,MATCH($AT141,'2_IMPORTAR_EJECUCION'!$J$9:$J$1208,0)),""),'CAT_ESTADOS_ERP'!$A$4:$A$7,0)),"Pendiente"))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IF($J141="","",$P141&amp;"-"&amp;TEXT($Q141,"00"))</f>
        <v/>
      </c>
      <c r="S141" s="5">
        <f>IF($J141="","",INDEX(lista_dias,WEEKDAY($J141,2)))</f>
        <v/>
      </c>
      <c r="T141" s="5">
        <f>IF($J141="","",IFERROR(INDEX('CALENDARIO'!$C$15:$C$214,MATCH(TEXT($J141,"yyyy-mm-dd")&amp;"|"&amp;$X141&amp;"|"&amp;$Y141,'CALENDARIO'!$G$15:$G$214,0)),IFERROR(INDEX('CALENDARIO'!$C$15:$C$214,MATCH(TEXT($J141,"yyyy-mm-dd")&amp;"|"&amp;$X141&amp;"|",'CALENDARIO'!$G$15:$G$214,0)),IFERROR(INDEX('CALENDARIO'!$C$15:$C$214,MATCH(TEXT($J141,"yyyy-mm-dd")&amp;"||",'CALENDARIO'!$G$15:$G$214,0)),INDEX(patronHabil,WEEKDAY($J141,2))))))</f>
        <v/>
      </c>
      <c r="U141" s="5">
        <f>IF($I141="","",IFERROR(INDEX('CAT_TIPOS_OT'!$C$4:$C$8,MATCH($I141,'CAT_TIPOS_OT'!$A$4:$A$8,0)),"sin_clasificar"))</f>
        <v/>
      </c>
      <c r="V141" s="5">
        <f>IF($I141="","",IF(IFERROR(INDEX('CAT_TIPOS_OT'!$D$4:$D$8,MATCH($I141,'CAT_TIPOS_OT'!$A$4:$A$8,0)),"SIN CLASIFICAR")="","SIN CLASIFICAR",IFERROR(INDEX('CAT_TIPOS_OT'!$D$4:$D$8,MATCH($I141,'CAT_TIPOS_OT'!$A$4:$A$8,0)),"SIN CLASIFICAR")))</f>
        <v/>
      </c>
      <c r="W141" s="5">
        <f>IF($F141="","",IFERROR(INDEX('CAT_CENTROS_COSTO'!$F$4:$F$13,MATCH($F141,'CAT_CENTROS_COSTO'!$A$4:$A$13,0)),"(sin catálogo)"))</f>
        <v/>
      </c>
      <c r="X141" s="5">
        <f>IF($F141="","",IFERROR(INDEX('CAT_CENTROS_COSTO'!$D$4:$D$13,MATCH($F141,'CAT_CENTROS_COSTO'!$A$4:$A$13,0)),"(sin catálogo)"))</f>
        <v/>
      </c>
      <c r="Y141" s="5">
        <f>IF($F141="","",IF((IFERROR(INDEX('CAT_CENTROS_COSTO'!$E$4:$E$13,MATCH($F141,'CAT_CENTROS_COSTO'!$A$4:$A$13,0)),""))&lt;&gt;"",IFERROR(INDEX('CAT_CENTROS_COSTO'!$E$4:$E$13,MATCH($F141,'CAT_CENTROS_COSTO'!$A$4:$A$13,0)),""),$X141))</f>
        <v/>
      </c>
      <c r="Z141" s="5">
        <f>IF($F141="","",IFERROR(INDEX('CAT_CENTROS_COSTO'!$G$4:$G$13,MATCH($F141,'CAT_CENTROS_COSTO'!$A$4:$A$13,0)),"(sin catálogo)"))</f>
        <v/>
      </c>
      <c r="AA141" s="5">
        <f>IF($G141="","",IFERROR(INDEX('CAT_PUESTOS'!$B$4:$B$8,MATCH($G141,'CAT_PUESTOS'!$A$4:$A$8,0)),"(sin catálogo)"))</f>
        <v/>
      </c>
      <c r="AB141" s="5">
        <f>IF($H141="","",IFERROR(INDEX('CAT_ACTIVIDADES'!$B$4:$B$11,MATCH($H141,'CAT_ACTIVIDADES'!$A$4:$A$11,0)),"(sin catálogo)"))</f>
        <v/>
      </c>
      <c r="AC141" s="20">
        <f>IF($J141="","",TODAY()-$J141)</f>
        <v/>
      </c>
      <c r="AD141" s="20">
        <f>IF($J141="","",IF($J141&lt;=TODAY(),COUNTIFS(cal_fechas,"&gt;="&amp;$J141,cal_fechas,"&lt;"&amp;TODAY(),cal_habil,"sí"),-COUNTIFS(cal_fechas,"&gt;="&amp;TODAY(),cal_fechas,"&lt;"&amp;$J141,cal_habil,"sí")))</f>
        <v/>
      </c>
      <c r="AE141" s="5">
        <f>IF($AD141="","",IF($AD141&lt;0,"FUTURO",IF($AD141&gt;p_dias_backlog_max,"BACKLOG","MES CORRIENTE")))</f>
        <v/>
      </c>
      <c r="AF141" s="5">
        <f>IF($AD141="",FALSE,AND($AD141&gt;p_dias_backlog_min,$AD141&lt;=p_dias_backlog_max))</f>
        <v/>
      </c>
      <c r="AG141" s="4" t="inlineStr"/>
      <c r="AH141" s="5">
        <f>IF($AG141="","",IF((IFERROR(INDEX('ASIGNACIONES'!$J$4:$J$451,MATCH($O141&amp;"|"&amp;$S141&amp;"|"&amp;$AG141,'ASIGNACIONES'!$N$4:$N$451,0)),""))=0,"",IFERROR(INDEX('ASIGNACIONES'!$J$4:$J$451,MATCH($O141&amp;"|"&amp;$S141&amp;"|"&amp;$AG141,'ASIGNACIONES'!$N$4:$N$451,0)),"")))</f>
        <v/>
      </c>
      <c r="AI141" s="25">
        <f>IF($AG141="","",SUMIFS('ORDENES'!$M$4:$M$1203,'ORDENES'!$AG$4:$AG$1203,$AG141,'ORDENES'!$O$4:$O$1203,$O141,'ORDENES'!$S$4:$S$1203,$S141))</f>
        <v/>
      </c>
      <c r="AJ141" s="25">
        <f>IF($AI141="","",p_factor_productividad*IFERROR(INDEX('ASIGNACIONES'!$M$4:$M$451,MATCH($O141&amp;"|"&amp;$S141&amp;"|"&amp;$AG141,'ASIGNACIONES'!$N$4:$N$451,0)),0)-$AI141)</f>
        <v/>
      </c>
      <c r="AK141" s="18">
        <f>IF($A141="","",IFERROR(INDEX('2_IMPORTAR_EJECUCION'!$F$9:$F$1208,MATCH($AT141,'2_IMPORTAR_EJECUCION'!$J$9:$J$1208,0)),0))</f>
        <v/>
      </c>
      <c r="AL141" s="18">
        <f>IF($A141="","",MAX(0,IFERROR(INDEX('2_IMPORTAR_EJECUCION'!$H$9:$H$1208,MATCH($AT141,'2_IMPORTAR_EJECUCION'!$J$9:$J$1208,0)),0)-$AK141))</f>
        <v/>
      </c>
      <c r="AM141" s="18">
        <f>IF($A141="","",$AK141+$AL141)</f>
        <v/>
      </c>
      <c r="AN141" s="5">
        <f>IF($A141="","",IF(OR((IFERROR(INDEX('CAT_ACTIVIDADES'!$D$4:$D$11,MATCH($H141,'CAT_ACTIVIDADES'!$A$4:$A$11,0)),""))=0,(IFERROR(INDEX('CAT_ACTIVIDADES'!$D$4:$D$11,MATCH($H141,'CAT_ACTIVIDADES'!$A$4:$A$11,0)),""))=""),"SIN CLASIFICAR",IFERROR(INDEX('CAT_ACTIVIDADES'!$D$4:$D$11,MATCH($H141,'CAT_ACTIVIDADES'!$A$4:$A$11,0)),"")))</f>
        <v/>
      </c>
      <c r="AO141" s="4" t="inlineStr"/>
      <c r="AP141" s="4" t="inlineStr"/>
      <c r="AQ141" s="4" t="inlineStr"/>
      <c r="AR141" s="5">
        <f>IF($AQ141="","",HYPERLINK(p_ruta_base_checklists&amp;$AQ141,"abrir"))</f>
        <v/>
      </c>
      <c r="AS141" s="4" t="inlineStr"/>
      <c r="AT141" s="5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22" t="n">
        <v>46110</v>
      </c>
      <c r="K142" s="5" t="n">
        <v>8</v>
      </c>
      <c r="L142" s="18" t="n">
        <v>320</v>
      </c>
      <c r="M142" s="5">
        <f>IF($A142="","",IFERROR(INDEX('AJUSTES'!$B$4:$B$303,MATCH($AT142,'AJUSTES'!$A$4:$A$303,0)),IF($K142="","",$K142)))</f>
        <v/>
      </c>
      <c r="N142" s="5">
        <f>IF($A142="","",IFERROR(INDEX('CAT_ESTADOS_ERP'!$B$4:$B$7,MATCH(IFERROR(INDEX('2_IMPORTAR_EJECUCION'!$C$9:$C$1208,MATCH($AT142,'2_IMPORTAR_EJECUCION'!$J$9:$J$1208,0)),""),'CAT_ESTADOS_ERP'!$A$4:$A$7,0)),"Pendiente"))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IF($J142="","",$P142&amp;"-"&amp;TEXT($Q142,"00"))</f>
        <v/>
      </c>
      <c r="S142" s="5">
        <f>IF($J142="","",INDEX(lista_dias,WEEKDAY($J142,2)))</f>
        <v/>
      </c>
      <c r="T142" s="5">
        <f>IF($J142="","",IFERROR(INDEX('CALENDARIO'!$C$15:$C$214,MATCH(TEXT($J142,"yyyy-mm-dd")&amp;"|"&amp;$X142&amp;"|"&amp;$Y142,'CALENDARIO'!$G$15:$G$214,0)),IFERROR(INDEX('CALENDARIO'!$C$15:$C$214,MATCH(TEXT($J142,"yyyy-mm-dd")&amp;"|"&amp;$X142&amp;"|",'CALENDARIO'!$G$15:$G$214,0)),IFERROR(INDEX('CALENDARIO'!$C$15:$C$214,MATCH(TEXT($J142,"yyyy-mm-dd")&amp;"||",'CALENDARIO'!$G$15:$G$214,0)),INDEX(patronHabil,WEEKDAY($J142,2))))))</f>
        <v/>
      </c>
      <c r="U142" s="5">
        <f>IF($I142="","",IFERROR(INDEX('CAT_TIPOS_OT'!$C$4:$C$8,MATCH($I142,'CAT_TIPOS_OT'!$A$4:$A$8,0)),"sin_clasificar"))</f>
        <v/>
      </c>
      <c r="V142" s="5">
        <f>IF($I142="","",IF(IFERROR(INDEX('CAT_TIPOS_OT'!$D$4:$D$8,MATCH($I142,'CAT_TIPOS_OT'!$A$4:$A$8,0)),"SIN CLASIFICAR")="","SIN CLASIFICAR",IFERROR(INDEX('CAT_TIPOS_OT'!$D$4:$D$8,MATCH($I142,'CAT_TIPOS_OT'!$A$4:$A$8,0)),"SIN CLASIFICAR")))</f>
        <v/>
      </c>
      <c r="W142" s="5">
        <f>IF($F142="","",IFERROR(INDEX('CAT_CENTROS_COSTO'!$F$4:$F$13,MATCH($F142,'CAT_CENTROS_COSTO'!$A$4:$A$13,0)),"(sin catálogo)"))</f>
        <v/>
      </c>
      <c r="X142" s="5">
        <f>IF($F142="","",IFERROR(INDEX('CAT_CENTROS_COSTO'!$D$4:$D$13,MATCH($F142,'CAT_CENTROS_COSTO'!$A$4:$A$13,0)),"(sin catálogo)"))</f>
        <v/>
      </c>
      <c r="Y142" s="5">
        <f>IF($F142="","",IF((IFERROR(INDEX('CAT_CENTROS_COSTO'!$E$4:$E$13,MATCH($F142,'CAT_CENTROS_COSTO'!$A$4:$A$13,0)),""))&lt;&gt;"",IFERROR(INDEX('CAT_CENTROS_COSTO'!$E$4:$E$13,MATCH($F142,'CAT_CENTROS_COSTO'!$A$4:$A$13,0)),""),$X142))</f>
        <v/>
      </c>
      <c r="Z142" s="5">
        <f>IF($F142="","",IFERROR(INDEX('CAT_CENTROS_COSTO'!$G$4:$G$13,MATCH($F142,'CAT_CENTROS_COSTO'!$A$4:$A$13,0)),"(sin catálogo)"))</f>
        <v/>
      </c>
      <c r="AA142" s="5">
        <f>IF($G142="","",IFERROR(INDEX('CAT_PUESTOS'!$B$4:$B$8,MATCH($G142,'CAT_PUESTOS'!$A$4:$A$8,0)),"(sin catálogo)"))</f>
        <v/>
      </c>
      <c r="AB142" s="5">
        <f>IF($H142="","",IFERROR(INDEX('CAT_ACTIVIDADES'!$B$4:$B$11,MATCH($H142,'CAT_ACTIVIDADES'!$A$4:$A$11,0)),"(sin catálogo)"))</f>
        <v/>
      </c>
      <c r="AC142" s="20">
        <f>IF($J142="","",TODAY()-$J142)</f>
        <v/>
      </c>
      <c r="AD142" s="20">
        <f>IF($J142="","",IF($J142&lt;=TODAY(),COUNTIFS(cal_fechas,"&gt;="&amp;$J142,cal_fechas,"&lt;"&amp;TODAY(),cal_habil,"sí"),-COUNTIFS(cal_fechas,"&gt;="&amp;TODAY(),cal_fechas,"&lt;"&amp;$J142,cal_habil,"sí")))</f>
        <v/>
      </c>
      <c r="AE142" s="5">
        <f>IF($AD142="","",IF($AD142&lt;0,"FUTURO",IF($AD142&gt;p_dias_backlog_max,"BACKLOG","MES CORRIENTE")))</f>
        <v/>
      </c>
      <c r="AF142" s="5">
        <f>IF($AD142="",FALSE,AND($AD142&gt;p_dias_backlog_min,$AD142&lt;=p_dias_backlog_max))</f>
        <v/>
      </c>
      <c r="AG142" s="4" t="inlineStr"/>
      <c r="AH142" s="5">
        <f>IF($AG142="","",IF((IFERROR(INDEX('ASIGNACIONES'!$J$4:$J$451,MATCH($O142&amp;"|"&amp;$S142&amp;"|"&amp;$AG142,'ASIGNACIONES'!$N$4:$N$451,0)),""))=0,"",IFERROR(INDEX('ASIGNACIONES'!$J$4:$J$451,MATCH($O142&amp;"|"&amp;$S142&amp;"|"&amp;$AG142,'ASIGNACIONES'!$N$4:$N$451,0)),"")))</f>
        <v/>
      </c>
      <c r="AI142" s="25">
        <f>IF($AG142="","",SUMIFS('ORDENES'!$M$4:$M$1203,'ORDENES'!$AG$4:$AG$1203,$AG142,'ORDENES'!$O$4:$O$1203,$O142,'ORDENES'!$S$4:$S$1203,$S142))</f>
        <v/>
      </c>
      <c r="AJ142" s="25">
        <f>IF($AI142="","",p_factor_productividad*IFERROR(INDEX('ASIGNACIONES'!$M$4:$M$451,MATCH($O142&amp;"|"&amp;$S142&amp;"|"&amp;$AG142,'ASIGNACIONES'!$N$4:$N$451,0)),0)-$AI142)</f>
        <v/>
      </c>
      <c r="AK142" s="18">
        <f>IF($A142="","",IFERROR(INDEX('2_IMPORTAR_EJECUCION'!$F$9:$F$1208,MATCH($AT142,'2_IMPORTAR_EJECUCION'!$J$9:$J$1208,0)),0))</f>
        <v/>
      </c>
      <c r="AL142" s="18">
        <f>IF($A142="","",MAX(0,IFERROR(INDEX('2_IMPORTAR_EJECUCION'!$H$9:$H$1208,MATCH($AT142,'2_IMPORTAR_EJECUCION'!$J$9:$J$1208,0)),0)-$AK142))</f>
        <v/>
      </c>
      <c r="AM142" s="18">
        <f>IF($A142="","",$AK142+$AL142)</f>
        <v/>
      </c>
      <c r="AN142" s="5">
        <f>IF($A142="","",IF(OR((IFERROR(INDEX('CAT_ACTIVIDADES'!$D$4:$D$11,MATCH($H142,'CAT_ACTIVIDADES'!$A$4:$A$11,0)),""))=0,(IFERROR(INDEX('CAT_ACTIVIDADES'!$D$4:$D$11,MATCH($H142,'CAT_ACTIVIDADES'!$A$4:$A$11,0)),""))=""),"SIN CLASIFICAR",IFERROR(INDEX('CAT_ACTIVIDADES'!$D$4:$D$11,MATCH($H142,'CAT_ACTIVIDADES'!$A$4:$A$11,0)),"")))</f>
        <v/>
      </c>
      <c r="AO142" s="4" t="inlineStr"/>
      <c r="AP142" s="4" t="inlineStr"/>
      <c r="AQ142" s="4" t="inlineStr"/>
      <c r="AR142" s="5">
        <f>IF($AQ142="","",HYPERLINK(p_ruta_base_checklists&amp;$AQ142,"abrir"))</f>
        <v/>
      </c>
      <c r="AS142" s="4" t="inlineStr"/>
      <c r="AT142" s="5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22" t="n">
        <v>46110</v>
      </c>
      <c r="K143" s="5" t="n">
        <v>4</v>
      </c>
      <c r="L143" s="18" t="n">
        <v>100</v>
      </c>
      <c r="M143" s="5">
        <f>IF($A143="","",IFERROR(INDEX('AJUSTES'!$B$4:$B$303,MATCH($AT143,'AJUSTES'!$A$4:$A$303,0)),IF($K143="","",$K143)))</f>
        <v/>
      </c>
      <c r="N143" s="5">
        <f>IF($A143="","",IFERROR(INDEX('CAT_ESTADOS_ERP'!$B$4:$B$7,MATCH(IFERROR(INDEX('2_IMPORTAR_EJECUCION'!$C$9:$C$1208,MATCH($AT143,'2_IMPORTAR_EJECUCION'!$J$9:$J$1208,0)),""),'CAT_ESTADOS_ERP'!$A$4:$A$7,0)),"Pendiente"))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IF($J143="","",$P143&amp;"-"&amp;TEXT($Q143,"00"))</f>
        <v/>
      </c>
      <c r="S143" s="5">
        <f>IF($J143="","",INDEX(lista_dias,WEEKDAY($J143,2)))</f>
        <v/>
      </c>
      <c r="T143" s="5">
        <f>IF($J143="","",IFERROR(INDEX('CALENDARIO'!$C$15:$C$214,MATCH(TEXT($J143,"yyyy-mm-dd")&amp;"|"&amp;$X143&amp;"|"&amp;$Y143,'CALENDARIO'!$G$15:$G$214,0)),IFERROR(INDEX('CALENDARIO'!$C$15:$C$214,MATCH(TEXT($J143,"yyyy-mm-dd")&amp;"|"&amp;$X143&amp;"|",'CALENDARIO'!$G$15:$G$214,0)),IFERROR(INDEX('CALENDARIO'!$C$15:$C$214,MATCH(TEXT($J143,"yyyy-mm-dd")&amp;"||",'CALENDARIO'!$G$15:$G$214,0)),INDEX(patronHabil,WEEKDAY($J143,2))))))</f>
        <v/>
      </c>
      <c r="U143" s="5">
        <f>IF($I143="","",IFERROR(INDEX('CAT_TIPOS_OT'!$C$4:$C$8,MATCH($I143,'CAT_TIPOS_OT'!$A$4:$A$8,0)),"sin_clasificar"))</f>
        <v/>
      </c>
      <c r="V143" s="5">
        <f>IF($I143="","",IF(IFERROR(INDEX('CAT_TIPOS_OT'!$D$4:$D$8,MATCH($I143,'CAT_TIPOS_OT'!$A$4:$A$8,0)),"SIN CLASIFICAR")="","SIN CLASIFICAR",IFERROR(INDEX('CAT_TIPOS_OT'!$D$4:$D$8,MATCH($I143,'CAT_TIPOS_OT'!$A$4:$A$8,0)),"SIN CLASIFICAR")))</f>
        <v/>
      </c>
      <c r="W143" s="5">
        <f>IF($F143="","",IFERROR(INDEX('CAT_CENTROS_COSTO'!$F$4:$F$13,MATCH($F143,'CAT_CENTROS_COSTO'!$A$4:$A$13,0)),"(sin catálogo)"))</f>
        <v/>
      </c>
      <c r="X143" s="5">
        <f>IF($F143="","",IFERROR(INDEX('CAT_CENTROS_COSTO'!$D$4:$D$13,MATCH($F143,'CAT_CENTROS_COSTO'!$A$4:$A$13,0)),"(sin catálogo)"))</f>
        <v/>
      </c>
      <c r="Y143" s="5">
        <f>IF($F143="","",IF((IFERROR(INDEX('CAT_CENTROS_COSTO'!$E$4:$E$13,MATCH($F143,'CAT_CENTROS_COSTO'!$A$4:$A$13,0)),""))&lt;&gt;"",IFERROR(INDEX('CAT_CENTROS_COSTO'!$E$4:$E$13,MATCH($F143,'CAT_CENTROS_COSTO'!$A$4:$A$13,0)),""),$X143))</f>
        <v/>
      </c>
      <c r="Z143" s="5">
        <f>IF($F143="","",IFERROR(INDEX('CAT_CENTROS_COSTO'!$G$4:$G$13,MATCH($F143,'CAT_CENTROS_COSTO'!$A$4:$A$13,0)),"(sin catálogo)"))</f>
        <v/>
      </c>
      <c r="AA143" s="5">
        <f>IF($G143="","",IFERROR(INDEX('CAT_PUESTOS'!$B$4:$B$8,MATCH($G143,'CAT_PUESTOS'!$A$4:$A$8,0)),"(sin catálogo)"))</f>
        <v/>
      </c>
      <c r="AB143" s="5">
        <f>IF($H143="","",IFERROR(INDEX('CAT_ACTIVIDADES'!$B$4:$B$11,MATCH($H143,'CAT_ACTIVIDADES'!$A$4:$A$11,0)),"(sin catálogo)"))</f>
        <v/>
      </c>
      <c r="AC143" s="20">
        <f>IF($J143="","",TODAY()-$J143)</f>
        <v/>
      </c>
      <c r="AD143" s="20">
        <f>IF($J143="","",IF($J143&lt;=TODAY(),COUNTIFS(cal_fechas,"&gt;="&amp;$J143,cal_fechas,"&lt;"&amp;TODAY(),cal_habil,"sí"),-COUNTIFS(cal_fechas,"&gt;="&amp;TODAY(),cal_fechas,"&lt;"&amp;$J143,cal_habil,"sí")))</f>
        <v/>
      </c>
      <c r="AE143" s="5">
        <f>IF($AD143="","",IF($AD143&lt;0,"FUTURO",IF($AD143&gt;p_dias_backlog_max,"BACKLOG","MES CORRIENTE")))</f>
        <v/>
      </c>
      <c r="AF143" s="5">
        <f>IF($AD143="",FALSE,AND($AD143&gt;p_dias_backlog_min,$AD143&lt;=p_dias_backlog_max))</f>
        <v/>
      </c>
      <c r="AG143" s="4" t="inlineStr"/>
      <c r="AH143" s="5">
        <f>IF($AG143="","",IF((IFERROR(INDEX('ASIGNACIONES'!$J$4:$J$451,MATCH($O143&amp;"|"&amp;$S143&amp;"|"&amp;$AG143,'ASIGNACIONES'!$N$4:$N$451,0)),""))=0,"",IFERROR(INDEX('ASIGNACIONES'!$J$4:$J$451,MATCH($O143&amp;"|"&amp;$S143&amp;"|"&amp;$AG143,'ASIGNACIONES'!$N$4:$N$451,0)),"")))</f>
        <v/>
      </c>
      <c r="AI143" s="25">
        <f>IF($AG143="","",SUMIFS('ORDENES'!$M$4:$M$1203,'ORDENES'!$AG$4:$AG$1203,$AG143,'ORDENES'!$O$4:$O$1203,$O143,'ORDENES'!$S$4:$S$1203,$S143))</f>
        <v/>
      </c>
      <c r="AJ143" s="25">
        <f>IF($AI143="","",p_factor_productividad*IFERROR(INDEX('ASIGNACIONES'!$M$4:$M$451,MATCH($O143&amp;"|"&amp;$S143&amp;"|"&amp;$AG143,'ASIGNACIONES'!$N$4:$N$451,0)),0)-$AI143)</f>
        <v/>
      </c>
      <c r="AK143" s="18">
        <f>IF($A143="","",IFERROR(INDEX('2_IMPORTAR_EJECUCION'!$F$9:$F$1208,MATCH($AT143,'2_IMPORTAR_EJECUCION'!$J$9:$J$1208,0)),0))</f>
        <v/>
      </c>
      <c r="AL143" s="18">
        <f>IF($A143="","",MAX(0,IFERROR(INDEX('2_IMPORTAR_EJECUCION'!$H$9:$H$1208,MATCH($AT143,'2_IMPORTAR_EJECUCION'!$J$9:$J$1208,0)),0)-$AK143))</f>
        <v/>
      </c>
      <c r="AM143" s="18">
        <f>IF($A143="","",$AK143+$AL143)</f>
        <v/>
      </c>
      <c r="AN143" s="5">
        <f>IF($A143="","",IF(OR((IFERROR(INDEX('CAT_ACTIVIDADES'!$D$4:$D$11,MATCH($H143,'CAT_ACTIVIDADES'!$A$4:$A$11,0)),""))=0,(IFERROR(INDEX('CAT_ACTIVIDADES'!$D$4:$D$11,MATCH($H143,'CAT_ACTIVIDADES'!$A$4:$A$11,0)),""))=""),"SIN CLASIFICAR",IFERROR(INDEX('CAT_ACTIVIDADES'!$D$4:$D$11,MATCH($H143,'CAT_ACTIVIDADES'!$A$4:$A$11,0)),"")))</f>
        <v/>
      </c>
      <c r="AO143" s="4" t="inlineStr"/>
      <c r="AP143" s="4" t="inlineStr"/>
      <c r="AQ143" s="4" t="inlineStr"/>
      <c r="AR143" s="5">
        <f>IF($AQ143="","",HYPERLINK(p_ruta_base_checklists&amp;$AQ143,"abrir"))</f>
        <v/>
      </c>
      <c r="AS143" s="4" t="inlineStr"/>
      <c r="AT143" s="5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22" t="n">
        <v>46080</v>
      </c>
      <c r="K144" s="5" t="n">
        <v>4</v>
      </c>
      <c r="L144" s="18" t="n">
        <v>160</v>
      </c>
      <c r="M144" s="5">
        <f>IF($A144="","",IFERROR(INDEX('AJUSTES'!$B$4:$B$303,MATCH($AT144,'AJUSTES'!$A$4:$A$303,0)),IF($K144="","",$K144)))</f>
        <v/>
      </c>
      <c r="N144" s="5">
        <f>IF($A144="","",IFERROR(INDEX('CAT_ESTADOS_ERP'!$B$4:$B$7,MATCH(IFERROR(INDEX('2_IMPORTAR_EJECUCION'!$C$9:$C$1208,MATCH($AT144,'2_IMPORTAR_EJECUCION'!$J$9:$J$1208,0)),""),'CAT_ESTADOS_ERP'!$A$4:$A$7,0)),"Pendiente"))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IF($J144="","",$P144&amp;"-"&amp;TEXT($Q144,"00"))</f>
        <v/>
      </c>
      <c r="S144" s="5">
        <f>IF($J144="","",INDEX(lista_dias,WEEKDAY($J144,2)))</f>
        <v/>
      </c>
      <c r="T144" s="5">
        <f>IF($J144="","",IFERROR(INDEX('CALENDARIO'!$C$15:$C$214,MATCH(TEXT($J144,"yyyy-mm-dd")&amp;"|"&amp;$X144&amp;"|"&amp;$Y144,'CALENDARIO'!$G$15:$G$214,0)),IFERROR(INDEX('CALENDARIO'!$C$15:$C$214,MATCH(TEXT($J144,"yyyy-mm-dd")&amp;"|"&amp;$X144&amp;"|",'CALENDARIO'!$G$15:$G$214,0)),IFERROR(INDEX('CALENDARIO'!$C$15:$C$214,MATCH(TEXT($J144,"yyyy-mm-dd")&amp;"||",'CALENDARIO'!$G$15:$G$214,0)),INDEX(patronHabil,WEEKDAY($J144,2))))))</f>
        <v/>
      </c>
      <c r="U144" s="5">
        <f>IF($I144="","",IFERROR(INDEX('CAT_TIPOS_OT'!$C$4:$C$8,MATCH($I144,'CAT_TIPOS_OT'!$A$4:$A$8,0)),"sin_clasificar"))</f>
        <v/>
      </c>
      <c r="V144" s="5">
        <f>IF($I144="","",IF(IFERROR(INDEX('CAT_TIPOS_OT'!$D$4:$D$8,MATCH($I144,'CAT_TIPOS_OT'!$A$4:$A$8,0)),"SIN CLASIFICAR")="","SIN CLASIFICAR",IFERROR(INDEX('CAT_TIPOS_OT'!$D$4:$D$8,MATCH($I144,'CAT_TIPOS_OT'!$A$4:$A$8,0)),"SIN CLASIFICAR")))</f>
        <v/>
      </c>
      <c r="W144" s="5">
        <f>IF($F144="","",IFERROR(INDEX('CAT_CENTROS_COSTO'!$F$4:$F$13,MATCH($F144,'CAT_CENTROS_COSTO'!$A$4:$A$13,0)),"(sin catálogo)"))</f>
        <v/>
      </c>
      <c r="X144" s="5">
        <f>IF($F144="","",IFERROR(INDEX('CAT_CENTROS_COSTO'!$D$4:$D$13,MATCH($F144,'CAT_CENTROS_COSTO'!$A$4:$A$13,0)),"(sin catálogo)"))</f>
        <v/>
      </c>
      <c r="Y144" s="5">
        <f>IF($F144="","",IF((IFERROR(INDEX('CAT_CENTROS_COSTO'!$E$4:$E$13,MATCH($F144,'CAT_CENTROS_COSTO'!$A$4:$A$13,0)),""))&lt;&gt;"",IFERROR(INDEX('CAT_CENTROS_COSTO'!$E$4:$E$13,MATCH($F144,'CAT_CENTROS_COSTO'!$A$4:$A$13,0)),""),$X144))</f>
        <v/>
      </c>
      <c r="Z144" s="5">
        <f>IF($F144="","",IFERROR(INDEX('CAT_CENTROS_COSTO'!$G$4:$G$13,MATCH($F144,'CAT_CENTROS_COSTO'!$A$4:$A$13,0)),"(sin catálogo)"))</f>
        <v/>
      </c>
      <c r="AA144" s="5">
        <f>IF($G144="","",IFERROR(INDEX('CAT_PUESTOS'!$B$4:$B$8,MATCH($G144,'CAT_PUESTOS'!$A$4:$A$8,0)),"(sin catálogo)"))</f>
        <v/>
      </c>
      <c r="AB144" s="5">
        <f>IF($H144="","",IFERROR(INDEX('CAT_ACTIVIDADES'!$B$4:$B$11,MATCH($H144,'CAT_ACTIVIDADES'!$A$4:$A$11,0)),"(sin catálogo)"))</f>
        <v/>
      </c>
      <c r="AC144" s="20">
        <f>IF($J144="","",TODAY()-$J144)</f>
        <v/>
      </c>
      <c r="AD144" s="20">
        <f>IF($J144="","",IF($J144&lt;=TODAY(),COUNTIFS(cal_fechas,"&gt;="&amp;$J144,cal_fechas,"&lt;"&amp;TODAY(),cal_habil,"sí"),-COUNTIFS(cal_fechas,"&gt;="&amp;TODAY(),cal_fechas,"&lt;"&amp;$J144,cal_habil,"sí")))</f>
        <v/>
      </c>
      <c r="AE144" s="5">
        <f>IF($AD144="","",IF($AD144&lt;0,"FUTURO",IF($AD144&gt;p_dias_backlog_max,"BACKLOG","MES CORRIENTE")))</f>
        <v/>
      </c>
      <c r="AF144" s="5">
        <f>IF($AD144="",FALSE,AND($AD144&gt;p_dias_backlog_min,$AD144&lt;=p_dias_backlog_max))</f>
        <v/>
      </c>
      <c r="AG144" s="4" t="inlineStr"/>
      <c r="AH144" s="5">
        <f>IF($AG144="","",IF((IFERROR(INDEX('ASIGNACIONES'!$J$4:$J$451,MATCH($O144&amp;"|"&amp;$S144&amp;"|"&amp;$AG144,'ASIGNACIONES'!$N$4:$N$451,0)),""))=0,"",IFERROR(INDEX('ASIGNACIONES'!$J$4:$J$451,MATCH($O144&amp;"|"&amp;$S144&amp;"|"&amp;$AG144,'ASIGNACIONES'!$N$4:$N$451,0)),"")))</f>
        <v/>
      </c>
      <c r="AI144" s="25">
        <f>IF($AG144="","",SUMIFS('ORDENES'!$M$4:$M$1203,'ORDENES'!$AG$4:$AG$1203,$AG144,'ORDENES'!$O$4:$O$1203,$O144,'ORDENES'!$S$4:$S$1203,$S144))</f>
        <v/>
      </c>
      <c r="AJ144" s="25">
        <f>IF($AI144="","",p_factor_productividad*IFERROR(INDEX('ASIGNACIONES'!$M$4:$M$451,MATCH($O144&amp;"|"&amp;$S144&amp;"|"&amp;$AG144,'ASIGNACIONES'!$N$4:$N$451,0)),0)-$AI144)</f>
        <v/>
      </c>
      <c r="AK144" s="18">
        <f>IF($A144="","",IFERROR(INDEX('2_IMPORTAR_EJECUCION'!$F$9:$F$1208,MATCH($AT144,'2_IMPORTAR_EJECUCION'!$J$9:$J$1208,0)),0))</f>
        <v/>
      </c>
      <c r="AL144" s="18">
        <f>IF($A144="","",MAX(0,IFERROR(INDEX('2_IMPORTAR_EJECUCION'!$H$9:$H$1208,MATCH($AT144,'2_IMPORTAR_EJECUCION'!$J$9:$J$1208,0)),0)-$AK144))</f>
        <v/>
      </c>
      <c r="AM144" s="18">
        <f>IF($A144="","",$AK144+$AL144)</f>
        <v/>
      </c>
      <c r="AN144" s="5">
        <f>IF($A144="","",IF(OR((IFERROR(INDEX('CAT_ACTIVIDADES'!$D$4:$D$11,MATCH($H144,'CAT_ACTIVIDADES'!$A$4:$A$11,0)),""))=0,(IFERROR(INDEX('CAT_ACTIVIDADES'!$D$4:$D$11,MATCH($H144,'CAT_ACTIVIDADES'!$A$4:$A$11,0)),""))=""),"SIN CLASIFICAR",IFERROR(INDEX('CAT_ACTIVIDADES'!$D$4:$D$11,MATCH($H144,'CAT_ACTIVIDADES'!$A$4:$A$11,0)),"")))</f>
        <v/>
      </c>
      <c r="AO144" s="4" t="inlineStr"/>
      <c r="AP144" s="4" t="inlineStr"/>
      <c r="AQ144" s="4" t="inlineStr"/>
      <c r="AR144" s="5">
        <f>IF($AQ144="","",HYPERLINK(p_ruta_base_checklists&amp;$AQ144,"abrir"))</f>
        <v/>
      </c>
      <c r="AS144" s="4" t="inlineStr"/>
      <c r="AT144" s="5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22" t="n">
        <v>46080</v>
      </c>
      <c r="K145" s="5" t="n">
        <v>6</v>
      </c>
      <c r="L145" s="18" t="n">
        <v>240</v>
      </c>
      <c r="M145" s="5">
        <f>IF($A145="","",IFERROR(INDEX('AJUSTES'!$B$4:$B$303,MATCH($AT145,'AJUSTES'!$A$4:$A$303,0)),IF($K145="","",$K145)))</f>
        <v/>
      </c>
      <c r="N145" s="5">
        <f>IF($A145="","",IFERROR(INDEX('CAT_ESTADOS_ERP'!$B$4:$B$7,MATCH(IFERROR(INDEX('2_IMPORTAR_EJECUCION'!$C$9:$C$1208,MATCH($AT145,'2_IMPORTAR_EJECUCION'!$J$9:$J$1208,0)),""),'CAT_ESTADOS_ERP'!$A$4:$A$7,0)),"Pendiente"))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IF($J145="","",$P145&amp;"-"&amp;TEXT($Q145,"00"))</f>
        <v/>
      </c>
      <c r="S145" s="5">
        <f>IF($J145="","",INDEX(lista_dias,WEEKDAY($J145,2)))</f>
        <v/>
      </c>
      <c r="T145" s="5">
        <f>IF($J145="","",IFERROR(INDEX('CALENDARIO'!$C$15:$C$214,MATCH(TEXT($J145,"yyyy-mm-dd")&amp;"|"&amp;$X145&amp;"|"&amp;$Y145,'CALENDARIO'!$G$15:$G$214,0)),IFERROR(INDEX('CALENDARIO'!$C$15:$C$214,MATCH(TEXT($J145,"yyyy-mm-dd")&amp;"|"&amp;$X145&amp;"|",'CALENDARIO'!$G$15:$G$214,0)),IFERROR(INDEX('CALENDARIO'!$C$15:$C$214,MATCH(TEXT($J145,"yyyy-mm-dd")&amp;"||",'CALENDARIO'!$G$15:$G$214,0)),INDEX(patronHabil,WEEKDAY($J145,2))))))</f>
        <v/>
      </c>
      <c r="U145" s="5">
        <f>IF($I145="","",IFERROR(INDEX('CAT_TIPOS_OT'!$C$4:$C$8,MATCH($I145,'CAT_TIPOS_OT'!$A$4:$A$8,0)),"sin_clasificar"))</f>
        <v/>
      </c>
      <c r="V145" s="5">
        <f>IF($I145="","",IF(IFERROR(INDEX('CAT_TIPOS_OT'!$D$4:$D$8,MATCH($I145,'CAT_TIPOS_OT'!$A$4:$A$8,0)),"SIN CLASIFICAR")="","SIN CLASIFICAR",IFERROR(INDEX('CAT_TIPOS_OT'!$D$4:$D$8,MATCH($I145,'CAT_TIPOS_OT'!$A$4:$A$8,0)),"SIN CLASIFICAR")))</f>
        <v/>
      </c>
      <c r="W145" s="5">
        <f>IF($F145="","",IFERROR(INDEX('CAT_CENTROS_COSTO'!$F$4:$F$13,MATCH($F145,'CAT_CENTROS_COSTO'!$A$4:$A$13,0)),"(sin catálogo)"))</f>
        <v/>
      </c>
      <c r="X145" s="5">
        <f>IF($F145="","",IFERROR(INDEX('CAT_CENTROS_COSTO'!$D$4:$D$13,MATCH($F145,'CAT_CENTROS_COSTO'!$A$4:$A$13,0)),"(sin catálogo)"))</f>
        <v/>
      </c>
      <c r="Y145" s="5">
        <f>IF($F145="","",IF((IFERROR(INDEX('CAT_CENTROS_COSTO'!$E$4:$E$13,MATCH($F145,'CAT_CENTROS_COSTO'!$A$4:$A$13,0)),""))&lt;&gt;"",IFERROR(INDEX('CAT_CENTROS_COSTO'!$E$4:$E$13,MATCH($F145,'CAT_CENTROS_COSTO'!$A$4:$A$13,0)),""),$X145))</f>
        <v/>
      </c>
      <c r="Z145" s="5">
        <f>IF($F145="","",IFERROR(INDEX('CAT_CENTROS_COSTO'!$G$4:$G$13,MATCH($F145,'CAT_CENTROS_COSTO'!$A$4:$A$13,0)),"(sin catálogo)"))</f>
        <v/>
      </c>
      <c r="AA145" s="5">
        <f>IF($G145="","",IFERROR(INDEX('CAT_PUESTOS'!$B$4:$B$8,MATCH($G145,'CAT_PUESTOS'!$A$4:$A$8,0)),"(sin catálogo)"))</f>
        <v/>
      </c>
      <c r="AB145" s="5">
        <f>IF($H145="","",IFERROR(INDEX('CAT_ACTIVIDADES'!$B$4:$B$11,MATCH($H145,'CAT_ACTIVIDADES'!$A$4:$A$11,0)),"(sin catálogo)"))</f>
        <v/>
      </c>
      <c r="AC145" s="20">
        <f>IF($J145="","",TODAY()-$J145)</f>
        <v/>
      </c>
      <c r="AD145" s="20">
        <f>IF($J145="","",IF($J145&lt;=TODAY(),COUNTIFS(cal_fechas,"&gt;="&amp;$J145,cal_fechas,"&lt;"&amp;TODAY(),cal_habil,"sí"),-COUNTIFS(cal_fechas,"&gt;="&amp;TODAY(),cal_fechas,"&lt;"&amp;$J145,cal_habil,"sí")))</f>
        <v/>
      </c>
      <c r="AE145" s="5">
        <f>IF($AD145="","",IF($AD145&lt;0,"FUTURO",IF($AD145&gt;p_dias_backlog_max,"BACKLOG","MES CORRIENTE")))</f>
        <v/>
      </c>
      <c r="AF145" s="5">
        <f>IF($AD145="",FALSE,AND($AD145&gt;p_dias_backlog_min,$AD145&lt;=p_dias_backlog_max))</f>
        <v/>
      </c>
      <c r="AG145" s="4" t="inlineStr"/>
      <c r="AH145" s="5">
        <f>IF($AG145="","",IF((IFERROR(INDEX('ASIGNACIONES'!$J$4:$J$451,MATCH($O145&amp;"|"&amp;$S145&amp;"|"&amp;$AG145,'ASIGNACIONES'!$N$4:$N$451,0)),""))=0,"",IFERROR(INDEX('ASIGNACIONES'!$J$4:$J$451,MATCH($O145&amp;"|"&amp;$S145&amp;"|"&amp;$AG145,'ASIGNACIONES'!$N$4:$N$451,0)),"")))</f>
        <v/>
      </c>
      <c r="AI145" s="25">
        <f>IF($AG145="","",SUMIFS('ORDENES'!$M$4:$M$1203,'ORDENES'!$AG$4:$AG$1203,$AG145,'ORDENES'!$O$4:$O$1203,$O145,'ORDENES'!$S$4:$S$1203,$S145))</f>
        <v/>
      </c>
      <c r="AJ145" s="25">
        <f>IF($AI145="","",p_factor_productividad*IFERROR(INDEX('ASIGNACIONES'!$M$4:$M$451,MATCH($O145&amp;"|"&amp;$S145&amp;"|"&amp;$AG145,'ASIGNACIONES'!$N$4:$N$451,0)),0)-$AI145)</f>
        <v/>
      </c>
      <c r="AK145" s="18">
        <f>IF($A145="","",IFERROR(INDEX('2_IMPORTAR_EJECUCION'!$F$9:$F$1208,MATCH($AT145,'2_IMPORTAR_EJECUCION'!$J$9:$J$1208,0)),0))</f>
        <v/>
      </c>
      <c r="AL145" s="18">
        <f>IF($A145="","",MAX(0,IFERROR(INDEX('2_IMPORTAR_EJECUCION'!$H$9:$H$1208,MATCH($AT145,'2_IMPORTAR_EJECUCION'!$J$9:$J$1208,0)),0)-$AK145))</f>
        <v/>
      </c>
      <c r="AM145" s="18">
        <f>IF($A145="","",$AK145+$AL145)</f>
        <v/>
      </c>
      <c r="AN145" s="5">
        <f>IF($A145="","",IF(OR((IFERROR(INDEX('CAT_ACTIVIDADES'!$D$4:$D$11,MATCH($H145,'CAT_ACTIVIDADES'!$A$4:$A$11,0)),""))=0,(IFERROR(INDEX('CAT_ACTIVIDADES'!$D$4:$D$11,MATCH($H145,'CAT_ACTIVIDADES'!$A$4:$A$11,0)),""))=""),"SIN CLASIFICAR",IFERROR(INDEX('CAT_ACTIVIDADES'!$D$4:$D$11,MATCH($H145,'CAT_ACTIVIDADES'!$A$4:$A$11,0)),"")))</f>
        <v/>
      </c>
      <c r="AO145" s="4" t="inlineStr"/>
      <c r="AP145" s="4" t="inlineStr"/>
      <c r="AQ145" s="4" t="inlineStr"/>
      <c r="AR145" s="5">
        <f>IF($AQ145="","",HYPERLINK(p_ruta_base_checklists&amp;$AQ145,"abrir"))</f>
        <v/>
      </c>
      <c r="AS145" s="4" t="inlineStr"/>
      <c r="AT145" s="5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22" t="n">
        <v>46080</v>
      </c>
      <c r="K146" s="5" t="n">
        <v>8</v>
      </c>
      <c r="L146" s="18" t="n">
        <v>320</v>
      </c>
      <c r="M146" s="5">
        <f>IF($A146="","",IFERROR(INDEX('AJUSTES'!$B$4:$B$303,MATCH($AT146,'AJUSTES'!$A$4:$A$303,0)),IF($K146="","",$K146)))</f>
        <v/>
      </c>
      <c r="N146" s="5">
        <f>IF($A146="","",IFERROR(INDEX('CAT_ESTADOS_ERP'!$B$4:$B$7,MATCH(IFERROR(INDEX('2_IMPORTAR_EJECUCION'!$C$9:$C$1208,MATCH($AT146,'2_IMPORTAR_EJECUCION'!$J$9:$J$1208,0)),""),'CAT_ESTADOS_ERP'!$A$4:$A$7,0)),"Pendiente"))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IF($J146="","",$P146&amp;"-"&amp;TEXT($Q146,"00"))</f>
        <v/>
      </c>
      <c r="S146" s="5">
        <f>IF($J146="","",INDEX(lista_dias,WEEKDAY($J146,2)))</f>
        <v/>
      </c>
      <c r="T146" s="5">
        <f>IF($J146="","",IFERROR(INDEX('CALENDARIO'!$C$15:$C$214,MATCH(TEXT($J146,"yyyy-mm-dd")&amp;"|"&amp;$X146&amp;"|"&amp;$Y146,'CALENDARIO'!$G$15:$G$214,0)),IFERROR(INDEX('CALENDARIO'!$C$15:$C$214,MATCH(TEXT($J146,"yyyy-mm-dd")&amp;"|"&amp;$X146&amp;"|",'CALENDARIO'!$G$15:$G$214,0)),IFERROR(INDEX('CALENDARIO'!$C$15:$C$214,MATCH(TEXT($J146,"yyyy-mm-dd")&amp;"||",'CALENDARIO'!$G$15:$G$214,0)),INDEX(patronHabil,WEEKDAY($J146,2))))))</f>
        <v/>
      </c>
      <c r="U146" s="5">
        <f>IF($I146="","",IFERROR(INDEX('CAT_TIPOS_OT'!$C$4:$C$8,MATCH($I146,'CAT_TIPOS_OT'!$A$4:$A$8,0)),"sin_clasificar"))</f>
        <v/>
      </c>
      <c r="V146" s="5">
        <f>IF($I146="","",IF(IFERROR(INDEX('CAT_TIPOS_OT'!$D$4:$D$8,MATCH($I146,'CAT_TIPOS_OT'!$A$4:$A$8,0)),"SIN CLASIFICAR")="","SIN CLASIFICAR",IFERROR(INDEX('CAT_TIPOS_OT'!$D$4:$D$8,MATCH($I146,'CAT_TIPOS_OT'!$A$4:$A$8,0)),"SIN CLASIFICAR")))</f>
        <v/>
      </c>
      <c r="W146" s="5">
        <f>IF($F146="","",IFERROR(INDEX('CAT_CENTROS_COSTO'!$F$4:$F$13,MATCH($F146,'CAT_CENTROS_COSTO'!$A$4:$A$13,0)),"(sin catálogo)"))</f>
        <v/>
      </c>
      <c r="X146" s="5">
        <f>IF($F146="","",IFERROR(INDEX('CAT_CENTROS_COSTO'!$D$4:$D$13,MATCH($F146,'CAT_CENTROS_COSTO'!$A$4:$A$13,0)),"(sin catálogo)"))</f>
        <v/>
      </c>
      <c r="Y146" s="5">
        <f>IF($F146="","",IF((IFERROR(INDEX('CAT_CENTROS_COSTO'!$E$4:$E$13,MATCH($F146,'CAT_CENTROS_COSTO'!$A$4:$A$13,0)),""))&lt;&gt;"",IFERROR(INDEX('CAT_CENTROS_COSTO'!$E$4:$E$13,MATCH($F146,'CAT_CENTROS_COSTO'!$A$4:$A$13,0)),""),$X146))</f>
        <v/>
      </c>
      <c r="Z146" s="5">
        <f>IF($F146="","",IFERROR(INDEX('CAT_CENTROS_COSTO'!$G$4:$G$13,MATCH($F146,'CAT_CENTROS_COSTO'!$A$4:$A$13,0)),"(sin catálogo)"))</f>
        <v/>
      </c>
      <c r="AA146" s="5">
        <f>IF($G146="","",IFERROR(INDEX('CAT_PUESTOS'!$B$4:$B$8,MATCH($G146,'CAT_PUESTOS'!$A$4:$A$8,0)),"(sin catálogo)"))</f>
        <v/>
      </c>
      <c r="AB146" s="5">
        <f>IF($H146="","",IFERROR(INDEX('CAT_ACTIVIDADES'!$B$4:$B$11,MATCH($H146,'CAT_ACTIVIDADES'!$A$4:$A$11,0)),"(sin catálogo)"))</f>
        <v/>
      </c>
      <c r="AC146" s="20">
        <f>IF($J146="","",TODAY()-$J146)</f>
        <v/>
      </c>
      <c r="AD146" s="20">
        <f>IF($J146="","",IF($J146&lt;=TODAY(),COUNTIFS(cal_fechas,"&gt;="&amp;$J146,cal_fechas,"&lt;"&amp;TODAY(),cal_habil,"sí"),-COUNTIFS(cal_fechas,"&gt;="&amp;TODAY(),cal_fechas,"&lt;"&amp;$J146,cal_habil,"sí")))</f>
        <v/>
      </c>
      <c r="AE146" s="5">
        <f>IF($AD146="","",IF($AD146&lt;0,"FUTURO",IF($AD146&gt;p_dias_backlog_max,"BACKLOG","MES CORRIENTE")))</f>
        <v/>
      </c>
      <c r="AF146" s="5">
        <f>IF($AD146="",FALSE,AND($AD146&gt;p_dias_backlog_min,$AD146&lt;=p_dias_backlog_max))</f>
        <v/>
      </c>
      <c r="AG146" s="4" t="inlineStr"/>
      <c r="AH146" s="5">
        <f>IF($AG146="","",IF((IFERROR(INDEX('ASIGNACIONES'!$J$4:$J$451,MATCH($O146&amp;"|"&amp;$S146&amp;"|"&amp;$AG146,'ASIGNACIONES'!$N$4:$N$451,0)),""))=0,"",IFERROR(INDEX('ASIGNACIONES'!$J$4:$J$451,MATCH($O146&amp;"|"&amp;$S146&amp;"|"&amp;$AG146,'ASIGNACIONES'!$N$4:$N$451,0)),"")))</f>
        <v/>
      </c>
      <c r="AI146" s="25">
        <f>IF($AG146="","",SUMIFS('ORDENES'!$M$4:$M$1203,'ORDENES'!$AG$4:$AG$1203,$AG146,'ORDENES'!$O$4:$O$1203,$O146,'ORDENES'!$S$4:$S$1203,$S146))</f>
        <v/>
      </c>
      <c r="AJ146" s="25">
        <f>IF($AI146="","",p_factor_productividad*IFERROR(INDEX('ASIGNACIONES'!$M$4:$M$451,MATCH($O146&amp;"|"&amp;$S146&amp;"|"&amp;$AG146,'ASIGNACIONES'!$N$4:$N$451,0)),0)-$AI146)</f>
        <v/>
      </c>
      <c r="AK146" s="18">
        <f>IF($A146="","",IFERROR(INDEX('2_IMPORTAR_EJECUCION'!$F$9:$F$1208,MATCH($AT146,'2_IMPORTAR_EJECUCION'!$J$9:$J$1208,0)),0))</f>
        <v/>
      </c>
      <c r="AL146" s="18">
        <f>IF($A146="","",MAX(0,IFERROR(INDEX('2_IMPORTAR_EJECUCION'!$H$9:$H$1208,MATCH($AT146,'2_IMPORTAR_EJECUCION'!$J$9:$J$1208,0)),0)-$AK146))</f>
        <v/>
      </c>
      <c r="AM146" s="18">
        <f>IF($A146="","",$AK146+$AL146)</f>
        <v/>
      </c>
      <c r="AN146" s="5">
        <f>IF($A146="","",IF(OR((IFERROR(INDEX('CAT_ACTIVIDADES'!$D$4:$D$11,MATCH($H146,'CAT_ACTIVIDADES'!$A$4:$A$11,0)),""))=0,(IFERROR(INDEX('CAT_ACTIVIDADES'!$D$4:$D$11,MATCH($H146,'CAT_ACTIVIDADES'!$A$4:$A$11,0)),""))=""),"SIN CLASIFICAR",IFERROR(INDEX('CAT_ACTIVIDADES'!$D$4:$D$11,MATCH($H146,'CAT_ACTIVIDADES'!$A$4:$A$11,0)),"")))</f>
        <v/>
      </c>
      <c r="AO146" s="4" t="inlineStr"/>
      <c r="AP146" s="4" t="inlineStr"/>
      <c r="AQ146" s="4" t="inlineStr"/>
      <c r="AR146" s="5">
        <f>IF($AQ146="","",HYPERLINK(p_ruta_base_checklists&amp;$AQ146,"abrir"))</f>
        <v/>
      </c>
      <c r="AS146" s="4" t="inlineStr"/>
      <c r="AT146" s="5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22" t="n">
        <v>46080</v>
      </c>
      <c r="K147" s="5" t="n">
        <v>4</v>
      </c>
      <c r="L147" s="18" t="n">
        <v>100</v>
      </c>
      <c r="M147" s="5">
        <f>IF($A147="","",IFERROR(INDEX('AJUSTES'!$B$4:$B$303,MATCH($AT147,'AJUSTES'!$A$4:$A$303,0)),IF($K147="","",$K147)))</f>
        <v/>
      </c>
      <c r="N147" s="5">
        <f>IF($A147="","",IFERROR(INDEX('CAT_ESTADOS_ERP'!$B$4:$B$7,MATCH(IFERROR(INDEX('2_IMPORTAR_EJECUCION'!$C$9:$C$1208,MATCH($AT147,'2_IMPORTAR_EJECUCION'!$J$9:$J$1208,0)),""),'CAT_ESTADOS_ERP'!$A$4:$A$7,0)),"Pendiente"))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IF($J147="","",$P147&amp;"-"&amp;TEXT($Q147,"00"))</f>
        <v/>
      </c>
      <c r="S147" s="5">
        <f>IF($J147="","",INDEX(lista_dias,WEEKDAY($J147,2)))</f>
        <v/>
      </c>
      <c r="T147" s="5">
        <f>IF($J147="","",IFERROR(INDEX('CALENDARIO'!$C$15:$C$214,MATCH(TEXT($J147,"yyyy-mm-dd")&amp;"|"&amp;$X147&amp;"|"&amp;$Y147,'CALENDARIO'!$G$15:$G$214,0)),IFERROR(INDEX('CALENDARIO'!$C$15:$C$214,MATCH(TEXT($J147,"yyyy-mm-dd")&amp;"|"&amp;$X147&amp;"|",'CALENDARIO'!$G$15:$G$214,0)),IFERROR(INDEX('CALENDARIO'!$C$15:$C$214,MATCH(TEXT($J147,"yyyy-mm-dd")&amp;"||",'CALENDARIO'!$G$15:$G$214,0)),INDEX(patronHabil,WEEKDAY($J147,2))))))</f>
        <v/>
      </c>
      <c r="U147" s="5">
        <f>IF($I147="","",IFERROR(INDEX('CAT_TIPOS_OT'!$C$4:$C$8,MATCH($I147,'CAT_TIPOS_OT'!$A$4:$A$8,0)),"sin_clasificar"))</f>
        <v/>
      </c>
      <c r="V147" s="5">
        <f>IF($I147="","",IF(IFERROR(INDEX('CAT_TIPOS_OT'!$D$4:$D$8,MATCH($I147,'CAT_TIPOS_OT'!$A$4:$A$8,0)),"SIN CLASIFICAR")="","SIN CLASIFICAR",IFERROR(INDEX('CAT_TIPOS_OT'!$D$4:$D$8,MATCH($I147,'CAT_TIPOS_OT'!$A$4:$A$8,0)),"SIN CLASIFICAR")))</f>
        <v/>
      </c>
      <c r="W147" s="5">
        <f>IF($F147="","",IFERROR(INDEX('CAT_CENTROS_COSTO'!$F$4:$F$13,MATCH($F147,'CAT_CENTROS_COSTO'!$A$4:$A$13,0)),"(sin catálogo)"))</f>
        <v/>
      </c>
      <c r="X147" s="5">
        <f>IF($F147="","",IFERROR(INDEX('CAT_CENTROS_COSTO'!$D$4:$D$13,MATCH($F147,'CAT_CENTROS_COSTO'!$A$4:$A$13,0)),"(sin catálogo)"))</f>
        <v/>
      </c>
      <c r="Y147" s="5">
        <f>IF($F147="","",IF((IFERROR(INDEX('CAT_CENTROS_COSTO'!$E$4:$E$13,MATCH($F147,'CAT_CENTROS_COSTO'!$A$4:$A$13,0)),""))&lt;&gt;"",IFERROR(INDEX('CAT_CENTROS_COSTO'!$E$4:$E$13,MATCH($F147,'CAT_CENTROS_COSTO'!$A$4:$A$13,0)),""),$X147))</f>
        <v/>
      </c>
      <c r="Z147" s="5">
        <f>IF($F147="","",IFERROR(INDEX('CAT_CENTROS_COSTO'!$G$4:$G$13,MATCH($F147,'CAT_CENTROS_COSTO'!$A$4:$A$13,0)),"(sin catálogo)"))</f>
        <v/>
      </c>
      <c r="AA147" s="5">
        <f>IF($G147="","",IFERROR(INDEX('CAT_PUESTOS'!$B$4:$B$8,MATCH($G147,'CAT_PUESTOS'!$A$4:$A$8,0)),"(sin catálogo)"))</f>
        <v/>
      </c>
      <c r="AB147" s="5">
        <f>IF($H147="","",IFERROR(INDEX('CAT_ACTIVIDADES'!$B$4:$B$11,MATCH($H147,'CAT_ACTIVIDADES'!$A$4:$A$11,0)),"(sin catálogo)"))</f>
        <v/>
      </c>
      <c r="AC147" s="20">
        <f>IF($J147="","",TODAY()-$J147)</f>
        <v/>
      </c>
      <c r="AD147" s="20">
        <f>IF($J147="","",IF($J147&lt;=TODAY(),COUNTIFS(cal_fechas,"&gt;="&amp;$J147,cal_fechas,"&lt;"&amp;TODAY(),cal_habil,"sí"),-COUNTIFS(cal_fechas,"&gt;="&amp;TODAY(),cal_fechas,"&lt;"&amp;$J147,cal_habil,"sí")))</f>
        <v/>
      </c>
      <c r="AE147" s="5">
        <f>IF($AD147="","",IF($AD147&lt;0,"FUTURO",IF($AD147&gt;p_dias_backlog_max,"BACKLOG","MES CORRIENTE")))</f>
        <v/>
      </c>
      <c r="AF147" s="5">
        <f>IF($AD147="",FALSE,AND($AD147&gt;p_dias_backlog_min,$AD147&lt;=p_dias_backlog_max))</f>
        <v/>
      </c>
      <c r="AG147" s="4" t="inlineStr"/>
      <c r="AH147" s="5">
        <f>IF($AG147="","",IF((IFERROR(INDEX('ASIGNACIONES'!$J$4:$J$451,MATCH($O147&amp;"|"&amp;$S147&amp;"|"&amp;$AG147,'ASIGNACIONES'!$N$4:$N$451,0)),""))=0,"",IFERROR(INDEX('ASIGNACIONES'!$J$4:$J$451,MATCH($O147&amp;"|"&amp;$S147&amp;"|"&amp;$AG147,'ASIGNACIONES'!$N$4:$N$451,0)),"")))</f>
        <v/>
      </c>
      <c r="AI147" s="25">
        <f>IF($AG147="","",SUMIFS('ORDENES'!$M$4:$M$1203,'ORDENES'!$AG$4:$AG$1203,$AG147,'ORDENES'!$O$4:$O$1203,$O147,'ORDENES'!$S$4:$S$1203,$S147))</f>
        <v/>
      </c>
      <c r="AJ147" s="25">
        <f>IF($AI147="","",p_factor_productividad*IFERROR(INDEX('ASIGNACIONES'!$M$4:$M$451,MATCH($O147&amp;"|"&amp;$S147&amp;"|"&amp;$AG147,'ASIGNACIONES'!$N$4:$N$451,0)),0)-$AI147)</f>
        <v/>
      </c>
      <c r="AK147" s="18">
        <f>IF($A147="","",IFERROR(INDEX('2_IMPORTAR_EJECUCION'!$F$9:$F$1208,MATCH($AT147,'2_IMPORTAR_EJECUCION'!$J$9:$J$1208,0)),0))</f>
        <v/>
      </c>
      <c r="AL147" s="18">
        <f>IF($A147="","",MAX(0,IFERROR(INDEX('2_IMPORTAR_EJECUCION'!$H$9:$H$1208,MATCH($AT147,'2_IMPORTAR_EJECUCION'!$J$9:$J$1208,0)),0)-$AK147))</f>
        <v/>
      </c>
      <c r="AM147" s="18">
        <f>IF($A147="","",$AK147+$AL147)</f>
        <v/>
      </c>
      <c r="AN147" s="5">
        <f>IF($A147="","",IF(OR((IFERROR(INDEX('CAT_ACTIVIDADES'!$D$4:$D$11,MATCH($H147,'CAT_ACTIVIDADES'!$A$4:$A$11,0)),""))=0,(IFERROR(INDEX('CAT_ACTIVIDADES'!$D$4:$D$11,MATCH($H147,'CAT_ACTIVIDADES'!$A$4:$A$11,0)),""))=""),"SIN CLASIFICAR",IFERROR(INDEX('CAT_ACTIVIDADES'!$D$4:$D$11,MATCH($H147,'CAT_ACTIVIDADES'!$A$4:$A$11,0)),"")))</f>
        <v/>
      </c>
      <c r="AO147" s="4" t="inlineStr"/>
      <c r="AP147" s="4" t="inlineStr"/>
      <c r="AQ147" s="4" t="inlineStr"/>
      <c r="AR147" s="5">
        <f>IF($AQ147="","",HYPERLINK(p_ruta_base_checklists&amp;$AQ147,"abrir"))</f>
        <v/>
      </c>
      <c r="AS147" s="4" t="inlineStr"/>
      <c r="AT147" s="5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22" t="n">
        <v>46190</v>
      </c>
      <c r="K148" s="5" t="n">
        <v>4</v>
      </c>
      <c r="L148" s="18" t="n">
        <v>100</v>
      </c>
      <c r="M148" s="5">
        <f>IF($A148="","",IFERROR(INDEX('AJUSTES'!$B$4:$B$303,MATCH($AT148,'AJUSTES'!$A$4:$A$303,0)),IF($K148="","",$K148)))</f>
        <v/>
      </c>
      <c r="N148" s="5">
        <f>IF($A148="","",IFERROR(INDEX('CAT_ESTADOS_ERP'!$B$4:$B$7,MATCH(IFERROR(INDEX('2_IMPORTAR_EJECUCION'!$C$9:$C$1208,MATCH($AT148,'2_IMPORTAR_EJECUCION'!$J$9:$J$1208,0)),""),'CAT_ESTADOS_ERP'!$A$4:$A$7,0)),"Pendiente"))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IF($J148="","",$P148&amp;"-"&amp;TEXT($Q148,"00"))</f>
        <v/>
      </c>
      <c r="S148" s="5">
        <f>IF($J148="","",INDEX(lista_dias,WEEKDAY($J148,2)))</f>
        <v/>
      </c>
      <c r="T148" s="5">
        <f>IF($J148="","",IFERROR(INDEX('CALENDARIO'!$C$15:$C$214,MATCH(TEXT($J148,"yyyy-mm-dd")&amp;"|"&amp;$X148&amp;"|"&amp;$Y148,'CALENDARIO'!$G$15:$G$214,0)),IFERROR(INDEX('CALENDARIO'!$C$15:$C$214,MATCH(TEXT($J148,"yyyy-mm-dd")&amp;"|"&amp;$X148&amp;"|",'CALENDARIO'!$G$15:$G$214,0)),IFERROR(INDEX('CALENDARIO'!$C$15:$C$214,MATCH(TEXT($J148,"yyyy-mm-dd")&amp;"||",'CALENDARIO'!$G$15:$G$214,0)),INDEX(patronHabil,WEEKDAY($J148,2))))))</f>
        <v/>
      </c>
      <c r="U148" s="5">
        <f>IF($I148="","",IFERROR(INDEX('CAT_TIPOS_OT'!$C$4:$C$8,MATCH($I148,'CAT_TIPOS_OT'!$A$4:$A$8,0)),"sin_clasificar"))</f>
        <v/>
      </c>
      <c r="V148" s="5">
        <f>IF($I148="","",IF(IFERROR(INDEX('CAT_TIPOS_OT'!$D$4:$D$8,MATCH($I148,'CAT_TIPOS_OT'!$A$4:$A$8,0)),"SIN CLASIFICAR")="","SIN CLASIFICAR",IFERROR(INDEX('CAT_TIPOS_OT'!$D$4:$D$8,MATCH($I148,'CAT_TIPOS_OT'!$A$4:$A$8,0)),"SIN CLASIFICAR")))</f>
        <v/>
      </c>
      <c r="W148" s="5">
        <f>IF($F148="","",IFERROR(INDEX('CAT_CENTROS_COSTO'!$F$4:$F$13,MATCH($F148,'CAT_CENTROS_COSTO'!$A$4:$A$13,0)),"(sin catálogo)"))</f>
        <v/>
      </c>
      <c r="X148" s="5">
        <f>IF($F148="","",IFERROR(INDEX('CAT_CENTROS_COSTO'!$D$4:$D$13,MATCH($F148,'CAT_CENTROS_COSTO'!$A$4:$A$13,0)),"(sin catálogo)"))</f>
        <v/>
      </c>
      <c r="Y148" s="5">
        <f>IF($F148="","",IF((IFERROR(INDEX('CAT_CENTROS_COSTO'!$E$4:$E$13,MATCH($F148,'CAT_CENTROS_COSTO'!$A$4:$A$13,0)),""))&lt;&gt;"",IFERROR(INDEX('CAT_CENTROS_COSTO'!$E$4:$E$13,MATCH($F148,'CAT_CENTROS_COSTO'!$A$4:$A$13,0)),""),$X148))</f>
        <v/>
      </c>
      <c r="Z148" s="5">
        <f>IF($F148="","",IFERROR(INDEX('CAT_CENTROS_COSTO'!$G$4:$G$13,MATCH($F148,'CAT_CENTROS_COSTO'!$A$4:$A$13,0)),"(sin catálogo)"))</f>
        <v/>
      </c>
      <c r="AA148" s="5">
        <f>IF($G148="","",IFERROR(INDEX('CAT_PUESTOS'!$B$4:$B$8,MATCH($G148,'CAT_PUESTOS'!$A$4:$A$8,0)),"(sin catálogo)"))</f>
        <v/>
      </c>
      <c r="AB148" s="5">
        <f>IF($H148="","",IFERROR(INDEX('CAT_ACTIVIDADES'!$B$4:$B$11,MATCH($H148,'CAT_ACTIVIDADES'!$A$4:$A$11,0)),"(sin catálogo)"))</f>
        <v/>
      </c>
      <c r="AC148" s="20">
        <f>IF($J148="","",TODAY()-$J148)</f>
        <v/>
      </c>
      <c r="AD148" s="20">
        <f>IF($J148="","",IF($J148&lt;=TODAY(),COUNTIFS(cal_fechas,"&gt;="&amp;$J148,cal_fechas,"&lt;"&amp;TODAY(),cal_habil,"sí"),-COUNTIFS(cal_fechas,"&gt;="&amp;TODAY(),cal_fechas,"&lt;"&amp;$J148,cal_habil,"sí")))</f>
        <v/>
      </c>
      <c r="AE148" s="5">
        <f>IF($AD148="","",IF($AD148&lt;0,"FUTURO",IF($AD148&gt;p_dias_backlog_max,"BACKLOG","MES CORRIENTE")))</f>
        <v/>
      </c>
      <c r="AF148" s="5">
        <f>IF($AD148="",FALSE,AND($AD148&gt;p_dias_backlog_min,$AD148&lt;=p_dias_backlog_max))</f>
        <v/>
      </c>
      <c r="AG148" s="4" t="inlineStr"/>
      <c r="AH148" s="5">
        <f>IF($AG148="","",IF((IFERROR(INDEX('ASIGNACIONES'!$J$4:$J$451,MATCH($O148&amp;"|"&amp;$S148&amp;"|"&amp;$AG148,'ASIGNACIONES'!$N$4:$N$451,0)),""))=0,"",IFERROR(INDEX('ASIGNACIONES'!$J$4:$J$451,MATCH($O148&amp;"|"&amp;$S148&amp;"|"&amp;$AG148,'ASIGNACIONES'!$N$4:$N$451,0)),"")))</f>
        <v/>
      </c>
      <c r="AI148" s="25">
        <f>IF($AG148="","",SUMIFS('ORDENES'!$M$4:$M$1203,'ORDENES'!$AG$4:$AG$1203,$AG148,'ORDENES'!$O$4:$O$1203,$O148,'ORDENES'!$S$4:$S$1203,$S148))</f>
        <v/>
      </c>
      <c r="AJ148" s="25">
        <f>IF($AI148="","",p_factor_productividad*IFERROR(INDEX('ASIGNACIONES'!$M$4:$M$451,MATCH($O148&amp;"|"&amp;$S148&amp;"|"&amp;$AG148,'ASIGNACIONES'!$N$4:$N$451,0)),0)-$AI148)</f>
        <v/>
      </c>
      <c r="AK148" s="18">
        <f>IF($A148="","",IFERROR(INDEX('2_IMPORTAR_EJECUCION'!$F$9:$F$1208,MATCH($AT148,'2_IMPORTAR_EJECUCION'!$J$9:$J$1208,0)),0))</f>
        <v/>
      </c>
      <c r="AL148" s="18">
        <f>IF($A148="","",MAX(0,IFERROR(INDEX('2_IMPORTAR_EJECUCION'!$H$9:$H$1208,MATCH($AT148,'2_IMPORTAR_EJECUCION'!$J$9:$J$1208,0)),0)-$AK148))</f>
        <v/>
      </c>
      <c r="AM148" s="18">
        <f>IF($A148="","",$AK148+$AL148)</f>
        <v/>
      </c>
      <c r="AN148" s="5">
        <f>IF($A148="","",IF(OR((IFERROR(INDEX('CAT_ACTIVIDADES'!$D$4:$D$11,MATCH($H148,'CAT_ACTIVIDADES'!$A$4:$A$11,0)),""))=0,(IFERROR(INDEX('CAT_ACTIVIDADES'!$D$4:$D$11,MATCH($H148,'CAT_ACTIVIDADES'!$A$4:$A$11,0)),""))=""),"SIN CLASIFICAR",IFERROR(INDEX('CAT_ACTIVIDADES'!$D$4:$D$11,MATCH($H148,'CAT_ACTIVIDADES'!$A$4:$A$11,0)),"")))</f>
        <v/>
      </c>
      <c r="AO148" s="4" t="inlineStr"/>
      <c r="AP148" s="4" t="inlineStr"/>
      <c r="AQ148" s="4" t="inlineStr"/>
      <c r="AR148" s="5">
        <f>IF($AQ148="","",HYPERLINK(p_ruta_base_checklists&amp;$AQ148,"abrir"))</f>
        <v/>
      </c>
      <c r="AS148" s="4" t="inlineStr"/>
      <c r="AT148" s="5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22" t="n">
        <v>46183</v>
      </c>
      <c r="K149" s="5" t="n">
        <v>6</v>
      </c>
      <c r="L149" s="18" t="n">
        <v>240</v>
      </c>
      <c r="M149" s="5">
        <f>IF($A149="","",IFERROR(INDEX('AJUSTES'!$B$4:$B$303,MATCH($AT149,'AJUSTES'!$A$4:$A$303,0)),IF($K149="","",$K149)))</f>
        <v/>
      </c>
      <c r="N149" s="5">
        <f>IF($A149="","",IFERROR(INDEX('CAT_ESTADOS_ERP'!$B$4:$B$7,MATCH(IFERROR(INDEX('2_IMPORTAR_EJECUCION'!$C$9:$C$1208,MATCH($AT149,'2_IMPORTAR_EJECUCION'!$J$9:$J$1208,0)),""),'CAT_ESTADOS_ERP'!$A$4:$A$7,0)),"Pendiente"))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IF($J149="","",$P149&amp;"-"&amp;TEXT($Q149,"00"))</f>
        <v/>
      </c>
      <c r="S149" s="5">
        <f>IF($J149="","",INDEX(lista_dias,WEEKDAY($J149,2)))</f>
        <v/>
      </c>
      <c r="T149" s="5">
        <f>IF($J149="","",IFERROR(INDEX('CALENDARIO'!$C$15:$C$214,MATCH(TEXT($J149,"yyyy-mm-dd")&amp;"|"&amp;$X149&amp;"|"&amp;$Y149,'CALENDARIO'!$G$15:$G$214,0)),IFERROR(INDEX('CALENDARIO'!$C$15:$C$214,MATCH(TEXT($J149,"yyyy-mm-dd")&amp;"|"&amp;$X149&amp;"|",'CALENDARIO'!$G$15:$G$214,0)),IFERROR(INDEX('CALENDARIO'!$C$15:$C$214,MATCH(TEXT($J149,"yyyy-mm-dd")&amp;"||",'CALENDARIO'!$G$15:$G$214,0)),INDEX(patronHabil,WEEKDAY($J149,2))))))</f>
        <v/>
      </c>
      <c r="U149" s="5">
        <f>IF($I149="","",IFERROR(INDEX('CAT_TIPOS_OT'!$C$4:$C$8,MATCH($I149,'CAT_TIPOS_OT'!$A$4:$A$8,0)),"sin_clasificar"))</f>
        <v/>
      </c>
      <c r="V149" s="5">
        <f>IF($I149="","",IF(IFERROR(INDEX('CAT_TIPOS_OT'!$D$4:$D$8,MATCH($I149,'CAT_TIPOS_OT'!$A$4:$A$8,0)),"SIN CLASIFICAR")="","SIN CLASIFICAR",IFERROR(INDEX('CAT_TIPOS_OT'!$D$4:$D$8,MATCH($I149,'CAT_TIPOS_OT'!$A$4:$A$8,0)),"SIN CLASIFICAR")))</f>
        <v/>
      </c>
      <c r="W149" s="5">
        <f>IF($F149="","",IFERROR(INDEX('CAT_CENTROS_COSTO'!$F$4:$F$13,MATCH($F149,'CAT_CENTROS_COSTO'!$A$4:$A$13,0)),"(sin catálogo)"))</f>
        <v/>
      </c>
      <c r="X149" s="5">
        <f>IF($F149="","",IFERROR(INDEX('CAT_CENTROS_COSTO'!$D$4:$D$13,MATCH($F149,'CAT_CENTROS_COSTO'!$A$4:$A$13,0)),"(sin catálogo)"))</f>
        <v/>
      </c>
      <c r="Y149" s="5">
        <f>IF($F149="","",IF((IFERROR(INDEX('CAT_CENTROS_COSTO'!$E$4:$E$13,MATCH($F149,'CAT_CENTROS_COSTO'!$A$4:$A$13,0)),""))&lt;&gt;"",IFERROR(INDEX('CAT_CENTROS_COSTO'!$E$4:$E$13,MATCH($F149,'CAT_CENTROS_COSTO'!$A$4:$A$13,0)),""),$X149))</f>
        <v/>
      </c>
      <c r="Z149" s="5">
        <f>IF($F149="","",IFERROR(INDEX('CAT_CENTROS_COSTO'!$G$4:$G$13,MATCH($F149,'CAT_CENTROS_COSTO'!$A$4:$A$13,0)),"(sin catálogo)"))</f>
        <v/>
      </c>
      <c r="AA149" s="5">
        <f>IF($G149="","",IFERROR(INDEX('CAT_PUESTOS'!$B$4:$B$8,MATCH($G149,'CAT_PUESTOS'!$A$4:$A$8,0)),"(sin catálogo)"))</f>
        <v/>
      </c>
      <c r="AB149" s="5">
        <f>IF($H149="","",IFERROR(INDEX('CAT_ACTIVIDADES'!$B$4:$B$11,MATCH($H149,'CAT_ACTIVIDADES'!$A$4:$A$11,0)),"(sin catálogo)"))</f>
        <v/>
      </c>
      <c r="AC149" s="20">
        <f>IF($J149="","",TODAY()-$J149)</f>
        <v/>
      </c>
      <c r="AD149" s="20">
        <f>IF($J149="","",IF($J149&lt;=TODAY(),COUNTIFS(cal_fechas,"&gt;="&amp;$J149,cal_fechas,"&lt;"&amp;TODAY(),cal_habil,"sí"),-COUNTIFS(cal_fechas,"&gt;="&amp;TODAY(),cal_fechas,"&lt;"&amp;$J149,cal_habil,"sí")))</f>
        <v/>
      </c>
      <c r="AE149" s="5">
        <f>IF($AD149="","",IF($AD149&lt;0,"FUTURO",IF($AD149&gt;p_dias_backlog_max,"BACKLOG","MES CORRIENTE")))</f>
        <v/>
      </c>
      <c r="AF149" s="5">
        <f>IF($AD149="",FALSE,AND($AD149&gt;p_dias_backlog_min,$AD149&lt;=p_dias_backlog_max))</f>
        <v/>
      </c>
      <c r="AG149" s="4" t="inlineStr"/>
      <c r="AH149" s="5">
        <f>IF($AG149="","",IF((IFERROR(INDEX('ASIGNACIONES'!$J$4:$J$451,MATCH($O149&amp;"|"&amp;$S149&amp;"|"&amp;$AG149,'ASIGNACIONES'!$N$4:$N$451,0)),""))=0,"",IFERROR(INDEX('ASIGNACIONES'!$J$4:$J$451,MATCH($O149&amp;"|"&amp;$S149&amp;"|"&amp;$AG149,'ASIGNACIONES'!$N$4:$N$451,0)),"")))</f>
        <v/>
      </c>
      <c r="AI149" s="25">
        <f>IF($AG149="","",SUMIFS('ORDENES'!$M$4:$M$1203,'ORDENES'!$AG$4:$AG$1203,$AG149,'ORDENES'!$O$4:$O$1203,$O149,'ORDENES'!$S$4:$S$1203,$S149))</f>
        <v/>
      </c>
      <c r="AJ149" s="25">
        <f>IF($AI149="","",p_factor_productividad*IFERROR(INDEX('ASIGNACIONES'!$M$4:$M$451,MATCH($O149&amp;"|"&amp;$S149&amp;"|"&amp;$AG149,'ASIGNACIONES'!$N$4:$N$451,0)),0)-$AI149)</f>
        <v/>
      </c>
      <c r="AK149" s="18">
        <f>IF($A149="","",IFERROR(INDEX('2_IMPORTAR_EJECUCION'!$F$9:$F$1208,MATCH($AT149,'2_IMPORTAR_EJECUCION'!$J$9:$J$1208,0)),0))</f>
        <v/>
      </c>
      <c r="AL149" s="18">
        <f>IF($A149="","",MAX(0,IFERROR(INDEX('2_IMPORTAR_EJECUCION'!$H$9:$H$1208,MATCH($AT149,'2_IMPORTAR_EJECUCION'!$J$9:$J$1208,0)),0)-$AK149))</f>
        <v/>
      </c>
      <c r="AM149" s="18">
        <f>IF($A149="","",$AK149+$AL149)</f>
        <v/>
      </c>
      <c r="AN149" s="5">
        <f>IF($A149="","",IF(OR((IFERROR(INDEX('CAT_ACTIVIDADES'!$D$4:$D$11,MATCH($H149,'CAT_ACTIVIDADES'!$A$4:$A$11,0)),""))=0,(IFERROR(INDEX('CAT_ACTIVIDADES'!$D$4:$D$11,MATCH($H149,'CAT_ACTIVIDADES'!$A$4:$A$11,0)),""))=""),"SIN CLASIFICAR",IFERROR(INDEX('CAT_ACTIVIDADES'!$D$4:$D$11,MATCH($H149,'CAT_ACTIVIDADES'!$A$4:$A$11,0)),"")))</f>
        <v/>
      </c>
      <c r="AO149" s="4" t="inlineStr"/>
      <c r="AP149" s="4" t="inlineStr"/>
      <c r="AQ149" s="4" t="inlineStr"/>
      <c r="AR149" s="5">
        <f>IF($AQ149="","",HYPERLINK(p_ruta_base_checklists&amp;$AQ149,"abrir"))</f>
        <v/>
      </c>
      <c r="AS149" s="4" t="inlineStr"/>
      <c r="AT149" s="5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22" t="n">
        <v>46176</v>
      </c>
      <c r="K150" s="5" t="n">
        <v>8</v>
      </c>
      <c r="L150" s="18" t="n">
        <v>200</v>
      </c>
      <c r="M150" s="5">
        <f>IF($A150="","",IFERROR(INDEX('AJUSTES'!$B$4:$B$303,MATCH($AT150,'AJUSTES'!$A$4:$A$303,0)),IF($K150="","",$K150)))</f>
        <v/>
      </c>
      <c r="N150" s="5">
        <f>IF($A150="","",IFERROR(INDEX('CAT_ESTADOS_ERP'!$B$4:$B$7,MATCH(IFERROR(INDEX('2_IMPORTAR_EJECUCION'!$C$9:$C$1208,MATCH($AT150,'2_IMPORTAR_EJECUCION'!$J$9:$J$1208,0)),""),'CAT_ESTADOS_ERP'!$A$4:$A$7,0)),"Pendiente"))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IF($J150="","",$P150&amp;"-"&amp;TEXT($Q150,"00"))</f>
        <v/>
      </c>
      <c r="S150" s="5">
        <f>IF($J150="","",INDEX(lista_dias,WEEKDAY($J150,2)))</f>
        <v/>
      </c>
      <c r="T150" s="5">
        <f>IF($J150="","",IFERROR(INDEX('CALENDARIO'!$C$15:$C$214,MATCH(TEXT($J150,"yyyy-mm-dd")&amp;"|"&amp;$X150&amp;"|"&amp;$Y150,'CALENDARIO'!$G$15:$G$214,0)),IFERROR(INDEX('CALENDARIO'!$C$15:$C$214,MATCH(TEXT($J150,"yyyy-mm-dd")&amp;"|"&amp;$X150&amp;"|",'CALENDARIO'!$G$15:$G$214,0)),IFERROR(INDEX('CALENDARIO'!$C$15:$C$214,MATCH(TEXT($J150,"yyyy-mm-dd")&amp;"||",'CALENDARIO'!$G$15:$G$214,0)),INDEX(patronHabil,WEEKDAY($J150,2))))))</f>
        <v/>
      </c>
      <c r="U150" s="5">
        <f>IF($I150="","",IFERROR(INDEX('CAT_TIPOS_OT'!$C$4:$C$8,MATCH($I150,'CAT_TIPOS_OT'!$A$4:$A$8,0)),"sin_clasificar"))</f>
        <v/>
      </c>
      <c r="V150" s="5">
        <f>IF($I150="","",IF(IFERROR(INDEX('CAT_TIPOS_OT'!$D$4:$D$8,MATCH($I150,'CAT_TIPOS_OT'!$A$4:$A$8,0)),"SIN CLASIFICAR")="","SIN CLASIFICAR",IFERROR(INDEX('CAT_TIPOS_OT'!$D$4:$D$8,MATCH($I150,'CAT_TIPOS_OT'!$A$4:$A$8,0)),"SIN CLASIFICAR")))</f>
        <v/>
      </c>
      <c r="W150" s="5">
        <f>IF($F150="","",IFERROR(INDEX('CAT_CENTROS_COSTO'!$F$4:$F$13,MATCH($F150,'CAT_CENTROS_COSTO'!$A$4:$A$13,0)),"(sin catálogo)"))</f>
        <v/>
      </c>
      <c r="X150" s="5">
        <f>IF($F150="","",IFERROR(INDEX('CAT_CENTROS_COSTO'!$D$4:$D$13,MATCH($F150,'CAT_CENTROS_COSTO'!$A$4:$A$13,0)),"(sin catálogo)"))</f>
        <v/>
      </c>
      <c r="Y150" s="5">
        <f>IF($F150="","",IF((IFERROR(INDEX('CAT_CENTROS_COSTO'!$E$4:$E$13,MATCH($F150,'CAT_CENTROS_COSTO'!$A$4:$A$13,0)),""))&lt;&gt;"",IFERROR(INDEX('CAT_CENTROS_COSTO'!$E$4:$E$13,MATCH($F150,'CAT_CENTROS_COSTO'!$A$4:$A$13,0)),""),$X150))</f>
        <v/>
      </c>
      <c r="Z150" s="5">
        <f>IF($F150="","",IFERROR(INDEX('CAT_CENTROS_COSTO'!$G$4:$G$13,MATCH($F150,'CAT_CENTROS_COSTO'!$A$4:$A$13,0)),"(sin catálogo)"))</f>
        <v/>
      </c>
      <c r="AA150" s="5">
        <f>IF($G150="","",IFERROR(INDEX('CAT_PUESTOS'!$B$4:$B$8,MATCH($G150,'CAT_PUESTOS'!$A$4:$A$8,0)),"(sin catálogo)"))</f>
        <v/>
      </c>
      <c r="AB150" s="5">
        <f>IF($H150="","",IFERROR(INDEX('CAT_ACTIVIDADES'!$B$4:$B$11,MATCH($H150,'CAT_ACTIVIDADES'!$A$4:$A$11,0)),"(sin catálogo)"))</f>
        <v/>
      </c>
      <c r="AC150" s="20">
        <f>IF($J150="","",TODAY()-$J150)</f>
        <v/>
      </c>
      <c r="AD150" s="20">
        <f>IF($J150="","",IF($J150&lt;=TODAY(),COUNTIFS(cal_fechas,"&gt;="&amp;$J150,cal_fechas,"&lt;"&amp;TODAY(),cal_habil,"sí"),-COUNTIFS(cal_fechas,"&gt;="&amp;TODAY(),cal_fechas,"&lt;"&amp;$J150,cal_habil,"sí")))</f>
        <v/>
      </c>
      <c r="AE150" s="5">
        <f>IF($AD150="","",IF($AD150&lt;0,"FUTURO",IF($AD150&gt;p_dias_backlog_max,"BACKLOG","MES CORRIENTE")))</f>
        <v/>
      </c>
      <c r="AF150" s="5">
        <f>IF($AD150="",FALSE,AND($AD150&gt;p_dias_backlog_min,$AD150&lt;=p_dias_backlog_max))</f>
        <v/>
      </c>
      <c r="AG150" s="4" t="inlineStr"/>
      <c r="AH150" s="5">
        <f>IF($AG150="","",IF((IFERROR(INDEX('ASIGNACIONES'!$J$4:$J$451,MATCH($O150&amp;"|"&amp;$S150&amp;"|"&amp;$AG150,'ASIGNACIONES'!$N$4:$N$451,0)),""))=0,"",IFERROR(INDEX('ASIGNACIONES'!$J$4:$J$451,MATCH($O150&amp;"|"&amp;$S150&amp;"|"&amp;$AG150,'ASIGNACIONES'!$N$4:$N$451,0)),"")))</f>
        <v/>
      </c>
      <c r="AI150" s="25">
        <f>IF($AG150="","",SUMIFS('ORDENES'!$M$4:$M$1203,'ORDENES'!$AG$4:$AG$1203,$AG150,'ORDENES'!$O$4:$O$1203,$O150,'ORDENES'!$S$4:$S$1203,$S150))</f>
        <v/>
      </c>
      <c r="AJ150" s="25">
        <f>IF($AI150="","",p_factor_productividad*IFERROR(INDEX('ASIGNACIONES'!$M$4:$M$451,MATCH($O150&amp;"|"&amp;$S150&amp;"|"&amp;$AG150,'ASIGNACIONES'!$N$4:$N$451,0)),0)-$AI150)</f>
        <v/>
      </c>
      <c r="AK150" s="18">
        <f>IF($A150="","",IFERROR(INDEX('2_IMPORTAR_EJECUCION'!$F$9:$F$1208,MATCH($AT150,'2_IMPORTAR_EJECUCION'!$J$9:$J$1208,0)),0))</f>
        <v/>
      </c>
      <c r="AL150" s="18">
        <f>IF($A150="","",MAX(0,IFERROR(INDEX('2_IMPORTAR_EJECUCION'!$H$9:$H$1208,MATCH($AT150,'2_IMPORTAR_EJECUCION'!$J$9:$J$1208,0)),0)-$AK150))</f>
        <v/>
      </c>
      <c r="AM150" s="18">
        <f>IF($A150="","",$AK150+$AL150)</f>
        <v/>
      </c>
      <c r="AN150" s="5">
        <f>IF($A150="","",IF(OR((IFERROR(INDEX('CAT_ACTIVIDADES'!$D$4:$D$11,MATCH($H150,'CAT_ACTIVIDADES'!$A$4:$A$11,0)),""))=0,(IFERROR(INDEX('CAT_ACTIVIDADES'!$D$4:$D$11,MATCH($H150,'CAT_ACTIVIDADES'!$A$4:$A$11,0)),""))=""),"SIN CLASIFICAR",IFERROR(INDEX('CAT_ACTIVIDADES'!$D$4:$D$11,MATCH($H150,'CAT_ACTIVIDADES'!$A$4:$A$11,0)),"")))</f>
        <v/>
      </c>
      <c r="AO150" s="4" t="inlineStr"/>
      <c r="AP150" s="4" t="inlineStr"/>
      <c r="AQ150" s="4" t="inlineStr"/>
      <c r="AR150" s="5">
        <f>IF($AQ150="","",HYPERLINK(p_ruta_base_checklists&amp;$AQ150,"abrir"))</f>
        <v/>
      </c>
      <c r="AS150" s="4" t="inlineStr"/>
      <c r="AT150" s="5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22" t="n">
        <v>46169</v>
      </c>
      <c r="K151" s="5" t="n">
        <v>4</v>
      </c>
      <c r="L151" s="18" t="n">
        <v>160</v>
      </c>
      <c r="M151" s="5">
        <f>IF($A151="","",IFERROR(INDEX('AJUSTES'!$B$4:$B$303,MATCH($AT151,'AJUSTES'!$A$4:$A$303,0)),IF($K151="","",$K151)))</f>
        <v/>
      </c>
      <c r="N151" s="5">
        <f>IF($A151="","",IFERROR(INDEX('CAT_ESTADOS_ERP'!$B$4:$B$7,MATCH(IFERROR(INDEX('2_IMPORTAR_EJECUCION'!$C$9:$C$1208,MATCH($AT151,'2_IMPORTAR_EJECUCION'!$J$9:$J$1208,0)),""),'CAT_ESTADOS_ERP'!$A$4:$A$7,0)),"Pendiente"))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IF($J151="","",$P151&amp;"-"&amp;TEXT($Q151,"00"))</f>
        <v/>
      </c>
      <c r="S151" s="5">
        <f>IF($J151="","",INDEX(lista_dias,WEEKDAY($J151,2)))</f>
        <v/>
      </c>
      <c r="T151" s="5">
        <f>IF($J151="","",IFERROR(INDEX('CALENDARIO'!$C$15:$C$214,MATCH(TEXT($J151,"yyyy-mm-dd")&amp;"|"&amp;$X151&amp;"|"&amp;$Y151,'CALENDARIO'!$G$15:$G$214,0)),IFERROR(INDEX('CALENDARIO'!$C$15:$C$214,MATCH(TEXT($J151,"yyyy-mm-dd")&amp;"|"&amp;$X151&amp;"|",'CALENDARIO'!$G$15:$G$214,0)),IFERROR(INDEX('CALENDARIO'!$C$15:$C$214,MATCH(TEXT($J151,"yyyy-mm-dd")&amp;"||",'CALENDARIO'!$G$15:$G$214,0)),INDEX(patronHabil,WEEKDAY($J151,2))))))</f>
        <v/>
      </c>
      <c r="U151" s="5">
        <f>IF($I151="","",IFERROR(INDEX('CAT_TIPOS_OT'!$C$4:$C$8,MATCH($I151,'CAT_TIPOS_OT'!$A$4:$A$8,0)),"sin_clasificar"))</f>
        <v/>
      </c>
      <c r="V151" s="5">
        <f>IF($I151="","",IF(IFERROR(INDEX('CAT_TIPOS_OT'!$D$4:$D$8,MATCH($I151,'CAT_TIPOS_OT'!$A$4:$A$8,0)),"SIN CLASIFICAR")="","SIN CLASIFICAR",IFERROR(INDEX('CAT_TIPOS_OT'!$D$4:$D$8,MATCH($I151,'CAT_TIPOS_OT'!$A$4:$A$8,0)),"SIN CLASIFICAR")))</f>
        <v/>
      </c>
      <c r="W151" s="5">
        <f>IF($F151="","",IFERROR(INDEX('CAT_CENTROS_COSTO'!$F$4:$F$13,MATCH($F151,'CAT_CENTROS_COSTO'!$A$4:$A$13,0)),"(sin catálogo)"))</f>
        <v/>
      </c>
      <c r="X151" s="5">
        <f>IF($F151="","",IFERROR(INDEX('CAT_CENTROS_COSTO'!$D$4:$D$13,MATCH($F151,'CAT_CENTROS_COSTO'!$A$4:$A$13,0)),"(sin catálogo)"))</f>
        <v/>
      </c>
      <c r="Y151" s="5">
        <f>IF($F151="","",IF((IFERROR(INDEX('CAT_CENTROS_COSTO'!$E$4:$E$13,MATCH($F151,'CAT_CENTROS_COSTO'!$A$4:$A$13,0)),""))&lt;&gt;"",IFERROR(INDEX('CAT_CENTROS_COSTO'!$E$4:$E$13,MATCH($F151,'CAT_CENTROS_COSTO'!$A$4:$A$13,0)),""),$X151))</f>
        <v/>
      </c>
      <c r="Z151" s="5">
        <f>IF($F151="","",IFERROR(INDEX('CAT_CENTROS_COSTO'!$G$4:$G$13,MATCH($F151,'CAT_CENTROS_COSTO'!$A$4:$A$13,0)),"(sin catálogo)"))</f>
        <v/>
      </c>
      <c r="AA151" s="5">
        <f>IF($G151="","",IFERROR(INDEX('CAT_PUESTOS'!$B$4:$B$8,MATCH($G151,'CAT_PUESTOS'!$A$4:$A$8,0)),"(sin catálogo)"))</f>
        <v/>
      </c>
      <c r="AB151" s="5">
        <f>IF($H151="","",IFERROR(INDEX('CAT_ACTIVIDADES'!$B$4:$B$11,MATCH($H151,'CAT_ACTIVIDADES'!$A$4:$A$11,0)),"(sin catálogo)"))</f>
        <v/>
      </c>
      <c r="AC151" s="20">
        <f>IF($J151="","",TODAY()-$J151)</f>
        <v/>
      </c>
      <c r="AD151" s="20">
        <f>IF($J151="","",IF($J151&lt;=TODAY(),COUNTIFS(cal_fechas,"&gt;="&amp;$J151,cal_fechas,"&lt;"&amp;TODAY(),cal_habil,"sí"),-COUNTIFS(cal_fechas,"&gt;="&amp;TODAY(),cal_fechas,"&lt;"&amp;$J151,cal_habil,"sí")))</f>
        <v/>
      </c>
      <c r="AE151" s="5">
        <f>IF($AD151="","",IF($AD151&lt;0,"FUTURO",IF($AD151&gt;p_dias_backlog_max,"BACKLOG","MES CORRIENTE")))</f>
        <v/>
      </c>
      <c r="AF151" s="5">
        <f>IF($AD151="",FALSE,AND($AD151&gt;p_dias_backlog_min,$AD151&lt;=p_dias_backlog_max))</f>
        <v/>
      </c>
      <c r="AG151" s="4" t="inlineStr"/>
      <c r="AH151" s="5">
        <f>IF($AG151="","",IF((IFERROR(INDEX('ASIGNACIONES'!$J$4:$J$451,MATCH($O151&amp;"|"&amp;$S151&amp;"|"&amp;$AG151,'ASIGNACIONES'!$N$4:$N$451,0)),""))=0,"",IFERROR(INDEX('ASIGNACIONES'!$J$4:$J$451,MATCH($O151&amp;"|"&amp;$S151&amp;"|"&amp;$AG151,'ASIGNACIONES'!$N$4:$N$451,0)),"")))</f>
        <v/>
      </c>
      <c r="AI151" s="25">
        <f>IF($AG151="","",SUMIFS('ORDENES'!$M$4:$M$1203,'ORDENES'!$AG$4:$AG$1203,$AG151,'ORDENES'!$O$4:$O$1203,$O151,'ORDENES'!$S$4:$S$1203,$S151))</f>
        <v/>
      </c>
      <c r="AJ151" s="25">
        <f>IF($AI151="","",p_factor_productividad*IFERROR(INDEX('ASIGNACIONES'!$M$4:$M$451,MATCH($O151&amp;"|"&amp;$S151&amp;"|"&amp;$AG151,'ASIGNACIONES'!$N$4:$N$451,0)),0)-$AI151)</f>
        <v/>
      </c>
      <c r="AK151" s="18">
        <f>IF($A151="","",IFERROR(INDEX('2_IMPORTAR_EJECUCION'!$F$9:$F$1208,MATCH($AT151,'2_IMPORTAR_EJECUCION'!$J$9:$J$1208,0)),0))</f>
        <v/>
      </c>
      <c r="AL151" s="18">
        <f>IF($A151="","",MAX(0,IFERROR(INDEX('2_IMPORTAR_EJECUCION'!$H$9:$H$1208,MATCH($AT151,'2_IMPORTAR_EJECUCION'!$J$9:$J$1208,0)),0)-$AK151))</f>
        <v/>
      </c>
      <c r="AM151" s="18">
        <f>IF($A151="","",$AK151+$AL151)</f>
        <v/>
      </c>
      <c r="AN151" s="5">
        <f>IF($A151="","",IF(OR((IFERROR(INDEX('CAT_ACTIVIDADES'!$D$4:$D$11,MATCH($H151,'CAT_ACTIVIDADES'!$A$4:$A$11,0)),""))=0,(IFERROR(INDEX('CAT_ACTIVIDADES'!$D$4:$D$11,MATCH($H151,'CAT_ACTIVIDADES'!$A$4:$A$11,0)),""))=""),"SIN CLASIFICAR",IFERROR(INDEX('CAT_ACTIVIDADES'!$D$4:$D$11,MATCH($H151,'CAT_ACTIVIDADES'!$A$4:$A$11,0)),"")))</f>
        <v/>
      </c>
      <c r="AO151" s="4" t="inlineStr"/>
      <c r="AP151" s="4" t="inlineStr"/>
      <c r="AQ151" s="4" t="inlineStr"/>
      <c r="AR151" s="5">
        <f>IF($AQ151="","",HYPERLINK(p_ruta_base_checklists&amp;$AQ151,"abrir"))</f>
        <v/>
      </c>
      <c r="AS151" s="4" t="inlineStr"/>
      <c r="AT151" s="5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22" t="n">
        <v>46162</v>
      </c>
      <c r="K152" s="5" t="n">
        <v>6</v>
      </c>
      <c r="L152" s="18" t="n">
        <v>150</v>
      </c>
      <c r="M152" s="5">
        <f>IF($A152="","",IFERROR(INDEX('AJUSTES'!$B$4:$B$303,MATCH($AT152,'AJUSTES'!$A$4:$A$303,0)),IF($K152="","",$K152)))</f>
        <v/>
      </c>
      <c r="N152" s="5">
        <f>IF($A152="","",IFERROR(INDEX('CAT_ESTADOS_ERP'!$B$4:$B$7,MATCH(IFERROR(INDEX('2_IMPORTAR_EJECUCION'!$C$9:$C$1208,MATCH($AT152,'2_IMPORTAR_EJECUCION'!$J$9:$J$1208,0)),""),'CAT_ESTADOS_ERP'!$A$4:$A$7,0)),"Pendiente"))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IF($J152="","",$P152&amp;"-"&amp;TEXT($Q152,"00"))</f>
        <v/>
      </c>
      <c r="S152" s="5">
        <f>IF($J152="","",INDEX(lista_dias,WEEKDAY($J152,2)))</f>
        <v/>
      </c>
      <c r="T152" s="5">
        <f>IF($J152="","",IFERROR(INDEX('CALENDARIO'!$C$15:$C$214,MATCH(TEXT($J152,"yyyy-mm-dd")&amp;"|"&amp;$X152&amp;"|"&amp;$Y152,'CALENDARIO'!$G$15:$G$214,0)),IFERROR(INDEX('CALENDARIO'!$C$15:$C$214,MATCH(TEXT($J152,"yyyy-mm-dd")&amp;"|"&amp;$X152&amp;"|",'CALENDARIO'!$G$15:$G$214,0)),IFERROR(INDEX('CALENDARIO'!$C$15:$C$214,MATCH(TEXT($J152,"yyyy-mm-dd")&amp;"||",'CALENDARIO'!$G$15:$G$214,0)),INDEX(patronHabil,WEEKDAY($J152,2))))))</f>
        <v/>
      </c>
      <c r="U152" s="5">
        <f>IF($I152="","",IFERROR(INDEX('CAT_TIPOS_OT'!$C$4:$C$8,MATCH($I152,'CAT_TIPOS_OT'!$A$4:$A$8,0)),"sin_clasificar"))</f>
        <v/>
      </c>
      <c r="V152" s="5">
        <f>IF($I152="","",IF(IFERROR(INDEX('CAT_TIPOS_OT'!$D$4:$D$8,MATCH($I152,'CAT_TIPOS_OT'!$A$4:$A$8,0)),"SIN CLASIFICAR")="","SIN CLASIFICAR",IFERROR(INDEX('CAT_TIPOS_OT'!$D$4:$D$8,MATCH($I152,'CAT_TIPOS_OT'!$A$4:$A$8,0)),"SIN CLASIFICAR")))</f>
        <v/>
      </c>
      <c r="W152" s="5">
        <f>IF($F152="","",IFERROR(INDEX('CAT_CENTROS_COSTO'!$F$4:$F$13,MATCH($F152,'CAT_CENTROS_COSTO'!$A$4:$A$13,0)),"(sin catálogo)"))</f>
        <v/>
      </c>
      <c r="X152" s="5">
        <f>IF($F152="","",IFERROR(INDEX('CAT_CENTROS_COSTO'!$D$4:$D$13,MATCH($F152,'CAT_CENTROS_COSTO'!$A$4:$A$13,0)),"(sin catálogo)"))</f>
        <v/>
      </c>
      <c r="Y152" s="5">
        <f>IF($F152="","",IF((IFERROR(INDEX('CAT_CENTROS_COSTO'!$E$4:$E$13,MATCH($F152,'CAT_CENTROS_COSTO'!$A$4:$A$13,0)),""))&lt;&gt;"",IFERROR(INDEX('CAT_CENTROS_COSTO'!$E$4:$E$13,MATCH($F152,'CAT_CENTROS_COSTO'!$A$4:$A$13,0)),""),$X152))</f>
        <v/>
      </c>
      <c r="Z152" s="5">
        <f>IF($F152="","",IFERROR(INDEX('CAT_CENTROS_COSTO'!$G$4:$G$13,MATCH($F152,'CAT_CENTROS_COSTO'!$A$4:$A$13,0)),"(sin catálogo)"))</f>
        <v/>
      </c>
      <c r="AA152" s="5">
        <f>IF($G152="","",IFERROR(INDEX('CAT_PUESTOS'!$B$4:$B$8,MATCH($G152,'CAT_PUESTOS'!$A$4:$A$8,0)),"(sin catálogo)"))</f>
        <v/>
      </c>
      <c r="AB152" s="5">
        <f>IF($H152="","",IFERROR(INDEX('CAT_ACTIVIDADES'!$B$4:$B$11,MATCH($H152,'CAT_ACTIVIDADES'!$A$4:$A$11,0)),"(sin catálogo)"))</f>
        <v/>
      </c>
      <c r="AC152" s="20">
        <f>IF($J152="","",TODAY()-$J152)</f>
        <v/>
      </c>
      <c r="AD152" s="20">
        <f>IF($J152="","",IF($J152&lt;=TODAY(),COUNTIFS(cal_fechas,"&gt;="&amp;$J152,cal_fechas,"&lt;"&amp;TODAY(),cal_habil,"sí"),-COUNTIFS(cal_fechas,"&gt;="&amp;TODAY(),cal_fechas,"&lt;"&amp;$J152,cal_habil,"sí")))</f>
        <v/>
      </c>
      <c r="AE152" s="5">
        <f>IF($AD152="","",IF($AD152&lt;0,"FUTURO",IF($AD152&gt;p_dias_backlog_max,"BACKLOG","MES CORRIENTE")))</f>
        <v/>
      </c>
      <c r="AF152" s="5">
        <f>IF($AD152="",FALSE,AND($AD152&gt;p_dias_backlog_min,$AD152&lt;=p_dias_backlog_max))</f>
        <v/>
      </c>
      <c r="AG152" s="4" t="inlineStr"/>
      <c r="AH152" s="5">
        <f>IF($AG152="","",IF((IFERROR(INDEX('ASIGNACIONES'!$J$4:$J$451,MATCH($O152&amp;"|"&amp;$S152&amp;"|"&amp;$AG152,'ASIGNACIONES'!$N$4:$N$451,0)),""))=0,"",IFERROR(INDEX('ASIGNACIONES'!$J$4:$J$451,MATCH($O152&amp;"|"&amp;$S152&amp;"|"&amp;$AG152,'ASIGNACIONES'!$N$4:$N$451,0)),"")))</f>
        <v/>
      </c>
      <c r="AI152" s="25">
        <f>IF($AG152="","",SUMIFS('ORDENES'!$M$4:$M$1203,'ORDENES'!$AG$4:$AG$1203,$AG152,'ORDENES'!$O$4:$O$1203,$O152,'ORDENES'!$S$4:$S$1203,$S152))</f>
        <v/>
      </c>
      <c r="AJ152" s="25">
        <f>IF($AI152="","",p_factor_productividad*IFERROR(INDEX('ASIGNACIONES'!$M$4:$M$451,MATCH($O152&amp;"|"&amp;$S152&amp;"|"&amp;$AG152,'ASIGNACIONES'!$N$4:$N$451,0)),0)-$AI152)</f>
        <v/>
      </c>
      <c r="AK152" s="18">
        <f>IF($A152="","",IFERROR(INDEX('2_IMPORTAR_EJECUCION'!$F$9:$F$1208,MATCH($AT152,'2_IMPORTAR_EJECUCION'!$J$9:$J$1208,0)),0))</f>
        <v/>
      </c>
      <c r="AL152" s="18">
        <f>IF($A152="","",MAX(0,IFERROR(INDEX('2_IMPORTAR_EJECUCION'!$H$9:$H$1208,MATCH($AT152,'2_IMPORTAR_EJECUCION'!$J$9:$J$1208,0)),0)-$AK152))</f>
        <v/>
      </c>
      <c r="AM152" s="18">
        <f>IF($A152="","",$AK152+$AL152)</f>
        <v/>
      </c>
      <c r="AN152" s="5">
        <f>IF($A152="","",IF(OR((IFERROR(INDEX('CAT_ACTIVIDADES'!$D$4:$D$11,MATCH($H152,'CAT_ACTIVIDADES'!$A$4:$A$11,0)),""))=0,(IFERROR(INDEX('CAT_ACTIVIDADES'!$D$4:$D$11,MATCH($H152,'CAT_ACTIVIDADES'!$A$4:$A$11,0)),""))=""),"SIN CLASIFICAR",IFERROR(INDEX('CAT_ACTIVIDADES'!$D$4:$D$11,MATCH($H152,'CAT_ACTIVIDADES'!$A$4:$A$11,0)),"")))</f>
        <v/>
      </c>
      <c r="AO152" s="4" t="inlineStr"/>
      <c r="AP152" s="4" t="inlineStr"/>
      <c r="AQ152" s="4" t="inlineStr"/>
      <c r="AR152" s="5">
        <f>IF($AQ152="","",HYPERLINK(p_ruta_base_checklists&amp;$AQ152,"abrir"))</f>
        <v/>
      </c>
      <c r="AS152" s="4" t="inlineStr"/>
      <c r="AT152" s="5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22" t="n">
        <v>46155</v>
      </c>
      <c r="K153" s="5" t="n">
        <v>8</v>
      </c>
      <c r="L153" s="18" t="n">
        <v>320</v>
      </c>
      <c r="M153" s="5">
        <f>IF($A153="","",IFERROR(INDEX('AJUSTES'!$B$4:$B$303,MATCH($AT153,'AJUSTES'!$A$4:$A$303,0)),IF($K153="","",$K153)))</f>
        <v/>
      </c>
      <c r="N153" s="5">
        <f>IF($A153="","",IFERROR(INDEX('CAT_ESTADOS_ERP'!$B$4:$B$7,MATCH(IFERROR(INDEX('2_IMPORTAR_EJECUCION'!$C$9:$C$1208,MATCH($AT153,'2_IMPORTAR_EJECUCION'!$J$9:$J$1208,0)),""),'CAT_ESTADOS_ERP'!$A$4:$A$7,0)),"Pendiente"))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IF($J153="","",$P153&amp;"-"&amp;TEXT($Q153,"00"))</f>
        <v/>
      </c>
      <c r="S153" s="5">
        <f>IF($J153="","",INDEX(lista_dias,WEEKDAY($J153,2)))</f>
        <v/>
      </c>
      <c r="T153" s="5">
        <f>IF($J153="","",IFERROR(INDEX('CALENDARIO'!$C$15:$C$214,MATCH(TEXT($J153,"yyyy-mm-dd")&amp;"|"&amp;$X153&amp;"|"&amp;$Y153,'CALENDARIO'!$G$15:$G$214,0)),IFERROR(INDEX('CALENDARIO'!$C$15:$C$214,MATCH(TEXT($J153,"yyyy-mm-dd")&amp;"|"&amp;$X153&amp;"|",'CALENDARIO'!$G$15:$G$214,0)),IFERROR(INDEX('CALENDARIO'!$C$15:$C$214,MATCH(TEXT($J153,"yyyy-mm-dd")&amp;"||",'CALENDARIO'!$G$15:$G$214,0)),INDEX(patronHabil,WEEKDAY($J153,2))))))</f>
        <v/>
      </c>
      <c r="U153" s="5">
        <f>IF($I153="","",IFERROR(INDEX('CAT_TIPOS_OT'!$C$4:$C$8,MATCH($I153,'CAT_TIPOS_OT'!$A$4:$A$8,0)),"sin_clasificar"))</f>
        <v/>
      </c>
      <c r="V153" s="5">
        <f>IF($I153="","",IF(IFERROR(INDEX('CAT_TIPOS_OT'!$D$4:$D$8,MATCH($I153,'CAT_TIPOS_OT'!$A$4:$A$8,0)),"SIN CLASIFICAR")="","SIN CLASIFICAR",IFERROR(INDEX('CAT_TIPOS_OT'!$D$4:$D$8,MATCH($I153,'CAT_TIPOS_OT'!$A$4:$A$8,0)),"SIN CLASIFICAR")))</f>
        <v/>
      </c>
      <c r="W153" s="5">
        <f>IF($F153="","",IFERROR(INDEX('CAT_CENTROS_COSTO'!$F$4:$F$13,MATCH($F153,'CAT_CENTROS_COSTO'!$A$4:$A$13,0)),"(sin catálogo)"))</f>
        <v/>
      </c>
      <c r="X153" s="5">
        <f>IF($F153="","",IFERROR(INDEX('CAT_CENTROS_COSTO'!$D$4:$D$13,MATCH($F153,'CAT_CENTROS_COSTO'!$A$4:$A$13,0)),"(sin catálogo)"))</f>
        <v/>
      </c>
      <c r="Y153" s="5">
        <f>IF($F153="","",IF((IFERROR(INDEX('CAT_CENTROS_COSTO'!$E$4:$E$13,MATCH($F153,'CAT_CENTROS_COSTO'!$A$4:$A$13,0)),""))&lt;&gt;"",IFERROR(INDEX('CAT_CENTROS_COSTO'!$E$4:$E$13,MATCH($F153,'CAT_CENTROS_COSTO'!$A$4:$A$13,0)),""),$X153))</f>
        <v/>
      </c>
      <c r="Z153" s="5">
        <f>IF($F153="","",IFERROR(INDEX('CAT_CENTROS_COSTO'!$G$4:$G$13,MATCH($F153,'CAT_CENTROS_COSTO'!$A$4:$A$13,0)),"(sin catálogo)"))</f>
        <v/>
      </c>
      <c r="AA153" s="5">
        <f>IF($G153="","",IFERROR(INDEX('CAT_PUESTOS'!$B$4:$B$8,MATCH($G153,'CAT_PUESTOS'!$A$4:$A$8,0)),"(sin catálogo)"))</f>
        <v/>
      </c>
      <c r="AB153" s="5">
        <f>IF($H153="","",IFERROR(INDEX('CAT_ACTIVIDADES'!$B$4:$B$11,MATCH($H153,'CAT_ACTIVIDADES'!$A$4:$A$11,0)),"(sin catálogo)"))</f>
        <v/>
      </c>
      <c r="AC153" s="20">
        <f>IF($J153="","",TODAY()-$J153)</f>
        <v/>
      </c>
      <c r="AD153" s="20">
        <f>IF($J153="","",IF($J153&lt;=TODAY(),COUNTIFS(cal_fechas,"&gt;="&amp;$J153,cal_fechas,"&lt;"&amp;TODAY(),cal_habil,"sí"),-COUNTIFS(cal_fechas,"&gt;="&amp;TODAY(),cal_fechas,"&lt;"&amp;$J153,cal_habil,"sí")))</f>
        <v/>
      </c>
      <c r="AE153" s="5">
        <f>IF($AD153="","",IF($AD153&lt;0,"FUTURO",IF($AD153&gt;p_dias_backlog_max,"BACKLOG","MES CORRIENTE")))</f>
        <v/>
      </c>
      <c r="AF153" s="5">
        <f>IF($AD153="",FALSE,AND($AD153&gt;p_dias_backlog_min,$AD153&lt;=p_dias_backlog_max))</f>
        <v/>
      </c>
      <c r="AG153" s="4" t="inlineStr"/>
      <c r="AH153" s="5">
        <f>IF($AG153="","",IF((IFERROR(INDEX('ASIGNACIONES'!$J$4:$J$451,MATCH($O153&amp;"|"&amp;$S153&amp;"|"&amp;$AG153,'ASIGNACIONES'!$N$4:$N$451,0)),""))=0,"",IFERROR(INDEX('ASIGNACIONES'!$J$4:$J$451,MATCH($O153&amp;"|"&amp;$S153&amp;"|"&amp;$AG153,'ASIGNACIONES'!$N$4:$N$451,0)),"")))</f>
        <v/>
      </c>
      <c r="AI153" s="25">
        <f>IF($AG153="","",SUMIFS('ORDENES'!$M$4:$M$1203,'ORDENES'!$AG$4:$AG$1203,$AG153,'ORDENES'!$O$4:$O$1203,$O153,'ORDENES'!$S$4:$S$1203,$S153))</f>
        <v/>
      </c>
      <c r="AJ153" s="25">
        <f>IF($AI153="","",p_factor_productividad*IFERROR(INDEX('ASIGNACIONES'!$M$4:$M$451,MATCH($O153&amp;"|"&amp;$S153&amp;"|"&amp;$AG153,'ASIGNACIONES'!$N$4:$N$451,0)),0)-$AI153)</f>
        <v/>
      </c>
      <c r="AK153" s="18">
        <f>IF($A153="","",IFERROR(INDEX('2_IMPORTAR_EJECUCION'!$F$9:$F$1208,MATCH($AT153,'2_IMPORTAR_EJECUCION'!$J$9:$J$1208,0)),0))</f>
        <v/>
      </c>
      <c r="AL153" s="18">
        <f>IF($A153="","",MAX(0,IFERROR(INDEX('2_IMPORTAR_EJECUCION'!$H$9:$H$1208,MATCH($AT153,'2_IMPORTAR_EJECUCION'!$J$9:$J$1208,0)),0)-$AK153))</f>
        <v/>
      </c>
      <c r="AM153" s="18">
        <f>IF($A153="","",$AK153+$AL153)</f>
        <v/>
      </c>
      <c r="AN153" s="5">
        <f>IF($A153="","",IF(OR((IFERROR(INDEX('CAT_ACTIVIDADES'!$D$4:$D$11,MATCH($H153,'CAT_ACTIVIDADES'!$A$4:$A$11,0)),""))=0,(IFERROR(INDEX('CAT_ACTIVIDADES'!$D$4:$D$11,MATCH($H153,'CAT_ACTIVIDADES'!$A$4:$A$11,0)),""))=""),"SIN CLASIFICAR",IFERROR(INDEX('CAT_ACTIVIDADES'!$D$4:$D$11,MATCH($H153,'CAT_ACTIVIDADES'!$A$4:$A$11,0)),"")))</f>
        <v/>
      </c>
      <c r="AO153" s="4" t="inlineStr"/>
      <c r="AP153" s="4" t="inlineStr"/>
      <c r="AQ153" s="4" t="inlineStr"/>
      <c r="AR153" s="5">
        <f>IF($AQ153="","",HYPERLINK(p_ruta_base_checklists&amp;$AQ153,"abrir"))</f>
        <v/>
      </c>
      <c r="AS153" s="4" t="inlineStr"/>
      <c r="AT153" s="5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22" t="n">
        <v>46148</v>
      </c>
      <c r="K154" s="5" t="n">
        <v>4</v>
      </c>
      <c r="L154" s="18" t="n">
        <v>100</v>
      </c>
      <c r="M154" s="5">
        <f>IF($A154="","",IFERROR(INDEX('AJUSTES'!$B$4:$B$303,MATCH($AT154,'AJUSTES'!$A$4:$A$303,0)),IF($K154="","",$K154)))</f>
        <v/>
      </c>
      <c r="N154" s="5">
        <f>IF($A154="","",IFERROR(INDEX('CAT_ESTADOS_ERP'!$B$4:$B$7,MATCH(IFERROR(INDEX('2_IMPORTAR_EJECUCION'!$C$9:$C$1208,MATCH($AT154,'2_IMPORTAR_EJECUCION'!$J$9:$J$1208,0)),""),'CAT_ESTADOS_ERP'!$A$4:$A$7,0)),"Pendiente"))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IF($J154="","",$P154&amp;"-"&amp;TEXT($Q154,"00"))</f>
        <v/>
      </c>
      <c r="S154" s="5">
        <f>IF($J154="","",INDEX(lista_dias,WEEKDAY($J154,2)))</f>
        <v/>
      </c>
      <c r="T154" s="5">
        <f>IF($J154="","",IFERROR(INDEX('CALENDARIO'!$C$15:$C$214,MATCH(TEXT($J154,"yyyy-mm-dd")&amp;"|"&amp;$X154&amp;"|"&amp;$Y154,'CALENDARIO'!$G$15:$G$214,0)),IFERROR(INDEX('CALENDARIO'!$C$15:$C$214,MATCH(TEXT($J154,"yyyy-mm-dd")&amp;"|"&amp;$X154&amp;"|",'CALENDARIO'!$G$15:$G$214,0)),IFERROR(INDEX('CALENDARIO'!$C$15:$C$214,MATCH(TEXT($J154,"yyyy-mm-dd")&amp;"||",'CALENDARIO'!$G$15:$G$214,0)),INDEX(patronHabil,WEEKDAY($J154,2))))))</f>
        <v/>
      </c>
      <c r="U154" s="5">
        <f>IF($I154="","",IFERROR(INDEX('CAT_TIPOS_OT'!$C$4:$C$8,MATCH($I154,'CAT_TIPOS_OT'!$A$4:$A$8,0)),"sin_clasificar"))</f>
        <v/>
      </c>
      <c r="V154" s="5">
        <f>IF($I154="","",IF(IFERROR(INDEX('CAT_TIPOS_OT'!$D$4:$D$8,MATCH($I154,'CAT_TIPOS_OT'!$A$4:$A$8,0)),"SIN CLASIFICAR")="","SIN CLASIFICAR",IFERROR(INDEX('CAT_TIPOS_OT'!$D$4:$D$8,MATCH($I154,'CAT_TIPOS_OT'!$A$4:$A$8,0)),"SIN CLASIFICAR")))</f>
        <v/>
      </c>
      <c r="W154" s="5">
        <f>IF($F154="","",IFERROR(INDEX('CAT_CENTROS_COSTO'!$F$4:$F$13,MATCH($F154,'CAT_CENTROS_COSTO'!$A$4:$A$13,0)),"(sin catálogo)"))</f>
        <v/>
      </c>
      <c r="X154" s="5">
        <f>IF($F154="","",IFERROR(INDEX('CAT_CENTROS_COSTO'!$D$4:$D$13,MATCH($F154,'CAT_CENTROS_COSTO'!$A$4:$A$13,0)),"(sin catálogo)"))</f>
        <v/>
      </c>
      <c r="Y154" s="5">
        <f>IF($F154="","",IF((IFERROR(INDEX('CAT_CENTROS_COSTO'!$E$4:$E$13,MATCH($F154,'CAT_CENTROS_COSTO'!$A$4:$A$13,0)),""))&lt;&gt;"",IFERROR(INDEX('CAT_CENTROS_COSTO'!$E$4:$E$13,MATCH($F154,'CAT_CENTROS_COSTO'!$A$4:$A$13,0)),""),$X154))</f>
        <v/>
      </c>
      <c r="Z154" s="5">
        <f>IF($F154="","",IFERROR(INDEX('CAT_CENTROS_COSTO'!$G$4:$G$13,MATCH($F154,'CAT_CENTROS_COSTO'!$A$4:$A$13,0)),"(sin catálogo)"))</f>
        <v/>
      </c>
      <c r="AA154" s="5">
        <f>IF($G154="","",IFERROR(INDEX('CAT_PUESTOS'!$B$4:$B$8,MATCH($G154,'CAT_PUESTOS'!$A$4:$A$8,0)),"(sin catálogo)"))</f>
        <v/>
      </c>
      <c r="AB154" s="5">
        <f>IF($H154="","",IFERROR(INDEX('CAT_ACTIVIDADES'!$B$4:$B$11,MATCH($H154,'CAT_ACTIVIDADES'!$A$4:$A$11,0)),"(sin catálogo)"))</f>
        <v/>
      </c>
      <c r="AC154" s="20">
        <f>IF($J154="","",TODAY()-$J154)</f>
        <v/>
      </c>
      <c r="AD154" s="20">
        <f>IF($J154="","",IF($J154&lt;=TODAY(),COUNTIFS(cal_fechas,"&gt;="&amp;$J154,cal_fechas,"&lt;"&amp;TODAY(),cal_habil,"sí"),-COUNTIFS(cal_fechas,"&gt;="&amp;TODAY(),cal_fechas,"&lt;"&amp;$J154,cal_habil,"sí")))</f>
        <v/>
      </c>
      <c r="AE154" s="5">
        <f>IF($AD154="","",IF($AD154&lt;0,"FUTURO",IF($AD154&gt;p_dias_backlog_max,"BACKLOG","MES CORRIENTE")))</f>
        <v/>
      </c>
      <c r="AF154" s="5">
        <f>IF($AD154="",FALSE,AND($AD154&gt;p_dias_backlog_min,$AD154&lt;=p_dias_backlog_max))</f>
        <v/>
      </c>
      <c r="AG154" s="4" t="inlineStr"/>
      <c r="AH154" s="5">
        <f>IF($AG154="","",IF((IFERROR(INDEX('ASIGNACIONES'!$J$4:$J$451,MATCH($O154&amp;"|"&amp;$S154&amp;"|"&amp;$AG154,'ASIGNACIONES'!$N$4:$N$451,0)),""))=0,"",IFERROR(INDEX('ASIGNACIONES'!$J$4:$J$451,MATCH($O154&amp;"|"&amp;$S154&amp;"|"&amp;$AG154,'ASIGNACIONES'!$N$4:$N$451,0)),"")))</f>
        <v/>
      </c>
      <c r="AI154" s="25">
        <f>IF($AG154="","",SUMIFS('ORDENES'!$M$4:$M$1203,'ORDENES'!$AG$4:$AG$1203,$AG154,'ORDENES'!$O$4:$O$1203,$O154,'ORDENES'!$S$4:$S$1203,$S154))</f>
        <v/>
      </c>
      <c r="AJ154" s="25">
        <f>IF($AI154="","",p_factor_productividad*IFERROR(INDEX('ASIGNACIONES'!$M$4:$M$451,MATCH($O154&amp;"|"&amp;$S154&amp;"|"&amp;$AG154,'ASIGNACIONES'!$N$4:$N$451,0)),0)-$AI154)</f>
        <v/>
      </c>
      <c r="AK154" s="18">
        <f>IF($A154="","",IFERROR(INDEX('2_IMPORTAR_EJECUCION'!$F$9:$F$1208,MATCH($AT154,'2_IMPORTAR_EJECUCION'!$J$9:$J$1208,0)),0))</f>
        <v/>
      </c>
      <c r="AL154" s="18">
        <f>IF($A154="","",MAX(0,IFERROR(INDEX('2_IMPORTAR_EJECUCION'!$H$9:$H$1208,MATCH($AT154,'2_IMPORTAR_EJECUCION'!$J$9:$J$1208,0)),0)-$AK154))</f>
        <v/>
      </c>
      <c r="AM154" s="18">
        <f>IF($A154="","",$AK154+$AL154)</f>
        <v/>
      </c>
      <c r="AN154" s="5">
        <f>IF($A154="","",IF(OR((IFERROR(INDEX('CAT_ACTIVIDADES'!$D$4:$D$11,MATCH($H154,'CAT_ACTIVIDADES'!$A$4:$A$11,0)),""))=0,(IFERROR(INDEX('CAT_ACTIVIDADES'!$D$4:$D$11,MATCH($H154,'CAT_ACTIVIDADES'!$A$4:$A$11,0)),""))=""),"SIN CLASIFICAR",IFERROR(INDEX('CAT_ACTIVIDADES'!$D$4:$D$11,MATCH($H154,'CAT_ACTIVIDADES'!$A$4:$A$11,0)),"")))</f>
        <v/>
      </c>
      <c r="AO154" s="4" t="inlineStr"/>
      <c r="AP154" s="4" t="inlineStr"/>
      <c r="AQ154" s="4" t="inlineStr"/>
      <c r="AR154" s="5">
        <f>IF($AQ154="","",HYPERLINK(p_ruta_base_checklists&amp;$AQ154,"abrir"))</f>
        <v/>
      </c>
      <c r="AS154" s="4" t="inlineStr"/>
      <c r="AT154" s="5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22" t="n">
        <v>46141</v>
      </c>
      <c r="K155" s="5" t="n">
        <v>6</v>
      </c>
      <c r="L155" s="18" t="n">
        <v>240</v>
      </c>
      <c r="M155" s="5">
        <f>IF($A155="","",IFERROR(INDEX('AJUSTES'!$B$4:$B$303,MATCH($AT155,'AJUSTES'!$A$4:$A$303,0)),IF($K155="","",$K155)))</f>
        <v/>
      </c>
      <c r="N155" s="5">
        <f>IF($A155="","",IFERROR(INDEX('CAT_ESTADOS_ERP'!$B$4:$B$7,MATCH(IFERROR(INDEX('2_IMPORTAR_EJECUCION'!$C$9:$C$1208,MATCH($AT155,'2_IMPORTAR_EJECUCION'!$J$9:$J$1208,0)),""),'CAT_ESTADOS_ERP'!$A$4:$A$7,0)),"Pendiente"))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IF($J155="","",$P155&amp;"-"&amp;TEXT($Q155,"00"))</f>
        <v/>
      </c>
      <c r="S155" s="5">
        <f>IF($J155="","",INDEX(lista_dias,WEEKDAY($J155,2)))</f>
        <v/>
      </c>
      <c r="T155" s="5">
        <f>IF($J155="","",IFERROR(INDEX('CALENDARIO'!$C$15:$C$214,MATCH(TEXT($J155,"yyyy-mm-dd")&amp;"|"&amp;$X155&amp;"|"&amp;$Y155,'CALENDARIO'!$G$15:$G$214,0)),IFERROR(INDEX('CALENDARIO'!$C$15:$C$214,MATCH(TEXT($J155,"yyyy-mm-dd")&amp;"|"&amp;$X155&amp;"|",'CALENDARIO'!$G$15:$G$214,0)),IFERROR(INDEX('CALENDARIO'!$C$15:$C$214,MATCH(TEXT($J155,"yyyy-mm-dd")&amp;"||",'CALENDARIO'!$G$15:$G$214,0)),INDEX(patronHabil,WEEKDAY($J155,2))))))</f>
        <v/>
      </c>
      <c r="U155" s="5">
        <f>IF($I155="","",IFERROR(INDEX('CAT_TIPOS_OT'!$C$4:$C$8,MATCH($I155,'CAT_TIPOS_OT'!$A$4:$A$8,0)),"sin_clasificar"))</f>
        <v/>
      </c>
      <c r="V155" s="5">
        <f>IF($I155="","",IF(IFERROR(INDEX('CAT_TIPOS_OT'!$D$4:$D$8,MATCH($I155,'CAT_TIPOS_OT'!$A$4:$A$8,0)),"SIN CLASIFICAR")="","SIN CLASIFICAR",IFERROR(INDEX('CAT_TIPOS_OT'!$D$4:$D$8,MATCH($I155,'CAT_TIPOS_OT'!$A$4:$A$8,0)),"SIN CLASIFICAR")))</f>
        <v/>
      </c>
      <c r="W155" s="5">
        <f>IF($F155="","",IFERROR(INDEX('CAT_CENTROS_COSTO'!$F$4:$F$13,MATCH($F155,'CAT_CENTROS_COSTO'!$A$4:$A$13,0)),"(sin catálogo)"))</f>
        <v/>
      </c>
      <c r="X155" s="5">
        <f>IF($F155="","",IFERROR(INDEX('CAT_CENTROS_COSTO'!$D$4:$D$13,MATCH($F155,'CAT_CENTROS_COSTO'!$A$4:$A$13,0)),"(sin catálogo)"))</f>
        <v/>
      </c>
      <c r="Y155" s="5">
        <f>IF($F155="","",IF((IFERROR(INDEX('CAT_CENTROS_COSTO'!$E$4:$E$13,MATCH($F155,'CAT_CENTROS_COSTO'!$A$4:$A$13,0)),""))&lt;&gt;"",IFERROR(INDEX('CAT_CENTROS_COSTO'!$E$4:$E$13,MATCH($F155,'CAT_CENTROS_COSTO'!$A$4:$A$13,0)),""),$X155))</f>
        <v/>
      </c>
      <c r="Z155" s="5">
        <f>IF($F155="","",IFERROR(INDEX('CAT_CENTROS_COSTO'!$G$4:$G$13,MATCH($F155,'CAT_CENTROS_COSTO'!$A$4:$A$13,0)),"(sin catálogo)"))</f>
        <v/>
      </c>
      <c r="AA155" s="5">
        <f>IF($G155="","",IFERROR(INDEX('CAT_PUESTOS'!$B$4:$B$8,MATCH($G155,'CAT_PUESTOS'!$A$4:$A$8,0)),"(sin catálogo)"))</f>
        <v/>
      </c>
      <c r="AB155" s="5">
        <f>IF($H155="","",IFERROR(INDEX('CAT_ACTIVIDADES'!$B$4:$B$11,MATCH($H155,'CAT_ACTIVIDADES'!$A$4:$A$11,0)),"(sin catálogo)"))</f>
        <v/>
      </c>
      <c r="AC155" s="20">
        <f>IF($J155="","",TODAY()-$J155)</f>
        <v/>
      </c>
      <c r="AD155" s="20">
        <f>IF($J155="","",IF($J155&lt;=TODAY(),COUNTIFS(cal_fechas,"&gt;="&amp;$J155,cal_fechas,"&lt;"&amp;TODAY(),cal_habil,"sí"),-COUNTIFS(cal_fechas,"&gt;="&amp;TODAY(),cal_fechas,"&lt;"&amp;$J155,cal_habil,"sí")))</f>
        <v/>
      </c>
      <c r="AE155" s="5">
        <f>IF($AD155="","",IF($AD155&lt;0,"FUTURO",IF($AD155&gt;p_dias_backlog_max,"BACKLOG","MES CORRIENTE")))</f>
        <v/>
      </c>
      <c r="AF155" s="5">
        <f>IF($AD155="",FALSE,AND($AD155&gt;p_dias_backlog_min,$AD155&lt;=p_dias_backlog_max))</f>
        <v/>
      </c>
      <c r="AG155" s="4" t="inlineStr"/>
      <c r="AH155" s="5">
        <f>IF($AG155="","",IF((IFERROR(INDEX('ASIGNACIONES'!$J$4:$J$451,MATCH($O155&amp;"|"&amp;$S155&amp;"|"&amp;$AG155,'ASIGNACIONES'!$N$4:$N$451,0)),""))=0,"",IFERROR(INDEX('ASIGNACIONES'!$J$4:$J$451,MATCH($O155&amp;"|"&amp;$S155&amp;"|"&amp;$AG155,'ASIGNACIONES'!$N$4:$N$451,0)),"")))</f>
        <v/>
      </c>
      <c r="AI155" s="25">
        <f>IF($AG155="","",SUMIFS('ORDENES'!$M$4:$M$1203,'ORDENES'!$AG$4:$AG$1203,$AG155,'ORDENES'!$O$4:$O$1203,$O155,'ORDENES'!$S$4:$S$1203,$S155))</f>
        <v/>
      </c>
      <c r="AJ155" s="25">
        <f>IF($AI155="","",p_factor_productividad*IFERROR(INDEX('ASIGNACIONES'!$M$4:$M$451,MATCH($O155&amp;"|"&amp;$S155&amp;"|"&amp;$AG155,'ASIGNACIONES'!$N$4:$N$451,0)),0)-$AI155)</f>
        <v/>
      </c>
      <c r="AK155" s="18">
        <f>IF($A155="","",IFERROR(INDEX('2_IMPORTAR_EJECUCION'!$F$9:$F$1208,MATCH($AT155,'2_IMPORTAR_EJECUCION'!$J$9:$J$1208,0)),0))</f>
        <v/>
      </c>
      <c r="AL155" s="18">
        <f>IF($A155="","",MAX(0,IFERROR(INDEX('2_IMPORTAR_EJECUCION'!$H$9:$H$1208,MATCH($AT155,'2_IMPORTAR_EJECUCION'!$J$9:$J$1208,0)),0)-$AK155))</f>
        <v/>
      </c>
      <c r="AM155" s="18">
        <f>IF($A155="","",$AK155+$AL155)</f>
        <v/>
      </c>
      <c r="AN155" s="5">
        <f>IF($A155="","",IF(OR((IFERROR(INDEX('CAT_ACTIVIDADES'!$D$4:$D$11,MATCH($H155,'CAT_ACTIVIDADES'!$A$4:$A$11,0)),""))=0,(IFERROR(INDEX('CAT_ACTIVIDADES'!$D$4:$D$11,MATCH($H155,'CAT_ACTIVIDADES'!$A$4:$A$11,0)),""))=""),"SIN CLASIFICAR",IFERROR(INDEX('CAT_ACTIVIDADES'!$D$4:$D$11,MATCH($H155,'CAT_ACTIVIDADES'!$A$4:$A$11,0)),"")))</f>
        <v/>
      </c>
      <c r="AO155" s="4" t="inlineStr"/>
      <c r="AP155" s="4" t="inlineStr"/>
      <c r="AQ155" s="4" t="inlineStr"/>
      <c r="AR155" s="5">
        <f>IF($AQ155="","",HYPERLINK(p_ruta_base_checklists&amp;$AQ155,"abrir"))</f>
        <v/>
      </c>
      <c r="AS155" s="4" t="inlineStr"/>
      <c r="AT155" s="5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22" t="n">
        <v>46134</v>
      </c>
      <c r="K156" s="5" t="n">
        <v>8</v>
      </c>
      <c r="L156" s="18" t="n">
        <v>200</v>
      </c>
      <c r="M156" s="5">
        <f>IF($A156="","",IFERROR(INDEX('AJUSTES'!$B$4:$B$303,MATCH($AT156,'AJUSTES'!$A$4:$A$303,0)),IF($K156="","",$K156)))</f>
        <v/>
      </c>
      <c r="N156" s="5">
        <f>IF($A156="","",IFERROR(INDEX('CAT_ESTADOS_ERP'!$B$4:$B$7,MATCH(IFERROR(INDEX('2_IMPORTAR_EJECUCION'!$C$9:$C$1208,MATCH($AT156,'2_IMPORTAR_EJECUCION'!$J$9:$J$1208,0)),""),'CAT_ESTADOS_ERP'!$A$4:$A$7,0)),"Pendiente"))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IF($J156="","",$P156&amp;"-"&amp;TEXT($Q156,"00"))</f>
        <v/>
      </c>
      <c r="S156" s="5">
        <f>IF($J156="","",INDEX(lista_dias,WEEKDAY($J156,2)))</f>
        <v/>
      </c>
      <c r="T156" s="5">
        <f>IF($J156="","",IFERROR(INDEX('CALENDARIO'!$C$15:$C$214,MATCH(TEXT($J156,"yyyy-mm-dd")&amp;"|"&amp;$X156&amp;"|"&amp;$Y156,'CALENDARIO'!$G$15:$G$214,0)),IFERROR(INDEX('CALENDARIO'!$C$15:$C$214,MATCH(TEXT($J156,"yyyy-mm-dd")&amp;"|"&amp;$X156&amp;"|",'CALENDARIO'!$G$15:$G$214,0)),IFERROR(INDEX('CALENDARIO'!$C$15:$C$214,MATCH(TEXT($J156,"yyyy-mm-dd")&amp;"||",'CALENDARIO'!$G$15:$G$214,0)),INDEX(patronHabil,WEEKDAY($J156,2))))))</f>
        <v/>
      </c>
      <c r="U156" s="5">
        <f>IF($I156="","",IFERROR(INDEX('CAT_TIPOS_OT'!$C$4:$C$8,MATCH($I156,'CAT_TIPOS_OT'!$A$4:$A$8,0)),"sin_clasificar"))</f>
        <v/>
      </c>
      <c r="V156" s="5">
        <f>IF($I156="","",IF(IFERROR(INDEX('CAT_TIPOS_OT'!$D$4:$D$8,MATCH($I156,'CAT_TIPOS_OT'!$A$4:$A$8,0)),"SIN CLASIFICAR")="","SIN CLASIFICAR",IFERROR(INDEX('CAT_TIPOS_OT'!$D$4:$D$8,MATCH($I156,'CAT_TIPOS_OT'!$A$4:$A$8,0)),"SIN CLASIFICAR")))</f>
        <v/>
      </c>
      <c r="W156" s="5">
        <f>IF($F156="","",IFERROR(INDEX('CAT_CENTROS_COSTO'!$F$4:$F$13,MATCH($F156,'CAT_CENTROS_COSTO'!$A$4:$A$13,0)),"(sin catálogo)"))</f>
        <v/>
      </c>
      <c r="X156" s="5">
        <f>IF($F156="","",IFERROR(INDEX('CAT_CENTROS_COSTO'!$D$4:$D$13,MATCH($F156,'CAT_CENTROS_COSTO'!$A$4:$A$13,0)),"(sin catálogo)"))</f>
        <v/>
      </c>
      <c r="Y156" s="5">
        <f>IF($F156="","",IF((IFERROR(INDEX('CAT_CENTROS_COSTO'!$E$4:$E$13,MATCH($F156,'CAT_CENTROS_COSTO'!$A$4:$A$13,0)),""))&lt;&gt;"",IFERROR(INDEX('CAT_CENTROS_COSTO'!$E$4:$E$13,MATCH($F156,'CAT_CENTROS_COSTO'!$A$4:$A$13,0)),""),$X156))</f>
        <v/>
      </c>
      <c r="Z156" s="5">
        <f>IF($F156="","",IFERROR(INDEX('CAT_CENTROS_COSTO'!$G$4:$G$13,MATCH($F156,'CAT_CENTROS_COSTO'!$A$4:$A$13,0)),"(sin catálogo)"))</f>
        <v/>
      </c>
      <c r="AA156" s="5">
        <f>IF($G156="","",IFERROR(INDEX('CAT_PUESTOS'!$B$4:$B$8,MATCH($G156,'CAT_PUESTOS'!$A$4:$A$8,0)),"(sin catálogo)"))</f>
        <v/>
      </c>
      <c r="AB156" s="5">
        <f>IF($H156="","",IFERROR(INDEX('CAT_ACTIVIDADES'!$B$4:$B$11,MATCH($H156,'CAT_ACTIVIDADES'!$A$4:$A$11,0)),"(sin catálogo)"))</f>
        <v/>
      </c>
      <c r="AC156" s="20">
        <f>IF($J156="","",TODAY()-$J156)</f>
        <v/>
      </c>
      <c r="AD156" s="20">
        <f>IF($J156="","",IF($J156&lt;=TODAY(),COUNTIFS(cal_fechas,"&gt;="&amp;$J156,cal_fechas,"&lt;"&amp;TODAY(),cal_habil,"sí"),-COUNTIFS(cal_fechas,"&gt;="&amp;TODAY(),cal_fechas,"&lt;"&amp;$J156,cal_habil,"sí")))</f>
        <v/>
      </c>
      <c r="AE156" s="5">
        <f>IF($AD156="","",IF($AD156&lt;0,"FUTURO",IF($AD156&gt;p_dias_backlog_max,"BACKLOG","MES CORRIENTE")))</f>
        <v/>
      </c>
      <c r="AF156" s="5">
        <f>IF($AD156="",FALSE,AND($AD156&gt;p_dias_backlog_min,$AD156&lt;=p_dias_backlog_max))</f>
        <v/>
      </c>
      <c r="AG156" s="4" t="inlineStr"/>
      <c r="AH156" s="5">
        <f>IF($AG156="","",IF((IFERROR(INDEX('ASIGNACIONES'!$J$4:$J$451,MATCH($O156&amp;"|"&amp;$S156&amp;"|"&amp;$AG156,'ASIGNACIONES'!$N$4:$N$451,0)),""))=0,"",IFERROR(INDEX('ASIGNACIONES'!$J$4:$J$451,MATCH($O156&amp;"|"&amp;$S156&amp;"|"&amp;$AG156,'ASIGNACIONES'!$N$4:$N$451,0)),"")))</f>
        <v/>
      </c>
      <c r="AI156" s="25">
        <f>IF($AG156="","",SUMIFS('ORDENES'!$M$4:$M$1203,'ORDENES'!$AG$4:$AG$1203,$AG156,'ORDENES'!$O$4:$O$1203,$O156,'ORDENES'!$S$4:$S$1203,$S156))</f>
        <v/>
      </c>
      <c r="AJ156" s="25">
        <f>IF($AI156="","",p_factor_productividad*IFERROR(INDEX('ASIGNACIONES'!$M$4:$M$451,MATCH($O156&amp;"|"&amp;$S156&amp;"|"&amp;$AG156,'ASIGNACIONES'!$N$4:$N$451,0)),0)-$AI156)</f>
        <v/>
      </c>
      <c r="AK156" s="18">
        <f>IF($A156="","",IFERROR(INDEX('2_IMPORTAR_EJECUCION'!$F$9:$F$1208,MATCH($AT156,'2_IMPORTAR_EJECUCION'!$J$9:$J$1208,0)),0))</f>
        <v/>
      </c>
      <c r="AL156" s="18">
        <f>IF($A156="","",MAX(0,IFERROR(INDEX('2_IMPORTAR_EJECUCION'!$H$9:$H$1208,MATCH($AT156,'2_IMPORTAR_EJECUCION'!$J$9:$J$1208,0)),0)-$AK156))</f>
        <v/>
      </c>
      <c r="AM156" s="18">
        <f>IF($A156="","",$AK156+$AL156)</f>
        <v/>
      </c>
      <c r="AN156" s="5">
        <f>IF($A156="","",IF(OR((IFERROR(INDEX('CAT_ACTIVIDADES'!$D$4:$D$11,MATCH($H156,'CAT_ACTIVIDADES'!$A$4:$A$11,0)),""))=0,(IFERROR(INDEX('CAT_ACTIVIDADES'!$D$4:$D$11,MATCH($H156,'CAT_ACTIVIDADES'!$A$4:$A$11,0)),""))=""),"SIN CLASIFICAR",IFERROR(INDEX('CAT_ACTIVIDADES'!$D$4:$D$11,MATCH($H156,'CAT_ACTIVIDADES'!$A$4:$A$11,0)),"")))</f>
        <v/>
      </c>
      <c r="AO156" s="4" t="inlineStr"/>
      <c r="AP156" s="4" t="inlineStr"/>
      <c r="AQ156" s="4" t="inlineStr"/>
      <c r="AR156" s="5">
        <f>IF($AQ156="","",HYPERLINK(p_ruta_base_checklists&amp;$AQ156,"abrir"))</f>
        <v/>
      </c>
      <c r="AS156" s="4" t="inlineStr"/>
      <c r="AT156" s="5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22" t="n">
        <v>46127</v>
      </c>
      <c r="K157" s="5" t="n">
        <v>4</v>
      </c>
      <c r="L157" s="18" t="n">
        <v>160</v>
      </c>
      <c r="M157" s="5">
        <f>IF($A157="","",IFERROR(INDEX('AJUSTES'!$B$4:$B$303,MATCH($AT157,'AJUSTES'!$A$4:$A$303,0)),IF($K157="","",$K157)))</f>
        <v/>
      </c>
      <c r="N157" s="5">
        <f>IF($A157="","",IFERROR(INDEX('CAT_ESTADOS_ERP'!$B$4:$B$7,MATCH(IFERROR(INDEX('2_IMPORTAR_EJECUCION'!$C$9:$C$1208,MATCH($AT157,'2_IMPORTAR_EJECUCION'!$J$9:$J$1208,0)),""),'CAT_ESTADOS_ERP'!$A$4:$A$7,0)),"Pendiente"))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IF($J157="","",$P157&amp;"-"&amp;TEXT($Q157,"00"))</f>
        <v/>
      </c>
      <c r="S157" s="5">
        <f>IF($J157="","",INDEX(lista_dias,WEEKDAY($J157,2)))</f>
        <v/>
      </c>
      <c r="T157" s="5">
        <f>IF($J157="","",IFERROR(INDEX('CALENDARIO'!$C$15:$C$214,MATCH(TEXT($J157,"yyyy-mm-dd")&amp;"|"&amp;$X157&amp;"|"&amp;$Y157,'CALENDARIO'!$G$15:$G$214,0)),IFERROR(INDEX('CALENDARIO'!$C$15:$C$214,MATCH(TEXT($J157,"yyyy-mm-dd")&amp;"|"&amp;$X157&amp;"|",'CALENDARIO'!$G$15:$G$214,0)),IFERROR(INDEX('CALENDARIO'!$C$15:$C$214,MATCH(TEXT($J157,"yyyy-mm-dd")&amp;"||",'CALENDARIO'!$G$15:$G$214,0)),INDEX(patronHabil,WEEKDAY($J157,2))))))</f>
        <v/>
      </c>
      <c r="U157" s="5">
        <f>IF($I157="","",IFERROR(INDEX('CAT_TIPOS_OT'!$C$4:$C$8,MATCH($I157,'CAT_TIPOS_OT'!$A$4:$A$8,0)),"sin_clasificar"))</f>
        <v/>
      </c>
      <c r="V157" s="5">
        <f>IF($I157="","",IF(IFERROR(INDEX('CAT_TIPOS_OT'!$D$4:$D$8,MATCH($I157,'CAT_TIPOS_OT'!$A$4:$A$8,0)),"SIN CLASIFICAR")="","SIN CLASIFICAR",IFERROR(INDEX('CAT_TIPOS_OT'!$D$4:$D$8,MATCH($I157,'CAT_TIPOS_OT'!$A$4:$A$8,0)),"SIN CLASIFICAR")))</f>
        <v/>
      </c>
      <c r="W157" s="5">
        <f>IF($F157="","",IFERROR(INDEX('CAT_CENTROS_COSTO'!$F$4:$F$13,MATCH($F157,'CAT_CENTROS_COSTO'!$A$4:$A$13,0)),"(sin catálogo)"))</f>
        <v/>
      </c>
      <c r="X157" s="5">
        <f>IF($F157="","",IFERROR(INDEX('CAT_CENTROS_COSTO'!$D$4:$D$13,MATCH($F157,'CAT_CENTROS_COSTO'!$A$4:$A$13,0)),"(sin catálogo)"))</f>
        <v/>
      </c>
      <c r="Y157" s="5">
        <f>IF($F157="","",IF((IFERROR(INDEX('CAT_CENTROS_COSTO'!$E$4:$E$13,MATCH($F157,'CAT_CENTROS_COSTO'!$A$4:$A$13,0)),""))&lt;&gt;"",IFERROR(INDEX('CAT_CENTROS_COSTO'!$E$4:$E$13,MATCH($F157,'CAT_CENTROS_COSTO'!$A$4:$A$13,0)),""),$X157))</f>
        <v/>
      </c>
      <c r="Z157" s="5">
        <f>IF($F157="","",IFERROR(INDEX('CAT_CENTROS_COSTO'!$G$4:$G$13,MATCH($F157,'CAT_CENTROS_COSTO'!$A$4:$A$13,0)),"(sin catálogo)"))</f>
        <v/>
      </c>
      <c r="AA157" s="5">
        <f>IF($G157="","",IFERROR(INDEX('CAT_PUESTOS'!$B$4:$B$8,MATCH($G157,'CAT_PUESTOS'!$A$4:$A$8,0)),"(sin catálogo)"))</f>
        <v/>
      </c>
      <c r="AB157" s="5">
        <f>IF($H157="","",IFERROR(INDEX('CAT_ACTIVIDADES'!$B$4:$B$11,MATCH($H157,'CAT_ACTIVIDADES'!$A$4:$A$11,0)),"(sin catálogo)"))</f>
        <v/>
      </c>
      <c r="AC157" s="20">
        <f>IF($J157="","",TODAY()-$J157)</f>
        <v/>
      </c>
      <c r="AD157" s="20">
        <f>IF($J157="","",IF($J157&lt;=TODAY(),COUNTIFS(cal_fechas,"&gt;="&amp;$J157,cal_fechas,"&lt;"&amp;TODAY(),cal_habil,"sí"),-COUNTIFS(cal_fechas,"&gt;="&amp;TODAY(),cal_fechas,"&lt;"&amp;$J157,cal_habil,"sí")))</f>
        <v/>
      </c>
      <c r="AE157" s="5">
        <f>IF($AD157="","",IF($AD157&lt;0,"FUTURO",IF($AD157&gt;p_dias_backlog_max,"BACKLOG","MES CORRIENTE")))</f>
        <v/>
      </c>
      <c r="AF157" s="5">
        <f>IF($AD157="",FALSE,AND($AD157&gt;p_dias_backlog_min,$AD157&lt;=p_dias_backlog_max))</f>
        <v/>
      </c>
      <c r="AG157" s="4" t="inlineStr"/>
      <c r="AH157" s="5">
        <f>IF($AG157="","",IF((IFERROR(INDEX('ASIGNACIONES'!$J$4:$J$451,MATCH($O157&amp;"|"&amp;$S157&amp;"|"&amp;$AG157,'ASIGNACIONES'!$N$4:$N$451,0)),""))=0,"",IFERROR(INDEX('ASIGNACIONES'!$J$4:$J$451,MATCH($O157&amp;"|"&amp;$S157&amp;"|"&amp;$AG157,'ASIGNACIONES'!$N$4:$N$451,0)),"")))</f>
        <v/>
      </c>
      <c r="AI157" s="25">
        <f>IF($AG157="","",SUMIFS('ORDENES'!$M$4:$M$1203,'ORDENES'!$AG$4:$AG$1203,$AG157,'ORDENES'!$O$4:$O$1203,$O157,'ORDENES'!$S$4:$S$1203,$S157))</f>
        <v/>
      </c>
      <c r="AJ157" s="25">
        <f>IF($AI157="","",p_factor_productividad*IFERROR(INDEX('ASIGNACIONES'!$M$4:$M$451,MATCH($O157&amp;"|"&amp;$S157&amp;"|"&amp;$AG157,'ASIGNACIONES'!$N$4:$N$451,0)),0)-$AI157)</f>
        <v/>
      </c>
      <c r="AK157" s="18">
        <f>IF($A157="","",IFERROR(INDEX('2_IMPORTAR_EJECUCION'!$F$9:$F$1208,MATCH($AT157,'2_IMPORTAR_EJECUCION'!$J$9:$J$1208,0)),0))</f>
        <v/>
      </c>
      <c r="AL157" s="18">
        <f>IF($A157="","",MAX(0,IFERROR(INDEX('2_IMPORTAR_EJECUCION'!$H$9:$H$1208,MATCH($AT157,'2_IMPORTAR_EJECUCION'!$J$9:$J$1208,0)),0)-$AK157))</f>
        <v/>
      </c>
      <c r="AM157" s="18">
        <f>IF($A157="","",$AK157+$AL157)</f>
        <v/>
      </c>
      <c r="AN157" s="5">
        <f>IF($A157="","",IF(OR((IFERROR(INDEX('CAT_ACTIVIDADES'!$D$4:$D$11,MATCH($H157,'CAT_ACTIVIDADES'!$A$4:$A$11,0)),""))=0,(IFERROR(INDEX('CAT_ACTIVIDADES'!$D$4:$D$11,MATCH($H157,'CAT_ACTIVIDADES'!$A$4:$A$11,0)),""))=""),"SIN CLASIFICAR",IFERROR(INDEX('CAT_ACTIVIDADES'!$D$4:$D$11,MATCH($H157,'CAT_ACTIVIDADES'!$A$4:$A$11,0)),"")))</f>
        <v/>
      </c>
      <c r="AO157" s="4" t="inlineStr"/>
      <c r="AP157" s="4" t="inlineStr"/>
      <c r="AQ157" s="4" t="inlineStr"/>
      <c r="AR157" s="5">
        <f>IF($AQ157="","",HYPERLINK(p_ruta_base_checklists&amp;$AQ157,"abrir"))</f>
        <v/>
      </c>
      <c r="AS157" s="4" t="inlineStr"/>
      <c r="AT157" s="5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22" t="n">
        <v>46120</v>
      </c>
      <c r="K158" s="5" t="n">
        <v>6</v>
      </c>
      <c r="L158" s="18" t="n">
        <v>150</v>
      </c>
      <c r="M158" s="5">
        <f>IF($A158="","",IFERROR(INDEX('AJUSTES'!$B$4:$B$303,MATCH($AT158,'AJUSTES'!$A$4:$A$303,0)),IF($K158="","",$K158)))</f>
        <v/>
      </c>
      <c r="N158" s="5">
        <f>IF($A158="","",IFERROR(INDEX('CAT_ESTADOS_ERP'!$B$4:$B$7,MATCH(IFERROR(INDEX('2_IMPORTAR_EJECUCION'!$C$9:$C$1208,MATCH($AT158,'2_IMPORTAR_EJECUCION'!$J$9:$J$1208,0)),""),'CAT_ESTADOS_ERP'!$A$4:$A$7,0)),"Pendiente"))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IF($J158="","",$P158&amp;"-"&amp;TEXT($Q158,"00"))</f>
        <v/>
      </c>
      <c r="S158" s="5">
        <f>IF($J158="","",INDEX(lista_dias,WEEKDAY($J158,2)))</f>
        <v/>
      </c>
      <c r="T158" s="5">
        <f>IF($J158="","",IFERROR(INDEX('CALENDARIO'!$C$15:$C$214,MATCH(TEXT($J158,"yyyy-mm-dd")&amp;"|"&amp;$X158&amp;"|"&amp;$Y158,'CALENDARIO'!$G$15:$G$214,0)),IFERROR(INDEX('CALENDARIO'!$C$15:$C$214,MATCH(TEXT($J158,"yyyy-mm-dd")&amp;"|"&amp;$X158&amp;"|",'CALENDARIO'!$G$15:$G$214,0)),IFERROR(INDEX('CALENDARIO'!$C$15:$C$214,MATCH(TEXT($J158,"yyyy-mm-dd")&amp;"||",'CALENDARIO'!$G$15:$G$214,0)),INDEX(patronHabil,WEEKDAY($J158,2))))))</f>
        <v/>
      </c>
      <c r="U158" s="5">
        <f>IF($I158="","",IFERROR(INDEX('CAT_TIPOS_OT'!$C$4:$C$8,MATCH($I158,'CAT_TIPOS_OT'!$A$4:$A$8,0)),"sin_clasificar"))</f>
        <v/>
      </c>
      <c r="V158" s="5">
        <f>IF($I158="","",IF(IFERROR(INDEX('CAT_TIPOS_OT'!$D$4:$D$8,MATCH($I158,'CAT_TIPOS_OT'!$A$4:$A$8,0)),"SIN CLASIFICAR")="","SIN CLASIFICAR",IFERROR(INDEX('CAT_TIPOS_OT'!$D$4:$D$8,MATCH($I158,'CAT_TIPOS_OT'!$A$4:$A$8,0)),"SIN CLASIFICAR")))</f>
        <v/>
      </c>
      <c r="W158" s="5">
        <f>IF($F158="","",IFERROR(INDEX('CAT_CENTROS_COSTO'!$F$4:$F$13,MATCH($F158,'CAT_CENTROS_COSTO'!$A$4:$A$13,0)),"(sin catálogo)"))</f>
        <v/>
      </c>
      <c r="X158" s="5">
        <f>IF($F158="","",IFERROR(INDEX('CAT_CENTROS_COSTO'!$D$4:$D$13,MATCH($F158,'CAT_CENTROS_COSTO'!$A$4:$A$13,0)),"(sin catálogo)"))</f>
        <v/>
      </c>
      <c r="Y158" s="5">
        <f>IF($F158="","",IF((IFERROR(INDEX('CAT_CENTROS_COSTO'!$E$4:$E$13,MATCH($F158,'CAT_CENTROS_COSTO'!$A$4:$A$13,0)),""))&lt;&gt;"",IFERROR(INDEX('CAT_CENTROS_COSTO'!$E$4:$E$13,MATCH($F158,'CAT_CENTROS_COSTO'!$A$4:$A$13,0)),""),$X158))</f>
        <v/>
      </c>
      <c r="Z158" s="5">
        <f>IF($F158="","",IFERROR(INDEX('CAT_CENTROS_COSTO'!$G$4:$G$13,MATCH($F158,'CAT_CENTROS_COSTO'!$A$4:$A$13,0)),"(sin catálogo)"))</f>
        <v/>
      </c>
      <c r="AA158" s="5">
        <f>IF($G158="","",IFERROR(INDEX('CAT_PUESTOS'!$B$4:$B$8,MATCH($G158,'CAT_PUESTOS'!$A$4:$A$8,0)),"(sin catálogo)"))</f>
        <v/>
      </c>
      <c r="AB158" s="5">
        <f>IF($H158="","",IFERROR(INDEX('CAT_ACTIVIDADES'!$B$4:$B$11,MATCH($H158,'CAT_ACTIVIDADES'!$A$4:$A$11,0)),"(sin catálogo)"))</f>
        <v/>
      </c>
      <c r="AC158" s="20">
        <f>IF($J158="","",TODAY()-$J158)</f>
        <v/>
      </c>
      <c r="AD158" s="20">
        <f>IF($J158="","",IF($J158&lt;=TODAY(),COUNTIFS(cal_fechas,"&gt;="&amp;$J158,cal_fechas,"&lt;"&amp;TODAY(),cal_habil,"sí"),-COUNTIFS(cal_fechas,"&gt;="&amp;TODAY(),cal_fechas,"&lt;"&amp;$J158,cal_habil,"sí")))</f>
        <v/>
      </c>
      <c r="AE158" s="5">
        <f>IF($AD158="","",IF($AD158&lt;0,"FUTURO",IF($AD158&gt;p_dias_backlog_max,"BACKLOG","MES CORRIENTE")))</f>
        <v/>
      </c>
      <c r="AF158" s="5">
        <f>IF($AD158="",FALSE,AND($AD158&gt;p_dias_backlog_min,$AD158&lt;=p_dias_backlog_max))</f>
        <v/>
      </c>
      <c r="AG158" s="4" t="inlineStr"/>
      <c r="AH158" s="5">
        <f>IF($AG158="","",IF((IFERROR(INDEX('ASIGNACIONES'!$J$4:$J$451,MATCH($O158&amp;"|"&amp;$S158&amp;"|"&amp;$AG158,'ASIGNACIONES'!$N$4:$N$451,0)),""))=0,"",IFERROR(INDEX('ASIGNACIONES'!$J$4:$J$451,MATCH($O158&amp;"|"&amp;$S158&amp;"|"&amp;$AG158,'ASIGNACIONES'!$N$4:$N$451,0)),"")))</f>
        <v/>
      </c>
      <c r="AI158" s="25">
        <f>IF($AG158="","",SUMIFS('ORDENES'!$M$4:$M$1203,'ORDENES'!$AG$4:$AG$1203,$AG158,'ORDENES'!$O$4:$O$1203,$O158,'ORDENES'!$S$4:$S$1203,$S158))</f>
        <v/>
      </c>
      <c r="AJ158" s="25">
        <f>IF($AI158="","",p_factor_productividad*IFERROR(INDEX('ASIGNACIONES'!$M$4:$M$451,MATCH($O158&amp;"|"&amp;$S158&amp;"|"&amp;$AG158,'ASIGNACIONES'!$N$4:$N$451,0)),0)-$AI158)</f>
        <v/>
      </c>
      <c r="AK158" s="18">
        <f>IF($A158="","",IFERROR(INDEX('2_IMPORTAR_EJECUCION'!$F$9:$F$1208,MATCH($AT158,'2_IMPORTAR_EJECUCION'!$J$9:$J$1208,0)),0))</f>
        <v/>
      </c>
      <c r="AL158" s="18">
        <f>IF($A158="","",MAX(0,IFERROR(INDEX('2_IMPORTAR_EJECUCION'!$H$9:$H$1208,MATCH($AT158,'2_IMPORTAR_EJECUCION'!$J$9:$J$1208,0)),0)-$AK158))</f>
        <v/>
      </c>
      <c r="AM158" s="18">
        <f>IF($A158="","",$AK158+$AL158)</f>
        <v/>
      </c>
      <c r="AN158" s="5">
        <f>IF($A158="","",IF(OR((IFERROR(INDEX('CAT_ACTIVIDADES'!$D$4:$D$11,MATCH($H158,'CAT_ACTIVIDADES'!$A$4:$A$11,0)),""))=0,(IFERROR(INDEX('CAT_ACTIVIDADES'!$D$4:$D$11,MATCH($H158,'CAT_ACTIVIDADES'!$A$4:$A$11,0)),""))=""),"SIN CLASIFICAR",IFERROR(INDEX('CAT_ACTIVIDADES'!$D$4:$D$11,MATCH($H158,'CAT_ACTIVIDADES'!$A$4:$A$11,0)),"")))</f>
        <v/>
      </c>
      <c r="AO158" s="4" t="inlineStr"/>
      <c r="AP158" s="4" t="inlineStr"/>
      <c r="AQ158" s="4" t="inlineStr"/>
      <c r="AR158" s="5">
        <f>IF($AQ158="","",HYPERLINK(p_ruta_base_checklists&amp;$AQ158,"abrir"))</f>
        <v/>
      </c>
      <c r="AS158" s="4" t="inlineStr"/>
      <c r="AT158" s="5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22" t="n">
        <v>46113</v>
      </c>
      <c r="K159" s="5" t="n">
        <v>8</v>
      </c>
      <c r="L159" s="18" t="n">
        <v>320</v>
      </c>
      <c r="M159" s="5">
        <f>IF($A159="","",IFERROR(INDEX('AJUSTES'!$B$4:$B$303,MATCH($AT159,'AJUSTES'!$A$4:$A$303,0)),IF($K159="","",$K159)))</f>
        <v/>
      </c>
      <c r="N159" s="5">
        <f>IF($A159="","",IFERROR(INDEX('CAT_ESTADOS_ERP'!$B$4:$B$7,MATCH(IFERROR(INDEX('2_IMPORTAR_EJECUCION'!$C$9:$C$1208,MATCH($AT159,'2_IMPORTAR_EJECUCION'!$J$9:$J$1208,0)),""),'CAT_ESTADOS_ERP'!$A$4:$A$7,0)),"Pendiente"))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IF($J159="","",$P159&amp;"-"&amp;TEXT($Q159,"00"))</f>
        <v/>
      </c>
      <c r="S159" s="5">
        <f>IF($J159="","",INDEX(lista_dias,WEEKDAY($J159,2)))</f>
        <v/>
      </c>
      <c r="T159" s="5">
        <f>IF($J159="","",IFERROR(INDEX('CALENDARIO'!$C$15:$C$214,MATCH(TEXT($J159,"yyyy-mm-dd")&amp;"|"&amp;$X159&amp;"|"&amp;$Y159,'CALENDARIO'!$G$15:$G$214,0)),IFERROR(INDEX('CALENDARIO'!$C$15:$C$214,MATCH(TEXT($J159,"yyyy-mm-dd")&amp;"|"&amp;$X159&amp;"|",'CALENDARIO'!$G$15:$G$214,0)),IFERROR(INDEX('CALENDARIO'!$C$15:$C$214,MATCH(TEXT($J159,"yyyy-mm-dd")&amp;"||",'CALENDARIO'!$G$15:$G$214,0)),INDEX(patronHabil,WEEKDAY($J159,2))))))</f>
        <v/>
      </c>
      <c r="U159" s="5">
        <f>IF($I159="","",IFERROR(INDEX('CAT_TIPOS_OT'!$C$4:$C$8,MATCH($I159,'CAT_TIPOS_OT'!$A$4:$A$8,0)),"sin_clasificar"))</f>
        <v/>
      </c>
      <c r="V159" s="5">
        <f>IF($I159="","",IF(IFERROR(INDEX('CAT_TIPOS_OT'!$D$4:$D$8,MATCH($I159,'CAT_TIPOS_OT'!$A$4:$A$8,0)),"SIN CLASIFICAR")="","SIN CLASIFICAR",IFERROR(INDEX('CAT_TIPOS_OT'!$D$4:$D$8,MATCH($I159,'CAT_TIPOS_OT'!$A$4:$A$8,0)),"SIN CLASIFICAR")))</f>
        <v/>
      </c>
      <c r="W159" s="5">
        <f>IF($F159="","",IFERROR(INDEX('CAT_CENTROS_COSTO'!$F$4:$F$13,MATCH($F159,'CAT_CENTROS_COSTO'!$A$4:$A$13,0)),"(sin catálogo)"))</f>
        <v/>
      </c>
      <c r="X159" s="5">
        <f>IF($F159="","",IFERROR(INDEX('CAT_CENTROS_COSTO'!$D$4:$D$13,MATCH($F159,'CAT_CENTROS_COSTO'!$A$4:$A$13,0)),"(sin catálogo)"))</f>
        <v/>
      </c>
      <c r="Y159" s="5">
        <f>IF($F159="","",IF((IFERROR(INDEX('CAT_CENTROS_COSTO'!$E$4:$E$13,MATCH($F159,'CAT_CENTROS_COSTO'!$A$4:$A$13,0)),""))&lt;&gt;"",IFERROR(INDEX('CAT_CENTROS_COSTO'!$E$4:$E$13,MATCH($F159,'CAT_CENTROS_COSTO'!$A$4:$A$13,0)),""),$X159))</f>
        <v/>
      </c>
      <c r="Z159" s="5">
        <f>IF($F159="","",IFERROR(INDEX('CAT_CENTROS_COSTO'!$G$4:$G$13,MATCH($F159,'CAT_CENTROS_COSTO'!$A$4:$A$13,0)),"(sin catálogo)"))</f>
        <v/>
      </c>
      <c r="AA159" s="5">
        <f>IF($G159="","",IFERROR(INDEX('CAT_PUESTOS'!$B$4:$B$8,MATCH($G159,'CAT_PUESTOS'!$A$4:$A$8,0)),"(sin catálogo)"))</f>
        <v/>
      </c>
      <c r="AB159" s="5">
        <f>IF($H159="","",IFERROR(INDEX('CAT_ACTIVIDADES'!$B$4:$B$11,MATCH($H159,'CAT_ACTIVIDADES'!$A$4:$A$11,0)),"(sin catálogo)"))</f>
        <v/>
      </c>
      <c r="AC159" s="20">
        <f>IF($J159="","",TODAY()-$J159)</f>
        <v/>
      </c>
      <c r="AD159" s="20">
        <f>IF($J159="","",IF($J159&lt;=TODAY(),COUNTIFS(cal_fechas,"&gt;="&amp;$J159,cal_fechas,"&lt;"&amp;TODAY(),cal_habil,"sí"),-COUNTIFS(cal_fechas,"&gt;="&amp;TODAY(),cal_fechas,"&lt;"&amp;$J159,cal_habil,"sí")))</f>
        <v/>
      </c>
      <c r="AE159" s="5">
        <f>IF($AD159="","",IF($AD159&lt;0,"FUTURO",IF($AD159&gt;p_dias_backlog_max,"BACKLOG","MES CORRIENTE")))</f>
        <v/>
      </c>
      <c r="AF159" s="5">
        <f>IF($AD159="",FALSE,AND($AD159&gt;p_dias_backlog_min,$AD159&lt;=p_dias_backlog_max))</f>
        <v/>
      </c>
      <c r="AG159" s="4" t="inlineStr"/>
      <c r="AH159" s="5">
        <f>IF($AG159="","",IF((IFERROR(INDEX('ASIGNACIONES'!$J$4:$J$451,MATCH($O159&amp;"|"&amp;$S159&amp;"|"&amp;$AG159,'ASIGNACIONES'!$N$4:$N$451,0)),""))=0,"",IFERROR(INDEX('ASIGNACIONES'!$J$4:$J$451,MATCH($O159&amp;"|"&amp;$S159&amp;"|"&amp;$AG159,'ASIGNACIONES'!$N$4:$N$451,0)),"")))</f>
        <v/>
      </c>
      <c r="AI159" s="25">
        <f>IF($AG159="","",SUMIFS('ORDENES'!$M$4:$M$1203,'ORDENES'!$AG$4:$AG$1203,$AG159,'ORDENES'!$O$4:$O$1203,$O159,'ORDENES'!$S$4:$S$1203,$S159))</f>
        <v/>
      </c>
      <c r="AJ159" s="25">
        <f>IF($AI159="","",p_factor_productividad*IFERROR(INDEX('ASIGNACIONES'!$M$4:$M$451,MATCH($O159&amp;"|"&amp;$S159&amp;"|"&amp;$AG159,'ASIGNACIONES'!$N$4:$N$451,0)),0)-$AI159)</f>
        <v/>
      </c>
      <c r="AK159" s="18">
        <f>IF($A159="","",IFERROR(INDEX('2_IMPORTAR_EJECUCION'!$F$9:$F$1208,MATCH($AT159,'2_IMPORTAR_EJECUCION'!$J$9:$J$1208,0)),0))</f>
        <v/>
      </c>
      <c r="AL159" s="18">
        <f>IF($A159="","",MAX(0,IFERROR(INDEX('2_IMPORTAR_EJECUCION'!$H$9:$H$1208,MATCH($AT159,'2_IMPORTAR_EJECUCION'!$J$9:$J$1208,0)),0)-$AK159))</f>
        <v/>
      </c>
      <c r="AM159" s="18">
        <f>IF($A159="","",$AK159+$AL159)</f>
        <v/>
      </c>
      <c r="AN159" s="5">
        <f>IF($A159="","",IF(OR((IFERROR(INDEX('CAT_ACTIVIDADES'!$D$4:$D$11,MATCH($H159,'CAT_ACTIVIDADES'!$A$4:$A$11,0)),""))=0,(IFERROR(INDEX('CAT_ACTIVIDADES'!$D$4:$D$11,MATCH($H159,'CAT_ACTIVIDADES'!$A$4:$A$11,0)),""))=""),"SIN CLASIFICAR",IFERROR(INDEX('CAT_ACTIVIDADES'!$D$4:$D$11,MATCH($H159,'CAT_ACTIVIDADES'!$A$4:$A$11,0)),"")))</f>
        <v/>
      </c>
      <c r="AO159" s="4" t="inlineStr"/>
      <c r="AP159" s="4" t="inlineStr"/>
      <c r="AQ159" s="4" t="inlineStr"/>
      <c r="AR159" s="5">
        <f>IF($AQ159="","",HYPERLINK(p_ruta_base_checklists&amp;$AQ159,"abrir"))</f>
        <v/>
      </c>
      <c r="AS159" s="4" t="inlineStr"/>
      <c r="AT159" s="5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22" t="n">
        <v>46106</v>
      </c>
      <c r="K160" s="5" t="n">
        <v>4</v>
      </c>
      <c r="L160" s="18" t="n">
        <v>100</v>
      </c>
      <c r="M160" s="5">
        <f>IF($A160="","",IFERROR(INDEX('AJUSTES'!$B$4:$B$303,MATCH($AT160,'AJUSTES'!$A$4:$A$303,0)),IF($K160="","",$K160)))</f>
        <v/>
      </c>
      <c r="N160" s="5">
        <f>IF($A160="","",IFERROR(INDEX('CAT_ESTADOS_ERP'!$B$4:$B$7,MATCH(IFERROR(INDEX('2_IMPORTAR_EJECUCION'!$C$9:$C$1208,MATCH($AT160,'2_IMPORTAR_EJECUCION'!$J$9:$J$1208,0)),""),'CAT_ESTADOS_ERP'!$A$4:$A$7,0)),"Pendiente"))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IF($J160="","",$P160&amp;"-"&amp;TEXT($Q160,"00"))</f>
        <v/>
      </c>
      <c r="S160" s="5">
        <f>IF($J160="","",INDEX(lista_dias,WEEKDAY($J160,2)))</f>
        <v/>
      </c>
      <c r="T160" s="5">
        <f>IF($J160="","",IFERROR(INDEX('CALENDARIO'!$C$15:$C$214,MATCH(TEXT($J160,"yyyy-mm-dd")&amp;"|"&amp;$X160&amp;"|"&amp;$Y160,'CALENDARIO'!$G$15:$G$214,0)),IFERROR(INDEX('CALENDARIO'!$C$15:$C$214,MATCH(TEXT($J160,"yyyy-mm-dd")&amp;"|"&amp;$X160&amp;"|",'CALENDARIO'!$G$15:$G$214,0)),IFERROR(INDEX('CALENDARIO'!$C$15:$C$214,MATCH(TEXT($J160,"yyyy-mm-dd")&amp;"||",'CALENDARIO'!$G$15:$G$214,0)),INDEX(patronHabil,WEEKDAY($J160,2))))))</f>
        <v/>
      </c>
      <c r="U160" s="5">
        <f>IF($I160="","",IFERROR(INDEX('CAT_TIPOS_OT'!$C$4:$C$8,MATCH($I160,'CAT_TIPOS_OT'!$A$4:$A$8,0)),"sin_clasificar"))</f>
        <v/>
      </c>
      <c r="V160" s="5">
        <f>IF($I160="","",IF(IFERROR(INDEX('CAT_TIPOS_OT'!$D$4:$D$8,MATCH($I160,'CAT_TIPOS_OT'!$A$4:$A$8,0)),"SIN CLASIFICAR")="","SIN CLASIFICAR",IFERROR(INDEX('CAT_TIPOS_OT'!$D$4:$D$8,MATCH($I160,'CAT_TIPOS_OT'!$A$4:$A$8,0)),"SIN CLASIFICAR")))</f>
        <v/>
      </c>
      <c r="W160" s="5">
        <f>IF($F160="","",IFERROR(INDEX('CAT_CENTROS_COSTO'!$F$4:$F$13,MATCH($F160,'CAT_CENTROS_COSTO'!$A$4:$A$13,0)),"(sin catálogo)"))</f>
        <v/>
      </c>
      <c r="X160" s="5">
        <f>IF($F160="","",IFERROR(INDEX('CAT_CENTROS_COSTO'!$D$4:$D$13,MATCH($F160,'CAT_CENTROS_COSTO'!$A$4:$A$13,0)),"(sin catálogo)"))</f>
        <v/>
      </c>
      <c r="Y160" s="5">
        <f>IF($F160="","",IF((IFERROR(INDEX('CAT_CENTROS_COSTO'!$E$4:$E$13,MATCH($F160,'CAT_CENTROS_COSTO'!$A$4:$A$13,0)),""))&lt;&gt;"",IFERROR(INDEX('CAT_CENTROS_COSTO'!$E$4:$E$13,MATCH($F160,'CAT_CENTROS_COSTO'!$A$4:$A$13,0)),""),$X160))</f>
        <v/>
      </c>
      <c r="Z160" s="5">
        <f>IF($F160="","",IFERROR(INDEX('CAT_CENTROS_COSTO'!$G$4:$G$13,MATCH($F160,'CAT_CENTROS_COSTO'!$A$4:$A$13,0)),"(sin catálogo)"))</f>
        <v/>
      </c>
      <c r="AA160" s="5">
        <f>IF($G160="","",IFERROR(INDEX('CAT_PUESTOS'!$B$4:$B$8,MATCH($G160,'CAT_PUESTOS'!$A$4:$A$8,0)),"(sin catálogo)"))</f>
        <v/>
      </c>
      <c r="AB160" s="5">
        <f>IF($H160="","",IFERROR(INDEX('CAT_ACTIVIDADES'!$B$4:$B$11,MATCH($H160,'CAT_ACTIVIDADES'!$A$4:$A$11,0)),"(sin catálogo)"))</f>
        <v/>
      </c>
      <c r="AC160" s="20">
        <f>IF($J160="","",TODAY()-$J160)</f>
        <v/>
      </c>
      <c r="AD160" s="20">
        <f>IF($J160="","",IF($J160&lt;=TODAY(),COUNTIFS(cal_fechas,"&gt;="&amp;$J160,cal_fechas,"&lt;"&amp;TODAY(),cal_habil,"sí"),-COUNTIFS(cal_fechas,"&gt;="&amp;TODAY(),cal_fechas,"&lt;"&amp;$J160,cal_habil,"sí")))</f>
        <v/>
      </c>
      <c r="AE160" s="5">
        <f>IF($AD160="","",IF($AD160&lt;0,"FUTURO",IF($AD160&gt;p_dias_backlog_max,"BACKLOG","MES CORRIENTE")))</f>
        <v/>
      </c>
      <c r="AF160" s="5">
        <f>IF($AD160="",FALSE,AND($AD160&gt;p_dias_backlog_min,$AD160&lt;=p_dias_backlog_max))</f>
        <v/>
      </c>
      <c r="AG160" s="4" t="inlineStr"/>
      <c r="AH160" s="5">
        <f>IF($AG160="","",IF((IFERROR(INDEX('ASIGNACIONES'!$J$4:$J$451,MATCH($O160&amp;"|"&amp;$S160&amp;"|"&amp;$AG160,'ASIGNACIONES'!$N$4:$N$451,0)),""))=0,"",IFERROR(INDEX('ASIGNACIONES'!$J$4:$J$451,MATCH($O160&amp;"|"&amp;$S160&amp;"|"&amp;$AG160,'ASIGNACIONES'!$N$4:$N$451,0)),"")))</f>
        <v/>
      </c>
      <c r="AI160" s="25">
        <f>IF($AG160="","",SUMIFS('ORDENES'!$M$4:$M$1203,'ORDENES'!$AG$4:$AG$1203,$AG160,'ORDENES'!$O$4:$O$1203,$O160,'ORDENES'!$S$4:$S$1203,$S160))</f>
        <v/>
      </c>
      <c r="AJ160" s="25">
        <f>IF($AI160="","",p_factor_productividad*IFERROR(INDEX('ASIGNACIONES'!$M$4:$M$451,MATCH($O160&amp;"|"&amp;$S160&amp;"|"&amp;$AG160,'ASIGNACIONES'!$N$4:$N$451,0)),0)-$AI160)</f>
        <v/>
      </c>
      <c r="AK160" s="18">
        <f>IF($A160="","",IFERROR(INDEX('2_IMPORTAR_EJECUCION'!$F$9:$F$1208,MATCH($AT160,'2_IMPORTAR_EJECUCION'!$J$9:$J$1208,0)),0))</f>
        <v/>
      </c>
      <c r="AL160" s="18">
        <f>IF($A160="","",MAX(0,IFERROR(INDEX('2_IMPORTAR_EJECUCION'!$H$9:$H$1208,MATCH($AT160,'2_IMPORTAR_EJECUCION'!$J$9:$J$1208,0)),0)-$AK160))</f>
        <v/>
      </c>
      <c r="AM160" s="18">
        <f>IF($A160="","",$AK160+$AL160)</f>
        <v/>
      </c>
      <c r="AN160" s="5">
        <f>IF($A160="","",IF(OR((IFERROR(INDEX('CAT_ACTIVIDADES'!$D$4:$D$11,MATCH($H160,'CAT_ACTIVIDADES'!$A$4:$A$11,0)),""))=0,(IFERROR(INDEX('CAT_ACTIVIDADES'!$D$4:$D$11,MATCH($H160,'CAT_ACTIVIDADES'!$A$4:$A$11,0)),""))=""),"SIN CLASIFICAR",IFERROR(INDEX('CAT_ACTIVIDADES'!$D$4:$D$11,MATCH($H160,'CAT_ACTIVIDADES'!$A$4:$A$11,0)),"")))</f>
        <v/>
      </c>
      <c r="AO160" s="4" t="inlineStr"/>
      <c r="AP160" s="4" t="inlineStr"/>
      <c r="AQ160" s="4" t="inlineStr"/>
      <c r="AR160" s="5">
        <f>IF($AQ160="","",HYPERLINK(p_ruta_base_checklists&amp;$AQ160,"abrir"))</f>
        <v/>
      </c>
      <c r="AS160" s="4" t="inlineStr"/>
      <c r="AT160" s="5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22" t="n">
        <v>46099</v>
      </c>
      <c r="K161" s="5" t="n">
        <v>6</v>
      </c>
      <c r="L161" s="18" t="n">
        <v>240</v>
      </c>
      <c r="M161" s="5">
        <f>IF($A161="","",IFERROR(INDEX('AJUSTES'!$B$4:$B$303,MATCH($AT161,'AJUSTES'!$A$4:$A$303,0)),IF($K161="","",$K161)))</f>
        <v/>
      </c>
      <c r="N161" s="5">
        <f>IF($A161="","",IFERROR(INDEX('CAT_ESTADOS_ERP'!$B$4:$B$7,MATCH(IFERROR(INDEX('2_IMPORTAR_EJECUCION'!$C$9:$C$1208,MATCH($AT161,'2_IMPORTAR_EJECUCION'!$J$9:$J$1208,0)),""),'CAT_ESTADOS_ERP'!$A$4:$A$7,0)),"Pendiente"))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IF($J161="","",$P161&amp;"-"&amp;TEXT($Q161,"00"))</f>
        <v/>
      </c>
      <c r="S161" s="5">
        <f>IF($J161="","",INDEX(lista_dias,WEEKDAY($J161,2)))</f>
        <v/>
      </c>
      <c r="T161" s="5">
        <f>IF($J161="","",IFERROR(INDEX('CALENDARIO'!$C$15:$C$214,MATCH(TEXT($J161,"yyyy-mm-dd")&amp;"|"&amp;$X161&amp;"|"&amp;$Y161,'CALENDARIO'!$G$15:$G$214,0)),IFERROR(INDEX('CALENDARIO'!$C$15:$C$214,MATCH(TEXT($J161,"yyyy-mm-dd")&amp;"|"&amp;$X161&amp;"|",'CALENDARIO'!$G$15:$G$214,0)),IFERROR(INDEX('CALENDARIO'!$C$15:$C$214,MATCH(TEXT($J161,"yyyy-mm-dd")&amp;"||",'CALENDARIO'!$G$15:$G$214,0)),INDEX(patronHabil,WEEKDAY($J161,2))))))</f>
        <v/>
      </c>
      <c r="U161" s="5">
        <f>IF($I161="","",IFERROR(INDEX('CAT_TIPOS_OT'!$C$4:$C$8,MATCH($I161,'CAT_TIPOS_OT'!$A$4:$A$8,0)),"sin_clasificar"))</f>
        <v/>
      </c>
      <c r="V161" s="5">
        <f>IF($I161="","",IF(IFERROR(INDEX('CAT_TIPOS_OT'!$D$4:$D$8,MATCH($I161,'CAT_TIPOS_OT'!$A$4:$A$8,0)),"SIN CLASIFICAR")="","SIN CLASIFICAR",IFERROR(INDEX('CAT_TIPOS_OT'!$D$4:$D$8,MATCH($I161,'CAT_TIPOS_OT'!$A$4:$A$8,0)),"SIN CLASIFICAR")))</f>
        <v/>
      </c>
      <c r="W161" s="5">
        <f>IF($F161="","",IFERROR(INDEX('CAT_CENTROS_COSTO'!$F$4:$F$13,MATCH($F161,'CAT_CENTROS_COSTO'!$A$4:$A$13,0)),"(sin catálogo)"))</f>
        <v/>
      </c>
      <c r="X161" s="5">
        <f>IF($F161="","",IFERROR(INDEX('CAT_CENTROS_COSTO'!$D$4:$D$13,MATCH($F161,'CAT_CENTROS_COSTO'!$A$4:$A$13,0)),"(sin catálogo)"))</f>
        <v/>
      </c>
      <c r="Y161" s="5">
        <f>IF($F161="","",IF((IFERROR(INDEX('CAT_CENTROS_COSTO'!$E$4:$E$13,MATCH($F161,'CAT_CENTROS_COSTO'!$A$4:$A$13,0)),""))&lt;&gt;"",IFERROR(INDEX('CAT_CENTROS_COSTO'!$E$4:$E$13,MATCH($F161,'CAT_CENTROS_COSTO'!$A$4:$A$13,0)),""),$X161))</f>
        <v/>
      </c>
      <c r="Z161" s="5">
        <f>IF($F161="","",IFERROR(INDEX('CAT_CENTROS_COSTO'!$G$4:$G$13,MATCH($F161,'CAT_CENTROS_COSTO'!$A$4:$A$13,0)),"(sin catálogo)"))</f>
        <v/>
      </c>
      <c r="AA161" s="5">
        <f>IF($G161="","",IFERROR(INDEX('CAT_PUESTOS'!$B$4:$B$8,MATCH($G161,'CAT_PUESTOS'!$A$4:$A$8,0)),"(sin catálogo)"))</f>
        <v/>
      </c>
      <c r="AB161" s="5">
        <f>IF($H161="","",IFERROR(INDEX('CAT_ACTIVIDADES'!$B$4:$B$11,MATCH($H161,'CAT_ACTIVIDADES'!$A$4:$A$11,0)),"(sin catálogo)"))</f>
        <v/>
      </c>
      <c r="AC161" s="20">
        <f>IF($J161="","",TODAY()-$J161)</f>
        <v/>
      </c>
      <c r="AD161" s="20">
        <f>IF($J161="","",IF($J161&lt;=TODAY(),COUNTIFS(cal_fechas,"&gt;="&amp;$J161,cal_fechas,"&lt;"&amp;TODAY(),cal_habil,"sí"),-COUNTIFS(cal_fechas,"&gt;="&amp;TODAY(),cal_fechas,"&lt;"&amp;$J161,cal_habil,"sí")))</f>
        <v/>
      </c>
      <c r="AE161" s="5">
        <f>IF($AD161="","",IF($AD161&lt;0,"FUTURO",IF($AD161&gt;p_dias_backlog_max,"BACKLOG","MES CORRIENTE")))</f>
        <v/>
      </c>
      <c r="AF161" s="5">
        <f>IF($AD161="",FALSE,AND($AD161&gt;p_dias_backlog_min,$AD161&lt;=p_dias_backlog_max))</f>
        <v/>
      </c>
      <c r="AG161" s="4" t="inlineStr"/>
      <c r="AH161" s="5">
        <f>IF($AG161="","",IF((IFERROR(INDEX('ASIGNACIONES'!$J$4:$J$451,MATCH($O161&amp;"|"&amp;$S161&amp;"|"&amp;$AG161,'ASIGNACIONES'!$N$4:$N$451,0)),""))=0,"",IFERROR(INDEX('ASIGNACIONES'!$J$4:$J$451,MATCH($O161&amp;"|"&amp;$S161&amp;"|"&amp;$AG161,'ASIGNACIONES'!$N$4:$N$451,0)),"")))</f>
        <v/>
      </c>
      <c r="AI161" s="25">
        <f>IF($AG161="","",SUMIFS('ORDENES'!$M$4:$M$1203,'ORDENES'!$AG$4:$AG$1203,$AG161,'ORDENES'!$O$4:$O$1203,$O161,'ORDENES'!$S$4:$S$1203,$S161))</f>
        <v/>
      </c>
      <c r="AJ161" s="25">
        <f>IF($AI161="","",p_factor_productividad*IFERROR(INDEX('ASIGNACIONES'!$M$4:$M$451,MATCH($O161&amp;"|"&amp;$S161&amp;"|"&amp;$AG161,'ASIGNACIONES'!$N$4:$N$451,0)),0)-$AI161)</f>
        <v/>
      </c>
      <c r="AK161" s="18">
        <f>IF($A161="","",IFERROR(INDEX('2_IMPORTAR_EJECUCION'!$F$9:$F$1208,MATCH($AT161,'2_IMPORTAR_EJECUCION'!$J$9:$J$1208,0)),0))</f>
        <v/>
      </c>
      <c r="AL161" s="18">
        <f>IF($A161="","",MAX(0,IFERROR(INDEX('2_IMPORTAR_EJECUCION'!$H$9:$H$1208,MATCH($AT161,'2_IMPORTAR_EJECUCION'!$J$9:$J$1208,0)),0)-$AK161))</f>
        <v/>
      </c>
      <c r="AM161" s="18">
        <f>IF($A161="","",$AK161+$AL161)</f>
        <v/>
      </c>
      <c r="AN161" s="5">
        <f>IF($A161="","",IF(OR((IFERROR(INDEX('CAT_ACTIVIDADES'!$D$4:$D$11,MATCH($H161,'CAT_ACTIVIDADES'!$A$4:$A$11,0)),""))=0,(IFERROR(INDEX('CAT_ACTIVIDADES'!$D$4:$D$11,MATCH($H161,'CAT_ACTIVIDADES'!$A$4:$A$11,0)),""))=""),"SIN CLASIFICAR",IFERROR(INDEX('CAT_ACTIVIDADES'!$D$4:$D$11,MATCH($H161,'CAT_ACTIVIDADES'!$A$4:$A$11,0)),"")))</f>
        <v/>
      </c>
      <c r="AO161" s="4" t="inlineStr"/>
      <c r="AP161" s="4" t="inlineStr"/>
      <c r="AQ161" s="4" t="inlineStr"/>
      <c r="AR161" s="5">
        <f>IF($AQ161="","",HYPERLINK(p_ruta_base_checklists&amp;$AQ161,"abrir"))</f>
        <v/>
      </c>
      <c r="AS161" s="4" t="inlineStr"/>
      <c r="AT161" s="5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22" t="n">
        <v>46092</v>
      </c>
      <c r="K162" s="5" t="n">
        <v>8</v>
      </c>
      <c r="L162" s="18" t="n">
        <v>200</v>
      </c>
      <c r="M162" s="5">
        <f>IF($A162="","",IFERROR(INDEX('AJUSTES'!$B$4:$B$303,MATCH($AT162,'AJUSTES'!$A$4:$A$303,0)),IF($K162="","",$K162)))</f>
        <v/>
      </c>
      <c r="N162" s="5">
        <f>IF($A162="","",IFERROR(INDEX('CAT_ESTADOS_ERP'!$B$4:$B$7,MATCH(IFERROR(INDEX('2_IMPORTAR_EJECUCION'!$C$9:$C$1208,MATCH($AT162,'2_IMPORTAR_EJECUCION'!$J$9:$J$1208,0)),""),'CAT_ESTADOS_ERP'!$A$4:$A$7,0)),"Pendiente"))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IF($J162="","",$P162&amp;"-"&amp;TEXT($Q162,"00"))</f>
        <v/>
      </c>
      <c r="S162" s="5">
        <f>IF($J162="","",INDEX(lista_dias,WEEKDAY($J162,2)))</f>
        <v/>
      </c>
      <c r="T162" s="5">
        <f>IF($J162="","",IFERROR(INDEX('CALENDARIO'!$C$15:$C$214,MATCH(TEXT($J162,"yyyy-mm-dd")&amp;"|"&amp;$X162&amp;"|"&amp;$Y162,'CALENDARIO'!$G$15:$G$214,0)),IFERROR(INDEX('CALENDARIO'!$C$15:$C$214,MATCH(TEXT($J162,"yyyy-mm-dd")&amp;"|"&amp;$X162&amp;"|",'CALENDARIO'!$G$15:$G$214,0)),IFERROR(INDEX('CALENDARIO'!$C$15:$C$214,MATCH(TEXT($J162,"yyyy-mm-dd")&amp;"||",'CALENDARIO'!$G$15:$G$214,0)),INDEX(patronHabil,WEEKDAY($J162,2))))))</f>
        <v/>
      </c>
      <c r="U162" s="5">
        <f>IF($I162="","",IFERROR(INDEX('CAT_TIPOS_OT'!$C$4:$C$8,MATCH($I162,'CAT_TIPOS_OT'!$A$4:$A$8,0)),"sin_clasificar"))</f>
        <v/>
      </c>
      <c r="V162" s="5">
        <f>IF($I162="","",IF(IFERROR(INDEX('CAT_TIPOS_OT'!$D$4:$D$8,MATCH($I162,'CAT_TIPOS_OT'!$A$4:$A$8,0)),"SIN CLASIFICAR")="","SIN CLASIFICAR",IFERROR(INDEX('CAT_TIPOS_OT'!$D$4:$D$8,MATCH($I162,'CAT_TIPOS_OT'!$A$4:$A$8,0)),"SIN CLASIFICAR")))</f>
        <v/>
      </c>
      <c r="W162" s="5">
        <f>IF($F162="","",IFERROR(INDEX('CAT_CENTROS_COSTO'!$F$4:$F$13,MATCH($F162,'CAT_CENTROS_COSTO'!$A$4:$A$13,0)),"(sin catálogo)"))</f>
        <v/>
      </c>
      <c r="X162" s="5">
        <f>IF($F162="","",IFERROR(INDEX('CAT_CENTROS_COSTO'!$D$4:$D$13,MATCH($F162,'CAT_CENTROS_COSTO'!$A$4:$A$13,0)),"(sin catálogo)"))</f>
        <v/>
      </c>
      <c r="Y162" s="5">
        <f>IF($F162="","",IF((IFERROR(INDEX('CAT_CENTROS_COSTO'!$E$4:$E$13,MATCH($F162,'CAT_CENTROS_COSTO'!$A$4:$A$13,0)),""))&lt;&gt;"",IFERROR(INDEX('CAT_CENTROS_COSTO'!$E$4:$E$13,MATCH($F162,'CAT_CENTROS_COSTO'!$A$4:$A$13,0)),""),$X162))</f>
        <v/>
      </c>
      <c r="Z162" s="5">
        <f>IF($F162="","",IFERROR(INDEX('CAT_CENTROS_COSTO'!$G$4:$G$13,MATCH($F162,'CAT_CENTROS_COSTO'!$A$4:$A$13,0)),"(sin catálogo)"))</f>
        <v/>
      </c>
      <c r="AA162" s="5">
        <f>IF($G162="","",IFERROR(INDEX('CAT_PUESTOS'!$B$4:$B$8,MATCH($G162,'CAT_PUESTOS'!$A$4:$A$8,0)),"(sin catálogo)"))</f>
        <v/>
      </c>
      <c r="AB162" s="5">
        <f>IF($H162="","",IFERROR(INDEX('CAT_ACTIVIDADES'!$B$4:$B$11,MATCH($H162,'CAT_ACTIVIDADES'!$A$4:$A$11,0)),"(sin catálogo)"))</f>
        <v/>
      </c>
      <c r="AC162" s="20">
        <f>IF($J162="","",TODAY()-$J162)</f>
        <v/>
      </c>
      <c r="AD162" s="20">
        <f>IF($J162="","",IF($J162&lt;=TODAY(),COUNTIFS(cal_fechas,"&gt;="&amp;$J162,cal_fechas,"&lt;"&amp;TODAY(),cal_habil,"sí"),-COUNTIFS(cal_fechas,"&gt;="&amp;TODAY(),cal_fechas,"&lt;"&amp;$J162,cal_habil,"sí")))</f>
        <v/>
      </c>
      <c r="AE162" s="5">
        <f>IF($AD162="","",IF($AD162&lt;0,"FUTURO",IF($AD162&gt;p_dias_backlog_max,"BACKLOG","MES CORRIENTE")))</f>
        <v/>
      </c>
      <c r="AF162" s="5">
        <f>IF($AD162="",FALSE,AND($AD162&gt;p_dias_backlog_min,$AD162&lt;=p_dias_backlog_max))</f>
        <v/>
      </c>
      <c r="AG162" s="4" t="inlineStr"/>
      <c r="AH162" s="5">
        <f>IF($AG162="","",IF((IFERROR(INDEX('ASIGNACIONES'!$J$4:$J$451,MATCH($O162&amp;"|"&amp;$S162&amp;"|"&amp;$AG162,'ASIGNACIONES'!$N$4:$N$451,0)),""))=0,"",IFERROR(INDEX('ASIGNACIONES'!$J$4:$J$451,MATCH($O162&amp;"|"&amp;$S162&amp;"|"&amp;$AG162,'ASIGNACIONES'!$N$4:$N$451,0)),"")))</f>
        <v/>
      </c>
      <c r="AI162" s="25">
        <f>IF($AG162="","",SUMIFS('ORDENES'!$M$4:$M$1203,'ORDENES'!$AG$4:$AG$1203,$AG162,'ORDENES'!$O$4:$O$1203,$O162,'ORDENES'!$S$4:$S$1203,$S162))</f>
        <v/>
      </c>
      <c r="AJ162" s="25">
        <f>IF($AI162="","",p_factor_productividad*IFERROR(INDEX('ASIGNACIONES'!$M$4:$M$451,MATCH($O162&amp;"|"&amp;$S162&amp;"|"&amp;$AG162,'ASIGNACIONES'!$N$4:$N$451,0)),0)-$AI162)</f>
        <v/>
      </c>
      <c r="AK162" s="18">
        <f>IF($A162="","",IFERROR(INDEX('2_IMPORTAR_EJECUCION'!$F$9:$F$1208,MATCH($AT162,'2_IMPORTAR_EJECUCION'!$J$9:$J$1208,0)),0))</f>
        <v/>
      </c>
      <c r="AL162" s="18">
        <f>IF($A162="","",MAX(0,IFERROR(INDEX('2_IMPORTAR_EJECUCION'!$H$9:$H$1208,MATCH($AT162,'2_IMPORTAR_EJECUCION'!$J$9:$J$1208,0)),0)-$AK162))</f>
        <v/>
      </c>
      <c r="AM162" s="18">
        <f>IF($A162="","",$AK162+$AL162)</f>
        <v/>
      </c>
      <c r="AN162" s="5">
        <f>IF($A162="","",IF(OR((IFERROR(INDEX('CAT_ACTIVIDADES'!$D$4:$D$11,MATCH($H162,'CAT_ACTIVIDADES'!$A$4:$A$11,0)),""))=0,(IFERROR(INDEX('CAT_ACTIVIDADES'!$D$4:$D$11,MATCH($H162,'CAT_ACTIVIDADES'!$A$4:$A$11,0)),""))=""),"SIN CLASIFICAR",IFERROR(INDEX('CAT_ACTIVIDADES'!$D$4:$D$11,MATCH($H162,'CAT_ACTIVIDADES'!$A$4:$A$11,0)),"")))</f>
        <v/>
      </c>
      <c r="AO162" s="4" t="inlineStr"/>
      <c r="AP162" s="4" t="inlineStr"/>
      <c r="AQ162" s="4" t="inlineStr"/>
      <c r="AR162" s="5">
        <f>IF($AQ162="","",HYPERLINK(p_ruta_base_checklists&amp;$AQ162,"abrir"))</f>
        <v/>
      </c>
      <c r="AS162" s="4" t="inlineStr"/>
      <c r="AT162" s="5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22" t="n">
        <v>46270</v>
      </c>
      <c r="K163" s="5" t="n">
        <v>6</v>
      </c>
      <c r="L163" s="18" t="n">
        <v>150</v>
      </c>
      <c r="M163" s="5">
        <f>IF($A163="","",IFERROR(INDEX('AJUSTES'!$B$4:$B$303,MATCH($AT163,'AJUSTES'!$A$4:$A$303,0)),IF($K163="","",$K163)))</f>
        <v/>
      </c>
      <c r="N163" s="5">
        <f>IF($A163="","",IFERROR(INDEX('CAT_ESTADOS_ERP'!$B$4:$B$7,MATCH(IFERROR(INDEX('2_IMPORTAR_EJECUCION'!$C$9:$C$1208,MATCH($AT163,'2_IMPORTAR_EJECUCION'!$J$9:$J$1208,0)),""),'CAT_ESTADOS_ERP'!$A$4:$A$7,0)),"Pendiente"))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IF($J163="","",$P163&amp;"-"&amp;TEXT($Q163,"00"))</f>
        <v/>
      </c>
      <c r="S163" s="5">
        <f>IF($J163="","",INDEX(lista_dias,WEEKDAY($J163,2)))</f>
        <v/>
      </c>
      <c r="T163" s="5">
        <f>IF($J163="","",IFERROR(INDEX('CALENDARIO'!$C$15:$C$214,MATCH(TEXT($J163,"yyyy-mm-dd")&amp;"|"&amp;$X163&amp;"|"&amp;$Y163,'CALENDARIO'!$G$15:$G$214,0)),IFERROR(INDEX('CALENDARIO'!$C$15:$C$214,MATCH(TEXT($J163,"yyyy-mm-dd")&amp;"|"&amp;$X163&amp;"|",'CALENDARIO'!$G$15:$G$214,0)),IFERROR(INDEX('CALENDARIO'!$C$15:$C$214,MATCH(TEXT($J163,"yyyy-mm-dd")&amp;"||",'CALENDARIO'!$G$15:$G$214,0)),INDEX(patronHabil,WEEKDAY($J163,2))))))</f>
        <v/>
      </c>
      <c r="U163" s="5">
        <f>IF($I163="","",IFERROR(INDEX('CAT_TIPOS_OT'!$C$4:$C$8,MATCH($I163,'CAT_TIPOS_OT'!$A$4:$A$8,0)),"sin_clasificar"))</f>
        <v/>
      </c>
      <c r="V163" s="5">
        <f>IF($I163="","",IF(IFERROR(INDEX('CAT_TIPOS_OT'!$D$4:$D$8,MATCH($I163,'CAT_TIPOS_OT'!$A$4:$A$8,0)),"SIN CLASIFICAR")="","SIN CLASIFICAR",IFERROR(INDEX('CAT_TIPOS_OT'!$D$4:$D$8,MATCH($I163,'CAT_TIPOS_OT'!$A$4:$A$8,0)),"SIN CLASIFICAR")))</f>
        <v/>
      </c>
      <c r="W163" s="5">
        <f>IF($F163="","",IFERROR(INDEX('CAT_CENTROS_COSTO'!$F$4:$F$13,MATCH($F163,'CAT_CENTROS_COSTO'!$A$4:$A$13,0)),"(sin catálogo)"))</f>
        <v/>
      </c>
      <c r="X163" s="5">
        <f>IF($F163="","",IFERROR(INDEX('CAT_CENTROS_COSTO'!$D$4:$D$13,MATCH($F163,'CAT_CENTROS_COSTO'!$A$4:$A$13,0)),"(sin catálogo)"))</f>
        <v/>
      </c>
      <c r="Y163" s="5">
        <f>IF($F163="","",IF((IFERROR(INDEX('CAT_CENTROS_COSTO'!$E$4:$E$13,MATCH($F163,'CAT_CENTROS_COSTO'!$A$4:$A$13,0)),""))&lt;&gt;"",IFERROR(INDEX('CAT_CENTROS_COSTO'!$E$4:$E$13,MATCH($F163,'CAT_CENTROS_COSTO'!$A$4:$A$13,0)),""),$X163))</f>
        <v/>
      </c>
      <c r="Z163" s="5">
        <f>IF($F163="","",IFERROR(INDEX('CAT_CENTROS_COSTO'!$G$4:$G$13,MATCH($F163,'CAT_CENTROS_COSTO'!$A$4:$A$13,0)),"(sin catálogo)"))</f>
        <v/>
      </c>
      <c r="AA163" s="5">
        <f>IF($G163="","",IFERROR(INDEX('CAT_PUESTOS'!$B$4:$B$8,MATCH($G163,'CAT_PUESTOS'!$A$4:$A$8,0)),"(sin catálogo)"))</f>
        <v/>
      </c>
      <c r="AB163" s="5">
        <f>IF($H163="","",IFERROR(INDEX('CAT_ACTIVIDADES'!$B$4:$B$11,MATCH($H163,'CAT_ACTIVIDADES'!$A$4:$A$11,0)),"(sin catálogo)"))</f>
        <v/>
      </c>
      <c r="AC163" s="20">
        <f>IF($J163="","",TODAY()-$J163)</f>
        <v/>
      </c>
      <c r="AD163" s="20">
        <f>IF($J163="","",IF($J163&lt;=TODAY(),COUNTIFS(cal_fechas,"&gt;="&amp;$J163,cal_fechas,"&lt;"&amp;TODAY(),cal_habil,"sí"),-COUNTIFS(cal_fechas,"&gt;="&amp;TODAY(),cal_fechas,"&lt;"&amp;$J163,cal_habil,"sí")))</f>
        <v/>
      </c>
      <c r="AE163" s="5">
        <f>IF($AD163="","",IF($AD163&lt;0,"FUTURO",IF($AD163&gt;p_dias_backlog_max,"BACKLOG","MES CORRIENTE")))</f>
        <v/>
      </c>
      <c r="AF163" s="5">
        <f>IF($AD163="",FALSE,AND($AD163&gt;p_dias_backlog_min,$AD163&lt;=p_dias_backlog_max))</f>
        <v/>
      </c>
      <c r="AG163" s="4" t="inlineStr"/>
      <c r="AH163" s="5">
        <f>IF($AG163="","",IF((IFERROR(INDEX('ASIGNACIONES'!$J$4:$J$451,MATCH($O163&amp;"|"&amp;$S163&amp;"|"&amp;$AG163,'ASIGNACIONES'!$N$4:$N$451,0)),""))=0,"",IFERROR(INDEX('ASIGNACIONES'!$J$4:$J$451,MATCH($O163&amp;"|"&amp;$S163&amp;"|"&amp;$AG163,'ASIGNACIONES'!$N$4:$N$451,0)),"")))</f>
        <v/>
      </c>
      <c r="AI163" s="25">
        <f>IF($AG163="","",SUMIFS('ORDENES'!$M$4:$M$1203,'ORDENES'!$AG$4:$AG$1203,$AG163,'ORDENES'!$O$4:$O$1203,$O163,'ORDENES'!$S$4:$S$1203,$S163))</f>
        <v/>
      </c>
      <c r="AJ163" s="25">
        <f>IF($AI163="","",p_factor_productividad*IFERROR(INDEX('ASIGNACIONES'!$M$4:$M$451,MATCH($O163&amp;"|"&amp;$S163&amp;"|"&amp;$AG163,'ASIGNACIONES'!$N$4:$N$451,0)),0)-$AI163)</f>
        <v/>
      </c>
      <c r="AK163" s="18">
        <f>IF($A163="","",IFERROR(INDEX('2_IMPORTAR_EJECUCION'!$F$9:$F$1208,MATCH($AT163,'2_IMPORTAR_EJECUCION'!$J$9:$J$1208,0)),0))</f>
        <v/>
      </c>
      <c r="AL163" s="18">
        <f>IF($A163="","",MAX(0,IFERROR(INDEX('2_IMPORTAR_EJECUCION'!$H$9:$H$1208,MATCH($AT163,'2_IMPORTAR_EJECUCION'!$J$9:$J$1208,0)),0)-$AK163))</f>
        <v/>
      </c>
      <c r="AM163" s="18">
        <f>IF($A163="","",$AK163+$AL163)</f>
        <v/>
      </c>
      <c r="AN163" s="5">
        <f>IF($A163="","",IF(OR((IFERROR(INDEX('CAT_ACTIVIDADES'!$D$4:$D$11,MATCH($H163,'CAT_ACTIVIDADES'!$A$4:$A$11,0)),""))=0,(IFERROR(INDEX('CAT_ACTIVIDADES'!$D$4:$D$11,MATCH($H163,'CAT_ACTIVIDADES'!$A$4:$A$11,0)),""))=""),"SIN CLASIFICAR",IFERROR(INDEX('CAT_ACTIVIDADES'!$D$4:$D$11,MATCH($H163,'CAT_ACTIVIDADES'!$A$4:$A$11,0)),"")))</f>
        <v/>
      </c>
      <c r="AO163" s="4" t="inlineStr"/>
      <c r="AP163" s="4" t="inlineStr"/>
      <c r="AQ163" s="4" t="inlineStr"/>
      <c r="AR163" s="5">
        <f>IF($AQ163="","",HYPERLINK(p_ruta_base_checklists&amp;$AQ163,"abrir"))</f>
        <v/>
      </c>
      <c r="AS163" s="4" t="inlineStr"/>
      <c r="AT163" s="5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22" t="n">
        <v>46270</v>
      </c>
      <c r="K164" s="5" t="n">
        <v>6</v>
      </c>
      <c r="L164" s="18" t="n">
        <v>150</v>
      </c>
      <c r="M164" s="5">
        <f>IF($A164="","",IFERROR(INDEX('AJUSTES'!$B$4:$B$303,MATCH($AT164,'AJUSTES'!$A$4:$A$303,0)),IF($K164="","",$K164)))</f>
        <v/>
      </c>
      <c r="N164" s="5">
        <f>IF($A164="","",IFERROR(INDEX('CAT_ESTADOS_ERP'!$B$4:$B$7,MATCH(IFERROR(INDEX('2_IMPORTAR_EJECUCION'!$C$9:$C$1208,MATCH($AT164,'2_IMPORTAR_EJECUCION'!$J$9:$J$1208,0)),""),'CAT_ESTADOS_ERP'!$A$4:$A$7,0)),"Pendiente"))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IF($J164="","",$P164&amp;"-"&amp;TEXT($Q164,"00"))</f>
        <v/>
      </c>
      <c r="S164" s="5">
        <f>IF($J164="","",INDEX(lista_dias,WEEKDAY($J164,2)))</f>
        <v/>
      </c>
      <c r="T164" s="5">
        <f>IF($J164="","",IFERROR(INDEX('CALENDARIO'!$C$15:$C$214,MATCH(TEXT($J164,"yyyy-mm-dd")&amp;"|"&amp;$X164&amp;"|"&amp;$Y164,'CALENDARIO'!$G$15:$G$214,0)),IFERROR(INDEX('CALENDARIO'!$C$15:$C$214,MATCH(TEXT($J164,"yyyy-mm-dd")&amp;"|"&amp;$X164&amp;"|",'CALENDARIO'!$G$15:$G$214,0)),IFERROR(INDEX('CALENDARIO'!$C$15:$C$214,MATCH(TEXT($J164,"yyyy-mm-dd")&amp;"||",'CALENDARIO'!$G$15:$G$214,0)),INDEX(patronHabil,WEEKDAY($J164,2))))))</f>
        <v/>
      </c>
      <c r="U164" s="5">
        <f>IF($I164="","",IFERROR(INDEX('CAT_TIPOS_OT'!$C$4:$C$8,MATCH($I164,'CAT_TIPOS_OT'!$A$4:$A$8,0)),"sin_clasificar"))</f>
        <v/>
      </c>
      <c r="V164" s="5">
        <f>IF($I164="","",IF(IFERROR(INDEX('CAT_TIPOS_OT'!$D$4:$D$8,MATCH($I164,'CAT_TIPOS_OT'!$A$4:$A$8,0)),"SIN CLASIFICAR")="","SIN CLASIFICAR",IFERROR(INDEX('CAT_TIPOS_OT'!$D$4:$D$8,MATCH($I164,'CAT_TIPOS_OT'!$A$4:$A$8,0)),"SIN CLASIFICAR")))</f>
        <v/>
      </c>
      <c r="W164" s="5">
        <f>IF($F164="","",IFERROR(INDEX('CAT_CENTROS_COSTO'!$F$4:$F$13,MATCH($F164,'CAT_CENTROS_COSTO'!$A$4:$A$13,0)),"(sin catálogo)"))</f>
        <v/>
      </c>
      <c r="X164" s="5">
        <f>IF($F164="","",IFERROR(INDEX('CAT_CENTROS_COSTO'!$D$4:$D$13,MATCH($F164,'CAT_CENTROS_COSTO'!$A$4:$A$13,0)),"(sin catálogo)"))</f>
        <v/>
      </c>
      <c r="Y164" s="5">
        <f>IF($F164="","",IF((IFERROR(INDEX('CAT_CENTROS_COSTO'!$E$4:$E$13,MATCH($F164,'CAT_CENTROS_COSTO'!$A$4:$A$13,0)),""))&lt;&gt;"",IFERROR(INDEX('CAT_CENTROS_COSTO'!$E$4:$E$13,MATCH($F164,'CAT_CENTROS_COSTO'!$A$4:$A$13,0)),""),$X164))</f>
        <v/>
      </c>
      <c r="Z164" s="5">
        <f>IF($F164="","",IFERROR(INDEX('CAT_CENTROS_COSTO'!$G$4:$G$13,MATCH($F164,'CAT_CENTROS_COSTO'!$A$4:$A$13,0)),"(sin catálogo)"))</f>
        <v/>
      </c>
      <c r="AA164" s="5">
        <f>IF($G164="","",IFERROR(INDEX('CAT_PUESTOS'!$B$4:$B$8,MATCH($G164,'CAT_PUESTOS'!$A$4:$A$8,0)),"(sin catálogo)"))</f>
        <v/>
      </c>
      <c r="AB164" s="5">
        <f>IF($H164="","",IFERROR(INDEX('CAT_ACTIVIDADES'!$B$4:$B$11,MATCH($H164,'CAT_ACTIVIDADES'!$A$4:$A$11,0)),"(sin catálogo)"))</f>
        <v/>
      </c>
      <c r="AC164" s="20">
        <f>IF($J164="","",TODAY()-$J164)</f>
        <v/>
      </c>
      <c r="AD164" s="20">
        <f>IF($J164="","",IF($J164&lt;=TODAY(),COUNTIFS(cal_fechas,"&gt;="&amp;$J164,cal_fechas,"&lt;"&amp;TODAY(),cal_habil,"sí"),-COUNTIFS(cal_fechas,"&gt;="&amp;TODAY(),cal_fechas,"&lt;"&amp;$J164,cal_habil,"sí")))</f>
        <v/>
      </c>
      <c r="AE164" s="5">
        <f>IF($AD164="","",IF($AD164&lt;0,"FUTURO",IF($AD164&gt;p_dias_backlog_max,"BACKLOG","MES CORRIENTE")))</f>
        <v/>
      </c>
      <c r="AF164" s="5">
        <f>IF($AD164="",FALSE,AND($AD164&gt;p_dias_backlog_min,$AD164&lt;=p_dias_backlog_max))</f>
        <v/>
      </c>
      <c r="AG164" s="4" t="inlineStr"/>
      <c r="AH164" s="5">
        <f>IF($AG164="","",IF((IFERROR(INDEX('ASIGNACIONES'!$J$4:$J$451,MATCH($O164&amp;"|"&amp;$S164&amp;"|"&amp;$AG164,'ASIGNACIONES'!$N$4:$N$451,0)),""))=0,"",IFERROR(INDEX('ASIGNACIONES'!$J$4:$J$451,MATCH($O164&amp;"|"&amp;$S164&amp;"|"&amp;$AG164,'ASIGNACIONES'!$N$4:$N$451,0)),"")))</f>
        <v/>
      </c>
      <c r="AI164" s="25">
        <f>IF($AG164="","",SUMIFS('ORDENES'!$M$4:$M$1203,'ORDENES'!$AG$4:$AG$1203,$AG164,'ORDENES'!$O$4:$O$1203,$O164,'ORDENES'!$S$4:$S$1203,$S164))</f>
        <v/>
      </c>
      <c r="AJ164" s="25">
        <f>IF($AI164="","",p_factor_productividad*IFERROR(INDEX('ASIGNACIONES'!$M$4:$M$451,MATCH($O164&amp;"|"&amp;$S164&amp;"|"&amp;$AG164,'ASIGNACIONES'!$N$4:$N$451,0)),0)-$AI164)</f>
        <v/>
      </c>
      <c r="AK164" s="18">
        <f>IF($A164="","",IFERROR(INDEX('2_IMPORTAR_EJECUCION'!$F$9:$F$1208,MATCH($AT164,'2_IMPORTAR_EJECUCION'!$J$9:$J$1208,0)),0))</f>
        <v/>
      </c>
      <c r="AL164" s="18">
        <f>IF($A164="","",MAX(0,IFERROR(INDEX('2_IMPORTAR_EJECUCION'!$H$9:$H$1208,MATCH($AT164,'2_IMPORTAR_EJECUCION'!$J$9:$J$1208,0)),0)-$AK164))</f>
        <v/>
      </c>
      <c r="AM164" s="18">
        <f>IF($A164="","",$AK164+$AL164)</f>
        <v/>
      </c>
      <c r="AN164" s="5">
        <f>IF($A164="","",IF(OR((IFERROR(INDEX('CAT_ACTIVIDADES'!$D$4:$D$11,MATCH($H164,'CAT_ACTIVIDADES'!$A$4:$A$11,0)),""))=0,(IFERROR(INDEX('CAT_ACTIVIDADES'!$D$4:$D$11,MATCH($H164,'CAT_ACTIVIDADES'!$A$4:$A$11,0)),""))=""),"SIN CLASIFICAR",IFERROR(INDEX('CAT_ACTIVIDADES'!$D$4:$D$11,MATCH($H164,'CAT_ACTIVIDADES'!$A$4:$A$11,0)),"")))</f>
        <v/>
      </c>
      <c r="AO164" s="4" t="inlineStr"/>
      <c r="AP164" s="4" t="inlineStr"/>
      <c r="AQ164" s="4" t="inlineStr"/>
      <c r="AR164" s="5">
        <f>IF($AQ164="","",HYPERLINK(p_ruta_base_checklists&amp;$AQ164,"abrir"))</f>
        <v/>
      </c>
      <c r="AS164" s="4" t="inlineStr"/>
      <c r="AT164" s="5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22" t="n">
        <v>46270</v>
      </c>
      <c r="K165" s="5" t="n">
        <v>6</v>
      </c>
      <c r="L165" s="18" t="n">
        <v>150</v>
      </c>
      <c r="M165" s="5">
        <f>IF($A165="","",IFERROR(INDEX('AJUSTES'!$B$4:$B$303,MATCH($AT165,'AJUSTES'!$A$4:$A$303,0)),IF($K165="","",$K165)))</f>
        <v/>
      </c>
      <c r="N165" s="5">
        <f>IF($A165="","",IFERROR(INDEX('CAT_ESTADOS_ERP'!$B$4:$B$7,MATCH(IFERROR(INDEX('2_IMPORTAR_EJECUCION'!$C$9:$C$1208,MATCH($AT165,'2_IMPORTAR_EJECUCION'!$J$9:$J$1208,0)),""),'CAT_ESTADOS_ERP'!$A$4:$A$7,0)),"Pendiente"))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IF($J165="","",$P165&amp;"-"&amp;TEXT($Q165,"00"))</f>
        <v/>
      </c>
      <c r="S165" s="5">
        <f>IF($J165="","",INDEX(lista_dias,WEEKDAY($J165,2)))</f>
        <v/>
      </c>
      <c r="T165" s="5">
        <f>IF($J165="","",IFERROR(INDEX('CALENDARIO'!$C$15:$C$214,MATCH(TEXT($J165,"yyyy-mm-dd")&amp;"|"&amp;$X165&amp;"|"&amp;$Y165,'CALENDARIO'!$G$15:$G$214,0)),IFERROR(INDEX('CALENDARIO'!$C$15:$C$214,MATCH(TEXT($J165,"yyyy-mm-dd")&amp;"|"&amp;$X165&amp;"|",'CALENDARIO'!$G$15:$G$214,0)),IFERROR(INDEX('CALENDARIO'!$C$15:$C$214,MATCH(TEXT($J165,"yyyy-mm-dd")&amp;"||",'CALENDARIO'!$G$15:$G$214,0)),INDEX(patronHabil,WEEKDAY($J165,2))))))</f>
        <v/>
      </c>
      <c r="U165" s="5">
        <f>IF($I165="","",IFERROR(INDEX('CAT_TIPOS_OT'!$C$4:$C$8,MATCH($I165,'CAT_TIPOS_OT'!$A$4:$A$8,0)),"sin_clasificar"))</f>
        <v/>
      </c>
      <c r="V165" s="5">
        <f>IF($I165="","",IF(IFERROR(INDEX('CAT_TIPOS_OT'!$D$4:$D$8,MATCH($I165,'CAT_TIPOS_OT'!$A$4:$A$8,0)),"SIN CLASIFICAR")="","SIN CLASIFICAR",IFERROR(INDEX('CAT_TIPOS_OT'!$D$4:$D$8,MATCH($I165,'CAT_TIPOS_OT'!$A$4:$A$8,0)),"SIN CLASIFICAR")))</f>
        <v/>
      </c>
      <c r="W165" s="5">
        <f>IF($F165="","",IFERROR(INDEX('CAT_CENTROS_COSTO'!$F$4:$F$13,MATCH($F165,'CAT_CENTROS_COSTO'!$A$4:$A$13,0)),"(sin catálogo)"))</f>
        <v/>
      </c>
      <c r="X165" s="5">
        <f>IF($F165="","",IFERROR(INDEX('CAT_CENTROS_COSTO'!$D$4:$D$13,MATCH($F165,'CAT_CENTROS_COSTO'!$A$4:$A$13,0)),"(sin catálogo)"))</f>
        <v/>
      </c>
      <c r="Y165" s="5">
        <f>IF($F165="","",IF((IFERROR(INDEX('CAT_CENTROS_COSTO'!$E$4:$E$13,MATCH($F165,'CAT_CENTROS_COSTO'!$A$4:$A$13,0)),""))&lt;&gt;"",IFERROR(INDEX('CAT_CENTROS_COSTO'!$E$4:$E$13,MATCH($F165,'CAT_CENTROS_COSTO'!$A$4:$A$13,0)),""),$X165))</f>
        <v/>
      </c>
      <c r="Z165" s="5">
        <f>IF($F165="","",IFERROR(INDEX('CAT_CENTROS_COSTO'!$G$4:$G$13,MATCH($F165,'CAT_CENTROS_COSTO'!$A$4:$A$13,0)),"(sin catálogo)"))</f>
        <v/>
      </c>
      <c r="AA165" s="5">
        <f>IF($G165="","",IFERROR(INDEX('CAT_PUESTOS'!$B$4:$B$8,MATCH($G165,'CAT_PUESTOS'!$A$4:$A$8,0)),"(sin catálogo)"))</f>
        <v/>
      </c>
      <c r="AB165" s="5">
        <f>IF($H165="","",IFERROR(INDEX('CAT_ACTIVIDADES'!$B$4:$B$11,MATCH($H165,'CAT_ACTIVIDADES'!$A$4:$A$11,0)),"(sin catálogo)"))</f>
        <v/>
      </c>
      <c r="AC165" s="20">
        <f>IF($J165="","",TODAY()-$J165)</f>
        <v/>
      </c>
      <c r="AD165" s="20">
        <f>IF($J165="","",IF($J165&lt;=TODAY(),COUNTIFS(cal_fechas,"&gt;="&amp;$J165,cal_fechas,"&lt;"&amp;TODAY(),cal_habil,"sí"),-COUNTIFS(cal_fechas,"&gt;="&amp;TODAY(),cal_fechas,"&lt;"&amp;$J165,cal_habil,"sí")))</f>
        <v/>
      </c>
      <c r="AE165" s="5">
        <f>IF($AD165="","",IF($AD165&lt;0,"FUTURO",IF($AD165&gt;p_dias_backlog_max,"BACKLOG","MES CORRIENTE")))</f>
        <v/>
      </c>
      <c r="AF165" s="5">
        <f>IF($AD165="",FALSE,AND($AD165&gt;p_dias_backlog_min,$AD165&lt;=p_dias_backlog_max))</f>
        <v/>
      </c>
      <c r="AG165" s="4" t="inlineStr"/>
      <c r="AH165" s="5">
        <f>IF($AG165="","",IF((IFERROR(INDEX('ASIGNACIONES'!$J$4:$J$451,MATCH($O165&amp;"|"&amp;$S165&amp;"|"&amp;$AG165,'ASIGNACIONES'!$N$4:$N$451,0)),""))=0,"",IFERROR(INDEX('ASIGNACIONES'!$J$4:$J$451,MATCH($O165&amp;"|"&amp;$S165&amp;"|"&amp;$AG165,'ASIGNACIONES'!$N$4:$N$451,0)),"")))</f>
        <v/>
      </c>
      <c r="AI165" s="25">
        <f>IF($AG165="","",SUMIFS('ORDENES'!$M$4:$M$1203,'ORDENES'!$AG$4:$AG$1203,$AG165,'ORDENES'!$O$4:$O$1203,$O165,'ORDENES'!$S$4:$S$1203,$S165))</f>
        <v/>
      </c>
      <c r="AJ165" s="25">
        <f>IF($AI165="","",p_factor_productividad*IFERROR(INDEX('ASIGNACIONES'!$M$4:$M$451,MATCH($O165&amp;"|"&amp;$S165&amp;"|"&amp;$AG165,'ASIGNACIONES'!$N$4:$N$451,0)),0)-$AI165)</f>
        <v/>
      </c>
      <c r="AK165" s="18">
        <f>IF($A165="","",IFERROR(INDEX('2_IMPORTAR_EJECUCION'!$F$9:$F$1208,MATCH($AT165,'2_IMPORTAR_EJECUCION'!$J$9:$J$1208,0)),0))</f>
        <v/>
      </c>
      <c r="AL165" s="18">
        <f>IF($A165="","",MAX(0,IFERROR(INDEX('2_IMPORTAR_EJECUCION'!$H$9:$H$1208,MATCH($AT165,'2_IMPORTAR_EJECUCION'!$J$9:$J$1208,0)),0)-$AK165))</f>
        <v/>
      </c>
      <c r="AM165" s="18">
        <f>IF($A165="","",$AK165+$AL165)</f>
        <v/>
      </c>
      <c r="AN165" s="5">
        <f>IF($A165="","",IF(OR((IFERROR(INDEX('CAT_ACTIVIDADES'!$D$4:$D$11,MATCH($H165,'CAT_ACTIVIDADES'!$A$4:$A$11,0)),""))=0,(IFERROR(INDEX('CAT_ACTIVIDADES'!$D$4:$D$11,MATCH($H165,'CAT_ACTIVIDADES'!$A$4:$A$11,0)),""))=""),"SIN CLASIFICAR",IFERROR(INDEX('CAT_ACTIVIDADES'!$D$4:$D$11,MATCH($H165,'CAT_ACTIVIDADES'!$A$4:$A$11,0)),"")))</f>
        <v/>
      </c>
      <c r="AO165" s="4" t="inlineStr"/>
      <c r="AP165" s="4" t="inlineStr"/>
      <c r="AQ165" s="4" t="inlineStr"/>
      <c r="AR165" s="5">
        <f>IF($AQ165="","",HYPERLINK(p_ruta_base_checklists&amp;$AQ165,"abrir"))</f>
        <v/>
      </c>
      <c r="AS165" s="4" t="inlineStr"/>
      <c r="AT165" s="5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22" t="n">
        <v>46330</v>
      </c>
      <c r="K166" s="5" t="n">
        <v>6</v>
      </c>
      <c r="L166" s="18" t="n">
        <v>150</v>
      </c>
      <c r="M166" s="5">
        <f>IF($A166="","",IFERROR(INDEX('AJUSTES'!$B$4:$B$303,MATCH($AT166,'AJUSTES'!$A$4:$A$303,0)),IF($K166="","",$K166)))</f>
        <v/>
      </c>
      <c r="N166" s="5">
        <f>IF($A166="","",IFERROR(INDEX('CAT_ESTADOS_ERP'!$B$4:$B$7,MATCH(IFERROR(INDEX('2_IMPORTAR_EJECUCION'!$C$9:$C$1208,MATCH($AT166,'2_IMPORTAR_EJECUCION'!$J$9:$J$1208,0)),""),'CAT_ESTADOS_ERP'!$A$4:$A$7,0)),"Pendiente"))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IF($J166="","",$P166&amp;"-"&amp;TEXT($Q166,"00"))</f>
        <v/>
      </c>
      <c r="S166" s="5">
        <f>IF($J166="","",INDEX(lista_dias,WEEKDAY($J166,2)))</f>
        <v/>
      </c>
      <c r="T166" s="5">
        <f>IF($J166="","",IFERROR(INDEX('CALENDARIO'!$C$15:$C$214,MATCH(TEXT($J166,"yyyy-mm-dd")&amp;"|"&amp;$X166&amp;"|"&amp;$Y166,'CALENDARIO'!$G$15:$G$214,0)),IFERROR(INDEX('CALENDARIO'!$C$15:$C$214,MATCH(TEXT($J166,"yyyy-mm-dd")&amp;"|"&amp;$X166&amp;"|",'CALENDARIO'!$G$15:$G$214,0)),IFERROR(INDEX('CALENDARIO'!$C$15:$C$214,MATCH(TEXT($J166,"yyyy-mm-dd")&amp;"||",'CALENDARIO'!$G$15:$G$214,0)),INDEX(patronHabil,WEEKDAY($J166,2))))))</f>
        <v/>
      </c>
      <c r="U166" s="5">
        <f>IF($I166="","",IFERROR(INDEX('CAT_TIPOS_OT'!$C$4:$C$8,MATCH($I166,'CAT_TIPOS_OT'!$A$4:$A$8,0)),"sin_clasificar"))</f>
        <v/>
      </c>
      <c r="V166" s="5">
        <f>IF($I166="","",IF(IFERROR(INDEX('CAT_TIPOS_OT'!$D$4:$D$8,MATCH($I166,'CAT_TIPOS_OT'!$A$4:$A$8,0)),"SIN CLASIFICAR")="","SIN CLASIFICAR",IFERROR(INDEX('CAT_TIPOS_OT'!$D$4:$D$8,MATCH($I166,'CAT_TIPOS_OT'!$A$4:$A$8,0)),"SIN CLASIFICAR")))</f>
        <v/>
      </c>
      <c r="W166" s="5">
        <f>IF($F166="","",IFERROR(INDEX('CAT_CENTROS_COSTO'!$F$4:$F$13,MATCH($F166,'CAT_CENTROS_COSTO'!$A$4:$A$13,0)),"(sin catálogo)"))</f>
        <v/>
      </c>
      <c r="X166" s="5">
        <f>IF($F166="","",IFERROR(INDEX('CAT_CENTROS_COSTO'!$D$4:$D$13,MATCH($F166,'CAT_CENTROS_COSTO'!$A$4:$A$13,0)),"(sin catálogo)"))</f>
        <v/>
      </c>
      <c r="Y166" s="5">
        <f>IF($F166="","",IF((IFERROR(INDEX('CAT_CENTROS_COSTO'!$E$4:$E$13,MATCH($F166,'CAT_CENTROS_COSTO'!$A$4:$A$13,0)),""))&lt;&gt;"",IFERROR(INDEX('CAT_CENTROS_COSTO'!$E$4:$E$13,MATCH($F166,'CAT_CENTROS_COSTO'!$A$4:$A$13,0)),""),$X166))</f>
        <v/>
      </c>
      <c r="Z166" s="5">
        <f>IF($F166="","",IFERROR(INDEX('CAT_CENTROS_COSTO'!$G$4:$G$13,MATCH($F166,'CAT_CENTROS_COSTO'!$A$4:$A$13,0)),"(sin catálogo)"))</f>
        <v/>
      </c>
      <c r="AA166" s="5">
        <f>IF($G166="","",IFERROR(INDEX('CAT_PUESTOS'!$B$4:$B$8,MATCH($G166,'CAT_PUESTOS'!$A$4:$A$8,0)),"(sin catálogo)"))</f>
        <v/>
      </c>
      <c r="AB166" s="5">
        <f>IF($H166="","",IFERROR(INDEX('CAT_ACTIVIDADES'!$B$4:$B$11,MATCH($H166,'CAT_ACTIVIDADES'!$A$4:$A$11,0)),"(sin catálogo)"))</f>
        <v/>
      </c>
      <c r="AC166" s="20">
        <f>IF($J166="","",TODAY()-$J166)</f>
        <v/>
      </c>
      <c r="AD166" s="20">
        <f>IF($J166="","",IF($J166&lt;=TODAY(),COUNTIFS(cal_fechas,"&gt;="&amp;$J166,cal_fechas,"&lt;"&amp;TODAY(),cal_habil,"sí"),-COUNTIFS(cal_fechas,"&gt;="&amp;TODAY(),cal_fechas,"&lt;"&amp;$J166,cal_habil,"sí")))</f>
        <v/>
      </c>
      <c r="AE166" s="5">
        <f>IF($AD166="","",IF($AD166&lt;0,"FUTURO",IF($AD166&gt;p_dias_backlog_max,"BACKLOG","MES CORRIENTE")))</f>
        <v/>
      </c>
      <c r="AF166" s="5">
        <f>IF($AD166="",FALSE,AND($AD166&gt;p_dias_backlog_min,$AD166&lt;=p_dias_backlog_max))</f>
        <v/>
      </c>
      <c r="AG166" s="4" t="inlineStr"/>
      <c r="AH166" s="5">
        <f>IF($AG166="","",IF((IFERROR(INDEX('ASIGNACIONES'!$J$4:$J$451,MATCH($O166&amp;"|"&amp;$S166&amp;"|"&amp;$AG166,'ASIGNACIONES'!$N$4:$N$451,0)),""))=0,"",IFERROR(INDEX('ASIGNACIONES'!$J$4:$J$451,MATCH($O166&amp;"|"&amp;$S166&amp;"|"&amp;$AG166,'ASIGNACIONES'!$N$4:$N$451,0)),"")))</f>
        <v/>
      </c>
      <c r="AI166" s="25">
        <f>IF($AG166="","",SUMIFS('ORDENES'!$M$4:$M$1203,'ORDENES'!$AG$4:$AG$1203,$AG166,'ORDENES'!$O$4:$O$1203,$O166,'ORDENES'!$S$4:$S$1203,$S166))</f>
        <v/>
      </c>
      <c r="AJ166" s="25">
        <f>IF($AI166="","",p_factor_productividad*IFERROR(INDEX('ASIGNACIONES'!$M$4:$M$451,MATCH($O166&amp;"|"&amp;$S166&amp;"|"&amp;$AG166,'ASIGNACIONES'!$N$4:$N$451,0)),0)-$AI166)</f>
        <v/>
      </c>
      <c r="AK166" s="18">
        <f>IF($A166="","",IFERROR(INDEX('2_IMPORTAR_EJECUCION'!$F$9:$F$1208,MATCH($AT166,'2_IMPORTAR_EJECUCION'!$J$9:$J$1208,0)),0))</f>
        <v/>
      </c>
      <c r="AL166" s="18">
        <f>IF($A166="","",MAX(0,IFERROR(INDEX('2_IMPORTAR_EJECUCION'!$H$9:$H$1208,MATCH($AT166,'2_IMPORTAR_EJECUCION'!$J$9:$J$1208,0)),0)-$AK166))</f>
        <v/>
      </c>
      <c r="AM166" s="18">
        <f>IF($A166="","",$AK166+$AL166)</f>
        <v/>
      </c>
      <c r="AN166" s="5">
        <f>IF($A166="","",IF(OR((IFERROR(INDEX('CAT_ACTIVIDADES'!$D$4:$D$11,MATCH($H166,'CAT_ACTIVIDADES'!$A$4:$A$11,0)),""))=0,(IFERROR(INDEX('CAT_ACTIVIDADES'!$D$4:$D$11,MATCH($H166,'CAT_ACTIVIDADES'!$A$4:$A$11,0)),""))=""),"SIN CLASIFICAR",IFERROR(INDEX('CAT_ACTIVIDADES'!$D$4:$D$11,MATCH($H166,'CAT_ACTIVIDADES'!$A$4:$A$11,0)),"")))</f>
        <v/>
      </c>
      <c r="AO166" s="4" t="inlineStr"/>
      <c r="AP166" s="4" t="inlineStr"/>
      <c r="AQ166" s="4" t="inlineStr"/>
      <c r="AR166" s="5">
        <f>IF($AQ166="","",HYPERLINK(p_ruta_base_checklists&amp;$AQ166,"abrir"))</f>
        <v/>
      </c>
      <c r="AS166" s="4" t="inlineStr"/>
      <c r="AT166" s="5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22" t="n">
        <v>46330</v>
      </c>
      <c r="K167" s="5" t="n">
        <v>6</v>
      </c>
      <c r="L167" s="18" t="n">
        <v>150</v>
      </c>
      <c r="M167" s="5">
        <f>IF($A167="","",IFERROR(INDEX('AJUSTES'!$B$4:$B$303,MATCH($AT167,'AJUSTES'!$A$4:$A$303,0)),IF($K167="","",$K167)))</f>
        <v/>
      </c>
      <c r="N167" s="5">
        <f>IF($A167="","",IFERROR(INDEX('CAT_ESTADOS_ERP'!$B$4:$B$7,MATCH(IFERROR(INDEX('2_IMPORTAR_EJECUCION'!$C$9:$C$1208,MATCH($AT167,'2_IMPORTAR_EJECUCION'!$J$9:$J$1208,0)),""),'CAT_ESTADOS_ERP'!$A$4:$A$7,0)),"Pendiente"))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IF($J167="","",$P167&amp;"-"&amp;TEXT($Q167,"00"))</f>
        <v/>
      </c>
      <c r="S167" s="5">
        <f>IF($J167="","",INDEX(lista_dias,WEEKDAY($J167,2)))</f>
        <v/>
      </c>
      <c r="T167" s="5">
        <f>IF($J167="","",IFERROR(INDEX('CALENDARIO'!$C$15:$C$214,MATCH(TEXT($J167,"yyyy-mm-dd")&amp;"|"&amp;$X167&amp;"|"&amp;$Y167,'CALENDARIO'!$G$15:$G$214,0)),IFERROR(INDEX('CALENDARIO'!$C$15:$C$214,MATCH(TEXT($J167,"yyyy-mm-dd")&amp;"|"&amp;$X167&amp;"|",'CALENDARIO'!$G$15:$G$214,0)),IFERROR(INDEX('CALENDARIO'!$C$15:$C$214,MATCH(TEXT($J167,"yyyy-mm-dd")&amp;"||",'CALENDARIO'!$G$15:$G$214,0)),INDEX(patronHabil,WEEKDAY($J167,2))))))</f>
        <v/>
      </c>
      <c r="U167" s="5">
        <f>IF($I167="","",IFERROR(INDEX('CAT_TIPOS_OT'!$C$4:$C$8,MATCH($I167,'CAT_TIPOS_OT'!$A$4:$A$8,0)),"sin_clasificar"))</f>
        <v/>
      </c>
      <c r="V167" s="5">
        <f>IF($I167="","",IF(IFERROR(INDEX('CAT_TIPOS_OT'!$D$4:$D$8,MATCH($I167,'CAT_TIPOS_OT'!$A$4:$A$8,0)),"SIN CLASIFICAR")="","SIN CLASIFICAR",IFERROR(INDEX('CAT_TIPOS_OT'!$D$4:$D$8,MATCH($I167,'CAT_TIPOS_OT'!$A$4:$A$8,0)),"SIN CLASIFICAR")))</f>
        <v/>
      </c>
      <c r="W167" s="5">
        <f>IF($F167="","",IFERROR(INDEX('CAT_CENTROS_COSTO'!$F$4:$F$13,MATCH($F167,'CAT_CENTROS_COSTO'!$A$4:$A$13,0)),"(sin catálogo)"))</f>
        <v/>
      </c>
      <c r="X167" s="5">
        <f>IF($F167="","",IFERROR(INDEX('CAT_CENTROS_COSTO'!$D$4:$D$13,MATCH($F167,'CAT_CENTROS_COSTO'!$A$4:$A$13,0)),"(sin catálogo)"))</f>
        <v/>
      </c>
      <c r="Y167" s="5">
        <f>IF($F167="","",IF((IFERROR(INDEX('CAT_CENTROS_COSTO'!$E$4:$E$13,MATCH($F167,'CAT_CENTROS_COSTO'!$A$4:$A$13,0)),""))&lt;&gt;"",IFERROR(INDEX('CAT_CENTROS_COSTO'!$E$4:$E$13,MATCH($F167,'CAT_CENTROS_COSTO'!$A$4:$A$13,0)),""),$X167))</f>
        <v/>
      </c>
      <c r="Z167" s="5">
        <f>IF($F167="","",IFERROR(INDEX('CAT_CENTROS_COSTO'!$G$4:$G$13,MATCH($F167,'CAT_CENTROS_COSTO'!$A$4:$A$13,0)),"(sin catálogo)"))</f>
        <v/>
      </c>
      <c r="AA167" s="5">
        <f>IF($G167="","",IFERROR(INDEX('CAT_PUESTOS'!$B$4:$B$8,MATCH($G167,'CAT_PUESTOS'!$A$4:$A$8,0)),"(sin catálogo)"))</f>
        <v/>
      </c>
      <c r="AB167" s="5">
        <f>IF($H167="","",IFERROR(INDEX('CAT_ACTIVIDADES'!$B$4:$B$11,MATCH($H167,'CAT_ACTIVIDADES'!$A$4:$A$11,0)),"(sin catálogo)"))</f>
        <v/>
      </c>
      <c r="AC167" s="20">
        <f>IF($J167="","",TODAY()-$J167)</f>
        <v/>
      </c>
      <c r="AD167" s="20">
        <f>IF($J167="","",IF($J167&lt;=TODAY(),COUNTIFS(cal_fechas,"&gt;="&amp;$J167,cal_fechas,"&lt;"&amp;TODAY(),cal_habil,"sí"),-COUNTIFS(cal_fechas,"&gt;="&amp;TODAY(),cal_fechas,"&lt;"&amp;$J167,cal_habil,"sí")))</f>
        <v/>
      </c>
      <c r="AE167" s="5">
        <f>IF($AD167="","",IF($AD167&lt;0,"FUTURO",IF($AD167&gt;p_dias_backlog_max,"BACKLOG","MES CORRIENTE")))</f>
        <v/>
      </c>
      <c r="AF167" s="5">
        <f>IF($AD167="",FALSE,AND($AD167&gt;p_dias_backlog_min,$AD167&lt;=p_dias_backlog_max))</f>
        <v/>
      </c>
      <c r="AG167" s="4" t="inlineStr"/>
      <c r="AH167" s="5">
        <f>IF($AG167="","",IF((IFERROR(INDEX('ASIGNACIONES'!$J$4:$J$451,MATCH($O167&amp;"|"&amp;$S167&amp;"|"&amp;$AG167,'ASIGNACIONES'!$N$4:$N$451,0)),""))=0,"",IFERROR(INDEX('ASIGNACIONES'!$J$4:$J$451,MATCH($O167&amp;"|"&amp;$S167&amp;"|"&amp;$AG167,'ASIGNACIONES'!$N$4:$N$451,0)),"")))</f>
        <v/>
      </c>
      <c r="AI167" s="25">
        <f>IF($AG167="","",SUMIFS('ORDENES'!$M$4:$M$1203,'ORDENES'!$AG$4:$AG$1203,$AG167,'ORDENES'!$O$4:$O$1203,$O167,'ORDENES'!$S$4:$S$1203,$S167))</f>
        <v/>
      </c>
      <c r="AJ167" s="25">
        <f>IF($AI167="","",p_factor_productividad*IFERROR(INDEX('ASIGNACIONES'!$M$4:$M$451,MATCH($O167&amp;"|"&amp;$S167&amp;"|"&amp;$AG167,'ASIGNACIONES'!$N$4:$N$451,0)),0)-$AI167)</f>
        <v/>
      </c>
      <c r="AK167" s="18">
        <f>IF($A167="","",IFERROR(INDEX('2_IMPORTAR_EJECUCION'!$F$9:$F$1208,MATCH($AT167,'2_IMPORTAR_EJECUCION'!$J$9:$J$1208,0)),0))</f>
        <v/>
      </c>
      <c r="AL167" s="18">
        <f>IF($A167="","",MAX(0,IFERROR(INDEX('2_IMPORTAR_EJECUCION'!$H$9:$H$1208,MATCH($AT167,'2_IMPORTAR_EJECUCION'!$J$9:$J$1208,0)),0)-$AK167))</f>
        <v/>
      </c>
      <c r="AM167" s="18">
        <f>IF($A167="","",$AK167+$AL167)</f>
        <v/>
      </c>
      <c r="AN167" s="5">
        <f>IF($A167="","",IF(OR((IFERROR(INDEX('CAT_ACTIVIDADES'!$D$4:$D$11,MATCH($H167,'CAT_ACTIVIDADES'!$A$4:$A$11,0)),""))=0,(IFERROR(INDEX('CAT_ACTIVIDADES'!$D$4:$D$11,MATCH($H167,'CAT_ACTIVIDADES'!$A$4:$A$11,0)),""))=""),"SIN CLASIFICAR",IFERROR(INDEX('CAT_ACTIVIDADES'!$D$4:$D$11,MATCH($H167,'CAT_ACTIVIDADES'!$A$4:$A$11,0)),"")))</f>
        <v/>
      </c>
      <c r="AO167" s="4" t="inlineStr"/>
      <c r="AP167" s="4" t="inlineStr"/>
      <c r="AQ167" s="4" t="inlineStr"/>
      <c r="AR167" s="5">
        <f>IF($AQ167="","",HYPERLINK(p_ruta_base_checklists&amp;$AQ167,"abrir"))</f>
        <v/>
      </c>
      <c r="AS167" s="4" t="inlineStr"/>
      <c r="AT167" s="5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22" t="n">
        <v>46385</v>
      </c>
      <c r="K168" s="5" t="n">
        <v>4</v>
      </c>
      <c r="L168" s="18" t="n">
        <v>100</v>
      </c>
      <c r="M168" s="5">
        <f>IF($A168="","",IFERROR(INDEX('AJUSTES'!$B$4:$B$303,MATCH($AT168,'AJUSTES'!$A$4:$A$303,0)),IF($K168="","",$K168)))</f>
        <v/>
      </c>
      <c r="N168" s="5">
        <f>IF($A168="","",IFERROR(INDEX('CAT_ESTADOS_ERP'!$B$4:$B$7,MATCH(IFERROR(INDEX('2_IMPORTAR_EJECUCION'!$C$9:$C$1208,MATCH($AT168,'2_IMPORTAR_EJECUCION'!$J$9:$J$1208,0)),""),'CAT_ESTADOS_ERP'!$A$4:$A$7,0)),"Pendiente"))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IF($J168="","",$P168&amp;"-"&amp;TEXT($Q168,"00"))</f>
        <v/>
      </c>
      <c r="S168" s="5">
        <f>IF($J168="","",INDEX(lista_dias,WEEKDAY($J168,2)))</f>
        <v/>
      </c>
      <c r="T168" s="5">
        <f>IF($J168="","",IFERROR(INDEX('CALENDARIO'!$C$15:$C$214,MATCH(TEXT($J168,"yyyy-mm-dd")&amp;"|"&amp;$X168&amp;"|"&amp;$Y168,'CALENDARIO'!$G$15:$G$214,0)),IFERROR(INDEX('CALENDARIO'!$C$15:$C$214,MATCH(TEXT($J168,"yyyy-mm-dd")&amp;"|"&amp;$X168&amp;"|",'CALENDARIO'!$G$15:$G$214,0)),IFERROR(INDEX('CALENDARIO'!$C$15:$C$214,MATCH(TEXT($J168,"yyyy-mm-dd")&amp;"||",'CALENDARIO'!$G$15:$G$214,0)),INDEX(patronHabil,WEEKDAY($J168,2))))))</f>
        <v/>
      </c>
      <c r="U168" s="5">
        <f>IF($I168="","",IFERROR(INDEX('CAT_TIPOS_OT'!$C$4:$C$8,MATCH($I168,'CAT_TIPOS_OT'!$A$4:$A$8,0)),"sin_clasificar"))</f>
        <v/>
      </c>
      <c r="V168" s="5">
        <f>IF($I168="","",IF(IFERROR(INDEX('CAT_TIPOS_OT'!$D$4:$D$8,MATCH($I168,'CAT_TIPOS_OT'!$A$4:$A$8,0)),"SIN CLASIFICAR")="","SIN CLASIFICAR",IFERROR(INDEX('CAT_TIPOS_OT'!$D$4:$D$8,MATCH($I168,'CAT_TIPOS_OT'!$A$4:$A$8,0)),"SIN CLASIFICAR")))</f>
        <v/>
      </c>
      <c r="W168" s="5">
        <f>IF($F168="","",IFERROR(INDEX('CAT_CENTROS_COSTO'!$F$4:$F$13,MATCH($F168,'CAT_CENTROS_COSTO'!$A$4:$A$13,0)),"(sin catálogo)"))</f>
        <v/>
      </c>
      <c r="X168" s="5">
        <f>IF($F168="","",IFERROR(INDEX('CAT_CENTROS_COSTO'!$D$4:$D$13,MATCH($F168,'CAT_CENTROS_COSTO'!$A$4:$A$13,0)),"(sin catálogo)"))</f>
        <v/>
      </c>
      <c r="Y168" s="5">
        <f>IF($F168="","",IF((IFERROR(INDEX('CAT_CENTROS_COSTO'!$E$4:$E$13,MATCH($F168,'CAT_CENTROS_COSTO'!$A$4:$A$13,0)),""))&lt;&gt;"",IFERROR(INDEX('CAT_CENTROS_COSTO'!$E$4:$E$13,MATCH($F168,'CAT_CENTROS_COSTO'!$A$4:$A$13,0)),""),$X168))</f>
        <v/>
      </c>
      <c r="Z168" s="5">
        <f>IF($F168="","",IFERROR(INDEX('CAT_CENTROS_COSTO'!$G$4:$G$13,MATCH($F168,'CAT_CENTROS_COSTO'!$A$4:$A$13,0)),"(sin catálogo)"))</f>
        <v/>
      </c>
      <c r="AA168" s="5">
        <f>IF($G168="","",IFERROR(INDEX('CAT_PUESTOS'!$B$4:$B$8,MATCH($G168,'CAT_PUESTOS'!$A$4:$A$8,0)),"(sin catálogo)"))</f>
        <v/>
      </c>
      <c r="AB168" s="5">
        <f>IF($H168="","",IFERROR(INDEX('CAT_ACTIVIDADES'!$B$4:$B$11,MATCH($H168,'CAT_ACTIVIDADES'!$A$4:$A$11,0)),"(sin catálogo)"))</f>
        <v/>
      </c>
      <c r="AC168" s="20">
        <f>IF($J168="","",TODAY()-$J168)</f>
        <v/>
      </c>
      <c r="AD168" s="20">
        <f>IF($J168="","",IF($J168&lt;=TODAY(),COUNTIFS(cal_fechas,"&gt;="&amp;$J168,cal_fechas,"&lt;"&amp;TODAY(),cal_habil,"sí"),-COUNTIFS(cal_fechas,"&gt;="&amp;TODAY(),cal_fechas,"&lt;"&amp;$J168,cal_habil,"sí")))</f>
        <v/>
      </c>
      <c r="AE168" s="5">
        <f>IF($AD168="","",IF($AD168&lt;0,"FUTURO",IF($AD168&gt;p_dias_backlog_max,"BACKLOG","MES CORRIENTE")))</f>
        <v/>
      </c>
      <c r="AF168" s="5">
        <f>IF($AD168="",FALSE,AND($AD168&gt;p_dias_backlog_min,$AD168&lt;=p_dias_backlog_max))</f>
        <v/>
      </c>
      <c r="AG168" s="4" t="inlineStr"/>
      <c r="AH168" s="5">
        <f>IF($AG168="","",IF((IFERROR(INDEX('ASIGNACIONES'!$J$4:$J$451,MATCH($O168&amp;"|"&amp;$S168&amp;"|"&amp;$AG168,'ASIGNACIONES'!$N$4:$N$451,0)),""))=0,"",IFERROR(INDEX('ASIGNACIONES'!$J$4:$J$451,MATCH($O168&amp;"|"&amp;$S168&amp;"|"&amp;$AG168,'ASIGNACIONES'!$N$4:$N$451,0)),"")))</f>
        <v/>
      </c>
      <c r="AI168" s="25">
        <f>IF($AG168="","",SUMIFS('ORDENES'!$M$4:$M$1203,'ORDENES'!$AG$4:$AG$1203,$AG168,'ORDENES'!$O$4:$O$1203,$O168,'ORDENES'!$S$4:$S$1203,$S168))</f>
        <v/>
      </c>
      <c r="AJ168" s="25">
        <f>IF($AI168="","",p_factor_productividad*IFERROR(INDEX('ASIGNACIONES'!$M$4:$M$451,MATCH($O168&amp;"|"&amp;$S168&amp;"|"&amp;$AG168,'ASIGNACIONES'!$N$4:$N$451,0)),0)-$AI168)</f>
        <v/>
      </c>
      <c r="AK168" s="18">
        <f>IF($A168="","",IFERROR(INDEX('2_IMPORTAR_EJECUCION'!$F$9:$F$1208,MATCH($AT168,'2_IMPORTAR_EJECUCION'!$J$9:$J$1208,0)),0))</f>
        <v/>
      </c>
      <c r="AL168" s="18">
        <f>IF($A168="","",MAX(0,IFERROR(INDEX('2_IMPORTAR_EJECUCION'!$H$9:$H$1208,MATCH($AT168,'2_IMPORTAR_EJECUCION'!$J$9:$J$1208,0)),0)-$AK168))</f>
        <v/>
      </c>
      <c r="AM168" s="18">
        <f>IF($A168="","",$AK168+$AL168)</f>
        <v/>
      </c>
      <c r="AN168" s="5">
        <f>IF($A168="","",IF(OR((IFERROR(INDEX('CAT_ACTIVIDADES'!$D$4:$D$11,MATCH($H168,'CAT_ACTIVIDADES'!$A$4:$A$11,0)),""))=0,(IFERROR(INDEX('CAT_ACTIVIDADES'!$D$4:$D$11,MATCH($H168,'CAT_ACTIVIDADES'!$A$4:$A$11,0)),""))=""),"SIN CLASIFICAR",IFERROR(INDEX('CAT_ACTIVIDADES'!$D$4:$D$11,MATCH($H168,'CAT_ACTIVIDADES'!$A$4:$A$11,0)),"")))</f>
        <v/>
      </c>
      <c r="AO168" s="4" t="inlineStr"/>
      <c r="AP168" s="4" t="inlineStr"/>
      <c r="AQ168" s="4" t="inlineStr"/>
      <c r="AR168" s="5">
        <f>IF($AQ168="","",HYPERLINK(p_ruta_base_checklists&amp;$AQ168,"abrir"))</f>
        <v/>
      </c>
      <c r="AS168" s="4" t="inlineStr"/>
      <c r="AT168" s="5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22" t="n">
        <v>46388</v>
      </c>
      <c r="K169" s="5" t="n">
        <v>4</v>
      </c>
      <c r="L169" s="18" t="n">
        <v>100</v>
      </c>
      <c r="M169" s="5">
        <f>IF($A169="","",IFERROR(INDEX('AJUSTES'!$B$4:$B$303,MATCH($AT169,'AJUSTES'!$A$4:$A$303,0)),IF($K169="","",$K169)))</f>
        <v/>
      </c>
      <c r="N169" s="5">
        <f>IF($A169="","",IFERROR(INDEX('CAT_ESTADOS_ERP'!$B$4:$B$7,MATCH(IFERROR(INDEX('2_IMPORTAR_EJECUCION'!$C$9:$C$1208,MATCH($AT169,'2_IMPORTAR_EJECUCION'!$J$9:$J$1208,0)),""),'CAT_ESTADOS_ERP'!$A$4:$A$7,0)),"Pendiente"))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IF($J169="","",$P169&amp;"-"&amp;TEXT($Q169,"00"))</f>
        <v/>
      </c>
      <c r="S169" s="5">
        <f>IF($J169="","",INDEX(lista_dias,WEEKDAY($J169,2)))</f>
        <v/>
      </c>
      <c r="T169" s="5">
        <f>IF($J169="","",IFERROR(INDEX('CALENDARIO'!$C$15:$C$214,MATCH(TEXT($J169,"yyyy-mm-dd")&amp;"|"&amp;$X169&amp;"|"&amp;$Y169,'CALENDARIO'!$G$15:$G$214,0)),IFERROR(INDEX('CALENDARIO'!$C$15:$C$214,MATCH(TEXT($J169,"yyyy-mm-dd")&amp;"|"&amp;$X169&amp;"|",'CALENDARIO'!$G$15:$G$214,0)),IFERROR(INDEX('CALENDARIO'!$C$15:$C$214,MATCH(TEXT($J169,"yyyy-mm-dd")&amp;"||",'CALENDARIO'!$G$15:$G$214,0)),INDEX(patronHabil,WEEKDAY($J169,2))))))</f>
        <v/>
      </c>
      <c r="U169" s="5">
        <f>IF($I169="","",IFERROR(INDEX('CAT_TIPOS_OT'!$C$4:$C$8,MATCH($I169,'CAT_TIPOS_OT'!$A$4:$A$8,0)),"sin_clasificar"))</f>
        <v/>
      </c>
      <c r="V169" s="5">
        <f>IF($I169="","",IF(IFERROR(INDEX('CAT_TIPOS_OT'!$D$4:$D$8,MATCH($I169,'CAT_TIPOS_OT'!$A$4:$A$8,0)),"SIN CLASIFICAR")="","SIN CLASIFICAR",IFERROR(INDEX('CAT_TIPOS_OT'!$D$4:$D$8,MATCH($I169,'CAT_TIPOS_OT'!$A$4:$A$8,0)),"SIN CLASIFICAR")))</f>
        <v/>
      </c>
      <c r="W169" s="5">
        <f>IF($F169="","",IFERROR(INDEX('CAT_CENTROS_COSTO'!$F$4:$F$13,MATCH($F169,'CAT_CENTROS_COSTO'!$A$4:$A$13,0)),"(sin catálogo)"))</f>
        <v/>
      </c>
      <c r="X169" s="5">
        <f>IF($F169="","",IFERROR(INDEX('CAT_CENTROS_COSTO'!$D$4:$D$13,MATCH($F169,'CAT_CENTROS_COSTO'!$A$4:$A$13,0)),"(sin catálogo)"))</f>
        <v/>
      </c>
      <c r="Y169" s="5">
        <f>IF($F169="","",IF((IFERROR(INDEX('CAT_CENTROS_COSTO'!$E$4:$E$13,MATCH($F169,'CAT_CENTROS_COSTO'!$A$4:$A$13,0)),""))&lt;&gt;"",IFERROR(INDEX('CAT_CENTROS_COSTO'!$E$4:$E$13,MATCH($F169,'CAT_CENTROS_COSTO'!$A$4:$A$13,0)),""),$X169))</f>
        <v/>
      </c>
      <c r="Z169" s="5">
        <f>IF($F169="","",IFERROR(INDEX('CAT_CENTROS_COSTO'!$G$4:$G$13,MATCH($F169,'CAT_CENTROS_COSTO'!$A$4:$A$13,0)),"(sin catálogo)"))</f>
        <v/>
      </c>
      <c r="AA169" s="5">
        <f>IF($G169="","",IFERROR(INDEX('CAT_PUESTOS'!$B$4:$B$8,MATCH($G169,'CAT_PUESTOS'!$A$4:$A$8,0)),"(sin catálogo)"))</f>
        <v/>
      </c>
      <c r="AB169" s="5">
        <f>IF($H169="","",IFERROR(INDEX('CAT_ACTIVIDADES'!$B$4:$B$11,MATCH($H169,'CAT_ACTIVIDADES'!$A$4:$A$11,0)),"(sin catálogo)"))</f>
        <v/>
      </c>
      <c r="AC169" s="20">
        <f>IF($J169="","",TODAY()-$J169)</f>
        <v/>
      </c>
      <c r="AD169" s="20">
        <f>IF($J169="","",IF($J169&lt;=TODAY(),COUNTIFS(cal_fechas,"&gt;="&amp;$J169,cal_fechas,"&lt;"&amp;TODAY(),cal_habil,"sí"),-COUNTIFS(cal_fechas,"&gt;="&amp;TODAY(),cal_fechas,"&lt;"&amp;$J169,cal_habil,"sí")))</f>
        <v/>
      </c>
      <c r="AE169" s="5">
        <f>IF($AD169="","",IF($AD169&lt;0,"FUTURO",IF($AD169&gt;p_dias_backlog_max,"BACKLOG","MES CORRIENTE")))</f>
        <v/>
      </c>
      <c r="AF169" s="5">
        <f>IF($AD169="",FALSE,AND($AD169&gt;p_dias_backlog_min,$AD169&lt;=p_dias_backlog_max))</f>
        <v/>
      </c>
      <c r="AG169" s="4" t="inlineStr"/>
      <c r="AH169" s="5">
        <f>IF($AG169="","",IF((IFERROR(INDEX('ASIGNACIONES'!$J$4:$J$451,MATCH($O169&amp;"|"&amp;$S169&amp;"|"&amp;$AG169,'ASIGNACIONES'!$N$4:$N$451,0)),""))=0,"",IFERROR(INDEX('ASIGNACIONES'!$J$4:$J$451,MATCH($O169&amp;"|"&amp;$S169&amp;"|"&amp;$AG169,'ASIGNACIONES'!$N$4:$N$451,0)),"")))</f>
        <v/>
      </c>
      <c r="AI169" s="25">
        <f>IF($AG169="","",SUMIFS('ORDENES'!$M$4:$M$1203,'ORDENES'!$AG$4:$AG$1203,$AG169,'ORDENES'!$O$4:$O$1203,$O169,'ORDENES'!$S$4:$S$1203,$S169))</f>
        <v/>
      </c>
      <c r="AJ169" s="25">
        <f>IF($AI169="","",p_factor_productividad*IFERROR(INDEX('ASIGNACIONES'!$M$4:$M$451,MATCH($O169&amp;"|"&amp;$S169&amp;"|"&amp;$AG169,'ASIGNACIONES'!$N$4:$N$451,0)),0)-$AI169)</f>
        <v/>
      </c>
      <c r="AK169" s="18">
        <f>IF($A169="","",IFERROR(INDEX('2_IMPORTAR_EJECUCION'!$F$9:$F$1208,MATCH($AT169,'2_IMPORTAR_EJECUCION'!$J$9:$J$1208,0)),0))</f>
        <v/>
      </c>
      <c r="AL169" s="18">
        <f>IF($A169="","",MAX(0,IFERROR(INDEX('2_IMPORTAR_EJECUCION'!$H$9:$H$1208,MATCH($AT169,'2_IMPORTAR_EJECUCION'!$J$9:$J$1208,0)),0)-$AK169))</f>
        <v/>
      </c>
      <c r="AM169" s="18">
        <f>IF($A169="","",$AK169+$AL169)</f>
        <v/>
      </c>
      <c r="AN169" s="5">
        <f>IF($A169="","",IF(OR((IFERROR(INDEX('CAT_ACTIVIDADES'!$D$4:$D$11,MATCH($H169,'CAT_ACTIVIDADES'!$A$4:$A$11,0)),""))=0,(IFERROR(INDEX('CAT_ACTIVIDADES'!$D$4:$D$11,MATCH($H169,'CAT_ACTIVIDADES'!$A$4:$A$11,0)),""))=""),"SIN CLASIFICAR",IFERROR(INDEX('CAT_ACTIVIDADES'!$D$4:$D$11,MATCH($H169,'CAT_ACTIVIDADES'!$A$4:$A$11,0)),"")))</f>
        <v/>
      </c>
      <c r="AO169" s="4" t="inlineStr"/>
      <c r="AP169" s="4" t="inlineStr"/>
      <c r="AQ169" s="4" t="inlineStr"/>
      <c r="AR169" s="5">
        <f>IF($AQ169="","",HYPERLINK(p_ruta_base_checklists&amp;$AQ169,"abrir"))</f>
        <v/>
      </c>
      <c r="AS169" s="4" t="inlineStr"/>
      <c r="AT169" s="5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22" t="n">
        <v>46392</v>
      </c>
      <c r="K170" s="5" t="n">
        <v>4</v>
      </c>
      <c r="L170" s="18" t="n">
        <v>100</v>
      </c>
      <c r="M170" s="5">
        <f>IF($A170="","",IFERROR(INDEX('AJUSTES'!$B$4:$B$303,MATCH($AT170,'AJUSTES'!$A$4:$A$303,0)),IF($K170="","",$K170)))</f>
        <v/>
      </c>
      <c r="N170" s="5">
        <f>IF($A170="","",IFERROR(INDEX('CAT_ESTADOS_ERP'!$B$4:$B$7,MATCH(IFERROR(INDEX('2_IMPORTAR_EJECUCION'!$C$9:$C$1208,MATCH($AT170,'2_IMPORTAR_EJECUCION'!$J$9:$J$1208,0)),""),'CAT_ESTADOS_ERP'!$A$4:$A$7,0)),"Pendiente"))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IF($J170="","",$P170&amp;"-"&amp;TEXT($Q170,"00"))</f>
        <v/>
      </c>
      <c r="S170" s="5">
        <f>IF($J170="","",INDEX(lista_dias,WEEKDAY($J170,2)))</f>
        <v/>
      </c>
      <c r="T170" s="5">
        <f>IF($J170="","",IFERROR(INDEX('CALENDARIO'!$C$15:$C$214,MATCH(TEXT($J170,"yyyy-mm-dd")&amp;"|"&amp;$X170&amp;"|"&amp;$Y170,'CALENDARIO'!$G$15:$G$214,0)),IFERROR(INDEX('CALENDARIO'!$C$15:$C$214,MATCH(TEXT($J170,"yyyy-mm-dd")&amp;"|"&amp;$X170&amp;"|",'CALENDARIO'!$G$15:$G$214,0)),IFERROR(INDEX('CALENDARIO'!$C$15:$C$214,MATCH(TEXT($J170,"yyyy-mm-dd")&amp;"||",'CALENDARIO'!$G$15:$G$214,0)),INDEX(patronHabil,WEEKDAY($J170,2))))))</f>
        <v/>
      </c>
      <c r="U170" s="5">
        <f>IF($I170="","",IFERROR(INDEX('CAT_TIPOS_OT'!$C$4:$C$8,MATCH($I170,'CAT_TIPOS_OT'!$A$4:$A$8,0)),"sin_clasificar"))</f>
        <v/>
      </c>
      <c r="V170" s="5">
        <f>IF($I170="","",IF(IFERROR(INDEX('CAT_TIPOS_OT'!$D$4:$D$8,MATCH($I170,'CAT_TIPOS_OT'!$A$4:$A$8,0)),"SIN CLASIFICAR")="","SIN CLASIFICAR",IFERROR(INDEX('CAT_TIPOS_OT'!$D$4:$D$8,MATCH($I170,'CAT_TIPOS_OT'!$A$4:$A$8,0)),"SIN CLASIFICAR")))</f>
        <v/>
      </c>
      <c r="W170" s="5">
        <f>IF($F170="","",IFERROR(INDEX('CAT_CENTROS_COSTO'!$F$4:$F$13,MATCH($F170,'CAT_CENTROS_COSTO'!$A$4:$A$13,0)),"(sin catálogo)"))</f>
        <v/>
      </c>
      <c r="X170" s="5">
        <f>IF($F170="","",IFERROR(INDEX('CAT_CENTROS_COSTO'!$D$4:$D$13,MATCH($F170,'CAT_CENTROS_COSTO'!$A$4:$A$13,0)),"(sin catálogo)"))</f>
        <v/>
      </c>
      <c r="Y170" s="5">
        <f>IF($F170="","",IF((IFERROR(INDEX('CAT_CENTROS_COSTO'!$E$4:$E$13,MATCH($F170,'CAT_CENTROS_COSTO'!$A$4:$A$13,0)),""))&lt;&gt;"",IFERROR(INDEX('CAT_CENTROS_COSTO'!$E$4:$E$13,MATCH($F170,'CAT_CENTROS_COSTO'!$A$4:$A$13,0)),""),$X170))</f>
        <v/>
      </c>
      <c r="Z170" s="5">
        <f>IF($F170="","",IFERROR(INDEX('CAT_CENTROS_COSTO'!$G$4:$G$13,MATCH($F170,'CAT_CENTROS_COSTO'!$A$4:$A$13,0)),"(sin catálogo)"))</f>
        <v/>
      </c>
      <c r="AA170" s="5">
        <f>IF($G170="","",IFERROR(INDEX('CAT_PUESTOS'!$B$4:$B$8,MATCH($G170,'CAT_PUESTOS'!$A$4:$A$8,0)),"(sin catálogo)"))</f>
        <v/>
      </c>
      <c r="AB170" s="5">
        <f>IF($H170="","",IFERROR(INDEX('CAT_ACTIVIDADES'!$B$4:$B$11,MATCH($H170,'CAT_ACTIVIDADES'!$A$4:$A$11,0)),"(sin catálogo)"))</f>
        <v/>
      </c>
      <c r="AC170" s="20">
        <f>IF($J170="","",TODAY()-$J170)</f>
        <v/>
      </c>
      <c r="AD170" s="20">
        <f>IF($J170="","",IF($J170&lt;=TODAY(),COUNTIFS(cal_fechas,"&gt;="&amp;$J170,cal_fechas,"&lt;"&amp;TODAY(),cal_habil,"sí"),-COUNTIFS(cal_fechas,"&gt;="&amp;TODAY(),cal_fechas,"&lt;"&amp;$J170,cal_habil,"sí")))</f>
        <v/>
      </c>
      <c r="AE170" s="5">
        <f>IF($AD170="","",IF($AD170&lt;0,"FUTURO",IF($AD170&gt;p_dias_backlog_max,"BACKLOG","MES CORRIENTE")))</f>
        <v/>
      </c>
      <c r="AF170" s="5">
        <f>IF($AD170="",FALSE,AND($AD170&gt;p_dias_backlog_min,$AD170&lt;=p_dias_backlog_max))</f>
        <v/>
      </c>
      <c r="AG170" s="4" t="inlineStr"/>
      <c r="AH170" s="5">
        <f>IF($AG170="","",IF((IFERROR(INDEX('ASIGNACIONES'!$J$4:$J$451,MATCH($O170&amp;"|"&amp;$S170&amp;"|"&amp;$AG170,'ASIGNACIONES'!$N$4:$N$451,0)),""))=0,"",IFERROR(INDEX('ASIGNACIONES'!$J$4:$J$451,MATCH($O170&amp;"|"&amp;$S170&amp;"|"&amp;$AG170,'ASIGNACIONES'!$N$4:$N$451,0)),"")))</f>
        <v/>
      </c>
      <c r="AI170" s="25">
        <f>IF($AG170="","",SUMIFS('ORDENES'!$M$4:$M$1203,'ORDENES'!$AG$4:$AG$1203,$AG170,'ORDENES'!$O$4:$O$1203,$O170,'ORDENES'!$S$4:$S$1203,$S170))</f>
        <v/>
      </c>
      <c r="AJ170" s="25">
        <f>IF($AI170="","",p_factor_productividad*IFERROR(INDEX('ASIGNACIONES'!$M$4:$M$451,MATCH($O170&amp;"|"&amp;$S170&amp;"|"&amp;$AG170,'ASIGNACIONES'!$N$4:$N$451,0)),0)-$AI170)</f>
        <v/>
      </c>
      <c r="AK170" s="18">
        <f>IF($A170="","",IFERROR(INDEX('2_IMPORTAR_EJECUCION'!$F$9:$F$1208,MATCH($AT170,'2_IMPORTAR_EJECUCION'!$J$9:$J$1208,0)),0))</f>
        <v/>
      </c>
      <c r="AL170" s="18">
        <f>IF($A170="","",MAX(0,IFERROR(INDEX('2_IMPORTAR_EJECUCION'!$H$9:$H$1208,MATCH($AT170,'2_IMPORTAR_EJECUCION'!$J$9:$J$1208,0)),0)-$AK170))</f>
        <v/>
      </c>
      <c r="AM170" s="18">
        <f>IF($A170="","",$AK170+$AL170)</f>
        <v/>
      </c>
      <c r="AN170" s="5">
        <f>IF($A170="","",IF(OR((IFERROR(INDEX('CAT_ACTIVIDADES'!$D$4:$D$11,MATCH($H170,'CAT_ACTIVIDADES'!$A$4:$A$11,0)),""))=0,(IFERROR(INDEX('CAT_ACTIVIDADES'!$D$4:$D$11,MATCH($H170,'CAT_ACTIVIDADES'!$A$4:$A$11,0)),""))=""),"SIN CLASIFICAR",IFERROR(INDEX('CAT_ACTIVIDADES'!$D$4:$D$11,MATCH($H170,'CAT_ACTIVIDADES'!$A$4:$A$11,0)),"")))</f>
        <v/>
      </c>
      <c r="AO170" s="4" t="inlineStr"/>
      <c r="AP170" s="4" t="inlineStr"/>
      <c r="AQ170" s="4" t="inlineStr"/>
      <c r="AR170" s="5">
        <f>IF($AQ170="","",HYPERLINK(p_ruta_base_checklists&amp;$AQ170,"abrir"))</f>
        <v/>
      </c>
      <c r="AS170" s="4" t="inlineStr"/>
      <c r="AT170" s="5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22" t="n">
        <v>46180</v>
      </c>
      <c r="K171" s="5" t="n">
        <v>6</v>
      </c>
      <c r="L171" s="18" t="n">
        <v>240</v>
      </c>
      <c r="M171" s="5">
        <f>IF($A171="","",IFERROR(INDEX('AJUSTES'!$B$4:$B$303,MATCH($AT171,'AJUSTES'!$A$4:$A$303,0)),IF($K171="","",$K171)))</f>
        <v/>
      </c>
      <c r="N171" s="5">
        <f>IF($A171="","",IFERROR(INDEX('CAT_ESTADOS_ERP'!$B$4:$B$7,MATCH(IFERROR(INDEX('2_IMPORTAR_EJECUCION'!$C$9:$C$1208,MATCH($AT171,'2_IMPORTAR_EJECUCION'!$J$9:$J$1208,0)),""),'CAT_ESTADOS_ERP'!$A$4:$A$7,0)),"Pendiente"))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IF($J171="","",$P171&amp;"-"&amp;TEXT($Q171,"00"))</f>
        <v/>
      </c>
      <c r="S171" s="5">
        <f>IF($J171="","",INDEX(lista_dias,WEEKDAY($J171,2)))</f>
        <v/>
      </c>
      <c r="T171" s="5">
        <f>IF($J171="","",IFERROR(INDEX('CALENDARIO'!$C$15:$C$214,MATCH(TEXT($J171,"yyyy-mm-dd")&amp;"|"&amp;$X171&amp;"|"&amp;$Y171,'CALENDARIO'!$G$15:$G$214,0)),IFERROR(INDEX('CALENDARIO'!$C$15:$C$214,MATCH(TEXT($J171,"yyyy-mm-dd")&amp;"|"&amp;$X171&amp;"|",'CALENDARIO'!$G$15:$G$214,0)),IFERROR(INDEX('CALENDARIO'!$C$15:$C$214,MATCH(TEXT($J171,"yyyy-mm-dd")&amp;"||",'CALENDARIO'!$G$15:$G$214,0)),INDEX(patronHabil,WEEKDAY($J171,2))))))</f>
        <v/>
      </c>
      <c r="U171" s="5">
        <f>IF($I171="","",IFERROR(INDEX('CAT_TIPOS_OT'!$C$4:$C$8,MATCH($I171,'CAT_TIPOS_OT'!$A$4:$A$8,0)),"sin_clasificar"))</f>
        <v/>
      </c>
      <c r="V171" s="5">
        <f>IF($I171="","",IF(IFERROR(INDEX('CAT_TIPOS_OT'!$D$4:$D$8,MATCH($I171,'CAT_TIPOS_OT'!$A$4:$A$8,0)),"SIN CLASIFICAR")="","SIN CLASIFICAR",IFERROR(INDEX('CAT_TIPOS_OT'!$D$4:$D$8,MATCH($I171,'CAT_TIPOS_OT'!$A$4:$A$8,0)),"SIN CLASIFICAR")))</f>
        <v/>
      </c>
      <c r="W171" s="5">
        <f>IF($F171="","",IFERROR(INDEX('CAT_CENTROS_COSTO'!$F$4:$F$13,MATCH($F171,'CAT_CENTROS_COSTO'!$A$4:$A$13,0)),"(sin catálogo)"))</f>
        <v/>
      </c>
      <c r="X171" s="5">
        <f>IF($F171="","",IFERROR(INDEX('CAT_CENTROS_COSTO'!$D$4:$D$13,MATCH($F171,'CAT_CENTROS_COSTO'!$A$4:$A$13,0)),"(sin catálogo)"))</f>
        <v/>
      </c>
      <c r="Y171" s="5">
        <f>IF($F171="","",IF((IFERROR(INDEX('CAT_CENTROS_COSTO'!$E$4:$E$13,MATCH($F171,'CAT_CENTROS_COSTO'!$A$4:$A$13,0)),""))&lt;&gt;"",IFERROR(INDEX('CAT_CENTROS_COSTO'!$E$4:$E$13,MATCH($F171,'CAT_CENTROS_COSTO'!$A$4:$A$13,0)),""),$X171))</f>
        <v/>
      </c>
      <c r="Z171" s="5">
        <f>IF($F171="","",IFERROR(INDEX('CAT_CENTROS_COSTO'!$G$4:$G$13,MATCH($F171,'CAT_CENTROS_COSTO'!$A$4:$A$13,0)),"(sin catálogo)"))</f>
        <v/>
      </c>
      <c r="AA171" s="5">
        <f>IF($G171="","",IFERROR(INDEX('CAT_PUESTOS'!$B$4:$B$8,MATCH($G171,'CAT_PUESTOS'!$A$4:$A$8,0)),"(sin catálogo)"))</f>
        <v/>
      </c>
      <c r="AB171" s="5">
        <f>IF($H171="","",IFERROR(INDEX('CAT_ACTIVIDADES'!$B$4:$B$11,MATCH($H171,'CAT_ACTIVIDADES'!$A$4:$A$11,0)),"(sin catálogo)"))</f>
        <v/>
      </c>
      <c r="AC171" s="20">
        <f>IF($J171="","",TODAY()-$J171)</f>
        <v/>
      </c>
      <c r="AD171" s="20">
        <f>IF($J171="","",IF($J171&lt;=TODAY(),COUNTIFS(cal_fechas,"&gt;="&amp;$J171,cal_fechas,"&lt;"&amp;TODAY(),cal_habil,"sí"),-COUNTIFS(cal_fechas,"&gt;="&amp;TODAY(),cal_fechas,"&lt;"&amp;$J171,cal_habil,"sí")))</f>
        <v/>
      </c>
      <c r="AE171" s="5">
        <f>IF($AD171="","",IF($AD171&lt;0,"FUTURO",IF($AD171&gt;p_dias_backlog_max,"BACKLOG","MES CORRIENTE")))</f>
        <v/>
      </c>
      <c r="AF171" s="5">
        <f>IF($AD171="",FALSE,AND($AD171&gt;p_dias_backlog_min,$AD171&lt;=p_dias_backlog_max))</f>
        <v/>
      </c>
      <c r="AG171" s="4" t="inlineStr"/>
      <c r="AH171" s="5">
        <f>IF($AG171="","",IF((IFERROR(INDEX('ASIGNACIONES'!$J$4:$J$451,MATCH($O171&amp;"|"&amp;$S171&amp;"|"&amp;$AG171,'ASIGNACIONES'!$N$4:$N$451,0)),""))=0,"",IFERROR(INDEX('ASIGNACIONES'!$J$4:$J$451,MATCH($O171&amp;"|"&amp;$S171&amp;"|"&amp;$AG171,'ASIGNACIONES'!$N$4:$N$451,0)),"")))</f>
        <v/>
      </c>
      <c r="AI171" s="25">
        <f>IF($AG171="","",SUMIFS('ORDENES'!$M$4:$M$1203,'ORDENES'!$AG$4:$AG$1203,$AG171,'ORDENES'!$O$4:$O$1203,$O171,'ORDENES'!$S$4:$S$1203,$S171))</f>
        <v/>
      </c>
      <c r="AJ171" s="25">
        <f>IF($AI171="","",p_factor_productividad*IFERROR(INDEX('ASIGNACIONES'!$M$4:$M$451,MATCH($O171&amp;"|"&amp;$S171&amp;"|"&amp;$AG171,'ASIGNACIONES'!$N$4:$N$451,0)),0)-$AI171)</f>
        <v/>
      </c>
      <c r="AK171" s="18">
        <f>IF($A171="","",IFERROR(INDEX('2_IMPORTAR_EJECUCION'!$F$9:$F$1208,MATCH($AT171,'2_IMPORTAR_EJECUCION'!$J$9:$J$1208,0)),0))</f>
        <v/>
      </c>
      <c r="AL171" s="18">
        <f>IF($A171="","",MAX(0,IFERROR(INDEX('2_IMPORTAR_EJECUCION'!$H$9:$H$1208,MATCH($AT171,'2_IMPORTAR_EJECUCION'!$J$9:$J$1208,0)),0)-$AK171))</f>
        <v/>
      </c>
      <c r="AM171" s="18">
        <f>IF($A171="","",$AK171+$AL171)</f>
        <v/>
      </c>
      <c r="AN171" s="5">
        <f>IF($A171="","",IF(OR((IFERROR(INDEX('CAT_ACTIVIDADES'!$D$4:$D$11,MATCH($H171,'CAT_ACTIVIDADES'!$A$4:$A$11,0)),""))=0,(IFERROR(INDEX('CAT_ACTIVIDADES'!$D$4:$D$11,MATCH($H171,'CAT_ACTIVIDADES'!$A$4:$A$11,0)),""))=""),"SIN CLASIFICAR",IFERROR(INDEX('CAT_ACTIVIDADES'!$D$4:$D$11,MATCH($H171,'CAT_ACTIVIDADES'!$A$4:$A$11,0)),"")))</f>
        <v/>
      </c>
      <c r="AO171" s="4" t="inlineStr"/>
      <c r="AP171" s="4" t="inlineStr"/>
      <c r="AQ171" s="4" t="inlineStr"/>
      <c r="AR171" s="5">
        <f>IF($AQ171="","",HYPERLINK(p_ruta_base_checklists&amp;$AQ171,"abrir"))</f>
        <v/>
      </c>
      <c r="AS171" s="4" t="inlineStr"/>
      <c r="AT171" s="5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22" t="n">
        <v>46180</v>
      </c>
      <c r="K172" s="5" t="n">
        <v>6</v>
      </c>
      <c r="L172" s="18" t="n">
        <v>240</v>
      </c>
      <c r="M172" s="5">
        <f>IF($A172="","",IFERROR(INDEX('AJUSTES'!$B$4:$B$303,MATCH($AT172,'AJUSTES'!$A$4:$A$303,0)),IF($K172="","",$K172)))</f>
        <v/>
      </c>
      <c r="N172" s="5">
        <f>IF($A172="","",IFERROR(INDEX('CAT_ESTADOS_ERP'!$B$4:$B$7,MATCH(IFERROR(INDEX('2_IMPORTAR_EJECUCION'!$C$9:$C$1208,MATCH($AT172,'2_IMPORTAR_EJECUCION'!$J$9:$J$1208,0)),""),'CAT_ESTADOS_ERP'!$A$4:$A$7,0)),"Pendiente"))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IF($J172="","",$P172&amp;"-"&amp;TEXT($Q172,"00"))</f>
        <v/>
      </c>
      <c r="S172" s="5">
        <f>IF($J172="","",INDEX(lista_dias,WEEKDAY($J172,2)))</f>
        <v/>
      </c>
      <c r="T172" s="5">
        <f>IF($J172="","",IFERROR(INDEX('CALENDARIO'!$C$15:$C$214,MATCH(TEXT($J172,"yyyy-mm-dd")&amp;"|"&amp;$X172&amp;"|"&amp;$Y172,'CALENDARIO'!$G$15:$G$214,0)),IFERROR(INDEX('CALENDARIO'!$C$15:$C$214,MATCH(TEXT($J172,"yyyy-mm-dd")&amp;"|"&amp;$X172&amp;"|",'CALENDARIO'!$G$15:$G$214,0)),IFERROR(INDEX('CALENDARIO'!$C$15:$C$214,MATCH(TEXT($J172,"yyyy-mm-dd")&amp;"||",'CALENDARIO'!$G$15:$G$214,0)),INDEX(patronHabil,WEEKDAY($J172,2))))))</f>
        <v/>
      </c>
      <c r="U172" s="5">
        <f>IF($I172="","",IFERROR(INDEX('CAT_TIPOS_OT'!$C$4:$C$8,MATCH($I172,'CAT_TIPOS_OT'!$A$4:$A$8,0)),"sin_clasificar"))</f>
        <v/>
      </c>
      <c r="V172" s="5">
        <f>IF($I172="","",IF(IFERROR(INDEX('CAT_TIPOS_OT'!$D$4:$D$8,MATCH($I172,'CAT_TIPOS_OT'!$A$4:$A$8,0)),"SIN CLASIFICAR")="","SIN CLASIFICAR",IFERROR(INDEX('CAT_TIPOS_OT'!$D$4:$D$8,MATCH($I172,'CAT_TIPOS_OT'!$A$4:$A$8,0)),"SIN CLASIFICAR")))</f>
        <v/>
      </c>
      <c r="W172" s="5">
        <f>IF($F172="","",IFERROR(INDEX('CAT_CENTROS_COSTO'!$F$4:$F$13,MATCH($F172,'CAT_CENTROS_COSTO'!$A$4:$A$13,0)),"(sin catálogo)"))</f>
        <v/>
      </c>
      <c r="X172" s="5">
        <f>IF($F172="","",IFERROR(INDEX('CAT_CENTROS_COSTO'!$D$4:$D$13,MATCH($F172,'CAT_CENTROS_COSTO'!$A$4:$A$13,0)),"(sin catálogo)"))</f>
        <v/>
      </c>
      <c r="Y172" s="5">
        <f>IF($F172="","",IF((IFERROR(INDEX('CAT_CENTROS_COSTO'!$E$4:$E$13,MATCH($F172,'CAT_CENTROS_COSTO'!$A$4:$A$13,0)),""))&lt;&gt;"",IFERROR(INDEX('CAT_CENTROS_COSTO'!$E$4:$E$13,MATCH($F172,'CAT_CENTROS_COSTO'!$A$4:$A$13,0)),""),$X172))</f>
        <v/>
      </c>
      <c r="Z172" s="5">
        <f>IF($F172="","",IFERROR(INDEX('CAT_CENTROS_COSTO'!$G$4:$G$13,MATCH($F172,'CAT_CENTROS_COSTO'!$A$4:$A$13,0)),"(sin catálogo)"))</f>
        <v/>
      </c>
      <c r="AA172" s="5">
        <f>IF($G172="","",IFERROR(INDEX('CAT_PUESTOS'!$B$4:$B$8,MATCH($G172,'CAT_PUESTOS'!$A$4:$A$8,0)),"(sin catálogo)"))</f>
        <v/>
      </c>
      <c r="AB172" s="5">
        <f>IF($H172="","",IFERROR(INDEX('CAT_ACTIVIDADES'!$B$4:$B$11,MATCH($H172,'CAT_ACTIVIDADES'!$A$4:$A$11,0)),"(sin catálogo)"))</f>
        <v/>
      </c>
      <c r="AC172" s="20">
        <f>IF($J172="","",TODAY()-$J172)</f>
        <v/>
      </c>
      <c r="AD172" s="20">
        <f>IF($J172="","",IF($J172&lt;=TODAY(),COUNTIFS(cal_fechas,"&gt;="&amp;$J172,cal_fechas,"&lt;"&amp;TODAY(),cal_habil,"sí"),-COUNTIFS(cal_fechas,"&gt;="&amp;TODAY(),cal_fechas,"&lt;"&amp;$J172,cal_habil,"sí")))</f>
        <v/>
      </c>
      <c r="AE172" s="5">
        <f>IF($AD172="","",IF($AD172&lt;0,"FUTURO",IF($AD172&gt;p_dias_backlog_max,"BACKLOG","MES CORRIENTE")))</f>
        <v/>
      </c>
      <c r="AF172" s="5">
        <f>IF($AD172="",FALSE,AND($AD172&gt;p_dias_backlog_min,$AD172&lt;=p_dias_backlog_max))</f>
        <v/>
      </c>
      <c r="AG172" s="4" t="inlineStr"/>
      <c r="AH172" s="5">
        <f>IF($AG172="","",IF((IFERROR(INDEX('ASIGNACIONES'!$J$4:$J$451,MATCH($O172&amp;"|"&amp;$S172&amp;"|"&amp;$AG172,'ASIGNACIONES'!$N$4:$N$451,0)),""))=0,"",IFERROR(INDEX('ASIGNACIONES'!$J$4:$J$451,MATCH($O172&amp;"|"&amp;$S172&amp;"|"&amp;$AG172,'ASIGNACIONES'!$N$4:$N$451,0)),"")))</f>
        <v/>
      </c>
      <c r="AI172" s="25">
        <f>IF($AG172="","",SUMIFS('ORDENES'!$M$4:$M$1203,'ORDENES'!$AG$4:$AG$1203,$AG172,'ORDENES'!$O$4:$O$1203,$O172,'ORDENES'!$S$4:$S$1203,$S172))</f>
        <v/>
      </c>
      <c r="AJ172" s="25">
        <f>IF($AI172="","",p_factor_productividad*IFERROR(INDEX('ASIGNACIONES'!$M$4:$M$451,MATCH($O172&amp;"|"&amp;$S172&amp;"|"&amp;$AG172,'ASIGNACIONES'!$N$4:$N$451,0)),0)-$AI172)</f>
        <v/>
      </c>
      <c r="AK172" s="18">
        <f>IF($A172="","",IFERROR(INDEX('2_IMPORTAR_EJECUCION'!$F$9:$F$1208,MATCH($AT172,'2_IMPORTAR_EJECUCION'!$J$9:$J$1208,0)),0))</f>
        <v/>
      </c>
      <c r="AL172" s="18">
        <f>IF($A172="","",MAX(0,IFERROR(INDEX('2_IMPORTAR_EJECUCION'!$H$9:$H$1208,MATCH($AT172,'2_IMPORTAR_EJECUCION'!$J$9:$J$1208,0)),0)-$AK172))</f>
        <v/>
      </c>
      <c r="AM172" s="18">
        <f>IF($A172="","",$AK172+$AL172)</f>
        <v/>
      </c>
      <c r="AN172" s="5">
        <f>IF($A172="","",IF(OR((IFERROR(INDEX('CAT_ACTIVIDADES'!$D$4:$D$11,MATCH($H172,'CAT_ACTIVIDADES'!$A$4:$A$11,0)),""))=0,(IFERROR(INDEX('CAT_ACTIVIDADES'!$D$4:$D$11,MATCH($H172,'CAT_ACTIVIDADES'!$A$4:$A$11,0)),""))=""),"SIN CLASIFICAR",IFERROR(INDEX('CAT_ACTIVIDADES'!$D$4:$D$11,MATCH($H172,'CAT_ACTIVIDADES'!$A$4:$A$11,0)),"")))</f>
        <v/>
      </c>
      <c r="AO172" s="4" t="inlineStr"/>
      <c r="AP172" s="4" t="inlineStr"/>
      <c r="AQ172" s="4" t="inlineStr"/>
      <c r="AR172" s="5">
        <f>IF($AQ172="","",HYPERLINK(p_ruta_base_checklists&amp;$AQ172,"abrir"))</f>
        <v/>
      </c>
      <c r="AS172" s="4" t="inlineStr"/>
      <c r="AT172" s="5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22" t="n"/>
      <c r="K173" s="5" t="n">
        <v>4</v>
      </c>
      <c r="L173" s="18" t="n">
        <v>160</v>
      </c>
      <c r="M173" s="5">
        <f>IF($A173="","",IFERROR(INDEX('AJUSTES'!$B$4:$B$303,MATCH($AT173,'AJUSTES'!$A$4:$A$303,0)),IF($K173="","",$K173)))</f>
        <v/>
      </c>
      <c r="N173" s="5">
        <f>IF($A173="","",IFERROR(INDEX('CAT_ESTADOS_ERP'!$B$4:$B$7,MATCH(IFERROR(INDEX('2_IMPORTAR_EJECUCION'!$C$9:$C$1208,MATCH($AT173,'2_IMPORTAR_EJECUCION'!$J$9:$J$1208,0)),""),'CAT_ESTADOS_ERP'!$A$4:$A$7,0)),"Pendiente"))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IF($J173="","",$P173&amp;"-"&amp;TEXT($Q173,"00"))</f>
        <v/>
      </c>
      <c r="S173" s="5">
        <f>IF($J173="","",INDEX(lista_dias,WEEKDAY($J173,2)))</f>
        <v/>
      </c>
      <c r="T173" s="5">
        <f>IF($J173="","",IFERROR(INDEX('CALENDARIO'!$C$15:$C$214,MATCH(TEXT($J173,"yyyy-mm-dd")&amp;"|"&amp;$X173&amp;"|"&amp;$Y173,'CALENDARIO'!$G$15:$G$214,0)),IFERROR(INDEX('CALENDARIO'!$C$15:$C$214,MATCH(TEXT($J173,"yyyy-mm-dd")&amp;"|"&amp;$X173&amp;"|",'CALENDARIO'!$G$15:$G$214,0)),IFERROR(INDEX('CALENDARIO'!$C$15:$C$214,MATCH(TEXT($J173,"yyyy-mm-dd")&amp;"||",'CALENDARIO'!$G$15:$G$214,0)),INDEX(patronHabil,WEEKDAY($J173,2))))))</f>
        <v/>
      </c>
      <c r="U173" s="5">
        <f>IF($I173="","",IFERROR(INDEX('CAT_TIPOS_OT'!$C$4:$C$8,MATCH($I173,'CAT_TIPOS_OT'!$A$4:$A$8,0)),"sin_clasificar"))</f>
        <v/>
      </c>
      <c r="V173" s="5">
        <f>IF($I173="","",IF(IFERROR(INDEX('CAT_TIPOS_OT'!$D$4:$D$8,MATCH($I173,'CAT_TIPOS_OT'!$A$4:$A$8,0)),"SIN CLASIFICAR")="","SIN CLASIFICAR",IFERROR(INDEX('CAT_TIPOS_OT'!$D$4:$D$8,MATCH($I173,'CAT_TIPOS_OT'!$A$4:$A$8,0)),"SIN CLASIFICAR")))</f>
        <v/>
      </c>
      <c r="W173" s="5">
        <f>IF($F173="","",IFERROR(INDEX('CAT_CENTROS_COSTO'!$F$4:$F$13,MATCH($F173,'CAT_CENTROS_COSTO'!$A$4:$A$13,0)),"(sin catálogo)"))</f>
        <v/>
      </c>
      <c r="X173" s="5">
        <f>IF($F173="","",IFERROR(INDEX('CAT_CENTROS_COSTO'!$D$4:$D$13,MATCH($F173,'CAT_CENTROS_COSTO'!$A$4:$A$13,0)),"(sin catálogo)"))</f>
        <v/>
      </c>
      <c r="Y173" s="5">
        <f>IF($F173="","",IF((IFERROR(INDEX('CAT_CENTROS_COSTO'!$E$4:$E$13,MATCH($F173,'CAT_CENTROS_COSTO'!$A$4:$A$13,0)),""))&lt;&gt;"",IFERROR(INDEX('CAT_CENTROS_COSTO'!$E$4:$E$13,MATCH($F173,'CAT_CENTROS_COSTO'!$A$4:$A$13,0)),""),$X173))</f>
        <v/>
      </c>
      <c r="Z173" s="5">
        <f>IF($F173="","",IFERROR(INDEX('CAT_CENTROS_COSTO'!$G$4:$G$13,MATCH($F173,'CAT_CENTROS_COSTO'!$A$4:$A$13,0)),"(sin catálogo)"))</f>
        <v/>
      </c>
      <c r="AA173" s="5">
        <f>IF($G173="","",IFERROR(INDEX('CAT_PUESTOS'!$B$4:$B$8,MATCH($G173,'CAT_PUESTOS'!$A$4:$A$8,0)),"(sin catálogo)"))</f>
        <v/>
      </c>
      <c r="AB173" s="5">
        <f>IF($H173="","",IFERROR(INDEX('CAT_ACTIVIDADES'!$B$4:$B$11,MATCH($H173,'CAT_ACTIVIDADES'!$A$4:$A$11,0)),"(sin catálogo)"))</f>
        <v/>
      </c>
      <c r="AC173" s="20">
        <f>IF($J173="","",TODAY()-$J173)</f>
        <v/>
      </c>
      <c r="AD173" s="20">
        <f>IF($J173="","",IF($J173&lt;=TODAY(),COUNTIFS(cal_fechas,"&gt;="&amp;$J173,cal_fechas,"&lt;"&amp;TODAY(),cal_habil,"sí"),-COUNTIFS(cal_fechas,"&gt;="&amp;TODAY(),cal_fechas,"&lt;"&amp;$J173,cal_habil,"sí")))</f>
        <v/>
      </c>
      <c r="AE173" s="5">
        <f>IF($AD173="","",IF($AD173&lt;0,"FUTURO",IF($AD173&gt;p_dias_backlog_max,"BACKLOG","MES CORRIENTE")))</f>
        <v/>
      </c>
      <c r="AF173" s="5">
        <f>IF($AD173="",FALSE,AND($AD173&gt;p_dias_backlog_min,$AD173&lt;=p_dias_backlog_max))</f>
        <v/>
      </c>
      <c r="AG173" s="4" t="inlineStr"/>
      <c r="AH173" s="5">
        <f>IF($AG173="","",IF((IFERROR(INDEX('ASIGNACIONES'!$J$4:$J$451,MATCH($O173&amp;"|"&amp;$S173&amp;"|"&amp;$AG173,'ASIGNACIONES'!$N$4:$N$451,0)),""))=0,"",IFERROR(INDEX('ASIGNACIONES'!$J$4:$J$451,MATCH($O173&amp;"|"&amp;$S173&amp;"|"&amp;$AG173,'ASIGNACIONES'!$N$4:$N$451,0)),"")))</f>
        <v/>
      </c>
      <c r="AI173" s="25">
        <f>IF($AG173="","",SUMIFS('ORDENES'!$M$4:$M$1203,'ORDENES'!$AG$4:$AG$1203,$AG173,'ORDENES'!$O$4:$O$1203,$O173,'ORDENES'!$S$4:$S$1203,$S173))</f>
        <v/>
      </c>
      <c r="AJ173" s="25">
        <f>IF($AI173="","",p_factor_productividad*IFERROR(INDEX('ASIGNACIONES'!$M$4:$M$451,MATCH($O173&amp;"|"&amp;$S173&amp;"|"&amp;$AG173,'ASIGNACIONES'!$N$4:$N$451,0)),0)-$AI173)</f>
        <v/>
      </c>
      <c r="AK173" s="18">
        <f>IF($A173="","",IFERROR(INDEX('2_IMPORTAR_EJECUCION'!$F$9:$F$1208,MATCH($AT173,'2_IMPORTAR_EJECUCION'!$J$9:$J$1208,0)),0))</f>
        <v/>
      </c>
      <c r="AL173" s="18">
        <f>IF($A173="","",MAX(0,IFERROR(INDEX('2_IMPORTAR_EJECUCION'!$H$9:$H$1208,MATCH($AT173,'2_IMPORTAR_EJECUCION'!$J$9:$J$1208,0)),0)-$AK173))</f>
        <v/>
      </c>
      <c r="AM173" s="18">
        <f>IF($A173="","",$AK173+$AL173)</f>
        <v/>
      </c>
      <c r="AN173" s="5">
        <f>IF($A173="","",IF(OR((IFERROR(INDEX('CAT_ACTIVIDADES'!$D$4:$D$11,MATCH($H173,'CAT_ACTIVIDADES'!$A$4:$A$11,0)),""))=0,(IFERROR(INDEX('CAT_ACTIVIDADES'!$D$4:$D$11,MATCH($H173,'CAT_ACTIVIDADES'!$A$4:$A$11,0)),""))=""),"SIN CLASIFICAR",IFERROR(INDEX('CAT_ACTIVIDADES'!$D$4:$D$11,MATCH($H173,'CAT_ACTIVIDADES'!$A$4:$A$11,0)),"")))</f>
        <v/>
      </c>
      <c r="AO173" s="4" t="inlineStr"/>
      <c r="AP173" s="4" t="inlineStr"/>
      <c r="AQ173" s="4" t="inlineStr"/>
      <c r="AR173" s="5">
        <f>IF($AQ173="","",HYPERLINK(p_ruta_base_checklists&amp;$AQ173,"abrir"))</f>
        <v/>
      </c>
      <c r="AS173" s="4" t="inlineStr"/>
      <c r="AT173" s="5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22" t="n"/>
      <c r="K174" s="5" t="n">
        <v>6</v>
      </c>
      <c r="L174" s="18" t="n">
        <v>150</v>
      </c>
      <c r="M174" s="5">
        <f>IF($A174="","",IFERROR(INDEX('AJUSTES'!$B$4:$B$303,MATCH($AT174,'AJUSTES'!$A$4:$A$303,0)),IF($K174="","",$K174)))</f>
        <v/>
      </c>
      <c r="N174" s="5">
        <f>IF($A174="","",IFERROR(INDEX('CAT_ESTADOS_ERP'!$B$4:$B$7,MATCH(IFERROR(INDEX('2_IMPORTAR_EJECUCION'!$C$9:$C$1208,MATCH($AT174,'2_IMPORTAR_EJECUCION'!$J$9:$J$1208,0)),""),'CAT_ESTADOS_ERP'!$A$4:$A$7,0)),"Pendiente"))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IF($J174="","",$P174&amp;"-"&amp;TEXT($Q174,"00"))</f>
        <v/>
      </c>
      <c r="S174" s="5">
        <f>IF($J174="","",INDEX(lista_dias,WEEKDAY($J174,2)))</f>
        <v/>
      </c>
      <c r="T174" s="5">
        <f>IF($J174="","",IFERROR(INDEX('CALENDARIO'!$C$15:$C$214,MATCH(TEXT($J174,"yyyy-mm-dd")&amp;"|"&amp;$X174&amp;"|"&amp;$Y174,'CALENDARIO'!$G$15:$G$214,0)),IFERROR(INDEX('CALENDARIO'!$C$15:$C$214,MATCH(TEXT($J174,"yyyy-mm-dd")&amp;"|"&amp;$X174&amp;"|",'CALENDARIO'!$G$15:$G$214,0)),IFERROR(INDEX('CALENDARIO'!$C$15:$C$214,MATCH(TEXT($J174,"yyyy-mm-dd")&amp;"||",'CALENDARIO'!$G$15:$G$214,0)),INDEX(patronHabil,WEEKDAY($J174,2))))))</f>
        <v/>
      </c>
      <c r="U174" s="5">
        <f>IF($I174="","",IFERROR(INDEX('CAT_TIPOS_OT'!$C$4:$C$8,MATCH($I174,'CAT_TIPOS_OT'!$A$4:$A$8,0)),"sin_clasificar"))</f>
        <v/>
      </c>
      <c r="V174" s="5">
        <f>IF($I174="","",IF(IFERROR(INDEX('CAT_TIPOS_OT'!$D$4:$D$8,MATCH($I174,'CAT_TIPOS_OT'!$A$4:$A$8,0)),"SIN CLASIFICAR")="","SIN CLASIFICAR",IFERROR(INDEX('CAT_TIPOS_OT'!$D$4:$D$8,MATCH($I174,'CAT_TIPOS_OT'!$A$4:$A$8,0)),"SIN CLASIFICAR")))</f>
        <v/>
      </c>
      <c r="W174" s="5">
        <f>IF($F174="","",IFERROR(INDEX('CAT_CENTROS_COSTO'!$F$4:$F$13,MATCH($F174,'CAT_CENTROS_COSTO'!$A$4:$A$13,0)),"(sin catálogo)"))</f>
        <v/>
      </c>
      <c r="X174" s="5">
        <f>IF($F174="","",IFERROR(INDEX('CAT_CENTROS_COSTO'!$D$4:$D$13,MATCH($F174,'CAT_CENTROS_COSTO'!$A$4:$A$13,0)),"(sin catálogo)"))</f>
        <v/>
      </c>
      <c r="Y174" s="5">
        <f>IF($F174="","",IF((IFERROR(INDEX('CAT_CENTROS_COSTO'!$E$4:$E$13,MATCH($F174,'CAT_CENTROS_COSTO'!$A$4:$A$13,0)),""))&lt;&gt;"",IFERROR(INDEX('CAT_CENTROS_COSTO'!$E$4:$E$13,MATCH($F174,'CAT_CENTROS_COSTO'!$A$4:$A$13,0)),""),$X174))</f>
        <v/>
      </c>
      <c r="Z174" s="5">
        <f>IF($F174="","",IFERROR(INDEX('CAT_CENTROS_COSTO'!$G$4:$G$13,MATCH($F174,'CAT_CENTROS_COSTO'!$A$4:$A$13,0)),"(sin catálogo)"))</f>
        <v/>
      </c>
      <c r="AA174" s="5">
        <f>IF($G174="","",IFERROR(INDEX('CAT_PUESTOS'!$B$4:$B$8,MATCH($G174,'CAT_PUESTOS'!$A$4:$A$8,0)),"(sin catálogo)"))</f>
        <v/>
      </c>
      <c r="AB174" s="5">
        <f>IF($H174="","",IFERROR(INDEX('CAT_ACTIVIDADES'!$B$4:$B$11,MATCH($H174,'CAT_ACTIVIDADES'!$A$4:$A$11,0)),"(sin catálogo)"))</f>
        <v/>
      </c>
      <c r="AC174" s="20">
        <f>IF($J174="","",TODAY()-$J174)</f>
        <v/>
      </c>
      <c r="AD174" s="20">
        <f>IF($J174="","",IF($J174&lt;=TODAY(),COUNTIFS(cal_fechas,"&gt;="&amp;$J174,cal_fechas,"&lt;"&amp;TODAY(),cal_habil,"sí"),-COUNTIFS(cal_fechas,"&gt;="&amp;TODAY(),cal_fechas,"&lt;"&amp;$J174,cal_habil,"sí")))</f>
        <v/>
      </c>
      <c r="AE174" s="5">
        <f>IF($AD174="","",IF($AD174&lt;0,"FUTURO",IF($AD174&gt;p_dias_backlog_max,"BACKLOG","MES CORRIENTE")))</f>
        <v/>
      </c>
      <c r="AF174" s="5">
        <f>IF($AD174="",FALSE,AND($AD174&gt;p_dias_backlog_min,$AD174&lt;=p_dias_backlog_max))</f>
        <v/>
      </c>
      <c r="AG174" s="4" t="inlineStr"/>
      <c r="AH174" s="5">
        <f>IF($AG174="","",IF((IFERROR(INDEX('ASIGNACIONES'!$J$4:$J$451,MATCH($O174&amp;"|"&amp;$S174&amp;"|"&amp;$AG174,'ASIGNACIONES'!$N$4:$N$451,0)),""))=0,"",IFERROR(INDEX('ASIGNACIONES'!$J$4:$J$451,MATCH($O174&amp;"|"&amp;$S174&amp;"|"&amp;$AG174,'ASIGNACIONES'!$N$4:$N$451,0)),"")))</f>
        <v/>
      </c>
      <c r="AI174" s="25">
        <f>IF($AG174="","",SUMIFS('ORDENES'!$M$4:$M$1203,'ORDENES'!$AG$4:$AG$1203,$AG174,'ORDENES'!$O$4:$O$1203,$O174,'ORDENES'!$S$4:$S$1203,$S174))</f>
        <v/>
      </c>
      <c r="AJ174" s="25">
        <f>IF($AI174="","",p_factor_productividad*IFERROR(INDEX('ASIGNACIONES'!$M$4:$M$451,MATCH($O174&amp;"|"&amp;$S174&amp;"|"&amp;$AG174,'ASIGNACIONES'!$N$4:$N$451,0)),0)-$AI174)</f>
        <v/>
      </c>
      <c r="AK174" s="18">
        <f>IF($A174="","",IFERROR(INDEX('2_IMPORTAR_EJECUCION'!$F$9:$F$1208,MATCH($AT174,'2_IMPORTAR_EJECUCION'!$J$9:$J$1208,0)),0))</f>
        <v/>
      </c>
      <c r="AL174" s="18">
        <f>IF($A174="","",MAX(0,IFERROR(INDEX('2_IMPORTAR_EJECUCION'!$H$9:$H$1208,MATCH($AT174,'2_IMPORTAR_EJECUCION'!$J$9:$J$1208,0)),0)-$AK174))</f>
        <v/>
      </c>
      <c r="AM174" s="18">
        <f>IF($A174="","",$AK174+$AL174)</f>
        <v/>
      </c>
      <c r="AN174" s="5">
        <f>IF($A174="","",IF(OR((IFERROR(INDEX('CAT_ACTIVIDADES'!$D$4:$D$11,MATCH($H174,'CAT_ACTIVIDADES'!$A$4:$A$11,0)),""))=0,(IFERROR(INDEX('CAT_ACTIVIDADES'!$D$4:$D$11,MATCH($H174,'CAT_ACTIVIDADES'!$A$4:$A$11,0)),""))=""),"SIN CLASIFICAR",IFERROR(INDEX('CAT_ACTIVIDADES'!$D$4:$D$11,MATCH($H174,'CAT_ACTIVIDADES'!$A$4:$A$11,0)),"")))</f>
        <v/>
      </c>
      <c r="AO174" s="4" t="inlineStr"/>
      <c r="AP174" s="4" t="inlineStr"/>
      <c r="AQ174" s="4" t="inlineStr"/>
      <c r="AR174" s="5">
        <f>IF($AQ174="","",HYPERLINK(p_ruta_base_checklists&amp;$AQ174,"abrir"))</f>
        <v/>
      </c>
      <c r="AS174" s="4" t="inlineStr"/>
      <c r="AT174" s="5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22" t="n">
        <v>46175</v>
      </c>
      <c r="K175" s="5" t="n"/>
      <c r="L175" s="18" t="n">
        <v>0</v>
      </c>
      <c r="M175" s="5">
        <f>IF($A175="","",IFERROR(INDEX('AJUSTES'!$B$4:$B$303,MATCH($AT175,'AJUSTES'!$A$4:$A$303,0)),IF($K175="","",$K175)))</f>
        <v/>
      </c>
      <c r="N175" s="5">
        <f>IF($A175="","",IFERROR(INDEX('CAT_ESTADOS_ERP'!$B$4:$B$7,MATCH(IFERROR(INDEX('2_IMPORTAR_EJECUCION'!$C$9:$C$1208,MATCH($AT175,'2_IMPORTAR_EJECUCION'!$J$9:$J$1208,0)),""),'CAT_ESTADOS_ERP'!$A$4:$A$7,0)),"Pendiente"))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IF($J175="","",$P175&amp;"-"&amp;TEXT($Q175,"00"))</f>
        <v/>
      </c>
      <c r="S175" s="5">
        <f>IF($J175="","",INDEX(lista_dias,WEEKDAY($J175,2)))</f>
        <v/>
      </c>
      <c r="T175" s="5">
        <f>IF($J175="","",IFERROR(INDEX('CALENDARIO'!$C$15:$C$214,MATCH(TEXT($J175,"yyyy-mm-dd")&amp;"|"&amp;$X175&amp;"|"&amp;$Y175,'CALENDARIO'!$G$15:$G$214,0)),IFERROR(INDEX('CALENDARIO'!$C$15:$C$214,MATCH(TEXT($J175,"yyyy-mm-dd")&amp;"|"&amp;$X175&amp;"|",'CALENDARIO'!$G$15:$G$214,0)),IFERROR(INDEX('CALENDARIO'!$C$15:$C$214,MATCH(TEXT($J175,"yyyy-mm-dd")&amp;"||",'CALENDARIO'!$G$15:$G$214,0)),INDEX(patronHabil,WEEKDAY($J175,2))))))</f>
        <v/>
      </c>
      <c r="U175" s="5">
        <f>IF($I175="","",IFERROR(INDEX('CAT_TIPOS_OT'!$C$4:$C$8,MATCH($I175,'CAT_TIPOS_OT'!$A$4:$A$8,0)),"sin_clasificar"))</f>
        <v/>
      </c>
      <c r="V175" s="5">
        <f>IF($I175="","",IF(IFERROR(INDEX('CAT_TIPOS_OT'!$D$4:$D$8,MATCH($I175,'CAT_TIPOS_OT'!$A$4:$A$8,0)),"SIN CLASIFICAR")="","SIN CLASIFICAR",IFERROR(INDEX('CAT_TIPOS_OT'!$D$4:$D$8,MATCH($I175,'CAT_TIPOS_OT'!$A$4:$A$8,0)),"SIN CLASIFICAR")))</f>
        <v/>
      </c>
      <c r="W175" s="5">
        <f>IF($F175="","",IFERROR(INDEX('CAT_CENTROS_COSTO'!$F$4:$F$13,MATCH($F175,'CAT_CENTROS_COSTO'!$A$4:$A$13,0)),"(sin catálogo)"))</f>
        <v/>
      </c>
      <c r="X175" s="5">
        <f>IF($F175="","",IFERROR(INDEX('CAT_CENTROS_COSTO'!$D$4:$D$13,MATCH($F175,'CAT_CENTROS_COSTO'!$A$4:$A$13,0)),"(sin catálogo)"))</f>
        <v/>
      </c>
      <c r="Y175" s="5">
        <f>IF($F175="","",IF((IFERROR(INDEX('CAT_CENTROS_COSTO'!$E$4:$E$13,MATCH($F175,'CAT_CENTROS_COSTO'!$A$4:$A$13,0)),""))&lt;&gt;"",IFERROR(INDEX('CAT_CENTROS_COSTO'!$E$4:$E$13,MATCH($F175,'CAT_CENTROS_COSTO'!$A$4:$A$13,0)),""),$X175))</f>
        <v/>
      </c>
      <c r="Z175" s="5">
        <f>IF($F175="","",IFERROR(INDEX('CAT_CENTROS_COSTO'!$G$4:$G$13,MATCH($F175,'CAT_CENTROS_COSTO'!$A$4:$A$13,0)),"(sin catálogo)"))</f>
        <v/>
      </c>
      <c r="AA175" s="5">
        <f>IF($G175="","",IFERROR(INDEX('CAT_PUESTOS'!$B$4:$B$8,MATCH($G175,'CAT_PUESTOS'!$A$4:$A$8,0)),"(sin catálogo)"))</f>
        <v/>
      </c>
      <c r="AB175" s="5">
        <f>IF($H175="","",IFERROR(INDEX('CAT_ACTIVIDADES'!$B$4:$B$11,MATCH($H175,'CAT_ACTIVIDADES'!$A$4:$A$11,0)),"(sin catálogo)"))</f>
        <v/>
      </c>
      <c r="AC175" s="20">
        <f>IF($J175="","",TODAY()-$J175)</f>
        <v/>
      </c>
      <c r="AD175" s="20">
        <f>IF($J175="","",IF($J175&lt;=TODAY(),COUNTIFS(cal_fechas,"&gt;="&amp;$J175,cal_fechas,"&lt;"&amp;TODAY(),cal_habil,"sí"),-COUNTIFS(cal_fechas,"&gt;="&amp;TODAY(),cal_fechas,"&lt;"&amp;$J175,cal_habil,"sí")))</f>
        <v/>
      </c>
      <c r="AE175" s="5">
        <f>IF($AD175="","",IF($AD175&lt;0,"FUTURO",IF($AD175&gt;p_dias_backlog_max,"BACKLOG","MES CORRIENTE")))</f>
        <v/>
      </c>
      <c r="AF175" s="5">
        <f>IF($AD175="",FALSE,AND($AD175&gt;p_dias_backlog_min,$AD175&lt;=p_dias_backlog_max))</f>
        <v/>
      </c>
      <c r="AG175" s="4" t="inlineStr"/>
      <c r="AH175" s="5">
        <f>IF($AG175="","",IF((IFERROR(INDEX('ASIGNACIONES'!$J$4:$J$451,MATCH($O175&amp;"|"&amp;$S175&amp;"|"&amp;$AG175,'ASIGNACIONES'!$N$4:$N$451,0)),""))=0,"",IFERROR(INDEX('ASIGNACIONES'!$J$4:$J$451,MATCH($O175&amp;"|"&amp;$S175&amp;"|"&amp;$AG175,'ASIGNACIONES'!$N$4:$N$451,0)),"")))</f>
        <v/>
      </c>
      <c r="AI175" s="25">
        <f>IF($AG175="","",SUMIFS('ORDENES'!$M$4:$M$1203,'ORDENES'!$AG$4:$AG$1203,$AG175,'ORDENES'!$O$4:$O$1203,$O175,'ORDENES'!$S$4:$S$1203,$S175))</f>
        <v/>
      </c>
      <c r="AJ175" s="25">
        <f>IF($AI175="","",p_factor_productividad*IFERROR(INDEX('ASIGNACIONES'!$M$4:$M$451,MATCH($O175&amp;"|"&amp;$S175&amp;"|"&amp;$AG175,'ASIGNACIONES'!$N$4:$N$451,0)),0)-$AI175)</f>
        <v/>
      </c>
      <c r="AK175" s="18">
        <f>IF($A175="","",IFERROR(INDEX('2_IMPORTAR_EJECUCION'!$F$9:$F$1208,MATCH($AT175,'2_IMPORTAR_EJECUCION'!$J$9:$J$1208,0)),0))</f>
        <v/>
      </c>
      <c r="AL175" s="18">
        <f>IF($A175="","",MAX(0,IFERROR(INDEX('2_IMPORTAR_EJECUCION'!$H$9:$H$1208,MATCH($AT175,'2_IMPORTAR_EJECUCION'!$J$9:$J$1208,0)),0)-$AK175))</f>
        <v/>
      </c>
      <c r="AM175" s="18">
        <f>IF($A175="","",$AK175+$AL175)</f>
        <v/>
      </c>
      <c r="AN175" s="5">
        <f>IF($A175="","",IF(OR((IFERROR(INDEX('CAT_ACTIVIDADES'!$D$4:$D$11,MATCH($H175,'CAT_ACTIVIDADES'!$A$4:$A$11,0)),""))=0,(IFERROR(INDEX('CAT_ACTIVIDADES'!$D$4:$D$11,MATCH($H175,'CAT_ACTIVIDADES'!$A$4:$A$11,0)),""))=""),"SIN CLASIFICAR",IFERROR(INDEX('CAT_ACTIVIDADES'!$D$4:$D$11,MATCH($H175,'CAT_ACTIVIDADES'!$A$4:$A$11,0)),"")))</f>
        <v/>
      </c>
      <c r="AO175" s="4" t="inlineStr"/>
      <c r="AP175" s="4" t="inlineStr"/>
      <c r="AQ175" s="4" t="inlineStr"/>
      <c r="AR175" s="5">
        <f>IF($AQ175="","",HYPERLINK(p_ruta_base_checklists&amp;$AQ175,"abrir"))</f>
        <v/>
      </c>
      <c r="AS175" s="4" t="inlineStr"/>
      <c r="AT175" s="5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22" t="n">
        <v>46175</v>
      </c>
      <c r="K176" s="5" t="n"/>
      <c r="L176" s="18" t="n">
        <v>0</v>
      </c>
      <c r="M176" s="5">
        <f>IF($A176="","",IFERROR(INDEX('AJUSTES'!$B$4:$B$303,MATCH($AT176,'AJUSTES'!$A$4:$A$303,0)),IF($K176="","",$K176)))</f>
        <v/>
      </c>
      <c r="N176" s="5">
        <f>IF($A176="","",IFERROR(INDEX('CAT_ESTADOS_ERP'!$B$4:$B$7,MATCH(IFERROR(INDEX('2_IMPORTAR_EJECUCION'!$C$9:$C$1208,MATCH($AT176,'2_IMPORTAR_EJECUCION'!$J$9:$J$1208,0)),""),'CAT_ESTADOS_ERP'!$A$4:$A$7,0)),"Pendiente"))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IF($J176="","",$P176&amp;"-"&amp;TEXT($Q176,"00"))</f>
        <v/>
      </c>
      <c r="S176" s="5">
        <f>IF($J176="","",INDEX(lista_dias,WEEKDAY($J176,2)))</f>
        <v/>
      </c>
      <c r="T176" s="5">
        <f>IF($J176="","",IFERROR(INDEX('CALENDARIO'!$C$15:$C$214,MATCH(TEXT($J176,"yyyy-mm-dd")&amp;"|"&amp;$X176&amp;"|"&amp;$Y176,'CALENDARIO'!$G$15:$G$214,0)),IFERROR(INDEX('CALENDARIO'!$C$15:$C$214,MATCH(TEXT($J176,"yyyy-mm-dd")&amp;"|"&amp;$X176&amp;"|",'CALENDARIO'!$G$15:$G$214,0)),IFERROR(INDEX('CALENDARIO'!$C$15:$C$214,MATCH(TEXT($J176,"yyyy-mm-dd")&amp;"||",'CALENDARIO'!$G$15:$G$214,0)),INDEX(patronHabil,WEEKDAY($J176,2))))))</f>
        <v/>
      </c>
      <c r="U176" s="5">
        <f>IF($I176="","",IFERROR(INDEX('CAT_TIPOS_OT'!$C$4:$C$8,MATCH($I176,'CAT_TIPOS_OT'!$A$4:$A$8,0)),"sin_clasificar"))</f>
        <v/>
      </c>
      <c r="V176" s="5">
        <f>IF($I176="","",IF(IFERROR(INDEX('CAT_TIPOS_OT'!$D$4:$D$8,MATCH($I176,'CAT_TIPOS_OT'!$A$4:$A$8,0)),"SIN CLASIFICAR")="","SIN CLASIFICAR",IFERROR(INDEX('CAT_TIPOS_OT'!$D$4:$D$8,MATCH($I176,'CAT_TIPOS_OT'!$A$4:$A$8,0)),"SIN CLASIFICAR")))</f>
        <v/>
      </c>
      <c r="W176" s="5">
        <f>IF($F176="","",IFERROR(INDEX('CAT_CENTROS_COSTO'!$F$4:$F$13,MATCH($F176,'CAT_CENTROS_COSTO'!$A$4:$A$13,0)),"(sin catálogo)"))</f>
        <v/>
      </c>
      <c r="X176" s="5">
        <f>IF($F176="","",IFERROR(INDEX('CAT_CENTROS_COSTO'!$D$4:$D$13,MATCH($F176,'CAT_CENTROS_COSTO'!$A$4:$A$13,0)),"(sin catálogo)"))</f>
        <v/>
      </c>
      <c r="Y176" s="5">
        <f>IF($F176="","",IF((IFERROR(INDEX('CAT_CENTROS_COSTO'!$E$4:$E$13,MATCH($F176,'CAT_CENTROS_COSTO'!$A$4:$A$13,0)),""))&lt;&gt;"",IFERROR(INDEX('CAT_CENTROS_COSTO'!$E$4:$E$13,MATCH($F176,'CAT_CENTROS_COSTO'!$A$4:$A$13,0)),""),$X176))</f>
        <v/>
      </c>
      <c r="Z176" s="5">
        <f>IF($F176="","",IFERROR(INDEX('CAT_CENTROS_COSTO'!$G$4:$G$13,MATCH($F176,'CAT_CENTROS_COSTO'!$A$4:$A$13,0)),"(sin catálogo)"))</f>
        <v/>
      </c>
      <c r="AA176" s="5">
        <f>IF($G176="","",IFERROR(INDEX('CAT_PUESTOS'!$B$4:$B$8,MATCH($G176,'CAT_PUESTOS'!$A$4:$A$8,0)),"(sin catálogo)"))</f>
        <v/>
      </c>
      <c r="AB176" s="5">
        <f>IF($H176="","",IFERROR(INDEX('CAT_ACTIVIDADES'!$B$4:$B$11,MATCH($H176,'CAT_ACTIVIDADES'!$A$4:$A$11,0)),"(sin catálogo)"))</f>
        <v/>
      </c>
      <c r="AC176" s="20">
        <f>IF($J176="","",TODAY()-$J176)</f>
        <v/>
      </c>
      <c r="AD176" s="20">
        <f>IF($J176="","",IF($J176&lt;=TODAY(),COUNTIFS(cal_fechas,"&gt;="&amp;$J176,cal_fechas,"&lt;"&amp;TODAY(),cal_habil,"sí"),-COUNTIFS(cal_fechas,"&gt;="&amp;TODAY(),cal_fechas,"&lt;"&amp;$J176,cal_habil,"sí")))</f>
        <v/>
      </c>
      <c r="AE176" s="5">
        <f>IF($AD176="","",IF($AD176&lt;0,"FUTURO",IF($AD176&gt;p_dias_backlog_max,"BACKLOG","MES CORRIENTE")))</f>
        <v/>
      </c>
      <c r="AF176" s="5">
        <f>IF($AD176="",FALSE,AND($AD176&gt;p_dias_backlog_min,$AD176&lt;=p_dias_backlog_max))</f>
        <v/>
      </c>
      <c r="AG176" s="4" t="inlineStr"/>
      <c r="AH176" s="5">
        <f>IF($AG176="","",IF((IFERROR(INDEX('ASIGNACIONES'!$J$4:$J$451,MATCH($O176&amp;"|"&amp;$S176&amp;"|"&amp;$AG176,'ASIGNACIONES'!$N$4:$N$451,0)),""))=0,"",IFERROR(INDEX('ASIGNACIONES'!$J$4:$J$451,MATCH($O176&amp;"|"&amp;$S176&amp;"|"&amp;$AG176,'ASIGNACIONES'!$N$4:$N$451,0)),"")))</f>
        <v/>
      </c>
      <c r="AI176" s="25">
        <f>IF($AG176="","",SUMIFS('ORDENES'!$M$4:$M$1203,'ORDENES'!$AG$4:$AG$1203,$AG176,'ORDENES'!$O$4:$O$1203,$O176,'ORDENES'!$S$4:$S$1203,$S176))</f>
        <v/>
      </c>
      <c r="AJ176" s="25">
        <f>IF($AI176="","",p_factor_productividad*IFERROR(INDEX('ASIGNACIONES'!$M$4:$M$451,MATCH($O176&amp;"|"&amp;$S176&amp;"|"&amp;$AG176,'ASIGNACIONES'!$N$4:$N$451,0)),0)-$AI176)</f>
        <v/>
      </c>
      <c r="AK176" s="18">
        <f>IF($A176="","",IFERROR(INDEX('2_IMPORTAR_EJECUCION'!$F$9:$F$1208,MATCH($AT176,'2_IMPORTAR_EJECUCION'!$J$9:$J$1208,0)),0))</f>
        <v/>
      </c>
      <c r="AL176" s="18">
        <f>IF($A176="","",MAX(0,IFERROR(INDEX('2_IMPORTAR_EJECUCION'!$H$9:$H$1208,MATCH($AT176,'2_IMPORTAR_EJECUCION'!$J$9:$J$1208,0)),0)-$AK176))</f>
        <v/>
      </c>
      <c r="AM176" s="18">
        <f>IF($A176="","",$AK176+$AL176)</f>
        <v/>
      </c>
      <c r="AN176" s="5">
        <f>IF($A176="","",IF(OR((IFERROR(INDEX('CAT_ACTIVIDADES'!$D$4:$D$11,MATCH($H176,'CAT_ACTIVIDADES'!$A$4:$A$11,0)),""))=0,(IFERROR(INDEX('CAT_ACTIVIDADES'!$D$4:$D$11,MATCH($H176,'CAT_ACTIVIDADES'!$A$4:$A$11,0)),""))=""),"SIN CLASIFICAR",IFERROR(INDEX('CAT_ACTIVIDADES'!$D$4:$D$11,MATCH($H176,'CAT_ACTIVIDADES'!$A$4:$A$11,0)),"")))</f>
        <v/>
      </c>
      <c r="AO176" s="4" t="inlineStr"/>
      <c r="AP176" s="4" t="inlineStr"/>
      <c r="AQ176" s="4" t="inlineStr"/>
      <c r="AR176" s="5">
        <f>IF($AQ176="","",HYPERLINK(p_ruta_base_checklists&amp;$AQ176,"abrir"))</f>
        <v/>
      </c>
      <c r="AS176" s="4" t="inlineStr"/>
      <c r="AT176" s="5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22" t="n">
        <v>46170</v>
      </c>
      <c r="K177" s="5" t="n">
        <v>4</v>
      </c>
      <c r="L177" s="18" t="n">
        <v>160</v>
      </c>
      <c r="M177" s="5">
        <f>IF($A177="","",IFERROR(INDEX('AJUSTES'!$B$4:$B$303,MATCH($AT177,'AJUSTES'!$A$4:$A$303,0)),IF($K177="","",$K177)))</f>
        <v/>
      </c>
      <c r="N177" s="5">
        <f>IF($A177="","",IFERROR(INDEX('CAT_ESTADOS_ERP'!$B$4:$B$7,MATCH(IFERROR(INDEX('2_IMPORTAR_EJECUCION'!$C$9:$C$1208,MATCH($AT177,'2_IMPORTAR_EJECUCION'!$J$9:$J$1208,0)),""),'CAT_ESTADOS_ERP'!$A$4:$A$7,0)),"Pendiente"))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IF($J177="","",$P177&amp;"-"&amp;TEXT($Q177,"00"))</f>
        <v/>
      </c>
      <c r="S177" s="5">
        <f>IF($J177="","",INDEX(lista_dias,WEEKDAY($J177,2)))</f>
        <v/>
      </c>
      <c r="T177" s="5">
        <f>IF($J177="","",IFERROR(INDEX('CALENDARIO'!$C$15:$C$214,MATCH(TEXT($J177,"yyyy-mm-dd")&amp;"|"&amp;$X177&amp;"|"&amp;$Y177,'CALENDARIO'!$G$15:$G$214,0)),IFERROR(INDEX('CALENDARIO'!$C$15:$C$214,MATCH(TEXT($J177,"yyyy-mm-dd")&amp;"|"&amp;$X177&amp;"|",'CALENDARIO'!$G$15:$G$214,0)),IFERROR(INDEX('CALENDARIO'!$C$15:$C$214,MATCH(TEXT($J177,"yyyy-mm-dd")&amp;"||",'CALENDARIO'!$G$15:$G$214,0)),INDEX(patronHabil,WEEKDAY($J177,2))))))</f>
        <v/>
      </c>
      <c r="U177" s="5">
        <f>IF($I177="","",IFERROR(INDEX('CAT_TIPOS_OT'!$C$4:$C$8,MATCH($I177,'CAT_TIPOS_OT'!$A$4:$A$8,0)),"sin_clasificar"))</f>
        <v/>
      </c>
      <c r="V177" s="5">
        <f>IF($I177="","",IF(IFERROR(INDEX('CAT_TIPOS_OT'!$D$4:$D$8,MATCH($I177,'CAT_TIPOS_OT'!$A$4:$A$8,0)),"SIN CLASIFICAR")="","SIN CLASIFICAR",IFERROR(INDEX('CAT_TIPOS_OT'!$D$4:$D$8,MATCH($I177,'CAT_TIPOS_OT'!$A$4:$A$8,0)),"SIN CLASIFICAR")))</f>
        <v/>
      </c>
      <c r="W177" s="5">
        <f>IF($F177="","",IFERROR(INDEX('CAT_CENTROS_COSTO'!$F$4:$F$13,MATCH($F177,'CAT_CENTROS_COSTO'!$A$4:$A$13,0)),"(sin catálogo)"))</f>
        <v/>
      </c>
      <c r="X177" s="5">
        <f>IF($F177="","",IFERROR(INDEX('CAT_CENTROS_COSTO'!$D$4:$D$13,MATCH($F177,'CAT_CENTROS_COSTO'!$A$4:$A$13,0)),"(sin catálogo)"))</f>
        <v/>
      </c>
      <c r="Y177" s="5">
        <f>IF($F177="","",IF((IFERROR(INDEX('CAT_CENTROS_COSTO'!$E$4:$E$13,MATCH($F177,'CAT_CENTROS_COSTO'!$A$4:$A$13,0)),""))&lt;&gt;"",IFERROR(INDEX('CAT_CENTROS_COSTO'!$E$4:$E$13,MATCH($F177,'CAT_CENTROS_COSTO'!$A$4:$A$13,0)),""),$X177))</f>
        <v/>
      </c>
      <c r="Z177" s="5">
        <f>IF($F177="","",IFERROR(INDEX('CAT_CENTROS_COSTO'!$G$4:$G$13,MATCH($F177,'CAT_CENTROS_COSTO'!$A$4:$A$13,0)),"(sin catálogo)"))</f>
        <v/>
      </c>
      <c r="AA177" s="5">
        <f>IF($G177="","",IFERROR(INDEX('CAT_PUESTOS'!$B$4:$B$8,MATCH($G177,'CAT_PUESTOS'!$A$4:$A$8,0)),"(sin catálogo)"))</f>
        <v/>
      </c>
      <c r="AB177" s="5">
        <f>IF($H177="","",IFERROR(INDEX('CAT_ACTIVIDADES'!$B$4:$B$11,MATCH($H177,'CAT_ACTIVIDADES'!$A$4:$A$11,0)),"(sin catálogo)"))</f>
        <v/>
      </c>
      <c r="AC177" s="20">
        <f>IF($J177="","",TODAY()-$J177)</f>
        <v/>
      </c>
      <c r="AD177" s="20">
        <f>IF($J177="","",IF($J177&lt;=TODAY(),COUNTIFS(cal_fechas,"&gt;="&amp;$J177,cal_fechas,"&lt;"&amp;TODAY(),cal_habil,"sí"),-COUNTIFS(cal_fechas,"&gt;="&amp;TODAY(),cal_fechas,"&lt;"&amp;$J177,cal_habil,"sí")))</f>
        <v/>
      </c>
      <c r="AE177" s="5">
        <f>IF($AD177="","",IF($AD177&lt;0,"FUTURO",IF($AD177&gt;p_dias_backlog_max,"BACKLOG","MES CORRIENTE")))</f>
        <v/>
      </c>
      <c r="AF177" s="5">
        <f>IF($AD177="",FALSE,AND($AD177&gt;p_dias_backlog_min,$AD177&lt;=p_dias_backlog_max))</f>
        <v/>
      </c>
      <c r="AG177" s="4" t="inlineStr"/>
      <c r="AH177" s="5">
        <f>IF($AG177="","",IF((IFERROR(INDEX('ASIGNACIONES'!$J$4:$J$451,MATCH($O177&amp;"|"&amp;$S177&amp;"|"&amp;$AG177,'ASIGNACIONES'!$N$4:$N$451,0)),""))=0,"",IFERROR(INDEX('ASIGNACIONES'!$J$4:$J$451,MATCH($O177&amp;"|"&amp;$S177&amp;"|"&amp;$AG177,'ASIGNACIONES'!$N$4:$N$451,0)),"")))</f>
        <v/>
      </c>
      <c r="AI177" s="25">
        <f>IF($AG177="","",SUMIFS('ORDENES'!$M$4:$M$1203,'ORDENES'!$AG$4:$AG$1203,$AG177,'ORDENES'!$O$4:$O$1203,$O177,'ORDENES'!$S$4:$S$1203,$S177))</f>
        <v/>
      </c>
      <c r="AJ177" s="25">
        <f>IF($AI177="","",p_factor_productividad*IFERROR(INDEX('ASIGNACIONES'!$M$4:$M$451,MATCH($O177&amp;"|"&amp;$S177&amp;"|"&amp;$AG177,'ASIGNACIONES'!$N$4:$N$451,0)),0)-$AI177)</f>
        <v/>
      </c>
      <c r="AK177" s="18">
        <f>IF($A177="","",IFERROR(INDEX('2_IMPORTAR_EJECUCION'!$F$9:$F$1208,MATCH($AT177,'2_IMPORTAR_EJECUCION'!$J$9:$J$1208,0)),0))</f>
        <v/>
      </c>
      <c r="AL177" s="18">
        <f>IF($A177="","",MAX(0,IFERROR(INDEX('2_IMPORTAR_EJECUCION'!$H$9:$H$1208,MATCH($AT177,'2_IMPORTAR_EJECUCION'!$J$9:$J$1208,0)),0)-$AK177))</f>
        <v/>
      </c>
      <c r="AM177" s="18">
        <f>IF($A177="","",$AK177+$AL177)</f>
        <v/>
      </c>
      <c r="AN177" s="5">
        <f>IF($A177="","",IF(OR((IFERROR(INDEX('CAT_ACTIVIDADES'!$D$4:$D$11,MATCH($H177,'CAT_ACTIVIDADES'!$A$4:$A$11,0)),""))=0,(IFERROR(INDEX('CAT_ACTIVIDADES'!$D$4:$D$11,MATCH($H177,'CAT_ACTIVIDADES'!$A$4:$A$11,0)),""))=""),"SIN CLASIFICAR",IFERROR(INDEX('CAT_ACTIVIDADES'!$D$4:$D$11,MATCH($H177,'CAT_ACTIVIDADES'!$A$4:$A$11,0)),"")))</f>
        <v/>
      </c>
      <c r="AO177" s="4" t="inlineStr"/>
      <c r="AP177" s="4" t="inlineStr"/>
      <c r="AQ177" s="4" t="inlineStr"/>
      <c r="AR177" s="5">
        <f>IF($AQ177="","",HYPERLINK(p_ruta_base_checklists&amp;$AQ177,"abrir"))</f>
        <v/>
      </c>
      <c r="AS177" s="4" t="inlineStr"/>
      <c r="AT177" s="5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22" t="n">
        <v>46170</v>
      </c>
      <c r="K178" s="5" t="n">
        <v>4</v>
      </c>
      <c r="L178" s="18" t="n">
        <v>160</v>
      </c>
      <c r="M178" s="5">
        <f>IF($A178="","",IFERROR(INDEX('AJUSTES'!$B$4:$B$303,MATCH($AT178,'AJUSTES'!$A$4:$A$303,0)),IF($K178="","",$K178)))</f>
        <v/>
      </c>
      <c r="N178" s="5">
        <f>IF($A178="","",IFERROR(INDEX('CAT_ESTADOS_ERP'!$B$4:$B$7,MATCH(IFERROR(INDEX('2_IMPORTAR_EJECUCION'!$C$9:$C$1208,MATCH($AT178,'2_IMPORTAR_EJECUCION'!$J$9:$J$1208,0)),""),'CAT_ESTADOS_ERP'!$A$4:$A$7,0)),"Pendiente"))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IF($J178="","",$P178&amp;"-"&amp;TEXT($Q178,"00"))</f>
        <v/>
      </c>
      <c r="S178" s="5">
        <f>IF($J178="","",INDEX(lista_dias,WEEKDAY($J178,2)))</f>
        <v/>
      </c>
      <c r="T178" s="5">
        <f>IF($J178="","",IFERROR(INDEX('CALENDARIO'!$C$15:$C$214,MATCH(TEXT($J178,"yyyy-mm-dd")&amp;"|"&amp;$X178&amp;"|"&amp;$Y178,'CALENDARIO'!$G$15:$G$214,0)),IFERROR(INDEX('CALENDARIO'!$C$15:$C$214,MATCH(TEXT($J178,"yyyy-mm-dd")&amp;"|"&amp;$X178&amp;"|",'CALENDARIO'!$G$15:$G$214,0)),IFERROR(INDEX('CALENDARIO'!$C$15:$C$214,MATCH(TEXT($J178,"yyyy-mm-dd")&amp;"||",'CALENDARIO'!$G$15:$G$214,0)),INDEX(patronHabil,WEEKDAY($J178,2))))))</f>
        <v/>
      </c>
      <c r="U178" s="5">
        <f>IF($I178="","",IFERROR(INDEX('CAT_TIPOS_OT'!$C$4:$C$8,MATCH($I178,'CAT_TIPOS_OT'!$A$4:$A$8,0)),"sin_clasificar"))</f>
        <v/>
      </c>
      <c r="V178" s="5">
        <f>IF($I178="","",IF(IFERROR(INDEX('CAT_TIPOS_OT'!$D$4:$D$8,MATCH($I178,'CAT_TIPOS_OT'!$A$4:$A$8,0)),"SIN CLASIFICAR")="","SIN CLASIFICAR",IFERROR(INDEX('CAT_TIPOS_OT'!$D$4:$D$8,MATCH($I178,'CAT_TIPOS_OT'!$A$4:$A$8,0)),"SIN CLASIFICAR")))</f>
        <v/>
      </c>
      <c r="W178" s="5">
        <f>IF($F178="","",IFERROR(INDEX('CAT_CENTROS_COSTO'!$F$4:$F$13,MATCH($F178,'CAT_CENTROS_COSTO'!$A$4:$A$13,0)),"(sin catálogo)"))</f>
        <v/>
      </c>
      <c r="X178" s="5">
        <f>IF($F178="","",IFERROR(INDEX('CAT_CENTROS_COSTO'!$D$4:$D$13,MATCH($F178,'CAT_CENTROS_COSTO'!$A$4:$A$13,0)),"(sin catálogo)"))</f>
        <v/>
      </c>
      <c r="Y178" s="5">
        <f>IF($F178="","",IF((IFERROR(INDEX('CAT_CENTROS_COSTO'!$E$4:$E$13,MATCH($F178,'CAT_CENTROS_COSTO'!$A$4:$A$13,0)),""))&lt;&gt;"",IFERROR(INDEX('CAT_CENTROS_COSTO'!$E$4:$E$13,MATCH($F178,'CAT_CENTROS_COSTO'!$A$4:$A$13,0)),""),$X178))</f>
        <v/>
      </c>
      <c r="Z178" s="5">
        <f>IF($F178="","",IFERROR(INDEX('CAT_CENTROS_COSTO'!$G$4:$G$13,MATCH($F178,'CAT_CENTROS_COSTO'!$A$4:$A$13,0)),"(sin catálogo)"))</f>
        <v/>
      </c>
      <c r="AA178" s="5">
        <f>IF($G178="","",IFERROR(INDEX('CAT_PUESTOS'!$B$4:$B$8,MATCH($G178,'CAT_PUESTOS'!$A$4:$A$8,0)),"(sin catálogo)"))</f>
        <v/>
      </c>
      <c r="AB178" s="5">
        <f>IF($H178="","",IFERROR(INDEX('CAT_ACTIVIDADES'!$B$4:$B$11,MATCH($H178,'CAT_ACTIVIDADES'!$A$4:$A$11,0)),"(sin catálogo)"))</f>
        <v/>
      </c>
      <c r="AC178" s="20">
        <f>IF($J178="","",TODAY()-$J178)</f>
        <v/>
      </c>
      <c r="AD178" s="20">
        <f>IF($J178="","",IF($J178&lt;=TODAY(),COUNTIFS(cal_fechas,"&gt;="&amp;$J178,cal_fechas,"&lt;"&amp;TODAY(),cal_habil,"sí"),-COUNTIFS(cal_fechas,"&gt;="&amp;TODAY(),cal_fechas,"&lt;"&amp;$J178,cal_habil,"sí")))</f>
        <v/>
      </c>
      <c r="AE178" s="5">
        <f>IF($AD178="","",IF($AD178&lt;0,"FUTURO",IF($AD178&gt;p_dias_backlog_max,"BACKLOG","MES CORRIENTE")))</f>
        <v/>
      </c>
      <c r="AF178" s="5">
        <f>IF($AD178="",FALSE,AND($AD178&gt;p_dias_backlog_min,$AD178&lt;=p_dias_backlog_max))</f>
        <v/>
      </c>
      <c r="AG178" s="4" t="inlineStr"/>
      <c r="AH178" s="5">
        <f>IF($AG178="","",IF((IFERROR(INDEX('ASIGNACIONES'!$J$4:$J$451,MATCH($O178&amp;"|"&amp;$S178&amp;"|"&amp;$AG178,'ASIGNACIONES'!$N$4:$N$451,0)),""))=0,"",IFERROR(INDEX('ASIGNACIONES'!$J$4:$J$451,MATCH($O178&amp;"|"&amp;$S178&amp;"|"&amp;$AG178,'ASIGNACIONES'!$N$4:$N$451,0)),"")))</f>
        <v/>
      </c>
      <c r="AI178" s="25">
        <f>IF($AG178="","",SUMIFS('ORDENES'!$M$4:$M$1203,'ORDENES'!$AG$4:$AG$1203,$AG178,'ORDENES'!$O$4:$O$1203,$O178,'ORDENES'!$S$4:$S$1203,$S178))</f>
        <v/>
      </c>
      <c r="AJ178" s="25">
        <f>IF($AI178="","",p_factor_productividad*IFERROR(INDEX('ASIGNACIONES'!$M$4:$M$451,MATCH($O178&amp;"|"&amp;$S178&amp;"|"&amp;$AG178,'ASIGNACIONES'!$N$4:$N$451,0)),0)-$AI178)</f>
        <v/>
      </c>
      <c r="AK178" s="18">
        <f>IF($A178="","",IFERROR(INDEX('2_IMPORTAR_EJECUCION'!$F$9:$F$1208,MATCH($AT178,'2_IMPORTAR_EJECUCION'!$J$9:$J$1208,0)),0))</f>
        <v/>
      </c>
      <c r="AL178" s="18">
        <f>IF($A178="","",MAX(0,IFERROR(INDEX('2_IMPORTAR_EJECUCION'!$H$9:$H$1208,MATCH($AT178,'2_IMPORTAR_EJECUCION'!$J$9:$J$1208,0)),0)-$AK178))</f>
        <v/>
      </c>
      <c r="AM178" s="18">
        <f>IF($A178="","",$AK178+$AL178)</f>
        <v/>
      </c>
      <c r="AN178" s="5">
        <f>IF($A178="","",IF(OR((IFERROR(INDEX('CAT_ACTIVIDADES'!$D$4:$D$11,MATCH($H178,'CAT_ACTIVIDADES'!$A$4:$A$11,0)),""))=0,(IFERROR(INDEX('CAT_ACTIVIDADES'!$D$4:$D$11,MATCH($H178,'CAT_ACTIVIDADES'!$A$4:$A$11,0)),""))=""),"SIN CLASIFICAR",IFERROR(INDEX('CAT_ACTIVIDADES'!$D$4:$D$11,MATCH($H178,'CAT_ACTIVIDADES'!$A$4:$A$11,0)),"")))</f>
        <v/>
      </c>
      <c r="AO178" s="4" t="inlineStr"/>
      <c r="AP178" s="4" t="inlineStr"/>
      <c r="AQ178" s="4" t="inlineStr"/>
      <c r="AR178" s="5">
        <f>IF($AQ178="","",HYPERLINK(p_ruta_base_checklists&amp;$AQ178,"abrir"))</f>
        <v/>
      </c>
      <c r="AS178" s="4" t="inlineStr"/>
      <c r="AT178" s="5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22" t="n">
        <v>46168</v>
      </c>
      <c r="K179" s="5" t="n">
        <v>4</v>
      </c>
      <c r="L179" s="18" t="n">
        <v>160</v>
      </c>
      <c r="M179" s="5">
        <f>IF($A179="","",IFERROR(INDEX('AJUSTES'!$B$4:$B$303,MATCH($AT179,'AJUSTES'!$A$4:$A$303,0)),IF($K179="","",$K179)))</f>
        <v/>
      </c>
      <c r="N179" s="5">
        <f>IF($A179="","",IFERROR(INDEX('CAT_ESTADOS_ERP'!$B$4:$B$7,MATCH(IFERROR(INDEX('2_IMPORTAR_EJECUCION'!$C$9:$C$1208,MATCH($AT179,'2_IMPORTAR_EJECUCION'!$J$9:$J$1208,0)),""),'CAT_ESTADOS_ERP'!$A$4:$A$7,0)),"Pendiente"))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IF($J179="","",$P179&amp;"-"&amp;TEXT($Q179,"00"))</f>
        <v/>
      </c>
      <c r="S179" s="5">
        <f>IF($J179="","",INDEX(lista_dias,WEEKDAY($J179,2)))</f>
        <v/>
      </c>
      <c r="T179" s="5">
        <f>IF($J179="","",IFERROR(INDEX('CALENDARIO'!$C$15:$C$214,MATCH(TEXT($J179,"yyyy-mm-dd")&amp;"|"&amp;$X179&amp;"|"&amp;$Y179,'CALENDARIO'!$G$15:$G$214,0)),IFERROR(INDEX('CALENDARIO'!$C$15:$C$214,MATCH(TEXT($J179,"yyyy-mm-dd")&amp;"|"&amp;$X179&amp;"|",'CALENDARIO'!$G$15:$G$214,0)),IFERROR(INDEX('CALENDARIO'!$C$15:$C$214,MATCH(TEXT($J179,"yyyy-mm-dd")&amp;"||",'CALENDARIO'!$G$15:$G$214,0)),INDEX(patronHabil,WEEKDAY($J179,2))))))</f>
        <v/>
      </c>
      <c r="U179" s="5">
        <f>IF($I179="","",IFERROR(INDEX('CAT_TIPOS_OT'!$C$4:$C$8,MATCH($I179,'CAT_TIPOS_OT'!$A$4:$A$8,0)),"sin_clasificar"))</f>
        <v/>
      </c>
      <c r="V179" s="5">
        <f>IF($I179="","",IF(IFERROR(INDEX('CAT_TIPOS_OT'!$D$4:$D$8,MATCH($I179,'CAT_TIPOS_OT'!$A$4:$A$8,0)),"SIN CLASIFICAR")="","SIN CLASIFICAR",IFERROR(INDEX('CAT_TIPOS_OT'!$D$4:$D$8,MATCH($I179,'CAT_TIPOS_OT'!$A$4:$A$8,0)),"SIN CLASIFICAR")))</f>
        <v/>
      </c>
      <c r="W179" s="5">
        <f>IF($F179="","",IFERROR(INDEX('CAT_CENTROS_COSTO'!$F$4:$F$13,MATCH($F179,'CAT_CENTROS_COSTO'!$A$4:$A$13,0)),"(sin catálogo)"))</f>
        <v/>
      </c>
      <c r="X179" s="5">
        <f>IF($F179="","",IFERROR(INDEX('CAT_CENTROS_COSTO'!$D$4:$D$13,MATCH($F179,'CAT_CENTROS_COSTO'!$A$4:$A$13,0)),"(sin catálogo)"))</f>
        <v/>
      </c>
      <c r="Y179" s="5">
        <f>IF($F179="","",IF((IFERROR(INDEX('CAT_CENTROS_COSTO'!$E$4:$E$13,MATCH($F179,'CAT_CENTROS_COSTO'!$A$4:$A$13,0)),""))&lt;&gt;"",IFERROR(INDEX('CAT_CENTROS_COSTO'!$E$4:$E$13,MATCH($F179,'CAT_CENTROS_COSTO'!$A$4:$A$13,0)),""),$X179))</f>
        <v/>
      </c>
      <c r="Z179" s="5">
        <f>IF($F179="","",IFERROR(INDEX('CAT_CENTROS_COSTO'!$G$4:$G$13,MATCH($F179,'CAT_CENTROS_COSTO'!$A$4:$A$13,0)),"(sin catálogo)"))</f>
        <v/>
      </c>
      <c r="AA179" s="5">
        <f>IF($G179="","",IFERROR(INDEX('CAT_PUESTOS'!$B$4:$B$8,MATCH($G179,'CAT_PUESTOS'!$A$4:$A$8,0)),"(sin catálogo)"))</f>
        <v/>
      </c>
      <c r="AB179" s="5">
        <f>IF($H179="","",IFERROR(INDEX('CAT_ACTIVIDADES'!$B$4:$B$11,MATCH($H179,'CAT_ACTIVIDADES'!$A$4:$A$11,0)),"(sin catálogo)"))</f>
        <v/>
      </c>
      <c r="AC179" s="20">
        <f>IF($J179="","",TODAY()-$J179)</f>
        <v/>
      </c>
      <c r="AD179" s="20">
        <f>IF($J179="","",IF($J179&lt;=TODAY(),COUNTIFS(cal_fechas,"&gt;="&amp;$J179,cal_fechas,"&lt;"&amp;TODAY(),cal_habil,"sí"),-COUNTIFS(cal_fechas,"&gt;="&amp;TODAY(),cal_fechas,"&lt;"&amp;$J179,cal_habil,"sí")))</f>
        <v/>
      </c>
      <c r="AE179" s="5">
        <f>IF($AD179="","",IF($AD179&lt;0,"FUTURO",IF($AD179&gt;p_dias_backlog_max,"BACKLOG","MES CORRIENTE")))</f>
        <v/>
      </c>
      <c r="AF179" s="5">
        <f>IF($AD179="",FALSE,AND($AD179&gt;p_dias_backlog_min,$AD179&lt;=p_dias_backlog_max))</f>
        <v/>
      </c>
      <c r="AG179" s="4" t="inlineStr"/>
      <c r="AH179" s="5">
        <f>IF($AG179="","",IF((IFERROR(INDEX('ASIGNACIONES'!$J$4:$J$451,MATCH($O179&amp;"|"&amp;$S179&amp;"|"&amp;$AG179,'ASIGNACIONES'!$N$4:$N$451,0)),""))=0,"",IFERROR(INDEX('ASIGNACIONES'!$J$4:$J$451,MATCH($O179&amp;"|"&amp;$S179&amp;"|"&amp;$AG179,'ASIGNACIONES'!$N$4:$N$451,0)),"")))</f>
        <v/>
      </c>
      <c r="AI179" s="25">
        <f>IF($AG179="","",SUMIFS('ORDENES'!$M$4:$M$1203,'ORDENES'!$AG$4:$AG$1203,$AG179,'ORDENES'!$O$4:$O$1203,$O179,'ORDENES'!$S$4:$S$1203,$S179))</f>
        <v/>
      </c>
      <c r="AJ179" s="25">
        <f>IF($AI179="","",p_factor_productividad*IFERROR(INDEX('ASIGNACIONES'!$M$4:$M$451,MATCH($O179&amp;"|"&amp;$S179&amp;"|"&amp;$AG179,'ASIGNACIONES'!$N$4:$N$451,0)),0)-$AI179)</f>
        <v/>
      </c>
      <c r="AK179" s="18">
        <f>IF($A179="","",IFERROR(INDEX('2_IMPORTAR_EJECUCION'!$F$9:$F$1208,MATCH($AT179,'2_IMPORTAR_EJECUCION'!$J$9:$J$1208,0)),0))</f>
        <v/>
      </c>
      <c r="AL179" s="18">
        <f>IF($A179="","",MAX(0,IFERROR(INDEX('2_IMPORTAR_EJECUCION'!$H$9:$H$1208,MATCH($AT179,'2_IMPORTAR_EJECUCION'!$J$9:$J$1208,0)),0)-$AK179))</f>
        <v/>
      </c>
      <c r="AM179" s="18">
        <f>IF($A179="","",$AK179+$AL179)</f>
        <v/>
      </c>
      <c r="AN179" s="5">
        <f>IF($A179="","",IF(OR((IFERROR(INDEX('CAT_ACTIVIDADES'!$D$4:$D$11,MATCH($H179,'CAT_ACTIVIDADES'!$A$4:$A$11,0)),""))=0,(IFERROR(INDEX('CAT_ACTIVIDADES'!$D$4:$D$11,MATCH($H179,'CAT_ACTIVIDADES'!$A$4:$A$11,0)),""))=""),"SIN CLASIFICAR",IFERROR(INDEX('CAT_ACTIVIDADES'!$D$4:$D$11,MATCH($H179,'CAT_ACTIVIDADES'!$A$4:$A$11,0)),"")))</f>
        <v/>
      </c>
      <c r="AO179" s="4" t="inlineStr"/>
      <c r="AP179" s="4" t="inlineStr"/>
      <c r="AQ179" s="4" t="inlineStr"/>
      <c r="AR179" s="5">
        <f>IF($AQ179="","",HYPERLINK(p_ruta_base_checklists&amp;$AQ179,"abrir"))</f>
        <v/>
      </c>
      <c r="AS179" s="4" t="inlineStr"/>
      <c r="AT179" s="5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22" t="n">
        <v>46168</v>
      </c>
      <c r="K180" s="5" t="n">
        <v>4</v>
      </c>
      <c r="L180" s="18" t="n">
        <v>160</v>
      </c>
      <c r="M180" s="5">
        <f>IF($A180="","",IFERROR(INDEX('AJUSTES'!$B$4:$B$303,MATCH($AT180,'AJUSTES'!$A$4:$A$303,0)),IF($K180="","",$K180)))</f>
        <v/>
      </c>
      <c r="N180" s="5">
        <f>IF($A180="","",IFERROR(INDEX('CAT_ESTADOS_ERP'!$B$4:$B$7,MATCH(IFERROR(INDEX('2_IMPORTAR_EJECUCION'!$C$9:$C$1208,MATCH($AT180,'2_IMPORTAR_EJECUCION'!$J$9:$J$1208,0)),""),'CAT_ESTADOS_ERP'!$A$4:$A$7,0)),"Pendiente"))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IF($J180="","",$P180&amp;"-"&amp;TEXT($Q180,"00"))</f>
        <v/>
      </c>
      <c r="S180" s="5">
        <f>IF($J180="","",INDEX(lista_dias,WEEKDAY($J180,2)))</f>
        <v/>
      </c>
      <c r="T180" s="5">
        <f>IF($J180="","",IFERROR(INDEX('CALENDARIO'!$C$15:$C$214,MATCH(TEXT($J180,"yyyy-mm-dd")&amp;"|"&amp;$X180&amp;"|"&amp;$Y180,'CALENDARIO'!$G$15:$G$214,0)),IFERROR(INDEX('CALENDARIO'!$C$15:$C$214,MATCH(TEXT($J180,"yyyy-mm-dd")&amp;"|"&amp;$X180&amp;"|",'CALENDARIO'!$G$15:$G$214,0)),IFERROR(INDEX('CALENDARIO'!$C$15:$C$214,MATCH(TEXT($J180,"yyyy-mm-dd")&amp;"||",'CALENDARIO'!$G$15:$G$214,0)),INDEX(patronHabil,WEEKDAY($J180,2))))))</f>
        <v/>
      </c>
      <c r="U180" s="5">
        <f>IF($I180="","",IFERROR(INDEX('CAT_TIPOS_OT'!$C$4:$C$8,MATCH($I180,'CAT_TIPOS_OT'!$A$4:$A$8,0)),"sin_clasificar"))</f>
        <v/>
      </c>
      <c r="V180" s="5">
        <f>IF($I180="","",IF(IFERROR(INDEX('CAT_TIPOS_OT'!$D$4:$D$8,MATCH($I180,'CAT_TIPOS_OT'!$A$4:$A$8,0)),"SIN CLASIFICAR")="","SIN CLASIFICAR",IFERROR(INDEX('CAT_TIPOS_OT'!$D$4:$D$8,MATCH($I180,'CAT_TIPOS_OT'!$A$4:$A$8,0)),"SIN CLASIFICAR")))</f>
        <v/>
      </c>
      <c r="W180" s="5">
        <f>IF($F180="","",IFERROR(INDEX('CAT_CENTROS_COSTO'!$F$4:$F$13,MATCH($F180,'CAT_CENTROS_COSTO'!$A$4:$A$13,0)),"(sin catálogo)"))</f>
        <v/>
      </c>
      <c r="X180" s="5">
        <f>IF($F180="","",IFERROR(INDEX('CAT_CENTROS_COSTO'!$D$4:$D$13,MATCH($F180,'CAT_CENTROS_COSTO'!$A$4:$A$13,0)),"(sin catálogo)"))</f>
        <v/>
      </c>
      <c r="Y180" s="5">
        <f>IF($F180="","",IF((IFERROR(INDEX('CAT_CENTROS_COSTO'!$E$4:$E$13,MATCH($F180,'CAT_CENTROS_COSTO'!$A$4:$A$13,0)),""))&lt;&gt;"",IFERROR(INDEX('CAT_CENTROS_COSTO'!$E$4:$E$13,MATCH($F180,'CAT_CENTROS_COSTO'!$A$4:$A$13,0)),""),$X180))</f>
        <v/>
      </c>
      <c r="Z180" s="5">
        <f>IF($F180="","",IFERROR(INDEX('CAT_CENTROS_COSTO'!$G$4:$G$13,MATCH($F180,'CAT_CENTROS_COSTO'!$A$4:$A$13,0)),"(sin catálogo)"))</f>
        <v/>
      </c>
      <c r="AA180" s="5">
        <f>IF($G180="","",IFERROR(INDEX('CAT_PUESTOS'!$B$4:$B$8,MATCH($G180,'CAT_PUESTOS'!$A$4:$A$8,0)),"(sin catálogo)"))</f>
        <v/>
      </c>
      <c r="AB180" s="5">
        <f>IF($H180="","",IFERROR(INDEX('CAT_ACTIVIDADES'!$B$4:$B$11,MATCH($H180,'CAT_ACTIVIDADES'!$A$4:$A$11,0)),"(sin catálogo)"))</f>
        <v/>
      </c>
      <c r="AC180" s="20">
        <f>IF($J180="","",TODAY()-$J180)</f>
        <v/>
      </c>
      <c r="AD180" s="20">
        <f>IF($J180="","",IF($J180&lt;=TODAY(),COUNTIFS(cal_fechas,"&gt;="&amp;$J180,cal_fechas,"&lt;"&amp;TODAY(),cal_habil,"sí"),-COUNTIFS(cal_fechas,"&gt;="&amp;TODAY(),cal_fechas,"&lt;"&amp;$J180,cal_habil,"sí")))</f>
        <v/>
      </c>
      <c r="AE180" s="5">
        <f>IF($AD180="","",IF($AD180&lt;0,"FUTURO",IF($AD180&gt;p_dias_backlog_max,"BACKLOG","MES CORRIENTE")))</f>
        <v/>
      </c>
      <c r="AF180" s="5">
        <f>IF($AD180="",FALSE,AND($AD180&gt;p_dias_backlog_min,$AD180&lt;=p_dias_backlog_max))</f>
        <v/>
      </c>
      <c r="AG180" s="4" t="inlineStr"/>
      <c r="AH180" s="5">
        <f>IF($AG180="","",IF((IFERROR(INDEX('ASIGNACIONES'!$J$4:$J$451,MATCH($O180&amp;"|"&amp;$S180&amp;"|"&amp;$AG180,'ASIGNACIONES'!$N$4:$N$451,0)),""))=0,"",IFERROR(INDEX('ASIGNACIONES'!$J$4:$J$451,MATCH($O180&amp;"|"&amp;$S180&amp;"|"&amp;$AG180,'ASIGNACIONES'!$N$4:$N$451,0)),"")))</f>
        <v/>
      </c>
      <c r="AI180" s="25">
        <f>IF($AG180="","",SUMIFS('ORDENES'!$M$4:$M$1203,'ORDENES'!$AG$4:$AG$1203,$AG180,'ORDENES'!$O$4:$O$1203,$O180,'ORDENES'!$S$4:$S$1203,$S180))</f>
        <v/>
      </c>
      <c r="AJ180" s="25">
        <f>IF($AI180="","",p_factor_productividad*IFERROR(INDEX('ASIGNACIONES'!$M$4:$M$451,MATCH($O180&amp;"|"&amp;$S180&amp;"|"&amp;$AG180,'ASIGNACIONES'!$N$4:$N$451,0)),0)-$AI180)</f>
        <v/>
      </c>
      <c r="AK180" s="18">
        <f>IF($A180="","",IFERROR(INDEX('2_IMPORTAR_EJECUCION'!$F$9:$F$1208,MATCH($AT180,'2_IMPORTAR_EJECUCION'!$J$9:$J$1208,0)),0))</f>
        <v/>
      </c>
      <c r="AL180" s="18">
        <f>IF($A180="","",MAX(0,IFERROR(INDEX('2_IMPORTAR_EJECUCION'!$H$9:$H$1208,MATCH($AT180,'2_IMPORTAR_EJECUCION'!$J$9:$J$1208,0)),0)-$AK180))</f>
        <v/>
      </c>
      <c r="AM180" s="18">
        <f>IF($A180="","",$AK180+$AL180)</f>
        <v/>
      </c>
      <c r="AN180" s="5">
        <f>IF($A180="","",IF(OR((IFERROR(INDEX('CAT_ACTIVIDADES'!$D$4:$D$11,MATCH($H180,'CAT_ACTIVIDADES'!$A$4:$A$11,0)),""))=0,(IFERROR(INDEX('CAT_ACTIVIDADES'!$D$4:$D$11,MATCH($H180,'CAT_ACTIVIDADES'!$A$4:$A$11,0)),""))=""),"SIN CLASIFICAR",IFERROR(INDEX('CAT_ACTIVIDADES'!$D$4:$D$11,MATCH($H180,'CAT_ACTIVIDADES'!$A$4:$A$11,0)),"")))</f>
        <v/>
      </c>
      <c r="AO180" s="4" t="inlineStr"/>
      <c r="AP180" s="4" t="inlineStr"/>
      <c r="AQ180" s="4" t="inlineStr"/>
      <c r="AR180" s="5">
        <f>IF($AQ180="","",HYPERLINK(p_ruta_base_checklists&amp;$AQ180,"abrir"))</f>
        <v/>
      </c>
      <c r="AS180" s="4" t="inlineStr"/>
      <c r="AT180" s="5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22" t="n">
        <v>46166</v>
      </c>
      <c r="K181" s="5" t="n">
        <v>4</v>
      </c>
      <c r="L181" s="18" t="n">
        <v>160</v>
      </c>
      <c r="M181" s="5">
        <f>IF($A181="","",IFERROR(INDEX('AJUSTES'!$B$4:$B$303,MATCH($AT181,'AJUSTES'!$A$4:$A$303,0)),IF($K181="","",$K181)))</f>
        <v/>
      </c>
      <c r="N181" s="5">
        <f>IF($A181="","",IFERROR(INDEX('CAT_ESTADOS_ERP'!$B$4:$B$7,MATCH(IFERROR(INDEX('2_IMPORTAR_EJECUCION'!$C$9:$C$1208,MATCH($AT181,'2_IMPORTAR_EJECUCION'!$J$9:$J$1208,0)),""),'CAT_ESTADOS_ERP'!$A$4:$A$7,0)),"Pendiente"))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IF($J181="","",$P181&amp;"-"&amp;TEXT($Q181,"00"))</f>
        <v/>
      </c>
      <c r="S181" s="5">
        <f>IF($J181="","",INDEX(lista_dias,WEEKDAY($J181,2)))</f>
        <v/>
      </c>
      <c r="T181" s="5">
        <f>IF($J181="","",IFERROR(INDEX('CALENDARIO'!$C$15:$C$214,MATCH(TEXT($J181,"yyyy-mm-dd")&amp;"|"&amp;$X181&amp;"|"&amp;$Y181,'CALENDARIO'!$G$15:$G$214,0)),IFERROR(INDEX('CALENDARIO'!$C$15:$C$214,MATCH(TEXT($J181,"yyyy-mm-dd")&amp;"|"&amp;$X181&amp;"|",'CALENDARIO'!$G$15:$G$214,0)),IFERROR(INDEX('CALENDARIO'!$C$15:$C$214,MATCH(TEXT($J181,"yyyy-mm-dd")&amp;"||",'CALENDARIO'!$G$15:$G$214,0)),INDEX(patronHabil,WEEKDAY($J181,2))))))</f>
        <v/>
      </c>
      <c r="U181" s="5">
        <f>IF($I181="","",IFERROR(INDEX('CAT_TIPOS_OT'!$C$4:$C$8,MATCH($I181,'CAT_TIPOS_OT'!$A$4:$A$8,0)),"sin_clasificar"))</f>
        <v/>
      </c>
      <c r="V181" s="5">
        <f>IF($I181="","",IF(IFERROR(INDEX('CAT_TIPOS_OT'!$D$4:$D$8,MATCH($I181,'CAT_TIPOS_OT'!$A$4:$A$8,0)),"SIN CLASIFICAR")="","SIN CLASIFICAR",IFERROR(INDEX('CAT_TIPOS_OT'!$D$4:$D$8,MATCH($I181,'CAT_TIPOS_OT'!$A$4:$A$8,0)),"SIN CLASIFICAR")))</f>
        <v/>
      </c>
      <c r="W181" s="5">
        <f>IF($F181="","",IFERROR(INDEX('CAT_CENTROS_COSTO'!$F$4:$F$13,MATCH($F181,'CAT_CENTROS_COSTO'!$A$4:$A$13,0)),"(sin catálogo)"))</f>
        <v/>
      </c>
      <c r="X181" s="5">
        <f>IF($F181="","",IFERROR(INDEX('CAT_CENTROS_COSTO'!$D$4:$D$13,MATCH($F181,'CAT_CENTROS_COSTO'!$A$4:$A$13,0)),"(sin catálogo)"))</f>
        <v/>
      </c>
      <c r="Y181" s="5">
        <f>IF($F181="","",IF((IFERROR(INDEX('CAT_CENTROS_COSTO'!$E$4:$E$13,MATCH($F181,'CAT_CENTROS_COSTO'!$A$4:$A$13,0)),""))&lt;&gt;"",IFERROR(INDEX('CAT_CENTROS_COSTO'!$E$4:$E$13,MATCH($F181,'CAT_CENTROS_COSTO'!$A$4:$A$13,0)),""),$X181))</f>
        <v/>
      </c>
      <c r="Z181" s="5">
        <f>IF($F181="","",IFERROR(INDEX('CAT_CENTROS_COSTO'!$G$4:$G$13,MATCH($F181,'CAT_CENTROS_COSTO'!$A$4:$A$13,0)),"(sin catálogo)"))</f>
        <v/>
      </c>
      <c r="AA181" s="5">
        <f>IF($G181="","",IFERROR(INDEX('CAT_PUESTOS'!$B$4:$B$8,MATCH($G181,'CAT_PUESTOS'!$A$4:$A$8,0)),"(sin catálogo)"))</f>
        <v/>
      </c>
      <c r="AB181" s="5">
        <f>IF($H181="","",IFERROR(INDEX('CAT_ACTIVIDADES'!$B$4:$B$11,MATCH($H181,'CAT_ACTIVIDADES'!$A$4:$A$11,0)),"(sin catálogo)"))</f>
        <v/>
      </c>
      <c r="AC181" s="20">
        <f>IF($J181="","",TODAY()-$J181)</f>
        <v/>
      </c>
      <c r="AD181" s="20">
        <f>IF($J181="","",IF($J181&lt;=TODAY(),COUNTIFS(cal_fechas,"&gt;="&amp;$J181,cal_fechas,"&lt;"&amp;TODAY(),cal_habil,"sí"),-COUNTIFS(cal_fechas,"&gt;="&amp;TODAY(),cal_fechas,"&lt;"&amp;$J181,cal_habil,"sí")))</f>
        <v/>
      </c>
      <c r="AE181" s="5">
        <f>IF($AD181="","",IF($AD181&lt;0,"FUTURO",IF($AD181&gt;p_dias_backlog_max,"BACKLOG","MES CORRIENTE")))</f>
        <v/>
      </c>
      <c r="AF181" s="5">
        <f>IF($AD181="",FALSE,AND($AD181&gt;p_dias_backlog_min,$AD181&lt;=p_dias_backlog_max))</f>
        <v/>
      </c>
      <c r="AG181" s="4" t="inlineStr"/>
      <c r="AH181" s="5">
        <f>IF($AG181="","",IF((IFERROR(INDEX('ASIGNACIONES'!$J$4:$J$451,MATCH($O181&amp;"|"&amp;$S181&amp;"|"&amp;$AG181,'ASIGNACIONES'!$N$4:$N$451,0)),""))=0,"",IFERROR(INDEX('ASIGNACIONES'!$J$4:$J$451,MATCH($O181&amp;"|"&amp;$S181&amp;"|"&amp;$AG181,'ASIGNACIONES'!$N$4:$N$451,0)),"")))</f>
        <v/>
      </c>
      <c r="AI181" s="25">
        <f>IF($AG181="","",SUMIFS('ORDENES'!$M$4:$M$1203,'ORDENES'!$AG$4:$AG$1203,$AG181,'ORDENES'!$O$4:$O$1203,$O181,'ORDENES'!$S$4:$S$1203,$S181))</f>
        <v/>
      </c>
      <c r="AJ181" s="25">
        <f>IF($AI181="","",p_factor_productividad*IFERROR(INDEX('ASIGNACIONES'!$M$4:$M$451,MATCH($O181&amp;"|"&amp;$S181&amp;"|"&amp;$AG181,'ASIGNACIONES'!$N$4:$N$451,0)),0)-$AI181)</f>
        <v/>
      </c>
      <c r="AK181" s="18">
        <f>IF($A181="","",IFERROR(INDEX('2_IMPORTAR_EJECUCION'!$F$9:$F$1208,MATCH($AT181,'2_IMPORTAR_EJECUCION'!$J$9:$J$1208,0)),0))</f>
        <v/>
      </c>
      <c r="AL181" s="18">
        <f>IF($A181="","",MAX(0,IFERROR(INDEX('2_IMPORTAR_EJECUCION'!$H$9:$H$1208,MATCH($AT181,'2_IMPORTAR_EJECUCION'!$J$9:$J$1208,0)),0)-$AK181))</f>
        <v/>
      </c>
      <c r="AM181" s="18">
        <f>IF($A181="","",$AK181+$AL181)</f>
        <v/>
      </c>
      <c r="AN181" s="5">
        <f>IF($A181="","",IF(OR((IFERROR(INDEX('CAT_ACTIVIDADES'!$D$4:$D$11,MATCH($H181,'CAT_ACTIVIDADES'!$A$4:$A$11,0)),""))=0,(IFERROR(INDEX('CAT_ACTIVIDADES'!$D$4:$D$11,MATCH($H181,'CAT_ACTIVIDADES'!$A$4:$A$11,0)),""))=""),"SIN CLASIFICAR",IFERROR(INDEX('CAT_ACTIVIDADES'!$D$4:$D$11,MATCH($H181,'CAT_ACTIVIDADES'!$A$4:$A$11,0)),"")))</f>
        <v/>
      </c>
      <c r="AO181" s="4" t="inlineStr"/>
      <c r="AP181" s="4" t="inlineStr"/>
      <c r="AQ181" s="4" t="inlineStr"/>
      <c r="AR181" s="5">
        <f>IF($AQ181="","",HYPERLINK(p_ruta_base_checklists&amp;$AQ181,"abrir"))</f>
        <v/>
      </c>
      <c r="AS181" s="4" t="inlineStr"/>
      <c r="AT181" s="5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22" t="n">
        <v>46195</v>
      </c>
      <c r="K182" s="5" t="n">
        <v>2</v>
      </c>
      <c r="L182" s="18" t="n">
        <v>80</v>
      </c>
      <c r="M182" s="5">
        <f>IF($A182="","",IFERROR(INDEX('AJUSTES'!$B$4:$B$303,MATCH($AT182,'AJUSTES'!$A$4:$A$303,0)),IF($K182="","",$K182)))</f>
        <v/>
      </c>
      <c r="N182" s="5">
        <f>IF($A182="","",IFERROR(INDEX('CAT_ESTADOS_ERP'!$B$4:$B$7,MATCH(IFERROR(INDEX('2_IMPORTAR_EJECUCION'!$C$9:$C$1208,MATCH($AT182,'2_IMPORTAR_EJECUCION'!$J$9:$J$1208,0)),""),'CAT_ESTADOS_ERP'!$A$4:$A$7,0)),"Pendiente"))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IF($J182="","",$P182&amp;"-"&amp;TEXT($Q182,"00"))</f>
        <v/>
      </c>
      <c r="S182" s="5">
        <f>IF($J182="","",INDEX(lista_dias,WEEKDAY($J182,2)))</f>
        <v/>
      </c>
      <c r="T182" s="5">
        <f>IF($J182="","",IFERROR(INDEX('CALENDARIO'!$C$15:$C$214,MATCH(TEXT($J182,"yyyy-mm-dd")&amp;"|"&amp;$X182&amp;"|"&amp;$Y182,'CALENDARIO'!$G$15:$G$214,0)),IFERROR(INDEX('CALENDARIO'!$C$15:$C$214,MATCH(TEXT($J182,"yyyy-mm-dd")&amp;"|"&amp;$X182&amp;"|",'CALENDARIO'!$G$15:$G$214,0)),IFERROR(INDEX('CALENDARIO'!$C$15:$C$214,MATCH(TEXT($J182,"yyyy-mm-dd")&amp;"||",'CALENDARIO'!$G$15:$G$214,0)),INDEX(patronHabil,WEEKDAY($J182,2))))))</f>
        <v/>
      </c>
      <c r="U182" s="5">
        <f>IF($I182="","",IFERROR(INDEX('CAT_TIPOS_OT'!$C$4:$C$8,MATCH($I182,'CAT_TIPOS_OT'!$A$4:$A$8,0)),"sin_clasificar"))</f>
        <v/>
      </c>
      <c r="V182" s="5">
        <f>IF($I182="","",IF(IFERROR(INDEX('CAT_TIPOS_OT'!$D$4:$D$8,MATCH($I182,'CAT_TIPOS_OT'!$A$4:$A$8,0)),"SIN CLASIFICAR")="","SIN CLASIFICAR",IFERROR(INDEX('CAT_TIPOS_OT'!$D$4:$D$8,MATCH($I182,'CAT_TIPOS_OT'!$A$4:$A$8,0)),"SIN CLASIFICAR")))</f>
        <v/>
      </c>
      <c r="W182" s="5">
        <f>IF($F182="","",IFERROR(INDEX('CAT_CENTROS_COSTO'!$F$4:$F$13,MATCH($F182,'CAT_CENTROS_COSTO'!$A$4:$A$13,0)),"(sin catálogo)"))</f>
        <v/>
      </c>
      <c r="X182" s="5">
        <f>IF($F182="","",IFERROR(INDEX('CAT_CENTROS_COSTO'!$D$4:$D$13,MATCH($F182,'CAT_CENTROS_COSTO'!$A$4:$A$13,0)),"(sin catálogo)"))</f>
        <v/>
      </c>
      <c r="Y182" s="5">
        <f>IF($F182="","",IF((IFERROR(INDEX('CAT_CENTROS_COSTO'!$E$4:$E$13,MATCH($F182,'CAT_CENTROS_COSTO'!$A$4:$A$13,0)),""))&lt;&gt;"",IFERROR(INDEX('CAT_CENTROS_COSTO'!$E$4:$E$13,MATCH($F182,'CAT_CENTROS_COSTO'!$A$4:$A$13,0)),""),$X182))</f>
        <v/>
      </c>
      <c r="Z182" s="5">
        <f>IF($F182="","",IFERROR(INDEX('CAT_CENTROS_COSTO'!$G$4:$G$13,MATCH($F182,'CAT_CENTROS_COSTO'!$A$4:$A$13,0)),"(sin catálogo)"))</f>
        <v/>
      </c>
      <c r="AA182" s="5">
        <f>IF($G182="","",IFERROR(INDEX('CAT_PUESTOS'!$B$4:$B$8,MATCH($G182,'CAT_PUESTOS'!$A$4:$A$8,0)),"(sin catálogo)"))</f>
        <v/>
      </c>
      <c r="AB182" s="5">
        <f>IF($H182="","",IFERROR(INDEX('CAT_ACTIVIDADES'!$B$4:$B$11,MATCH($H182,'CAT_ACTIVIDADES'!$A$4:$A$11,0)),"(sin catálogo)"))</f>
        <v/>
      </c>
      <c r="AC182" s="20">
        <f>IF($J182="","",TODAY()-$J182)</f>
        <v/>
      </c>
      <c r="AD182" s="20">
        <f>IF($J182="","",IF($J182&lt;=TODAY(),COUNTIFS(cal_fechas,"&gt;="&amp;$J182,cal_fechas,"&lt;"&amp;TODAY(),cal_habil,"sí"),-COUNTIFS(cal_fechas,"&gt;="&amp;TODAY(),cal_fechas,"&lt;"&amp;$J182,cal_habil,"sí")))</f>
        <v/>
      </c>
      <c r="AE182" s="5">
        <f>IF($AD182="","",IF($AD182&lt;0,"FUTURO",IF($AD182&gt;p_dias_backlog_max,"BACKLOG","MES CORRIENTE")))</f>
        <v/>
      </c>
      <c r="AF182" s="5">
        <f>IF($AD182="",FALSE,AND($AD182&gt;p_dias_backlog_min,$AD182&lt;=p_dias_backlog_max))</f>
        <v/>
      </c>
      <c r="AG182" s="4" t="inlineStr"/>
      <c r="AH182" s="5">
        <f>IF($AG182="","",IF((IFERROR(INDEX('ASIGNACIONES'!$J$4:$J$451,MATCH($O182&amp;"|"&amp;$S182&amp;"|"&amp;$AG182,'ASIGNACIONES'!$N$4:$N$451,0)),""))=0,"",IFERROR(INDEX('ASIGNACIONES'!$J$4:$J$451,MATCH($O182&amp;"|"&amp;$S182&amp;"|"&amp;$AG182,'ASIGNACIONES'!$N$4:$N$451,0)),"")))</f>
        <v/>
      </c>
      <c r="AI182" s="25">
        <f>IF($AG182="","",SUMIFS('ORDENES'!$M$4:$M$1203,'ORDENES'!$AG$4:$AG$1203,$AG182,'ORDENES'!$O$4:$O$1203,$O182,'ORDENES'!$S$4:$S$1203,$S182))</f>
        <v/>
      </c>
      <c r="AJ182" s="25">
        <f>IF($AI182="","",p_factor_productividad*IFERROR(INDEX('ASIGNACIONES'!$M$4:$M$451,MATCH($O182&amp;"|"&amp;$S182&amp;"|"&amp;$AG182,'ASIGNACIONES'!$N$4:$N$451,0)),0)-$AI182)</f>
        <v/>
      </c>
      <c r="AK182" s="18">
        <f>IF($A182="","",IFERROR(INDEX('2_IMPORTAR_EJECUCION'!$F$9:$F$1208,MATCH($AT182,'2_IMPORTAR_EJECUCION'!$J$9:$J$1208,0)),0))</f>
        <v/>
      </c>
      <c r="AL182" s="18">
        <f>IF($A182="","",MAX(0,IFERROR(INDEX('2_IMPORTAR_EJECUCION'!$H$9:$H$1208,MATCH($AT182,'2_IMPORTAR_EJECUCION'!$J$9:$J$1208,0)),0)-$AK182))</f>
        <v/>
      </c>
      <c r="AM182" s="18">
        <f>IF($A182="","",$AK182+$AL182)</f>
        <v/>
      </c>
      <c r="AN182" s="5">
        <f>IF($A182="","",IF(OR((IFERROR(INDEX('CAT_ACTIVIDADES'!$D$4:$D$11,MATCH($H182,'CAT_ACTIVIDADES'!$A$4:$A$11,0)),""))=0,(IFERROR(INDEX('CAT_ACTIVIDADES'!$D$4:$D$11,MATCH($H182,'CAT_ACTIVIDADES'!$A$4:$A$11,0)),""))=""),"SIN CLASIFICAR",IFERROR(INDEX('CAT_ACTIVIDADES'!$D$4:$D$11,MATCH($H182,'CAT_ACTIVIDADES'!$A$4:$A$11,0)),"")))</f>
        <v/>
      </c>
      <c r="AO182" s="4" t="inlineStr"/>
      <c r="AP182" s="4" t="inlineStr"/>
      <c r="AQ182" s="4" t="inlineStr"/>
      <c r="AR182" s="5">
        <f>IF($AQ182="","",HYPERLINK(p_ruta_base_checklists&amp;$AQ182,"abrir"))</f>
        <v/>
      </c>
      <c r="AS182" s="4" t="inlineStr"/>
      <c r="AT182" s="5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22" t="n">
        <v>46194</v>
      </c>
      <c r="K183" s="5" t="n">
        <v>2</v>
      </c>
      <c r="L183" s="18" t="n">
        <v>80</v>
      </c>
      <c r="M183" s="5">
        <f>IF($A183="","",IFERROR(INDEX('AJUSTES'!$B$4:$B$303,MATCH($AT183,'AJUSTES'!$A$4:$A$303,0)),IF($K183="","",$K183)))</f>
        <v/>
      </c>
      <c r="N183" s="5">
        <f>IF($A183="","",IFERROR(INDEX('CAT_ESTADOS_ERP'!$B$4:$B$7,MATCH(IFERROR(INDEX('2_IMPORTAR_EJECUCION'!$C$9:$C$1208,MATCH($AT183,'2_IMPORTAR_EJECUCION'!$J$9:$J$1208,0)),""),'CAT_ESTADOS_ERP'!$A$4:$A$7,0)),"Pendiente"))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IF($J183="","",$P183&amp;"-"&amp;TEXT($Q183,"00"))</f>
        <v/>
      </c>
      <c r="S183" s="5">
        <f>IF($J183="","",INDEX(lista_dias,WEEKDAY($J183,2)))</f>
        <v/>
      </c>
      <c r="T183" s="5">
        <f>IF($J183="","",IFERROR(INDEX('CALENDARIO'!$C$15:$C$214,MATCH(TEXT($J183,"yyyy-mm-dd")&amp;"|"&amp;$X183&amp;"|"&amp;$Y183,'CALENDARIO'!$G$15:$G$214,0)),IFERROR(INDEX('CALENDARIO'!$C$15:$C$214,MATCH(TEXT($J183,"yyyy-mm-dd")&amp;"|"&amp;$X183&amp;"|",'CALENDARIO'!$G$15:$G$214,0)),IFERROR(INDEX('CALENDARIO'!$C$15:$C$214,MATCH(TEXT($J183,"yyyy-mm-dd")&amp;"||",'CALENDARIO'!$G$15:$G$214,0)),INDEX(patronHabil,WEEKDAY($J183,2))))))</f>
        <v/>
      </c>
      <c r="U183" s="5">
        <f>IF($I183="","",IFERROR(INDEX('CAT_TIPOS_OT'!$C$4:$C$8,MATCH($I183,'CAT_TIPOS_OT'!$A$4:$A$8,0)),"sin_clasificar"))</f>
        <v/>
      </c>
      <c r="V183" s="5">
        <f>IF($I183="","",IF(IFERROR(INDEX('CAT_TIPOS_OT'!$D$4:$D$8,MATCH($I183,'CAT_TIPOS_OT'!$A$4:$A$8,0)),"SIN CLASIFICAR")="","SIN CLASIFICAR",IFERROR(INDEX('CAT_TIPOS_OT'!$D$4:$D$8,MATCH($I183,'CAT_TIPOS_OT'!$A$4:$A$8,0)),"SIN CLASIFICAR")))</f>
        <v/>
      </c>
      <c r="W183" s="5">
        <f>IF($F183="","",IFERROR(INDEX('CAT_CENTROS_COSTO'!$F$4:$F$13,MATCH($F183,'CAT_CENTROS_COSTO'!$A$4:$A$13,0)),"(sin catálogo)"))</f>
        <v/>
      </c>
      <c r="X183" s="5">
        <f>IF($F183="","",IFERROR(INDEX('CAT_CENTROS_COSTO'!$D$4:$D$13,MATCH($F183,'CAT_CENTROS_COSTO'!$A$4:$A$13,0)),"(sin catálogo)"))</f>
        <v/>
      </c>
      <c r="Y183" s="5">
        <f>IF($F183="","",IF((IFERROR(INDEX('CAT_CENTROS_COSTO'!$E$4:$E$13,MATCH($F183,'CAT_CENTROS_COSTO'!$A$4:$A$13,0)),""))&lt;&gt;"",IFERROR(INDEX('CAT_CENTROS_COSTO'!$E$4:$E$13,MATCH($F183,'CAT_CENTROS_COSTO'!$A$4:$A$13,0)),""),$X183))</f>
        <v/>
      </c>
      <c r="Z183" s="5">
        <f>IF($F183="","",IFERROR(INDEX('CAT_CENTROS_COSTO'!$G$4:$G$13,MATCH($F183,'CAT_CENTROS_COSTO'!$A$4:$A$13,0)),"(sin catálogo)"))</f>
        <v/>
      </c>
      <c r="AA183" s="5">
        <f>IF($G183="","",IFERROR(INDEX('CAT_PUESTOS'!$B$4:$B$8,MATCH($G183,'CAT_PUESTOS'!$A$4:$A$8,0)),"(sin catálogo)"))</f>
        <v/>
      </c>
      <c r="AB183" s="5">
        <f>IF($H183="","",IFERROR(INDEX('CAT_ACTIVIDADES'!$B$4:$B$11,MATCH($H183,'CAT_ACTIVIDADES'!$A$4:$A$11,0)),"(sin catálogo)"))</f>
        <v/>
      </c>
      <c r="AC183" s="20">
        <f>IF($J183="","",TODAY()-$J183)</f>
        <v/>
      </c>
      <c r="AD183" s="20">
        <f>IF($J183="","",IF($J183&lt;=TODAY(),COUNTIFS(cal_fechas,"&gt;="&amp;$J183,cal_fechas,"&lt;"&amp;TODAY(),cal_habil,"sí"),-COUNTIFS(cal_fechas,"&gt;="&amp;TODAY(),cal_fechas,"&lt;"&amp;$J183,cal_habil,"sí")))</f>
        <v/>
      </c>
      <c r="AE183" s="5">
        <f>IF($AD183="","",IF($AD183&lt;0,"FUTURO",IF($AD183&gt;p_dias_backlog_max,"BACKLOG","MES CORRIENTE")))</f>
        <v/>
      </c>
      <c r="AF183" s="5">
        <f>IF($AD183="",FALSE,AND($AD183&gt;p_dias_backlog_min,$AD183&lt;=p_dias_backlog_max))</f>
        <v/>
      </c>
      <c r="AG183" s="4" t="inlineStr"/>
      <c r="AH183" s="5">
        <f>IF($AG183="","",IF((IFERROR(INDEX('ASIGNACIONES'!$J$4:$J$451,MATCH($O183&amp;"|"&amp;$S183&amp;"|"&amp;$AG183,'ASIGNACIONES'!$N$4:$N$451,0)),""))=0,"",IFERROR(INDEX('ASIGNACIONES'!$J$4:$J$451,MATCH($O183&amp;"|"&amp;$S183&amp;"|"&amp;$AG183,'ASIGNACIONES'!$N$4:$N$451,0)),"")))</f>
        <v/>
      </c>
      <c r="AI183" s="25">
        <f>IF($AG183="","",SUMIFS('ORDENES'!$M$4:$M$1203,'ORDENES'!$AG$4:$AG$1203,$AG183,'ORDENES'!$O$4:$O$1203,$O183,'ORDENES'!$S$4:$S$1203,$S183))</f>
        <v/>
      </c>
      <c r="AJ183" s="25">
        <f>IF($AI183="","",p_factor_productividad*IFERROR(INDEX('ASIGNACIONES'!$M$4:$M$451,MATCH($O183&amp;"|"&amp;$S183&amp;"|"&amp;$AG183,'ASIGNACIONES'!$N$4:$N$451,0)),0)-$AI183)</f>
        <v/>
      </c>
      <c r="AK183" s="18">
        <f>IF($A183="","",IFERROR(INDEX('2_IMPORTAR_EJECUCION'!$F$9:$F$1208,MATCH($AT183,'2_IMPORTAR_EJECUCION'!$J$9:$J$1208,0)),0))</f>
        <v/>
      </c>
      <c r="AL183" s="18">
        <f>IF($A183="","",MAX(0,IFERROR(INDEX('2_IMPORTAR_EJECUCION'!$H$9:$H$1208,MATCH($AT183,'2_IMPORTAR_EJECUCION'!$J$9:$J$1208,0)),0)-$AK183))</f>
        <v/>
      </c>
      <c r="AM183" s="18">
        <f>IF($A183="","",$AK183+$AL183)</f>
        <v/>
      </c>
      <c r="AN183" s="5">
        <f>IF($A183="","",IF(OR((IFERROR(INDEX('CAT_ACTIVIDADES'!$D$4:$D$11,MATCH($H183,'CAT_ACTIVIDADES'!$A$4:$A$11,0)),""))=0,(IFERROR(INDEX('CAT_ACTIVIDADES'!$D$4:$D$11,MATCH($H183,'CAT_ACTIVIDADES'!$A$4:$A$11,0)),""))=""),"SIN CLASIFICAR",IFERROR(INDEX('CAT_ACTIVIDADES'!$D$4:$D$11,MATCH($H183,'CAT_ACTIVIDADES'!$A$4:$A$11,0)),"")))</f>
        <v/>
      </c>
      <c r="AO183" s="4" t="inlineStr"/>
      <c r="AP183" s="4" t="inlineStr"/>
      <c r="AQ183" s="4" t="inlineStr"/>
      <c r="AR183" s="5">
        <f>IF($AQ183="","",HYPERLINK(p_ruta_base_checklists&amp;$AQ183,"abrir"))</f>
        <v/>
      </c>
      <c r="AS183" s="4" t="inlineStr"/>
      <c r="AT183" s="5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22" t="n">
        <v>46193</v>
      </c>
      <c r="K184" s="5" t="n">
        <v>2</v>
      </c>
      <c r="L184" s="18" t="n">
        <v>80</v>
      </c>
      <c r="M184" s="5">
        <f>IF($A184="","",IFERROR(INDEX('AJUSTES'!$B$4:$B$303,MATCH($AT184,'AJUSTES'!$A$4:$A$303,0)),IF($K184="","",$K184)))</f>
        <v/>
      </c>
      <c r="N184" s="5">
        <f>IF($A184="","",IFERROR(INDEX('CAT_ESTADOS_ERP'!$B$4:$B$7,MATCH(IFERROR(INDEX('2_IMPORTAR_EJECUCION'!$C$9:$C$1208,MATCH($AT184,'2_IMPORTAR_EJECUCION'!$J$9:$J$1208,0)),""),'CAT_ESTADOS_ERP'!$A$4:$A$7,0)),"Pendiente"))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IF($J184="","",$P184&amp;"-"&amp;TEXT($Q184,"00"))</f>
        <v/>
      </c>
      <c r="S184" s="5">
        <f>IF($J184="","",INDEX(lista_dias,WEEKDAY($J184,2)))</f>
        <v/>
      </c>
      <c r="T184" s="5">
        <f>IF($J184="","",IFERROR(INDEX('CALENDARIO'!$C$15:$C$214,MATCH(TEXT($J184,"yyyy-mm-dd")&amp;"|"&amp;$X184&amp;"|"&amp;$Y184,'CALENDARIO'!$G$15:$G$214,0)),IFERROR(INDEX('CALENDARIO'!$C$15:$C$214,MATCH(TEXT($J184,"yyyy-mm-dd")&amp;"|"&amp;$X184&amp;"|",'CALENDARIO'!$G$15:$G$214,0)),IFERROR(INDEX('CALENDARIO'!$C$15:$C$214,MATCH(TEXT($J184,"yyyy-mm-dd")&amp;"||",'CALENDARIO'!$G$15:$G$214,0)),INDEX(patronHabil,WEEKDAY($J184,2))))))</f>
        <v/>
      </c>
      <c r="U184" s="5">
        <f>IF($I184="","",IFERROR(INDEX('CAT_TIPOS_OT'!$C$4:$C$8,MATCH($I184,'CAT_TIPOS_OT'!$A$4:$A$8,0)),"sin_clasificar"))</f>
        <v/>
      </c>
      <c r="V184" s="5">
        <f>IF($I184="","",IF(IFERROR(INDEX('CAT_TIPOS_OT'!$D$4:$D$8,MATCH($I184,'CAT_TIPOS_OT'!$A$4:$A$8,0)),"SIN CLASIFICAR")="","SIN CLASIFICAR",IFERROR(INDEX('CAT_TIPOS_OT'!$D$4:$D$8,MATCH($I184,'CAT_TIPOS_OT'!$A$4:$A$8,0)),"SIN CLASIFICAR")))</f>
        <v/>
      </c>
      <c r="W184" s="5">
        <f>IF($F184="","",IFERROR(INDEX('CAT_CENTROS_COSTO'!$F$4:$F$13,MATCH($F184,'CAT_CENTROS_COSTO'!$A$4:$A$13,0)),"(sin catálogo)"))</f>
        <v/>
      </c>
      <c r="X184" s="5">
        <f>IF($F184="","",IFERROR(INDEX('CAT_CENTROS_COSTO'!$D$4:$D$13,MATCH($F184,'CAT_CENTROS_COSTO'!$A$4:$A$13,0)),"(sin catálogo)"))</f>
        <v/>
      </c>
      <c r="Y184" s="5">
        <f>IF($F184="","",IF((IFERROR(INDEX('CAT_CENTROS_COSTO'!$E$4:$E$13,MATCH($F184,'CAT_CENTROS_COSTO'!$A$4:$A$13,0)),""))&lt;&gt;"",IFERROR(INDEX('CAT_CENTROS_COSTO'!$E$4:$E$13,MATCH($F184,'CAT_CENTROS_COSTO'!$A$4:$A$13,0)),""),$X184))</f>
        <v/>
      </c>
      <c r="Z184" s="5">
        <f>IF($F184="","",IFERROR(INDEX('CAT_CENTROS_COSTO'!$G$4:$G$13,MATCH($F184,'CAT_CENTROS_COSTO'!$A$4:$A$13,0)),"(sin catálogo)"))</f>
        <v/>
      </c>
      <c r="AA184" s="5">
        <f>IF($G184="","",IFERROR(INDEX('CAT_PUESTOS'!$B$4:$B$8,MATCH($G184,'CAT_PUESTOS'!$A$4:$A$8,0)),"(sin catálogo)"))</f>
        <v/>
      </c>
      <c r="AB184" s="5">
        <f>IF($H184="","",IFERROR(INDEX('CAT_ACTIVIDADES'!$B$4:$B$11,MATCH($H184,'CAT_ACTIVIDADES'!$A$4:$A$11,0)),"(sin catálogo)"))</f>
        <v/>
      </c>
      <c r="AC184" s="20">
        <f>IF($J184="","",TODAY()-$J184)</f>
        <v/>
      </c>
      <c r="AD184" s="20">
        <f>IF($J184="","",IF($J184&lt;=TODAY(),COUNTIFS(cal_fechas,"&gt;="&amp;$J184,cal_fechas,"&lt;"&amp;TODAY(),cal_habil,"sí"),-COUNTIFS(cal_fechas,"&gt;="&amp;TODAY(),cal_fechas,"&lt;"&amp;$J184,cal_habil,"sí")))</f>
        <v/>
      </c>
      <c r="AE184" s="5">
        <f>IF($AD184="","",IF($AD184&lt;0,"FUTURO",IF($AD184&gt;p_dias_backlog_max,"BACKLOG","MES CORRIENTE")))</f>
        <v/>
      </c>
      <c r="AF184" s="5">
        <f>IF($AD184="",FALSE,AND($AD184&gt;p_dias_backlog_min,$AD184&lt;=p_dias_backlog_max))</f>
        <v/>
      </c>
      <c r="AG184" s="4" t="inlineStr"/>
      <c r="AH184" s="5">
        <f>IF($AG184="","",IF((IFERROR(INDEX('ASIGNACIONES'!$J$4:$J$451,MATCH($O184&amp;"|"&amp;$S184&amp;"|"&amp;$AG184,'ASIGNACIONES'!$N$4:$N$451,0)),""))=0,"",IFERROR(INDEX('ASIGNACIONES'!$J$4:$J$451,MATCH($O184&amp;"|"&amp;$S184&amp;"|"&amp;$AG184,'ASIGNACIONES'!$N$4:$N$451,0)),"")))</f>
        <v/>
      </c>
      <c r="AI184" s="25">
        <f>IF($AG184="","",SUMIFS('ORDENES'!$M$4:$M$1203,'ORDENES'!$AG$4:$AG$1203,$AG184,'ORDENES'!$O$4:$O$1203,$O184,'ORDENES'!$S$4:$S$1203,$S184))</f>
        <v/>
      </c>
      <c r="AJ184" s="25">
        <f>IF($AI184="","",p_factor_productividad*IFERROR(INDEX('ASIGNACIONES'!$M$4:$M$451,MATCH($O184&amp;"|"&amp;$S184&amp;"|"&amp;$AG184,'ASIGNACIONES'!$N$4:$N$451,0)),0)-$AI184)</f>
        <v/>
      </c>
      <c r="AK184" s="18">
        <f>IF($A184="","",IFERROR(INDEX('2_IMPORTAR_EJECUCION'!$F$9:$F$1208,MATCH($AT184,'2_IMPORTAR_EJECUCION'!$J$9:$J$1208,0)),0))</f>
        <v/>
      </c>
      <c r="AL184" s="18">
        <f>IF($A184="","",MAX(0,IFERROR(INDEX('2_IMPORTAR_EJECUCION'!$H$9:$H$1208,MATCH($AT184,'2_IMPORTAR_EJECUCION'!$J$9:$J$1208,0)),0)-$AK184))</f>
        <v/>
      </c>
      <c r="AM184" s="18">
        <f>IF($A184="","",$AK184+$AL184)</f>
        <v/>
      </c>
      <c r="AN184" s="5">
        <f>IF($A184="","",IF(OR((IFERROR(INDEX('CAT_ACTIVIDADES'!$D$4:$D$11,MATCH($H184,'CAT_ACTIVIDADES'!$A$4:$A$11,0)),""))=0,(IFERROR(INDEX('CAT_ACTIVIDADES'!$D$4:$D$11,MATCH($H184,'CAT_ACTIVIDADES'!$A$4:$A$11,0)),""))=""),"SIN CLASIFICAR",IFERROR(INDEX('CAT_ACTIVIDADES'!$D$4:$D$11,MATCH($H184,'CAT_ACTIVIDADES'!$A$4:$A$11,0)),"")))</f>
        <v/>
      </c>
      <c r="AO184" s="4" t="inlineStr"/>
      <c r="AP184" s="4" t="inlineStr"/>
      <c r="AQ184" s="4" t="inlineStr"/>
      <c r="AR184" s="5">
        <f>IF($AQ184="","",HYPERLINK(p_ruta_base_checklists&amp;$AQ184,"abrir"))</f>
        <v/>
      </c>
      <c r="AS184" s="4" t="inlineStr"/>
      <c r="AT184" s="5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22" t="n">
        <v>46192</v>
      </c>
      <c r="K185" s="5" t="n">
        <v>2</v>
      </c>
      <c r="L185" s="18" t="n">
        <v>80</v>
      </c>
      <c r="M185" s="5">
        <f>IF($A185="","",IFERROR(INDEX('AJUSTES'!$B$4:$B$303,MATCH($AT185,'AJUSTES'!$A$4:$A$303,0)),IF($K185="","",$K185)))</f>
        <v/>
      </c>
      <c r="N185" s="5">
        <f>IF($A185="","",IFERROR(INDEX('CAT_ESTADOS_ERP'!$B$4:$B$7,MATCH(IFERROR(INDEX('2_IMPORTAR_EJECUCION'!$C$9:$C$1208,MATCH($AT185,'2_IMPORTAR_EJECUCION'!$J$9:$J$1208,0)),""),'CAT_ESTADOS_ERP'!$A$4:$A$7,0)),"Pendiente"))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IF($J185="","",$P185&amp;"-"&amp;TEXT($Q185,"00"))</f>
        <v/>
      </c>
      <c r="S185" s="5">
        <f>IF($J185="","",INDEX(lista_dias,WEEKDAY($J185,2)))</f>
        <v/>
      </c>
      <c r="T185" s="5">
        <f>IF($J185="","",IFERROR(INDEX('CALENDARIO'!$C$15:$C$214,MATCH(TEXT($J185,"yyyy-mm-dd")&amp;"|"&amp;$X185&amp;"|"&amp;$Y185,'CALENDARIO'!$G$15:$G$214,0)),IFERROR(INDEX('CALENDARIO'!$C$15:$C$214,MATCH(TEXT($J185,"yyyy-mm-dd")&amp;"|"&amp;$X185&amp;"|",'CALENDARIO'!$G$15:$G$214,0)),IFERROR(INDEX('CALENDARIO'!$C$15:$C$214,MATCH(TEXT($J185,"yyyy-mm-dd")&amp;"||",'CALENDARIO'!$G$15:$G$214,0)),INDEX(patronHabil,WEEKDAY($J185,2))))))</f>
        <v/>
      </c>
      <c r="U185" s="5">
        <f>IF($I185="","",IFERROR(INDEX('CAT_TIPOS_OT'!$C$4:$C$8,MATCH($I185,'CAT_TIPOS_OT'!$A$4:$A$8,0)),"sin_clasificar"))</f>
        <v/>
      </c>
      <c r="V185" s="5">
        <f>IF($I185="","",IF(IFERROR(INDEX('CAT_TIPOS_OT'!$D$4:$D$8,MATCH($I185,'CAT_TIPOS_OT'!$A$4:$A$8,0)),"SIN CLASIFICAR")="","SIN CLASIFICAR",IFERROR(INDEX('CAT_TIPOS_OT'!$D$4:$D$8,MATCH($I185,'CAT_TIPOS_OT'!$A$4:$A$8,0)),"SIN CLASIFICAR")))</f>
        <v/>
      </c>
      <c r="W185" s="5">
        <f>IF($F185="","",IFERROR(INDEX('CAT_CENTROS_COSTO'!$F$4:$F$13,MATCH($F185,'CAT_CENTROS_COSTO'!$A$4:$A$13,0)),"(sin catálogo)"))</f>
        <v/>
      </c>
      <c r="X185" s="5">
        <f>IF($F185="","",IFERROR(INDEX('CAT_CENTROS_COSTO'!$D$4:$D$13,MATCH($F185,'CAT_CENTROS_COSTO'!$A$4:$A$13,0)),"(sin catálogo)"))</f>
        <v/>
      </c>
      <c r="Y185" s="5">
        <f>IF($F185="","",IF((IFERROR(INDEX('CAT_CENTROS_COSTO'!$E$4:$E$13,MATCH($F185,'CAT_CENTROS_COSTO'!$A$4:$A$13,0)),""))&lt;&gt;"",IFERROR(INDEX('CAT_CENTROS_COSTO'!$E$4:$E$13,MATCH($F185,'CAT_CENTROS_COSTO'!$A$4:$A$13,0)),""),$X185))</f>
        <v/>
      </c>
      <c r="Z185" s="5">
        <f>IF($F185="","",IFERROR(INDEX('CAT_CENTROS_COSTO'!$G$4:$G$13,MATCH($F185,'CAT_CENTROS_COSTO'!$A$4:$A$13,0)),"(sin catálogo)"))</f>
        <v/>
      </c>
      <c r="AA185" s="5">
        <f>IF($G185="","",IFERROR(INDEX('CAT_PUESTOS'!$B$4:$B$8,MATCH($G185,'CAT_PUESTOS'!$A$4:$A$8,0)),"(sin catálogo)"))</f>
        <v/>
      </c>
      <c r="AB185" s="5">
        <f>IF($H185="","",IFERROR(INDEX('CAT_ACTIVIDADES'!$B$4:$B$11,MATCH($H185,'CAT_ACTIVIDADES'!$A$4:$A$11,0)),"(sin catálogo)"))</f>
        <v/>
      </c>
      <c r="AC185" s="20">
        <f>IF($J185="","",TODAY()-$J185)</f>
        <v/>
      </c>
      <c r="AD185" s="20">
        <f>IF($J185="","",IF($J185&lt;=TODAY(),COUNTIFS(cal_fechas,"&gt;="&amp;$J185,cal_fechas,"&lt;"&amp;TODAY(),cal_habil,"sí"),-COUNTIFS(cal_fechas,"&gt;="&amp;TODAY(),cal_fechas,"&lt;"&amp;$J185,cal_habil,"sí")))</f>
        <v/>
      </c>
      <c r="AE185" s="5">
        <f>IF($AD185="","",IF($AD185&lt;0,"FUTURO",IF($AD185&gt;p_dias_backlog_max,"BACKLOG","MES CORRIENTE")))</f>
        <v/>
      </c>
      <c r="AF185" s="5">
        <f>IF($AD185="",FALSE,AND($AD185&gt;p_dias_backlog_min,$AD185&lt;=p_dias_backlog_max))</f>
        <v/>
      </c>
      <c r="AG185" s="4" t="inlineStr"/>
      <c r="AH185" s="5">
        <f>IF($AG185="","",IF((IFERROR(INDEX('ASIGNACIONES'!$J$4:$J$451,MATCH($O185&amp;"|"&amp;$S185&amp;"|"&amp;$AG185,'ASIGNACIONES'!$N$4:$N$451,0)),""))=0,"",IFERROR(INDEX('ASIGNACIONES'!$J$4:$J$451,MATCH($O185&amp;"|"&amp;$S185&amp;"|"&amp;$AG185,'ASIGNACIONES'!$N$4:$N$451,0)),"")))</f>
        <v/>
      </c>
      <c r="AI185" s="25">
        <f>IF($AG185="","",SUMIFS('ORDENES'!$M$4:$M$1203,'ORDENES'!$AG$4:$AG$1203,$AG185,'ORDENES'!$O$4:$O$1203,$O185,'ORDENES'!$S$4:$S$1203,$S185))</f>
        <v/>
      </c>
      <c r="AJ185" s="25">
        <f>IF($AI185="","",p_factor_productividad*IFERROR(INDEX('ASIGNACIONES'!$M$4:$M$451,MATCH($O185&amp;"|"&amp;$S185&amp;"|"&amp;$AG185,'ASIGNACIONES'!$N$4:$N$451,0)),0)-$AI185)</f>
        <v/>
      </c>
      <c r="AK185" s="18">
        <f>IF($A185="","",IFERROR(INDEX('2_IMPORTAR_EJECUCION'!$F$9:$F$1208,MATCH($AT185,'2_IMPORTAR_EJECUCION'!$J$9:$J$1208,0)),0))</f>
        <v/>
      </c>
      <c r="AL185" s="18">
        <f>IF($A185="","",MAX(0,IFERROR(INDEX('2_IMPORTAR_EJECUCION'!$H$9:$H$1208,MATCH($AT185,'2_IMPORTAR_EJECUCION'!$J$9:$J$1208,0)),0)-$AK185))</f>
        <v/>
      </c>
      <c r="AM185" s="18">
        <f>IF($A185="","",$AK185+$AL185)</f>
        <v/>
      </c>
      <c r="AN185" s="5">
        <f>IF($A185="","",IF(OR((IFERROR(INDEX('CAT_ACTIVIDADES'!$D$4:$D$11,MATCH($H185,'CAT_ACTIVIDADES'!$A$4:$A$11,0)),""))=0,(IFERROR(INDEX('CAT_ACTIVIDADES'!$D$4:$D$11,MATCH($H185,'CAT_ACTIVIDADES'!$A$4:$A$11,0)),""))=""),"SIN CLASIFICAR",IFERROR(INDEX('CAT_ACTIVIDADES'!$D$4:$D$11,MATCH($H185,'CAT_ACTIVIDADES'!$A$4:$A$11,0)),"")))</f>
        <v/>
      </c>
      <c r="AO185" s="4" t="inlineStr"/>
      <c r="AP185" s="4" t="inlineStr"/>
      <c r="AQ185" s="4" t="inlineStr"/>
      <c r="AR185" s="5">
        <f>IF($AQ185="","",HYPERLINK(p_ruta_base_checklists&amp;$AQ185,"abrir"))</f>
        <v/>
      </c>
      <c r="AS185" s="4" t="inlineStr"/>
      <c r="AT185" s="5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22" t="n">
        <v>46191</v>
      </c>
      <c r="K186" s="5" t="n">
        <v>2</v>
      </c>
      <c r="L186" s="18" t="n">
        <v>80</v>
      </c>
      <c r="M186" s="5">
        <f>IF($A186="","",IFERROR(INDEX('AJUSTES'!$B$4:$B$303,MATCH($AT186,'AJUSTES'!$A$4:$A$303,0)),IF($K186="","",$K186)))</f>
        <v/>
      </c>
      <c r="N186" s="5">
        <f>IF($A186="","",IFERROR(INDEX('CAT_ESTADOS_ERP'!$B$4:$B$7,MATCH(IFERROR(INDEX('2_IMPORTAR_EJECUCION'!$C$9:$C$1208,MATCH($AT186,'2_IMPORTAR_EJECUCION'!$J$9:$J$1208,0)),""),'CAT_ESTADOS_ERP'!$A$4:$A$7,0)),"Pendiente"))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IF($J186="","",$P186&amp;"-"&amp;TEXT($Q186,"00"))</f>
        <v/>
      </c>
      <c r="S186" s="5">
        <f>IF($J186="","",INDEX(lista_dias,WEEKDAY($J186,2)))</f>
        <v/>
      </c>
      <c r="T186" s="5">
        <f>IF($J186="","",IFERROR(INDEX('CALENDARIO'!$C$15:$C$214,MATCH(TEXT($J186,"yyyy-mm-dd")&amp;"|"&amp;$X186&amp;"|"&amp;$Y186,'CALENDARIO'!$G$15:$G$214,0)),IFERROR(INDEX('CALENDARIO'!$C$15:$C$214,MATCH(TEXT($J186,"yyyy-mm-dd")&amp;"|"&amp;$X186&amp;"|",'CALENDARIO'!$G$15:$G$214,0)),IFERROR(INDEX('CALENDARIO'!$C$15:$C$214,MATCH(TEXT($J186,"yyyy-mm-dd")&amp;"||",'CALENDARIO'!$G$15:$G$214,0)),INDEX(patronHabil,WEEKDAY($J186,2))))))</f>
        <v/>
      </c>
      <c r="U186" s="5">
        <f>IF($I186="","",IFERROR(INDEX('CAT_TIPOS_OT'!$C$4:$C$8,MATCH($I186,'CAT_TIPOS_OT'!$A$4:$A$8,0)),"sin_clasificar"))</f>
        <v/>
      </c>
      <c r="V186" s="5">
        <f>IF($I186="","",IF(IFERROR(INDEX('CAT_TIPOS_OT'!$D$4:$D$8,MATCH($I186,'CAT_TIPOS_OT'!$A$4:$A$8,0)),"SIN CLASIFICAR")="","SIN CLASIFICAR",IFERROR(INDEX('CAT_TIPOS_OT'!$D$4:$D$8,MATCH($I186,'CAT_TIPOS_OT'!$A$4:$A$8,0)),"SIN CLASIFICAR")))</f>
        <v/>
      </c>
      <c r="W186" s="5">
        <f>IF($F186="","",IFERROR(INDEX('CAT_CENTROS_COSTO'!$F$4:$F$13,MATCH($F186,'CAT_CENTROS_COSTO'!$A$4:$A$13,0)),"(sin catálogo)"))</f>
        <v/>
      </c>
      <c r="X186" s="5">
        <f>IF($F186="","",IFERROR(INDEX('CAT_CENTROS_COSTO'!$D$4:$D$13,MATCH($F186,'CAT_CENTROS_COSTO'!$A$4:$A$13,0)),"(sin catálogo)"))</f>
        <v/>
      </c>
      <c r="Y186" s="5">
        <f>IF($F186="","",IF((IFERROR(INDEX('CAT_CENTROS_COSTO'!$E$4:$E$13,MATCH($F186,'CAT_CENTROS_COSTO'!$A$4:$A$13,0)),""))&lt;&gt;"",IFERROR(INDEX('CAT_CENTROS_COSTO'!$E$4:$E$13,MATCH($F186,'CAT_CENTROS_COSTO'!$A$4:$A$13,0)),""),$X186))</f>
        <v/>
      </c>
      <c r="Z186" s="5">
        <f>IF($F186="","",IFERROR(INDEX('CAT_CENTROS_COSTO'!$G$4:$G$13,MATCH($F186,'CAT_CENTROS_COSTO'!$A$4:$A$13,0)),"(sin catálogo)"))</f>
        <v/>
      </c>
      <c r="AA186" s="5">
        <f>IF($G186="","",IFERROR(INDEX('CAT_PUESTOS'!$B$4:$B$8,MATCH($G186,'CAT_PUESTOS'!$A$4:$A$8,0)),"(sin catálogo)"))</f>
        <v/>
      </c>
      <c r="AB186" s="5">
        <f>IF($H186="","",IFERROR(INDEX('CAT_ACTIVIDADES'!$B$4:$B$11,MATCH($H186,'CAT_ACTIVIDADES'!$A$4:$A$11,0)),"(sin catálogo)"))</f>
        <v/>
      </c>
      <c r="AC186" s="20">
        <f>IF($J186="","",TODAY()-$J186)</f>
        <v/>
      </c>
      <c r="AD186" s="20">
        <f>IF($J186="","",IF($J186&lt;=TODAY(),COUNTIFS(cal_fechas,"&gt;="&amp;$J186,cal_fechas,"&lt;"&amp;TODAY(),cal_habil,"sí"),-COUNTIFS(cal_fechas,"&gt;="&amp;TODAY(),cal_fechas,"&lt;"&amp;$J186,cal_habil,"sí")))</f>
        <v/>
      </c>
      <c r="AE186" s="5">
        <f>IF($AD186="","",IF($AD186&lt;0,"FUTURO",IF($AD186&gt;p_dias_backlog_max,"BACKLOG","MES CORRIENTE")))</f>
        <v/>
      </c>
      <c r="AF186" s="5">
        <f>IF($AD186="",FALSE,AND($AD186&gt;p_dias_backlog_min,$AD186&lt;=p_dias_backlog_max))</f>
        <v/>
      </c>
      <c r="AG186" s="4" t="inlineStr"/>
      <c r="AH186" s="5">
        <f>IF($AG186="","",IF((IFERROR(INDEX('ASIGNACIONES'!$J$4:$J$451,MATCH($O186&amp;"|"&amp;$S186&amp;"|"&amp;$AG186,'ASIGNACIONES'!$N$4:$N$451,0)),""))=0,"",IFERROR(INDEX('ASIGNACIONES'!$J$4:$J$451,MATCH($O186&amp;"|"&amp;$S186&amp;"|"&amp;$AG186,'ASIGNACIONES'!$N$4:$N$451,0)),"")))</f>
        <v/>
      </c>
      <c r="AI186" s="25">
        <f>IF($AG186="","",SUMIFS('ORDENES'!$M$4:$M$1203,'ORDENES'!$AG$4:$AG$1203,$AG186,'ORDENES'!$O$4:$O$1203,$O186,'ORDENES'!$S$4:$S$1203,$S186))</f>
        <v/>
      </c>
      <c r="AJ186" s="25">
        <f>IF($AI186="","",p_factor_productividad*IFERROR(INDEX('ASIGNACIONES'!$M$4:$M$451,MATCH($O186&amp;"|"&amp;$S186&amp;"|"&amp;$AG186,'ASIGNACIONES'!$N$4:$N$451,0)),0)-$AI186)</f>
        <v/>
      </c>
      <c r="AK186" s="18">
        <f>IF($A186="","",IFERROR(INDEX('2_IMPORTAR_EJECUCION'!$F$9:$F$1208,MATCH($AT186,'2_IMPORTAR_EJECUCION'!$J$9:$J$1208,0)),0))</f>
        <v/>
      </c>
      <c r="AL186" s="18">
        <f>IF($A186="","",MAX(0,IFERROR(INDEX('2_IMPORTAR_EJECUCION'!$H$9:$H$1208,MATCH($AT186,'2_IMPORTAR_EJECUCION'!$J$9:$J$1208,0)),0)-$AK186))</f>
        <v/>
      </c>
      <c r="AM186" s="18">
        <f>IF($A186="","",$AK186+$AL186)</f>
        <v/>
      </c>
      <c r="AN186" s="5">
        <f>IF($A186="","",IF(OR((IFERROR(INDEX('CAT_ACTIVIDADES'!$D$4:$D$11,MATCH($H186,'CAT_ACTIVIDADES'!$A$4:$A$11,0)),""))=0,(IFERROR(INDEX('CAT_ACTIVIDADES'!$D$4:$D$11,MATCH($H186,'CAT_ACTIVIDADES'!$A$4:$A$11,0)),""))=""),"SIN CLASIFICAR",IFERROR(INDEX('CAT_ACTIVIDADES'!$D$4:$D$11,MATCH($H186,'CAT_ACTIVIDADES'!$A$4:$A$11,0)),"")))</f>
        <v/>
      </c>
      <c r="AO186" s="4" t="inlineStr"/>
      <c r="AP186" s="4" t="inlineStr"/>
      <c r="AQ186" s="4" t="inlineStr"/>
      <c r="AR186" s="5">
        <f>IF($AQ186="","",HYPERLINK(p_ruta_base_checklists&amp;$AQ186,"abrir"))</f>
        <v/>
      </c>
      <c r="AS186" s="4" t="inlineStr"/>
      <c r="AT186" s="5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22" t="n">
        <v>46190</v>
      </c>
      <c r="K187" s="5" t="n">
        <v>2</v>
      </c>
      <c r="L187" s="18" t="n">
        <v>80</v>
      </c>
      <c r="M187" s="5">
        <f>IF($A187="","",IFERROR(INDEX('AJUSTES'!$B$4:$B$303,MATCH($AT187,'AJUSTES'!$A$4:$A$303,0)),IF($K187="","",$K187)))</f>
        <v/>
      </c>
      <c r="N187" s="5">
        <f>IF($A187="","",IFERROR(INDEX('CAT_ESTADOS_ERP'!$B$4:$B$7,MATCH(IFERROR(INDEX('2_IMPORTAR_EJECUCION'!$C$9:$C$1208,MATCH($AT187,'2_IMPORTAR_EJECUCION'!$J$9:$J$1208,0)),""),'CAT_ESTADOS_ERP'!$A$4:$A$7,0)),"Pendiente"))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IF($J187="","",$P187&amp;"-"&amp;TEXT($Q187,"00"))</f>
        <v/>
      </c>
      <c r="S187" s="5">
        <f>IF($J187="","",INDEX(lista_dias,WEEKDAY($J187,2)))</f>
        <v/>
      </c>
      <c r="T187" s="5">
        <f>IF($J187="","",IFERROR(INDEX('CALENDARIO'!$C$15:$C$214,MATCH(TEXT($J187,"yyyy-mm-dd")&amp;"|"&amp;$X187&amp;"|"&amp;$Y187,'CALENDARIO'!$G$15:$G$214,0)),IFERROR(INDEX('CALENDARIO'!$C$15:$C$214,MATCH(TEXT($J187,"yyyy-mm-dd")&amp;"|"&amp;$X187&amp;"|",'CALENDARIO'!$G$15:$G$214,0)),IFERROR(INDEX('CALENDARIO'!$C$15:$C$214,MATCH(TEXT($J187,"yyyy-mm-dd")&amp;"||",'CALENDARIO'!$G$15:$G$214,0)),INDEX(patronHabil,WEEKDAY($J187,2))))))</f>
        <v/>
      </c>
      <c r="U187" s="5">
        <f>IF($I187="","",IFERROR(INDEX('CAT_TIPOS_OT'!$C$4:$C$8,MATCH($I187,'CAT_TIPOS_OT'!$A$4:$A$8,0)),"sin_clasificar"))</f>
        <v/>
      </c>
      <c r="V187" s="5">
        <f>IF($I187="","",IF(IFERROR(INDEX('CAT_TIPOS_OT'!$D$4:$D$8,MATCH($I187,'CAT_TIPOS_OT'!$A$4:$A$8,0)),"SIN CLASIFICAR")="","SIN CLASIFICAR",IFERROR(INDEX('CAT_TIPOS_OT'!$D$4:$D$8,MATCH($I187,'CAT_TIPOS_OT'!$A$4:$A$8,0)),"SIN CLASIFICAR")))</f>
        <v/>
      </c>
      <c r="W187" s="5">
        <f>IF($F187="","",IFERROR(INDEX('CAT_CENTROS_COSTO'!$F$4:$F$13,MATCH($F187,'CAT_CENTROS_COSTO'!$A$4:$A$13,0)),"(sin catálogo)"))</f>
        <v/>
      </c>
      <c r="X187" s="5">
        <f>IF($F187="","",IFERROR(INDEX('CAT_CENTROS_COSTO'!$D$4:$D$13,MATCH($F187,'CAT_CENTROS_COSTO'!$A$4:$A$13,0)),"(sin catálogo)"))</f>
        <v/>
      </c>
      <c r="Y187" s="5">
        <f>IF($F187="","",IF((IFERROR(INDEX('CAT_CENTROS_COSTO'!$E$4:$E$13,MATCH($F187,'CAT_CENTROS_COSTO'!$A$4:$A$13,0)),""))&lt;&gt;"",IFERROR(INDEX('CAT_CENTROS_COSTO'!$E$4:$E$13,MATCH($F187,'CAT_CENTROS_COSTO'!$A$4:$A$13,0)),""),$X187))</f>
        <v/>
      </c>
      <c r="Z187" s="5">
        <f>IF($F187="","",IFERROR(INDEX('CAT_CENTROS_COSTO'!$G$4:$G$13,MATCH($F187,'CAT_CENTROS_COSTO'!$A$4:$A$13,0)),"(sin catálogo)"))</f>
        <v/>
      </c>
      <c r="AA187" s="5">
        <f>IF($G187="","",IFERROR(INDEX('CAT_PUESTOS'!$B$4:$B$8,MATCH($G187,'CAT_PUESTOS'!$A$4:$A$8,0)),"(sin catálogo)"))</f>
        <v/>
      </c>
      <c r="AB187" s="5">
        <f>IF($H187="","",IFERROR(INDEX('CAT_ACTIVIDADES'!$B$4:$B$11,MATCH($H187,'CAT_ACTIVIDADES'!$A$4:$A$11,0)),"(sin catálogo)"))</f>
        <v/>
      </c>
      <c r="AC187" s="20">
        <f>IF($J187="","",TODAY()-$J187)</f>
        <v/>
      </c>
      <c r="AD187" s="20">
        <f>IF($J187="","",IF($J187&lt;=TODAY(),COUNTIFS(cal_fechas,"&gt;="&amp;$J187,cal_fechas,"&lt;"&amp;TODAY(),cal_habil,"sí"),-COUNTIFS(cal_fechas,"&gt;="&amp;TODAY(),cal_fechas,"&lt;"&amp;$J187,cal_habil,"sí")))</f>
        <v/>
      </c>
      <c r="AE187" s="5">
        <f>IF($AD187="","",IF($AD187&lt;0,"FUTURO",IF($AD187&gt;p_dias_backlog_max,"BACKLOG","MES CORRIENTE")))</f>
        <v/>
      </c>
      <c r="AF187" s="5">
        <f>IF($AD187="",FALSE,AND($AD187&gt;p_dias_backlog_min,$AD187&lt;=p_dias_backlog_max))</f>
        <v/>
      </c>
      <c r="AG187" s="4" t="inlineStr"/>
      <c r="AH187" s="5">
        <f>IF($AG187="","",IF((IFERROR(INDEX('ASIGNACIONES'!$J$4:$J$451,MATCH($O187&amp;"|"&amp;$S187&amp;"|"&amp;$AG187,'ASIGNACIONES'!$N$4:$N$451,0)),""))=0,"",IFERROR(INDEX('ASIGNACIONES'!$J$4:$J$451,MATCH($O187&amp;"|"&amp;$S187&amp;"|"&amp;$AG187,'ASIGNACIONES'!$N$4:$N$451,0)),"")))</f>
        <v/>
      </c>
      <c r="AI187" s="25">
        <f>IF($AG187="","",SUMIFS('ORDENES'!$M$4:$M$1203,'ORDENES'!$AG$4:$AG$1203,$AG187,'ORDENES'!$O$4:$O$1203,$O187,'ORDENES'!$S$4:$S$1203,$S187))</f>
        <v/>
      </c>
      <c r="AJ187" s="25">
        <f>IF($AI187="","",p_factor_productividad*IFERROR(INDEX('ASIGNACIONES'!$M$4:$M$451,MATCH($O187&amp;"|"&amp;$S187&amp;"|"&amp;$AG187,'ASIGNACIONES'!$N$4:$N$451,0)),0)-$AI187)</f>
        <v/>
      </c>
      <c r="AK187" s="18">
        <f>IF($A187="","",IFERROR(INDEX('2_IMPORTAR_EJECUCION'!$F$9:$F$1208,MATCH($AT187,'2_IMPORTAR_EJECUCION'!$J$9:$J$1208,0)),0))</f>
        <v/>
      </c>
      <c r="AL187" s="18">
        <f>IF($A187="","",MAX(0,IFERROR(INDEX('2_IMPORTAR_EJECUCION'!$H$9:$H$1208,MATCH($AT187,'2_IMPORTAR_EJECUCION'!$J$9:$J$1208,0)),0)-$AK187))</f>
        <v/>
      </c>
      <c r="AM187" s="18">
        <f>IF($A187="","",$AK187+$AL187)</f>
        <v/>
      </c>
      <c r="AN187" s="5">
        <f>IF($A187="","",IF(OR((IFERROR(INDEX('CAT_ACTIVIDADES'!$D$4:$D$11,MATCH($H187,'CAT_ACTIVIDADES'!$A$4:$A$11,0)),""))=0,(IFERROR(INDEX('CAT_ACTIVIDADES'!$D$4:$D$11,MATCH($H187,'CAT_ACTIVIDADES'!$A$4:$A$11,0)),""))=""),"SIN CLASIFICAR",IFERROR(INDEX('CAT_ACTIVIDADES'!$D$4:$D$11,MATCH($H187,'CAT_ACTIVIDADES'!$A$4:$A$11,0)),"")))</f>
        <v/>
      </c>
      <c r="AO187" s="4" t="inlineStr"/>
      <c r="AP187" s="4" t="inlineStr"/>
      <c r="AQ187" s="4" t="inlineStr"/>
      <c r="AR187" s="5">
        <f>IF($AQ187="","",HYPERLINK(p_ruta_base_checklists&amp;$AQ187,"abrir"))</f>
        <v/>
      </c>
      <c r="AS187" s="4" t="inlineStr"/>
      <c r="AT187" s="5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22" t="n">
        <v>46189</v>
      </c>
      <c r="K188" s="5" t="n">
        <v>2</v>
      </c>
      <c r="L188" s="18" t="n">
        <v>80</v>
      </c>
      <c r="M188" s="5">
        <f>IF($A188="","",IFERROR(INDEX('AJUSTES'!$B$4:$B$303,MATCH($AT188,'AJUSTES'!$A$4:$A$303,0)),IF($K188="","",$K188)))</f>
        <v/>
      </c>
      <c r="N188" s="5">
        <f>IF($A188="","",IFERROR(INDEX('CAT_ESTADOS_ERP'!$B$4:$B$7,MATCH(IFERROR(INDEX('2_IMPORTAR_EJECUCION'!$C$9:$C$1208,MATCH($AT188,'2_IMPORTAR_EJECUCION'!$J$9:$J$1208,0)),""),'CAT_ESTADOS_ERP'!$A$4:$A$7,0)),"Pendiente"))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IF($J188="","",$P188&amp;"-"&amp;TEXT($Q188,"00"))</f>
        <v/>
      </c>
      <c r="S188" s="5">
        <f>IF($J188="","",INDEX(lista_dias,WEEKDAY($J188,2)))</f>
        <v/>
      </c>
      <c r="T188" s="5">
        <f>IF($J188="","",IFERROR(INDEX('CALENDARIO'!$C$15:$C$214,MATCH(TEXT($J188,"yyyy-mm-dd")&amp;"|"&amp;$X188&amp;"|"&amp;$Y188,'CALENDARIO'!$G$15:$G$214,0)),IFERROR(INDEX('CALENDARIO'!$C$15:$C$214,MATCH(TEXT($J188,"yyyy-mm-dd")&amp;"|"&amp;$X188&amp;"|",'CALENDARIO'!$G$15:$G$214,0)),IFERROR(INDEX('CALENDARIO'!$C$15:$C$214,MATCH(TEXT($J188,"yyyy-mm-dd")&amp;"||",'CALENDARIO'!$G$15:$G$214,0)),INDEX(patronHabil,WEEKDAY($J188,2))))))</f>
        <v/>
      </c>
      <c r="U188" s="5">
        <f>IF($I188="","",IFERROR(INDEX('CAT_TIPOS_OT'!$C$4:$C$8,MATCH($I188,'CAT_TIPOS_OT'!$A$4:$A$8,0)),"sin_clasificar"))</f>
        <v/>
      </c>
      <c r="V188" s="5">
        <f>IF($I188="","",IF(IFERROR(INDEX('CAT_TIPOS_OT'!$D$4:$D$8,MATCH($I188,'CAT_TIPOS_OT'!$A$4:$A$8,0)),"SIN CLASIFICAR")="","SIN CLASIFICAR",IFERROR(INDEX('CAT_TIPOS_OT'!$D$4:$D$8,MATCH($I188,'CAT_TIPOS_OT'!$A$4:$A$8,0)),"SIN CLASIFICAR")))</f>
        <v/>
      </c>
      <c r="W188" s="5">
        <f>IF($F188="","",IFERROR(INDEX('CAT_CENTROS_COSTO'!$F$4:$F$13,MATCH($F188,'CAT_CENTROS_COSTO'!$A$4:$A$13,0)),"(sin catálogo)"))</f>
        <v/>
      </c>
      <c r="X188" s="5">
        <f>IF($F188="","",IFERROR(INDEX('CAT_CENTROS_COSTO'!$D$4:$D$13,MATCH($F188,'CAT_CENTROS_COSTO'!$A$4:$A$13,0)),"(sin catálogo)"))</f>
        <v/>
      </c>
      <c r="Y188" s="5">
        <f>IF($F188="","",IF((IFERROR(INDEX('CAT_CENTROS_COSTO'!$E$4:$E$13,MATCH($F188,'CAT_CENTROS_COSTO'!$A$4:$A$13,0)),""))&lt;&gt;"",IFERROR(INDEX('CAT_CENTROS_COSTO'!$E$4:$E$13,MATCH($F188,'CAT_CENTROS_COSTO'!$A$4:$A$13,0)),""),$X188))</f>
        <v/>
      </c>
      <c r="Z188" s="5">
        <f>IF($F188="","",IFERROR(INDEX('CAT_CENTROS_COSTO'!$G$4:$G$13,MATCH($F188,'CAT_CENTROS_COSTO'!$A$4:$A$13,0)),"(sin catálogo)"))</f>
        <v/>
      </c>
      <c r="AA188" s="5">
        <f>IF($G188="","",IFERROR(INDEX('CAT_PUESTOS'!$B$4:$B$8,MATCH($G188,'CAT_PUESTOS'!$A$4:$A$8,0)),"(sin catálogo)"))</f>
        <v/>
      </c>
      <c r="AB188" s="5">
        <f>IF($H188="","",IFERROR(INDEX('CAT_ACTIVIDADES'!$B$4:$B$11,MATCH($H188,'CAT_ACTIVIDADES'!$A$4:$A$11,0)),"(sin catálogo)"))</f>
        <v/>
      </c>
      <c r="AC188" s="20">
        <f>IF($J188="","",TODAY()-$J188)</f>
        <v/>
      </c>
      <c r="AD188" s="20">
        <f>IF($J188="","",IF($J188&lt;=TODAY(),COUNTIFS(cal_fechas,"&gt;="&amp;$J188,cal_fechas,"&lt;"&amp;TODAY(),cal_habil,"sí"),-COUNTIFS(cal_fechas,"&gt;="&amp;TODAY(),cal_fechas,"&lt;"&amp;$J188,cal_habil,"sí")))</f>
        <v/>
      </c>
      <c r="AE188" s="5">
        <f>IF($AD188="","",IF($AD188&lt;0,"FUTURO",IF($AD188&gt;p_dias_backlog_max,"BACKLOG","MES CORRIENTE")))</f>
        <v/>
      </c>
      <c r="AF188" s="5">
        <f>IF($AD188="",FALSE,AND($AD188&gt;p_dias_backlog_min,$AD188&lt;=p_dias_backlog_max))</f>
        <v/>
      </c>
      <c r="AG188" s="4" t="inlineStr"/>
      <c r="AH188" s="5">
        <f>IF($AG188="","",IF((IFERROR(INDEX('ASIGNACIONES'!$J$4:$J$451,MATCH($O188&amp;"|"&amp;$S188&amp;"|"&amp;$AG188,'ASIGNACIONES'!$N$4:$N$451,0)),""))=0,"",IFERROR(INDEX('ASIGNACIONES'!$J$4:$J$451,MATCH($O188&amp;"|"&amp;$S188&amp;"|"&amp;$AG188,'ASIGNACIONES'!$N$4:$N$451,0)),"")))</f>
        <v/>
      </c>
      <c r="AI188" s="25">
        <f>IF($AG188="","",SUMIFS('ORDENES'!$M$4:$M$1203,'ORDENES'!$AG$4:$AG$1203,$AG188,'ORDENES'!$O$4:$O$1203,$O188,'ORDENES'!$S$4:$S$1203,$S188))</f>
        <v/>
      </c>
      <c r="AJ188" s="25">
        <f>IF($AI188="","",p_factor_productividad*IFERROR(INDEX('ASIGNACIONES'!$M$4:$M$451,MATCH($O188&amp;"|"&amp;$S188&amp;"|"&amp;$AG188,'ASIGNACIONES'!$N$4:$N$451,0)),0)-$AI188)</f>
        <v/>
      </c>
      <c r="AK188" s="18">
        <f>IF($A188="","",IFERROR(INDEX('2_IMPORTAR_EJECUCION'!$F$9:$F$1208,MATCH($AT188,'2_IMPORTAR_EJECUCION'!$J$9:$J$1208,0)),0))</f>
        <v/>
      </c>
      <c r="AL188" s="18">
        <f>IF($A188="","",MAX(0,IFERROR(INDEX('2_IMPORTAR_EJECUCION'!$H$9:$H$1208,MATCH($AT188,'2_IMPORTAR_EJECUCION'!$J$9:$J$1208,0)),0)-$AK188))</f>
        <v/>
      </c>
      <c r="AM188" s="18">
        <f>IF($A188="","",$AK188+$AL188)</f>
        <v/>
      </c>
      <c r="AN188" s="5">
        <f>IF($A188="","",IF(OR((IFERROR(INDEX('CAT_ACTIVIDADES'!$D$4:$D$11,MATCH($H188,'CAT_ACTIVIDADES'!$A$4:$A$11,0)),""))=0,(IFERROR(INDEX('CAT_ACTIVIDADES'!$D$4:$D$11,MATCH($H188,'CAT_ACTIVIDADES'!$A$4:$A$11,0)),""))=""),"SIN CLASIFICAR",IFERROR(INDEX('CAT_ACTIVIDADES'!$D$4:$D$11,MATCH($H188,'CAT_ACTIVIDADES'!$A$4:$A$11,0)),"")))</f>
        <v/>
      </c>
      <c r="AO188" s="4" t="inlineStr"/>
      <c r="AP188" s="4" t="inlineStr"/>
      <c r="AQ188" s="4" t="inlineStr"/>
      <c r="AR188" s="5">
        <f>IF($AQ188="","",HYPERLINK(p_ruta_base_checklists&amp;$AQ188,"abrir"))</f>
        <v/>
      </c>
      <c r="AS188" s="4" t="inlineStr"/>
      <c r="AT188" s="5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22" t="n">
        <v>46188</v>
      </c>
      <c r="K189" s="5" t="n">
        <v>2</v>
      </c>
      <c r="L189" s="18" t="n">
        <v>80</v>
      </c>
      <c r="M189" s="5">
        <f>IF($A189="","",IFERROR(INDEX('AJUSTES'!$B$4:$B$303,MATCH($AT189,'AJUSTES'!$A$4:$A$303,0)),IF($K189="","",$K189)))</f>
        <v/>
      </c>
      <c r="N189" s="5">
        <f>IF($A189="","",IFERROR(INDEX('CAT_ESTADOS_ERP'!$B$4:$B$7,MATCH(IFERROR(INDEX('2_IMPORTAR_EJECUCION'!$C$9:$C$1208,MATCH($AT189,'2_IMPORTAR_EJECUCION'!$J$9:$J$1208,0)),""),'CAT_ESTADOS_ERP'!$A$4:$A$7,0)),"Pendiente"))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IF($J189="","",$P189&amp;"-"&amp;TEXT($Q189,"00"))</f>
        <v/>
      </c>
      <c r="S189" s="5">
        <f>IF($J189="","",INDEX(lista_dias,WEEKDAY($J189,2)))</f>
        <v/>
      </c>
      <c r="T189" s="5">
        <f>IF($J189="","",IFERROR(INDEX('CALENDARIO'!$C$15:$C$214,MATCH(TEXT($J189,"yyyy-mm-dd")&amp;"|"&amp;$X189&amp;"|"&amp;$Y189,'CALENDARIO'!$G$15:$G$214,0)),IFERROR(INDEX('CALENDARIO'!$C$15:$C$214,MATCH(TEXT($J189,"yyyy-mm-dd")&amp;"|"&amp;$X189&amp;"|",'CALENDARIO'!$G$15:$G$214,0)),IFERROR(INDEX('CALENDARIO'!$C$15:$C$214,MATCH(TEXT($J189,"yyyy-mm-dd")&amp;"||",'CALENDARIO'!$G$15:$G$214,0)),INDEX(patronHabil,WEEKDAY($J189,2))))))</f>
        <v/>
      </c>
      <c r="U189" s="5">
        <f>IF($I189="","",IFERROR(INDEX('CAT_TIPOS_OT'!$C$4:$C$8,MATCH($I189,'CAT_TIPOS_OT'!$A$4:$A$8,0)),"sin_clasificar"))</f>
        <v/>
      </c>
      <c r="V189" s="5">
        <f>IF($I189="","",IF(IFERROR(INDEX('CAT_TIPOS_OT'!$D$4:$D$8,MATCH($I189,'CAT_TIPOS_OT'!$A$4:$A$8,0)),"SIN CLASIFICAR")="","SIN CLASIFICAR",IFERROR(INDEX('CAT_TIPOS_OT'!$D$4:$D$8,MATCH($I189,'CAT_TIPOS_OT'!$A$4:$A$8,0)),"SIN CLASIFICAR")))</f>
        <v/>
      </c>
      <c r="W189" s="5">
        <f>IF($F189="","",IFERROR(INDEX('CAT_CENTROS_COSTO'!$F$4:$F$13,MATCH($F189,'CAT_CENTROS_COSTO'!$A$4:$A$13,0)),"(sin catálogo)"))</f>
        <v/>
      </c>
      <c r="X189" s="5">
        <f>IF($F189="","",IFERROR(INDEX('CAT_CENTROS_COSTO'!$D$4:$D$13,MATCH($F189,'CAT_CENTROS_COSTO'!$A$4:$A$13,0)),"(sin catálogo)"))</f>
        <v/>
      </c>
      <c r="Y189" s="5">
        <f>IF($F189="","",IF((IFERROR(INDEX('CAT_CENTROS_COSTO'!$E$4:$E$13,MATCH($F189,'CAT_CENTROS_COSTO'!$A$4:$A$13,0)),""))&lt;&gt;"",IFERROR(INDEX('CAT_CENTROS_COSTO'!$E$4:$E$13,MATCH($F189,'CAT_CENTROS_COSTO'!$A$4:$A$13,0)),""),$X189))</f>
        <v/>
      </c>
      <c r="Z189" s="5">
        <f>IF($F189="","",IFERROR(INDEX('CAT_CENTROS_COSTO'!$G$4:$G$13,MATCH($F189,'CAT_CENTROS_COSTO'!$A$4:$A$13,0)),"(sin catálogo)"))</f>
        <v/>
      </c>
      <c r="AA189" s="5">
        <f>IF($G189="","",IFERROR(INDEX('CAT_PUESTOS'!$B$4:$B$8,MATCH($G189,'CAT_PUESTOS'!$A$4:$A$8,0)),"(sin catálogo)"))</f>
        <v/>
      </c>
      <c r="AB189" s="5">
        <f>IF($H189="","",IFERROR(INDEX('CAT_ACTIVIDADES'!$B$4:$B$11,MATCH($H189,'CAT_ACTIVIDADES'!$A$4:$A$11,0)),"(sin catálogo)"))</f>
        <v/>
      </c>
      <c r="AC189" s="20">
        <f>IF($J189="","",TODAY()-$J189)</f>
        <v/>
      </c>
      <c r="AD189" s="20">
        <f>IF($J189="","",IF($J189&lt;=TODAY(),COUNTIFS(cal_fechas,"&gt;="&amp;$J189,cal_fechas,"&lt;"&amp;TODAY(),cal_habil,"sí"),-COUNTIFS(cal_fechas,"&gt;="&amp;TODAY(),cal_fechas,"&lt;"&amp;$J189,cal_habil,"sí")))</f>
        <v/>
      </c>
      <c r="AE189" s="5">
        <f>IF($AD189="","",IF($AD189&lt;0,"FUTURO",IF($AD189&gt;p_dias_backlog_max,"BACKLOG","MES CORRIENTE")))</f>
        <v/>
      </c>
      <c r="AF189" s="5">
        <f>IF($AD189="",FALSE,AND($AD189&gt;p_dias_backlog_min,$AD189&lt;=p_dias_backlog_max))</f>
        <v/>
      </c>
      <c r="AG189" s="4" t="inlineStr"/>
      <c r="AH189" s="5">
        <f>IF($AG189="","",IF((IFERROR(INDEX('ASIGNACIONES'!$J$4:$J$451,MATCH($O189&amp;"|"&amp;$S189&amp;"|"&amp;$AG189,'ASIGNACIONES'!$N$4:$N$451,0)),""))=0,"",IFERROR(INDEX('ASIGNACIONES'!$J$4:$J$451,MATCH($O189&amp;"|"&amp;$S189&amp;"|"&amp;$AG189,'ASIGNACIONES'!$N$4:$N$451,0)),"")))</f>
        <v/>
      </c>
      <c r="AI189" s="25">
        <f>IF($AG189="","",SUMIFS('ORDENES'!$M$4:$M$1203,'ORDENES'!$AG$4:$AG$1203,$AG189,'ORDENES'!$O$4:$O$1203,$O189,'ORDENES'!$S$4:$S$1203,$S189))</f>
        <v/>
      </c>
      <c r="AJ189" s="25">
        <f>IF($AI189="","",p_factor_productividad*IFERROR(INDEX('ASIGNACIONES'!$M$4:$M$451,MATCH($O189&amp;"|"&amp;$S189&amp;"|"&amp;$AG189,'ASIGNACIONES'!$N$4:$N$451,0)),0)-$AI189)</f>
        <v/>
      </c>
      <c r="AK189" s="18">
        <f>IF($A189="","",IFERROR(INDEX('2_IMPORTAR_EJECUCION'!$F$9:$F$1208,MATCH($AT189,'2_IMPORTAR_EJECUCION'!$J$9:$J$1208,0)),0))</f>
        <v/>
      </c>
      <c r="AL189" s="18">
        <f>IF($A189="","",MAX(0,IFERROR(INDEX('2_IMPORTAR_EJECUCION'!$H$9:$H$1208,MATCH($AT189,'2_IMPORTAR_EJECUCION'!$J$9:$J$1208,0)),0)-$AK189))</f>
        <v/>
      </c>
      <c r="AM189" s="18">
        <f>IF($A189="","",$AK189+$AL189)</f>
        <v/>
      </c>
      <c r="AN189" s="5">
        <f>IF($A189="","",IF(OR((IFERROR(INDEX('CAT_ACTIVIDADES'!$D$4:$D$11,MATCH($H189,'CAT_ACTIVIDADES'!$A$4:$A$11,0)),""))=0,(IFERROR(INDEX('CAT_ACTIVIDADES'!$D$4:$D$11,MATCH($H189,'CAT_ACTIVIDADES'!$A$4:$A$11,0)),""))=""),"SIN CLASIFICAR",IFERROR(INDEX('CAT_ACTIVIDADES'!$D$4:$D$11,MATCH($H189,'CAT_ACTIVIDADES'!$A$4:$A$11,0)),"")))</f>
        <v/>
      </c>
      <c r="AO189" s="4" t="inlineStr"/>
      <c r="AP189" s="4" t="inlineStr"/>
      <c r="AQ189" s="4" t="inlineStr"/>
      <c r="AR189" s="5">
        <f>IF($AQ189="","",HYPERLINK(p_ruta_base_checklists&amp;$AQ189,"abrir"))</f>
        <v/>
      </c>
      <c r="AS189" s="4" t="inlineStr"/>
      <c r="AT189" s="5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22" t="n">
        <v>46187</v>
      </c>
      <c r="K190" s="5" t="n">
        <v>2</v>
      </c>
      <c r="L190" s="18" t="n">
        <v>80</v>
      </c>
      <c r="M190" s="5">
        <f>IF($A190="","",IFERROR(INDEX('AJUSTES'!$B$4:$B$303,MATCH($AT190,'AJUSTES'!$A$4:$A$303,0)),IF($K190="","",$K190)))</f>
        <v/>
      </c>
      <c r="N190" s="5">
        <f>IF($A190="","",IFERROR(INDEX('CAT_ESTADOS_ERP'!$B$4:$B$7,MATCH(IFERROR(INDEX('2_IMPORTAR_EJECUCION'!$C$9:$C$1208,MATCH($AT190,'2_IMPORTAR_EJECUCION'!$J$9:$J$1208,0)),""),'CAT_ESTADOS_ERP'!$A$4:$A$7,0)),"Pendiente"))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IF($J190="","",$P190&amp;"-"&amp;TEXT($Q190,"00"))</f>
        <v/>
      </c>
      <c r="S190" s="5">
        <f>IF($J190="","",INDEX(lista_dias,WEEKDAY($J190,2)))</f>
        <v/>
      </c>
      <c r="T190" s="5">
        <f>IF($J190="","",IFERROR(INDEX('CALENDARIO'!$C$15:$C$214,MATCH(TEXT($J190,"yyyy-mm-dd")&amp;"|"&amp;$X190&amp;"|"&amp;$Y190,'CALENDARIO'!$G$15:$G$214,0)),IFERROR(INDEX('CALENDARIO'!$C$15:$C$214,MATCH(TEXT($J190,"yyyy-mm-dd")&amp;"|"&amp;$X190&amp;"|",'CALENDARIO'!$G$15:$G$214,0)),IFERROR(INDEX('CALENDARIO'!$C$15:$C$214,MATCH(TEXT($J190,"yyyy-mm-dd")&amp;"||",'CALENDARIO'!$G$15:$G$214,0)),INDEX(patronHabil,WEEKDAY($J190,2))))))</f>
        <v/>
      </c>
      <c r="U190" s="5">
        <f>IF($I190="","",IFERROR(INDEX('CAT_TIPOS_OT'!$C$4:$C$8,MATCH($I190,'CAT_TIPOS_OT'!$A$4:$A$8,0)),"sin_clasificar"))</f>
        <v/>
      </c>
      <c r="V190" s="5">
        <f>IF($I190="","",IF(IFERROR(INDEX('CAT_TIPOS_OT'!$D$4:$D$8,MATCH($I190,'CAT_TIPOS_OT'!$A$4:$A$8,0)),"SIN CLASIFICAR")="","SIN CLASIFICAR",IFERROR(INDEX('CAT_TIPOS_OT'!$D$4:$D$8,MATCH($I190,'CAT_TIPOS_OT'!$A$4:$A$8,0)),"SIN CLASIFICAR")))</f>
        <v/>
      </c>
      <c r="W190" s="5">
        <f>IF($F190="","",IFERROR(INDEX('CAT_CENTROS_COSTO'!$F$4:$F$13,MATCH($F190,'CAT_CENTROS_COSTO'!$A$4:$A$13,0)),"(sin catálogo)"))</f>
        <v/>
      </c>
      <c r="X190" s="5">
        <f>IF($F190="","",IFERROR(INDEX('CAT_CENTROS_COSTO'!$D$4:$D$13,MATCH($F190,'CAT_CENTROS_COSTO'!$A$4:$A$13,0)),"(sin catálogo)"))</f>
        <v/>
      </c>
      <c r="Y190" s="5">
        <f>IF($F190="","",IF((IFERROR(INDEX('CAT_CENTROS_COSTO'!$E$4:$E$13,MATCH($F190,'CAT_CENTROS_COSTO'!$A$4:$A$13,0)),""))&lt;&gt;"",IFERROR(INDEX('CAT_CENTROS_COSTO'!$E$4:$E$13,MATCH($F190,'CAT_CENTROS_COSTO'!$A$4:$A$13,0)),""),$X190))</f>
        <v/>
      </c>
      <c r="Z190" s="5">
        <f>IF($F190="","",IFERROR(INDEX('CAT_CENTROS_COSTO'!$G$4:$G$13,MATCH($F190,'CAT_CENTROS_COSTO'!$A$4:$A$13,0)),"(sin catálogo)"))</f>
        <v/>
      </c>
      <c r="AA190" s="5">
        <f>IF($G190="","",IFERROR(INDEX('CAT_PUESTOS'!$B$4:$B$8,MATCH($G190,'CAT_PUESTOS'!$A$4:$A$8,0)),"(sin catálogo)"))</f>
        <v/>
      </c>
      <c r="AB190" s="5">
        <f>IF($H190="","",IFERROR(INDEX('CAT_ACTIVIDADES'!$B$4:$B$11,MATCH($H190,'CAT_ACTIVIDADES'!$A$4:$A$11,0)),"(sin catálogo)"))</f>
        <v/>
      </c>
      <c r="AC190" s="20">
        <f>IF($J190="","",TODAY()-$J190)</f>
        <v/>
      </c>
      <c r="AD190" s="20">
        <f>IF($J190="","",IF($J190&lt;=TODAY(),COUNTIFS(cal_fechas,"&gt;="&amp;$J190,cal_fechas,"&lt;"&amp;TODAY(),cal_habil,"sí"),-COUNTIFS(cal_fechas,"&gt;="&amp;TODAY(),cal_fechas,"&lt;"&amp;$J190,cal_habil,"sí")))</f>
        <v/>
      </c>
      <c r="AE190" s="5">
        <f>IF($AD190="","",IF($AD190&lt;0,"FUTURO",IF($AD190&gt;p_dias_backlog_max,"BACKLOG","MES CORRIENTE")))</f>
        <v/>
      </c>
      <c r="AF190" s="5">
        <f>IF($AD190="",FALSE,AND($AD190&gt;p_dias_backlog_min,$AD190&lt;=p_dias_backlog_max))</f>
        <v/>
      </c>
      <c r="AG190" s="4" t="inlineStr"/>
      <c r="AH190" s="5">
        <f>IF($AG190="","",IF((IFERROR(INDEX('ASIGNACIONES'!$J$4:$J$451,MATCH($O190&amp;"|"&amp;$S190&amp;"|"&amp;$AG190,'ASIGNACIONES'!$N$4:$N$451,0)),""))=0,"",IFERROR(INDEX('ASIGNACIONES'!$J$4:$J$451,MATCH($O190&amp;"|"&amp;$S190&amp;"|"&amp;$AG190,'ASIGNACIONES'!$N$4:$N$451,0)),"")))</f>
        <v/>
      </c>
      <c r="AI190" s="25">
        <f>IF($AG190="","",SUMIFS('ORDENES'!$M$4:$M$1203,'ORDENES'!$AG$4:$AG$1203,$AG190,'ORDENES'!$O$4:$O$1203,$O190,'ORDENES'!$S$4:$S$1203,$S190))</f>
        <v/>
      </c>
      <c r="AJ190" s="25">
        <f>IF($AI190="","",p_factor_productividad*IFERROR(INDEX('ASIGNACIONES'!$M$4:$M$451,MATCH($O190&amp;"|"&amp;$S190&amp;"|"&amp;$AG190,'ASIGNACIONES'!$N$4:$N$451,0)),0)-$AI190)</f>
        <v/>
      </c>
      <c r="AK190" s="18">
        <f>IF($A190="","",IFERROR(INDEX('2_IMPORTAR_EJECUCION'!$F$9:$F$1208,MATCH($AT190,'2_IMPORTAR_EJECUCION'!$J$9:$J$1208,0)),0))</f>
        <v/>
      </c>
      <c r="AL190" s="18">
        <f>IF($A190="","",MAX(0,IFERROR(INDEX('2_IMPORTAR_EJECUCION'!$H$9:$H$1208,MATCH($AT190,'2_IMPORTAR_EJECUCION'!$J$9:$J$1208,0)),0)-$AK190))</f>
        <v/>
      </c>
      <c r="AM190" s="18">
        <f>IF($A190="","",$AK190+$AL190)</f>
        <v/>
      </c>
      <c r="AN190" s="5">
        <f>IF($A190="","",IF(OR((IFERROR(INDEX('CAT_ACTIVIDADES'!$D$4:$D$11,MATCH($H190,'CAT_ACTIVIDADES'!$A$4:$A$11,0)),""))=0,(IFERROR(INDEX('CAT_ACTIVIDADES'!$D$4:$D$11,MATCH($H190,'CAT_ACTIVIDADES'!$A$4:$A$11,0)),""))=""),"SIN CLASIFICAR",IFERROR(INDEX('CAT_ACTIVIDADES'!$D$4:$D$11,MATCH($H190,'CAT_ACTIVIDADES'!$A$4:$A$11,0)),"")))</f>
        <v/>
      </c>
      <c r="AO190" s="4" t="inlineStr"/>
      <c r="AP190" s="4" t="inlineStr"/>
      <c r="AQ190" s="4" t="inlineStr"/>
      <c r="AR190" s="5">
        <f>IF($AQ190="","",HYPERLINK(p_ruta_base_checklists&amp;$AQ190,"abrir"))</f>
        <v/>
      </c>
      <c r="AS190" s="4" t="inlineStr"/>
      <c r="AT190" s="5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22" t="n">
        <v>46186</v>
      </c>
      <c r="K191" s="5" t="n">
        <v>2</v>
      </c>
      <c r="L191" s="18" t="n">
        <v>80</v>
      </c>
      <c r="M191" s="5">
        <f>IF($A191="","",IFERROR(INDEX('AJUSTES'!$B$4:$B$303,MATCH($AT191,'AJUSTES'!$A$4:$A$303,0)),IF($K191="","",$K191)))</f>
        <v/>
      </c>
      <c r="N191" s="5">
        <f>IF($A191="","",IFERROR(INDEX('CAT_ESTADOS_ERP'!$B$4:$B$7,MATCH(IFERROR(INDEX('2_IMPORTAR_EJECUCION'!$C$9:$C$1208,MATCH($AT191,'2_IMPORTAR_EJECUCION'!$J$9:$J$1208,0)),""),'CAT_ESTADOS_ERP'!$A$4:$A$7,0)),"Pendiente"))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IF($J191="","",$P191&amp;"-"&amp;TEXT($Q191,"00"))</f>
        <v/>
      </c>
      <c r="S191" s="5">
        <f>IF($J191="","",INDEX(lista_dias,WEEKDAY($J191,2)))</f>
        <v/>
      </c>
      <c r="T191" s="5">
        <f>IF($J191="","",IFERROR(INDEX('CALENDARIO'!$C$15:$C$214,MATCH(TEXT($J191,"yyyy-mm-dd")&amp;"|"&amp;$X191&amp;"|"&amp;$Y191,'CALENDARIO'!$G$15:$G$214,0)),IFERROR(INDEX('CALENDARIO'!$C$15:$C$214,MATCH(TEXT($J191,"yyyy-mm-dd")&amp;"|"&amp;$X191&amp;"|",'CALENDARIO'!$G$15:$G$214,0)),IFERROR(INDEX('CALENDARIO'!$C$15:$C$214,MATCH(TEXT($J191,"yyyy-mm-dd")&amp;"||",'CALENDARIO'!$G$15:$G$214,0)),INDEX(patronHabil,WEEKDAY($J191,2))))))</f>
        <v/>
      </c>
      <c r="U191" s="5">
        <f>IF($I191="","",IFERROR(INDEX('CAT_TIPOS_OT'!$C$4:$C$8,MATCH($I191,'CAT_TIPOS_OT'!$A$4:$A$8,0)),"sin_clasificar"))</f>
        <v/>
      </c>
      <c r="V191" s="5">
        <f>IF($I191="","",IF(IFERROR(INDEX('CAT_TIPOS_OT'!$D$4:$D$8,MATCH($I191,'CAT_TIPOS_OT'!$A$4:$A$8,0)),"SIN CLASIFICAR")="","SIN CLASIFICAR",IFERROR(INDEX('CAT_TIPOS_OT'!$D$4:$D$8,MATCH($I191,'CAT_TIPOS_OT'!$A$4:$A$8,0)),"SIN CLASIFICAR")))</f>
        <v/>
      </c>
      <c r="W191" s="5">
        <f>IF($F191="","",IFERROR(INDEX('CAT_CENTROS_COSTO'!$F$4:$F$13,MATCH($F191,'CAT_CENTROS_COSTO'!$A$4:$A$13,0)),"(sin catálogo)"))</f>
        <v/>
      </c>
      <c r="X191" s="5">
        <f>IF($F191="","",IFERROR(INDEX('CAT_CENTROS_COSTO'!$D$4:$D$13,MATCH($F191,'CAT_CENTROS_COSTO'!$A$4:$A$13,0)),"(sin catálogo)"))</f>
        <v/>
      </c>
      <c r="Y191" s="5">
        <f>IF($F191="","",IF((IFERROR(INDEX('CAT_CENTROS_COSTO'!$E$4:$E$13,MATCH($F191,'CAT_CENTROS_COSTO'!$A$4:$A$13,0)),""))&lt;&gt;"",IFERROR(INDEX('CAT_CENTROS_COSTO'!$E$4:$E$13,MATCH($F191,'CAT_CENTROS_COSTO'!$A$4:$A$13,0)),""),$X191))</f>
        <v/>
      </c>
      <c r="Z191" s="5">
        <f>IF($F191="","",IFERROR(INDEX('CAT_CENTROS_COSTO'!$G$4:$G$13,MATCH($F191,'CAT_CENTROS_COSTO'!$A$4:$A$13,0)),"(sin catálogo)"))</f>
        <v/>
      </c>
      <c r="AA191" s="5">
        <f>IF($G191="","",IFERROR(INDEX('CAT_PUESTOS'!$B$4:$B$8,MATCH($G191,'CAT_PUESTOS'!$A$4:$A$8,0)),"(sin catálogo)"))</f>
        <v/>
      </c>
      <c r="AB191" s="5">
        <f>IF($H191="","",IFERROR(INDEX('CAT_ACTIVIDADES'!$B$4:$B$11,MATCH($H191,'CAT_ACTIVIDADES'!$A$4:$A$11,0)),"(sin catálogo)"))</f>
        <v/>
      </c>
      <c r="AC191" s="20">
        <f>IF($J191="","",TODAY()-$J191)</f>
        <v/>
      </c>
      <c r="AD191" s="20">
        <f>IF($J191="","",IF($J191&lt;=TODAY(),COUNTIFS(cal_fechas,"&gt;="&amp;$J191,cal_fechas,"&lt;"&amp;TODAY(),cal_habil,"sí"),-COUNTIFS(cal_fechas,"&gt;="&amp;TODAY(),cal_fechas,"&lt;"&amp;$J191,cal_habil,"sí")))</f>
        <v/>
      </c>
      <c r="AE191" s="5">
        <f>IF($AD191="","",IF($AD191&lt;0,"FUTURO",IF($AD191&gt;p_dias_backlog_max,"BACKLOG","MES CORRIENTE")))</f>
        <v/>
      </c>
      <c r="AF191" s="5">
        <f>IF($AD191="",FALSE,AND($AD191&gt;p_dias_backlog_min,$AD191&lt;=p_dias_backlog_max))</f>
        <v/>
      </c>
      <c r="AG191" s="4" t="inlineStr"/>
      <c r="AH191" s="5">
        <f>IF($AG191="","",IF((IFERROR(INDEX('ASIGNACIONES'!$J$4:$J$451,MATCH($O191&amp;"|"&amp;$S191&amp;"|"&amp;$AG191,'ASIGNACIONES'!$N$4:$N$451,0)),""))=0,"",IFERROR(INDEX('ASIGNACIONES'!$J$4:$J$451,MATCH($O191&amp;"|"&amp;$S191&amp;"|"&amp;$AG191,'ASIGNACIONES'!$N$4:$N$451,0)),"")))</f>
        <v/>
      </c>
      <c r="AI191" s="25">
        <f>IF($AG191="","",SUMIFS('ORDENES'!$M$4:$M$1203,'ORDENES'!$AG$4:$AG$1203,$AG191,'ORDENES'!$O$4:$O$1203,$O191,'ORDENES'!$S$4:$S$1203,$S191))</f>
        <v/>
      </c>
      <c r="AJ191" s="25">
        <f>IF($AI191="","",p_factor_productividad*IFERROR(INDEX('ASIGNACIONES'!$M$4:$M$451,MATCH($O191&amp;"|"&amp;$S191&amp;"|"&amp;$AG191,'ASIGNACIONES'!$N$4:$N$451,0)),0)-$AI191)</f>
        <v/>
      </c>
      <c r="AK191" s="18">
        <f>IF($A191="","",IFERROR(INDEX('2_IMPORTAR_EJECUCION'!$F$9:$F$1208,MATCH($AT191,'2_IMPORTAR_EJECUCION'!$J$9:$J$1208,0)),0))</f>
        <v/>
      </c>
      <c r="AL191" s="18">
        <f>IF($A191="","",MAX(0,IFERROR(INDEX('2_IMPORTAR_EJECUCION'!$H$9:$H$1208,MATCH($AT191,'2_IMPORTAR_EJECUCION'!$J$9:$J$1208,0)),0)-$AK191))</f>
        <v/>
      </c>
      <c r="AM191" s="18">
        <f>IF($A191="","",$AK191+$AL191)</f>
        <v/>
      </c>
      <c r="AN191" s="5">
        <f>IF($A191="","",IF(OR((IFERROR(INDEX('CAT_ACTIVIDADES'!$D$4:$D$11,MATCH($H191,'CAT_ACTIVIDADES'!$A$4:$A$11,0)),""))=0,(IFERROR(INDEX('CAT_ACTIVIDADES'!$D$4:$D$11,MATCH($H191,'CAT_ACTIVIDADES'!$A$4:$A$11,0)),""))=""),"SIN CLASIFICAR",IFERROR(INDEX('CAT_ACTIVIDADES'!$D$4:$D$11,MATCH($H191,'CAT_ACTIVIDADES'!$A$4:$A$11,0)),"")))</f>
        <v/>
      </c>
      <c r="AO191" s="4" t="inlineStr"/>
      <c r="AP191" s="4" t="inlineStr"/>
      <c r="AQ191" s="4" t="inlineStr"/>
      <c r="AR191" s="5">
        <f>IF($AQ191="","",HYPERLINK(p_ruta_base_checklists&amp;$AQ191,"abrir"))</f>
        <v/>
      </c>
      <c r="AS191" s="4" t="inlineStr"/>
      <c r="AT191" s="5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22" t="n">
        <v>46185</v>
      </c>
      <c r="K192" s="5" t="n">
        <v>2</v>
      </c>
      <c r="L192" s="18" t="n">
        <v>80</v>
      </c>
      <c r="M192" s="5">
        <f>IF($A192="","",IFERROR(INDEX('AJUSTES'!$B$4:$B$303,MATCH($AT192,'AJUSTES'!$A$4:$A$303,0)),IF($K192="","",$K192)))</f>
        <v/>
      </c>
      <c r="N192" s="5">
        <f>IF($A192="","",IFERROR(INDEX('CAT_ESTADOS_ERP'!$B$4:$B$7,MATCH(IFERROR(INDEX('2_IMPORTAR_EJECUCION'!$C$9:$C$1208,MATCH($AT192,'2_IMPORTAR_EJECUCION'!$J$9:$J$1208,0)),""),'CAT_ESTADOS_ERP'!$A$4:$A$7,0)),"Pendiente"))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IF($J192="","",$P192&amp;"-"&amp;TEXT($Q192,"00"))</f>
        <v/>
      </c>
      <c r="S192" s="5">
        <f>IF($J192="","",INDEX(lista_dias,WEEKDAY($J192,2)))</f>
        <v/>
      </c>
      <c r="T192" s="5">
        <f>IF($J192="","",IFERROR(INDEX('CALENDARIO'!$C$15:$C$214,MATCH(TEXT($J192,"yyyy-mm-dd")&amp;"|"&amp;$X192&amp;"|"&amp;$Y192,'CALENDARIO'!$G$15:$G$214,0)),IFERROR(INDEX('CALENDARIO'!$C$15:$C$214,MATCH(TEXT($J192,"yyyy-mm-dd")&amp;"|"&amp;$X192&amp;"|",'CALENDARIO'!$G$15:$G$214,0)),IFERROR(INDEX('CALENDARIO'!$C$15:$C$214,MATCH(TEXT($J192,"yyyy-mm-dd")&amp;"||",'CALENDARIO'!$G$15:$G$214,0)),INDEX(patronHabil,WEEKDAY($J192,2))))))</f>
        <v/>
      </c>
      <c r="U192" s="5">
        <f>IF($I192="","",IFERROR(INDEX('CAT_TIPOS_OT'!$C$4:$C$8,MATCH($I192,'CAT_TIPOS_OT'!$A$4:$A$8,0)),"sin_clasificar"))</f>
        <v/>
      </c>
      <c r="V192" s="5">
        <f>IF($I192="","",IF(IFERROR(INDEX('CAT_TIPOS_OT'!$D$4:$D$8,MATCH($I192,'CAT_TIPOS_OT'!$A$4:$A$8,0)),"SIN CLASIFICAR")="","SIN CLASIFICAR",IFERROR(INDEX('CAT_TIPOS_OT'!$D$4:$D$8,MATCH($I192,'CAT_TIPOS_OT'!$A$4:$A$8,0)),"SIN CLASIFICAR")))</f>
        <v/>
      </c>
      <c r="W192" s="5">
        <f>IF($F192="","",IFERROR(INDEX('CAT_CENTROS_COSTO'!$F$4:$F$13,MATCH($F192,'CAT_CENTROS_COSTO'!$A$4:$A$13,0)),"(sin catálogo)"))</f>
        <v/>
      </c>
      <c r="X192" s="5">
        <f>IF($F192="","",IFERROR(INDEX('CAT_CENTROS_COSTO'!$D$4:$D$13,MATCH($F192,'CAT_CENTROS_COSTO'!$A$4:$A$13,0)),"(sin catálogo)"))</f>
        <v/>
      </c>
      <c r="Y192" s="5">
        <f>IF($F192="","",IF((IFERROR(INDEX('CAT_CENTROS_COSTO'!$E$4:$E$13,MATCH($F192,'CAT_CENTROS_COSTO'!$A$4:$A$13,0)),""))&lt;&gt;"",IFERROR(INDEX('CAT_CENTROS_COSTO'!$E$4:$E$13,MATCH($F192,'CAT_CENTROS_COSTO'!$A$4:$A$13,0)),""),$X192))</f>
        <v/>
      </c>
      <c r="Z192" s="5">
        <f>IF($F192="","",IFERROR(INDEX('CAT_CENTROS_COSTO'!$G$4:$G$13,MATCH($F192,'CAT_CENTROS_COSTO'!$A$4:$A$13,0)),"(sin catálogo)"))</f>
        <v/>
      </c>
      <c r="AA192" s="5">
        <f>IF($G192="","",IFERROR(INDEX('CAT_PUESTOS'!$B$4:$B$8,MATCH($G192,'CAT_PUESTOS'!$A$4:$A$8,0)),"(sin catálogo)"))</f>
        <v/>
      </c>
      <c r="AB192" s="5">
        <f>IF($H192="","",IFERROR(INDEX('CAT_ACTIVIDADES'!$B$4:$B$11,MATCH($H192,'CAT_ACTIVIDADES'!$A$4:$A$11,0)),"(sin catálogo)"))</f>
        <v/>
      </c>
      <c r="AC192" s="20">
        <f>IF($J192="","",TODAY()-$J192)</f>
        <v/>
      </c>
      <c r="AD192" s="20">
        <f>IF($J192="","",IF($J192&lt;=TODAY(),COUNTIFS(cal_fechas,"&gt;="&amp;$J192,cal_fechas,"&lt;"&amp;TODAY(),cal_habil,"sí"),-COUNTIFS(cal_fechas,"&gt;="&amp;TODAY(),cal_fechas,"&lt;"&amp;$J192,cal_habil,"sí")))</f>
        <v/>
      </c>
      <c r="AE192" s="5">
        <f>IF($AD192="","",IF($AD192&lt;0,"FUTURO",IF($AD192&gt;p_dias_backlog_max,"BACKLOG","MES CORRIENTE")))</f>
        <v/>
      </c>
      <c r="AF192" s="5">
        <f>IF($AD192="",FALSE,AND($AD192&gt;p_dias_backlog_min,$AD192&lt;=p_dias_backlog_max))</f>
        <v/>
      </c>
      <c r="AG192" s="4" t="inlineStr"/>
      <c r="AH192" s="5">
        <f>IF($AG192="","",IF((IFERROR(INDEX('ASIGNACIONES'!$J$4:$J$451,MATCH($O192&amp;"|"&amp;$S192&amp;"|"&amp;$AG192,'ASIGNACIONES'!$N$4:$N$451,0)),""))=0,"",IFERROR(INDEX('ASIGNACIONES'!$J$4:$J$451,MATCH($O192&amp;"|"&amp;$S192&amp;"|"&amp;$AG192,'ASIGNACIONES'!$N$4:$N$451,0)),"")))</f>
        <v/>
      </c>
      <c r="AI192" s="25">
        <f>IF($AG192="","",SUMIFS('ORDENES'!$M$4:$M$1203,'ORDENES'!$AG$4:$AG$1203,$AG192,'ORDENES'!$O$4:$O$1203,$O192,'ORDENES'!$S$4:$S$1203,$S192))</f>
        <v/>
      </c>
      <c r="AJ192" s="25">
        <f>IF($AI192="","",p_factor_productividad*IFERROR(INDEX('ASIGNACIONES'!$M$4:$M$451,MATCH($O192&amp;"|"&amp;$S192&amp;"|"&amp;$AG192,'ASIGNACIONES'!$N$4:$N$451,0)),0)-$AI192)</f>
        <v/>
      </c>
      <c r="AK192" s="18">
        <f>IF($A192="","",IFERROR(INDEX('2_IMPORTAR_EJECUCION'!$F$9:$F$1208,MATCH($AT192,'2_IMPORTAR_EJECUCION'!$J$9:$J$1208,0)),0))</f>
        <v/>
      </c>
      <c r="AL192" s="18">
        <f>IF($A192="","",MAX(0,IFERROR(INDEX('2_IMPORTAR_EJECUCION'!$H$9:$H$1208,MATCH($AT192,'2_IMPORTAR_EJECUCION'!$J$9:$J$1208,0)),0)-$AK192))</f>
        <v/>
      </c>
      <c r="AM192" s="18">
        <f>IF($A192="","",$AK192+$AL192)</f>
        <v/>
      </c>
      <c r="AN192" s="5">
        <f>IF($A192="","",IF(OR((IFERROR(INDEX('CAT_ACTIVIDADES'!$D$4:$D$11,MATCH($H192,'CAT_ACTIVIDADES'!$A$4:$A$11,0)),""))=0,(IFERROR(INDEX('CAT_ACTIVIDADES'!$D$4:$D$11,MATCH($H192,'CAT_ACTIVIDADES'!$A$4:$A$11,0)),""))=""),"SIN CLASIFICAR",IFERROR(INDEX('CAT_ACTIVIDADES'!$D$4:$D$11,MATCH($H192,'CAT_ACTIVIDADES'!$A$4:$A$11,0)),"")))</f>
        <v/>
      </c>
      <c r="AO192" s="4" t="inlineStr"/>
      <c r="AP192" s="4" t="inlineStr"/>
      <c r="AQ192" s="4" t="inlineStr"/>
      <c r="AR192" s="5">
        <f>IF($AQ192="","",HYPERLINK(p_ruta_base_checklists&amp;$AQ192,"abrir"))</f>
        <v/>
      </c>
      <c r="AS192" s="4" t="inlineStr"/>
      <c r="AT192" s="5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22" t="n">
        <v>46184</v>
      </c>
      <c r="K193" s="5" t="n">
        <v>2</v>
      </c>
      <c r="L193" s="18" t="n">
        <v>80</v>
      </c>
      <c r="M193" s="5">
        <f>IF($A193="","",IFERROR(INDEX('AJUSTES'!$B$4:$B$303,MATCH($AT193,'AJUSTES'!$A$4:$A$303,0)),IF($K193="","",$K193)))</f>
        <v/>
      </c>
      <c r="N193" s="5">
        <f>IF($A193="","",IFERROR(INDEX('CAT_ESTADOS_ERP'!$B$4:$B$7,MATCH(IFERROR(INDEX('2_IMPORTAR_EJECUCION'!$C$9:$C$1208,MATCH($AT193,'2_IMPORTAR_EJECUCION'!$J$9:$J$1208,0)),""),'CAT_ESTADOS_ERP'!$A$4:$A$7,0)),"Pendiente"))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IF($J193="","",$P193&amp;"-"&amp;TEXT($Q193,"00"))</f>
        <v/>
      </c>
      <c r="S193" s="5">
        <f>IF($J193="","",INDEX(lista_dias,WEEKDAY($J193,2)))</f>
        <v/>
      </c>
      <c r="T193" s="5">
        <f>IF($J193="","",IFERROR(INDEX('CALENDARIO'!$C$15:$C$214,MATCH(TEXT($J193,"yyyy-mm-dd")&amp;"|"&amp;$X193&amp;"|"&amp;$Y193,'CALENDARIO'!$G$15:$G$214,0)),IFERROR(INDEX('CALENDARIO'!$C$15:$C$214,MATCH(TEXT($J193,"yyyy-mm-dd")&amp;"|"&amp;$X193&amp;"|",'CALENDARIO'!$G$15:$G$214,0)),IFERROR(INDEX('CALENDARIO'!$C$15:$C$214,MATCH(TEXT($J193,"yyyy-mm-dd")&amp;"||",'CALENDARIO'!$G$15:$G$214,0)),INDEX(patronHabil,WEEKDAY($J193,2))))))</f>
        <v/>
      </c>
      <c r="U193" s="5">
        <f>IF($I193="","",IFERROR(INDEX('CAT_TIPOS_OT'!$C$4:$C$8,MATCH($I193,'CAT_TIPOS_OT'!$A$4:$A$8,0)),"sin_clasificar"))</f>
        <v/>
      </c>
      <c r="V193" s="5">
        <f>IF($I193="","",IF(IFERROR(INDEX('CAT_TIPOS_OT'!$D$4:$D$8,MATCH($I193,'CAT_TIPOS_OT'!$A$4:$A$8,0)),"SIN CLASIFICAR")="","SIN CLASIFICAR",IFERROR(INDEX('CAT_TIPOS_OT'!$D$4:$D$8,MATCH($I193,'CAT_TIPOS_OT'!$A$4:$A$8,0)),"SIN CLASIFICAR")))</f>
        <v/>
      </c>
      <c r="W193" s="5">
        <f>IF($F193="","",IFERROR(INDEX('CAT_CENTROS_COSTO'!$F$4:$F$13,MATCH($F193,'CAT_CENTROS_COSTO'!$A$4:$A$13,0)),"(sin catálogo)"))</f>
        <v/>
      </c>
      <c r="X193" s="5">
        <f>IF($F193="","",IFERROR(INDEX('CAT_CENTROS_COSTO'!$D$4:$D$13,MATCH($F193,'CAT_CENTROS_COSTO'!$A$4:$A$13,0)),"(sin catálogo)"))</f>
        <v/>
      </c>
      <c r="Y193" s="5">
        <f>IF($F193="","",IF((IFERROR(INDEX('CAT_CENTROS_COSTO'!$E$4:$E$13,MATCH($F193,'CAT_CENTROS_COSTO'!$A$4:$A$13,0)),""))&lt;&gt;"",IFERROR(INDEX('CAT_CENTROS_COSTO'!$E$4:$E$13,MATCH($F193,'CAT_CENTROS_COSTO'!$A$4:$A$13,0)),""),$X193))</f>
        <v/>
      </c>
      <c r="Z193" s="5">
        <f>IF($F193="","",IFERROR(INDEX('CAT_CENTROS_COSTO'!$G$4:$G$13,MATCH($F193,'CAT_CENTROS_COSTO'!$A$4:$A$13,0)),"(sin catálogo)"))</f>
        <v/>
      </c>
      <c r="AA193" s="5">
        <f>IF($G193="","",IFERROR(INDEX('CAT_PUESTOS'!$B$4:$B$8,MATCH($G193,'CAT_PUESTOS'!$A$4:$A$8,0)),"(sin catálogo)"))</f>
        <v/>
      </c>
      <c r="AB193" s="5">
        <f>IF($H193="","",IFERROR(INDEX('CAT_ACTIVIDADES'!$B$4:$B$11,MATCH($H193,'CAT_ACTIVIDADES'!$A$4:$A$11,0)),"(sin catálogo)"))</f>
        <v/>
      </c>
      <c r="AC193" s="20">
        <f>IF($J193="","",TODAY()-$J193)</f>
        <v/>
      </c>
      <c r="AD193" s="20">
        <f>IF($J193="","",IF($J193&lt;=TODAY(),COUNTIFS(cal_fechas,"&gt;="&amp;$J193,cal_fechas,"&lt;"&amp;TODAY(),cal_habil,"sí"),-COUNTIFS(cal_fechas,"&gt;="&amp;TODAY(),cal_fechas,"&lt;"&amp;$J193,cal_habil,"sí")))</f>
        <v/>
      </c>
      <c r="AE193" s="5">
        <f>IF($AD193="","",IF($AD193&lt;0,"FUTURO",IF($AD193&gt;p_dias_backlog_max,"BACKLOG","MES CORRIENTE")))</f>
        <v/>
      </c>
      <c r="AF193" s="5">
        <f>IF($AD193="",FALSE,AND($AD193&gt;p_dias_backlog_min,$AD193&lt;=p_dias_backlog_max))</f>
        <v/>
      </c>
      <c r="AG193" s="4" t="inlineStr"/>
      <c r="AH193" s="5">
        <f>IF($AG193="","",IF((IFERROR(INDEX('ASIGNACIONES'!$J$4:$J$451,MATCH($O193&amp;"|"&amp;$S193&amp;"|"&amp;$AG193,'ASIGNACIONES'!$N$4:$N$451,0)),""))=0,"",IFERROR(INDEX('ASIGNACIONES'!$J$4:$J$451,MATCH($O193&amp;"|"&amp;$S193&amp;"|"&amp;$AG193,'ASIGNACIONES'!$N$4:$N$451,0)),"")))</f>
        <v/>
      </c>
      <c r="AI193" s="25">
        <f>IF($AG193="","",SUMIFS('ORDENES'!$M$4:$M$1203,'ORDENES'!$AG$4:$AG$1203,$AG193,'ORDENES'!$O$4:$O$1203,$O193,'ORDENES'!$S$4:$S$1203,$S193))</f>
        <v/>
      </c>
      <c r="AJ193" s="25">
        <f>IF($AI193="","",p_factor_productividad*IFERROR(INDEX('ASIGNACIONES'!$M$4:$M$451,MATCH($O193&amp;"|"&amp;$S193&amp;"|"&amp;$AG193,'ASIGNACIONES'!$N$4:$N$451,0)),0)-$AI193)</f>
        <v/>
      </c>
      <c r="AK193" s="18">
        <f>IF($A193="","",IFERROR(INDEX('2_IMPORTAR_EJECUCION'!$F$9:$F$1208,MATCH($AT193,'2_IMPORTAR_EJECUCION'!$J$9:$J$1208,0)),0))</f>
        <v/>
      </c>
      <c r="AL193" s="18">
        <f>IF($A193="","",MAX(0,IFERROR(INDEX('2_IMPORTAR_EJECUCION'!$H$9:$H$1208,MATCH($AT193,'2_IMPORTAR_EJECUCION'!$J$9:$J$1208,0)),0)-$AK193))</f>
        <v/>
      </c>
      <c r="AM193" s="18">
        <f>IF($A193="","",$AK193+$AL193)</f>
        <v/>
      </c>
      <c r="AN193" s="5">
        <f>IF($A193="","",IF(OR((IFERROR(INDEX('CAT_ACTIVIDADES'!$D$4:$D$11,MATCH($H193,'CAT_ACTIVIDADES'!$A$4:$A$11,0)),""))=0,(IFERROR(INDEX('CAT_ACTIVIDADES'!$D$4:$D$11,MATCH($H193,'CAT_ACTIVIDADES'!$A$4:$A$11,0)),""))=""),"SIN CLASIFICAR",IFERROR(INDEX('CAT_ACTIVIDADES'!$D$4:$D$11,MATCH($H193,'CAT_ACTIVIDADES'!$A$4:$A$11,0)),"")))</f>
        <v/>
      </c>
      <c r="AO193" s="4" t="inlineStr"/>
      <c r="AP193" s="4" t="inlineStr"/>
      <c r="AQ193" s="4" t="inlineStr"/>
      <c r="AR193" s="5">
        <f>IF($AQ193="","",HYPERLINK(p_ruta_base_checklists&amp;$AQ193,"abrir"))</f>
        <v/>
      </c>
      <c r="AS193" s="4" t="inlineStr"/>
      <c r="AT193" s="5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22" t="n">
        <v>46183</v>
      </c>
      <c r="K194" s="5" t="n">
        <v>2</v>
      </c>
      <c r="L194" s="18" t="n">
        <v>80</v>
      </c>
      <c r="M194" s="5">
        <f>IF($A194="","",IFERROR(INDEX('AJUSTES'!$B$4:$B$303,MATCH($AT194,'AJUSTES'!$A$4:$A$303,0)),IF($K194="","",$K194)))</f>
        <v/>
      </c>
      <c r="N194" s="5">
        <f>IF($A194="","",IFERROR(INDEX('CAT_ESTADOS_ERP'!$B$4:$B$7,MATCH(IFERROR(INDEX('2_IMPORTAR_EJECUCION'!$C$9:$C$1208,MATCH($AT194,'2_IMPORTAR_EJECUCION'!$J$9:$J$1208,0)),""),'CAT_ESTADOS_ERP'!$A$4:$A$7,0)),"Pendiente"))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IF($J194="","",$P194&amp;"-"&amp;TEXT($Q194,"00"))</f>
        <v/>
      </c>
      <c r="S194" s="5">
        <f>IF($J194="","",INDEX(lista_dias,WEEKDAY($J194,2)))</f>
        <v/>
      </c>
      <c r="T194" s="5">
        <f>IF($J194="","",IFERROR(INDEX('CALENDARIO'!$C$15:$C$214,MATCH(TEXT($J194,"yyyy-mm-dd")&amp;"|"&amp;$X194&amp;"|"&amp;$Y194,'CALENDARIO'!$G$15:$G$214,0)),IFERROR(INDEX('CALENDARIO'!$C$15:$C$214,MATCH(TEXT($J194,"yyyy-mm-dd")&amp;"|"&amp;$X194&amp;"|",'CALENDARIO'!$G$15:$G$214,0)),IFERROR(INDEX('CALENDARIO'!$C$15:$C$214,MATCH(TEXT($J194,"yyyy-mm-dd")&amp;"||",'CALENDARIO'!$G$15:$G$214,0)),INDEX(patronHabil,WEEKDAY($J194,2))))))</f>
        <v/>
      </c>
      <c r="U194" s="5">
        <f>IF($I194="","",IFERROR(INDEX('CAT_TIPOS_OT'!$C$4:$C$8,MATCH($I194,'CAT_TIPOS_OT'!$A$4:$A$8,0)),"sin_clasificar"))</f>
        <v/>
      </c>
      <c r="V194" s="5">
        <f>IF($I194="","",IF(IFERROR(INDEX('CAT_TIPOS_OT'!$D$4:$D$8,MATCH($I194,'CAT_TIPOS_OT'!$A$4:$A$8,0)),"SIN CLASIFICAR")="","SIN CLASIFICAR",IFERROR(INDEX('CAT_TIPOS_OT'!$D$4:$D$8,MATCH($I194,'CAT_TIPOS_OT'!$A$4:$A$8,0)),"SIN CLASIFICAR")))</f>
        <v/>
      </c>
      <c r="W194" s="5">
        <f>IF($F194="","",IFERROR(INDEX('CAT_CENTROS_COSTO'!$F$4:$F$13,MATCH($F194,'CAT_CENTROS_COSTO'!$A$4:$A$13,0)),"(sin catálogo)"))</f>
        <v/>
      </c>
      <c r="X194" s="5">
        <f>IF($F194="","",IFERROR(INDEX('CAT_CENTROS_COSTO'!$D$4:$D$13,MATCH($F194,'CAT_CENTROS_COSTO'!$A$4:$A$13,0)),"(sin catálogo)"))</f>
        <v/>
      </c>
      <c r="Y194" s="5">
        <f>IF($F194="","",IF((IFERROR(INDEX('CAT_CENTROS_COSTO'!$E$4:$E$13,MATCH($F194,'CAT_CENTROS_COSTO'!$A$4:$A$13,0)),""))&lt;&gt;"",IFERROR(INDEX('CAT_CENTROS_COSTO'!$E$4:$E$13,MATCH($F194,'CAT_CENTROS_COSTO'!$A$4:$A$13,0)),""),$X194))</f>
        <v/>
      </c>
      <c r="Z194" s="5">
        <f>IF($F194="","",IFERROR(INDEX('CAT_CENTROS_COSTO'!$G$4:$G$13,MATCH($F194,'CAT_CENTROS_COSTO'!$A$4:$A$13,0)),"(sin catálogo)"))</f>
        <v/>
      </c>
      <c r="AA194" s="5">
        <f>IF($G194="","",IFERROR(INDEX('CAT_PUESTOS'!$B$4:$B$8,MATCH($G194,'CAT_PUESTOS'!$A$4:$A$8,0)),"(sin catálogo)"))</f>
        <v/>
      </c>
      <c r="AB194" s="5">
        <f>IF($H194="","",IFERROR(INDEX('CAT_ACTIVIDADES'!$B$4:$B$11,MATCH($H194,'CAT_ACTIVIDADES'!$A$4:$A$11,0)),"(sin catálogo)"))</f>
        <v/>
      </c>
      <c r="AC194" s="20">
        <f>IF($J194="","",TODAY()-$J194)</f>
        <v/>
      </c>
      <c r="AD194" s="20">
        <f>IF($J194="","",IF($J194&lt;=TODAY(),COUNTIFS(cal_fechas,"&gt;="&amp;$J194,cal_fechas,"&lt;"&amp;TODAY(),cal_habil,"sí"),-COUNTIFS(cal_fechas,"&gt;="&amp;TODAY(),cal_fechas,"&lt;"&amp;$J194,cal_habil,"sí")))</f>
        <v/>
      </c>
      <c r="AE194" s="5">
        <f>IF($AD194="","",IF($AD194&lt;0,"FUTURO",IF($AD194&gt;p_dias_backlog_max,"BACKLOG","MES CORRIENTE")))</f>
        <v/>
      </c>
      <c r="AF194" s="5">
        <f>IF($AD194="",FALSE,AND($AD194&gt;p_dias_backlog_min,$AD194&lt;=p_dias_backlog_max))</f>
        <v/>
      </c>
      <c r="AG194" s="4" t="inlineStr"/>
      <c r="AH194" s="5">
        <f>IF($AG194="","",IF((IFERROR(INDEX('ASIGNACIONES'!$J$4:$J$451,MATCH($O194&amp;"|"&amp;$S194&amp;"|"&amp;$AG194,'ASIGNACIONES'!$N$4:$N$451,0)),""))=0,"",IFERROR(INDEX('ASIGNACIONES'!$J$4:$J$451,MATCH($O194&amp;"|"&amp;$S194&amp;"|"&amp;$AG194,'ASIGNACIONES'!$N$4:$N$451,0)),"")))</f>
        <v/>
      </c>
      <c r="AI194" s="25">
        <f>IF($AG194="","",SUMIFS('ORDENES'!$M$4:$M$1203,'ORDENES'!$AG$4:$AG$1203,$AG194,'ORDENES'!$O$4:$O$1203,$O194,'ORDENES'!$S$4:$S$1203,$S194))</f>
        <v/>
      </c>
      <c r="AJ194" s="25">
        <f>IF($AI194="","",p_factor_productividad*IFERROR(INDEX('ASIGNACIONES'!$M$4:$M$451,MATCH($O194&amp;"|"&amp;$S194&amp;"|"&amp;$AG194,'ASIGNACIONES'!$N$4:$N$451,0)),0)-$AI194)</f>
        <v/>
      </c>
      <c r="AK194" s="18">
        <f>IF($A194="","",IFERROR(INDEX('2_IMPORTAR_EJECUCION'!$F$9:$F$1208,MATCH($AT194,'2_IMPORTAR_EJECUCION'!$J$9:$J$1208,0)),0))</f>
        <v/>
      </c>
      <c r="AL194" s="18">
        <f>IF($A194="","",MAX(0,IFERROR(INDEX('2_IMPORTAR_EJECUCION'!$H$9:$H$1208,MATCH($AT194,'2_IMPORTAR_EJECUCION'!$J$9:$J$1208,0)),0)-$AK194))</f>
        <v/>
      </c>
      <c r="AM194" s="18">
        <f>IF($A194="","",$AK194+$AL194)</f>
        <v/>
      </c>
      <c r="AN194" s="5">
        <f>IF($A194="","",IF(OR((IFERROR(INDEX('CAT_ACTIVIDADES'!$D$4:$D$11,MATCH($H194,'CAT_ACTIVIDADES'!$A$4:$A$11,0)),""))=0,(IFERROR(INDEX('CAT_ACTIVIDADES'!$D$4:$D$11,MATCH($H194,'CAT_ACTIVIDADES'!$A$4:$A$11,0)),""))=""),"SIN CLASIFICAR",IFERROR(INDEX('CAT_ACTIVIDADES'!$D$4:$D$11,MATCH($H194,'CAT_ACTIVIDADES'!$A$4:$A$11,0)),"")))</f>
        <v/>
      </c>
      <c r="AO194" s="4" t="inlineStr"/>
      <c r="AP194" s="4" t="inlineStr"/>
      <c r="AQ194" s="4" t="inlineStr"/>
      <c r="AR194" s="5">
        <f>IF($AQ194="","",HYPERLINK(p_ruta_base_checklists&amp;$AQ194,"abrir"))</f>
        <v/>
      </c>
      <c r="AS194" s="4" t="inlineStr"/>
      <c r="AT194" s="5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22" t="n">
        <v>46182</v>
      </c>
      <c r="K195" s="5" t="n">
        <v>2</v>
      </c>
      <c r="L195" s="18" t="n">
        <v>80</v>
      </c>
      <c r="M195" s="5">
        <f>IF($A195="","",IFERROR(INDEX('AJUSTES'!$B$4:$B$303,MATCH($AT195,'AJUSTES'!$A$4:$A$303,0)),IF($K195="","",$K195)))</f>
        <v/>
      </c>
      <c r="N195" s="5">
        <f>IF($A195="","",IFERROR(INDEX('CAT_ESTADOS_ERP'!$B$4:$B$7,MATCH(IFERROR(INDEX('2_IMPORTAR_EJECUCION'!$C$9:$C$1208,MATCH($AT195,'2_IMPORTAR_EJECUCION'!$J$9:$J$1208,0)),""),'CAT_ESTADOS_ERP'!$A$4:$A$7,0)),"Pendiente"))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IF($J195="","",$P195&amp;"-"&amp;TEXT($Q195,"00"))</f>
        <v/>
      </c>
      <c r="S195" s="5">
        <f>IF($J195="","",INDEX(lista_dias,WEEKDAY($J195,2)))</f>
        <v/>
      </c>
      <c r="T195" s="5">
        <f>IF($J195="","",IFERROR(INDEX('CALENDARIO'!$C$15:$C$214,MATCH(TEXT($J195,"yyyy-mm-dd")&amp;"|"&amp;$X195&amp;"|"&amp;$Y195,'CALENDARIO'!$G$15:$G$214,0)),IFERROR(INDEX('CALENDARIO'!$C$15:$C$214,MATCH(TEXT($J195,"yyyy-mm-dd")&amp;"|"&amp;$X195&amp;"|",'CALENDARIO'!$G$15:$G$214,0)),IFERROR(INDEX('CALENDARIO'!$C$15:$C$214,MATCH(TEXT($J195,"yyyy-mm-dd")&amp;"||",'CALENDARIO'!$G$15:$G$214,0)),INDEX(patronHabil,WEEKDAY($J195,2))))))</f>
        <v/>
      </c>
      <c r="U195" s="5">
        <f>IF($I195="","",IFERROR(INDEX('CAT_TIPOS_OT'!$C$4:$C$8,MATCH($I195,'CAT_TIPOS_OT'!$A$4:$A$8,0)),"sin_clasificar"))</f>
        <v/>
      </c>
      <c r="V195" s="5">
        <f>IF($I195="","",IF(IFERROR(INDEX('CAT_TIPOS_OT'!$D$4:$D$8,MATCH($I195,'CAT_TIPOS_OT'!$A$4:$A$8,0)),"SIN CLASIFICAR")="","SIN CLASIFICAR",IFERROR(INDEX('CAT_TIPOS_OT'!$D$4:$D$8,MATCH($I195,'CAT_TIPOS_OT'!$A$4:$A$8,0)),"SIN CLASIFICAR")))</f>
        <v/>
      </c>
      <c r="W195" s="5">
        <f>IF($F195="","",IFERROR(INDEX('CAT_CENTROS_COSTO'!$F$4:$F$13,MATCH($F195,'CAT_CENTROS_COSTO'!$A$4:$A$13,0)),"(sin catálogo)"))</f>
        <v/>
      </c>
      <c r="X195" s="5">
        <f>IF($F195="","",IFERROR(INDEX('CAT_CENTROS_COSTO'!$D$4:$D$13,MATCH($F195,'CAT_CENTROS_COSTO'!$A$4:$A$13,0)),"(sin catálogo)"))</f>
        <v/>
      </c>
      <c r="Y195" s="5">
        <f>IF($F195="","",IF((IFERROR(INDEX('CAT_CENTROS_COSTO'!$E$4:$E$13,MATCH($F195,'CAT_CENTROS_COSTO'!$A$4:$A$13,0)),""))&lt;&gt;"",IFERROR(INDEX('CAT_CENTROS_COSTO'!$E$4:$E$13,MATCH($F195,'CAT_CENTROS_COSTO'!$A$4:$A$13,0)),""),$X195))</f>
        <v/>
      </c>
      <c r="Z195" s="5">
        <f>IF($F195="","",IFERROR(INDEX('CAT_CENTROS_COSTO'!$G$4:$G$13,MATCH($F195,'CAT_CENTROS_COSTO'!$A$4:$A$13,0)),"(sin catálogo)"))</f>
        <v/>
      </c>
      <c r="AA195" s="5">
        <f>IF($G195="","",IFERROR(INDEX('CAT_PUESTOS'!$B$4:$B$8,MATCH($G195,'CAT_PUESTOS'!$A$4:$A$8,0)),"(sin catálogo)"))</f>
        <v/>
      </c>
      <c r="AB195" s="5">
        <f>IF($H195="","",IFERROR(INDEX('CAT_ACTIVIDADES'!$B$4:$B$11,MATCH($H195,'CAT_ACTIVIDADES'!$A$4:$A$11,0)),"(sin catálogo)"))</f>
        <v/>
      </c>
      <c r="AC195" s="20">
        <f>IF($J195="","",TODAY()-$J195)</f>
        <v/>
      </c>
      <c r="AD195" s="20">
        <f>IF($J195="","",IF($J195&lt;=TODAY(),COUNTIFS(cal_fechas,"&gt;="&amp;$J195,cal_fechas,"&lt;"&amp;TODAY(),cal_habil,"sí"),-COUNTIFS(cal_fechas,"&gt;="&amp;TODAY(),cal_fechas,"&lt;"&amp;$J195,cal_habil,"sí")))</f>
        <v/>
      </c>
      <c r="AE195" s="5">
        <f>IF($AD195="","",IF($AD195&lt;0,"FUTURO",IF($AD195&gt;p_dias_backlog_max,"BACKLOG","MES CORRIENTE")))</f>
        <v/>
      </c>
      <c r="AF195" s="5">
        <f>IF($AD195="",FALSE,AND($AD195&gt;p_dias_backlog_min,$AD195&lt;=p_dias_backlog_max))</f>
        <v/>
      </c>
      <c r="AG195" s="4" t="inlineStr"/>
      <c r="AH195" s="5">
        <f>IF($AG195="","",IF((IFERROR(INDEX('ASIGNACIONES'!$J$4:$J$451,MATCH($O195&amp;"|"&amp;$S195&amp;"|"&amp;$AG195,'ASIGNACIONES'!$N$4:$N$451,0)),""))=0,"",IFERROR(INDEX('ASIGNACIONES'!$J$4:$J$451,MATCH($O195&amp;"|"&amp;$S195&amp;"|"&amp;$AG195,'ASIGNACIONES'!$N$4:$N$451,0)),"")))</f>
        <v/>
      </c>
      <c r="AI195" s="25">
        <f>IF($AG195="","",SUMIFS('ORDENES'!$M$4:$M$1203,'ORDENES'!$AG$4:$AG$1203,$AG195,'ORDENES'!$O$4:$O$1203,$O195,'ORDENES'!$S$4:$S$1203,$S195))</f>
        <v/>
      </c>
      <c r="AJ195" s="25">
        <f>IF($AI195="","",p_factor_productividad*IFERROR(INDEX('ASIGNACIONES'!$M$4:$M$451,MATCH($O195&amp;"|"&amp;$S195&amp;"|"&amp;$AG195,'ASIGNACIONES'!$N$4:$N$451,0)),0)-$AI195)</f>
        <v/>
      </c>
      <c r="AK195" s="18">
        <f>IF($A195="","",IFERROR(INDEX('2_IMPORTAR_EJECUCION'!$F$9:$F$1208,MATCH($AT195,'2_IMPORTAR_EJECUCION'!$J$9:$J$1208,0)),0))</f>
        <v/>
      </c>
      <c r="AL195" s="18">
        <f>IF($A195="","",MAX(0,IFERROR(INDEX('2_IMPORTAR_EJECUCION'!$H$9:$H$1208,MATCH($AT195,'2_IMPORTAR_EJECUCION'!$J$9:$J$1208,0)),0)-$AK195))</f>
        <v/>
      </c>
      <c r="AM195" s="18">
        <f>IF($A195="","",$AK195+$AL195)</f>
        <v/>
      </c>
      <c r="AN195" s="5">
        <f>IF($A195="","",IF(OR((IFERROR(INDEX('CAT_ACTIVIDADES'!$D$4:$D$11,MATCH($H195,'CAT_ACTIVIDADES'!$A$4:$A$11,0)),""))=0,(IFERROR(INDEX('CAT_ACTIVIDADES'!$D$4:$D$11,MATCH($H195,'CAT_ACTIVIDADES'!$A$4:$A$11,0)),""))=""),"SIN CLASIFICAR",IFERROR(INDEX('CAT_ACTIVIDADES'!$D$4:$D$11,MATCH($H195,'CAT_ACTIVIDADES'!$A$4:$A$11,0)),"")))</f>
        <v/>
      </c>
      <c r="AO195" s="4" t="inlineStr"/>
      <c r="AP195" s="4" t="inlineStr"/>
      <c r="AQ195" s="4" t="inlineStr"/>
      <c r="AR195" s="5">
        <f>IF($AQ195="","",HYPERLINK(p_ruta_base_checklists&amp;$AQ195,"abrir"))</f>
        <v/>
      </c>
      <c r="AS195" s="4" t="inlineStr"/>
      <c r="AT195" s="5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22" t="n">
        <v>46181</v>
      </c>
      <c r="K196" s="5" t="n">
        <v>2</v>
      </c>
      <c r="L196" s="18" t="n">
        <v>80</v>
      </c>
      <c r="M196" s="5">
        <f>IF($A196="","",IFERROR(INDEX('AJUSTES'!$B$4:$B$303,MATCH($AT196,'AJUSTES'!$A$4:$A$303,0)),IF($K196="","",$K196)))</f>
        <v/>
      </c>
      <c r="N196" s="5">
        <f>IF($A196="","",IFERROR(INDEX('CAT_ESTADOS_ERP'!$B$4:$B$7,MATCH(IFERROR(INDEX('2_IMPORTAR_EJECUCION'!$C$9:$C$1208,MATCH($AT196,'2_IMPORTAR_EJECUCION'!$J$9:$J$1208,0)),""),'CAT_ESTADOS_ERP'!$A$4:$A$7,0)),"Pendiente"))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IF($J196="","",$P196&amp;"-"&amp;TEXT($Q196,"00"))</f>
        <v/>
      </c>
      <c r="S196" s="5">
        <f>IF($J196="","",INDEX(lista_dias,WEEKDAY($J196,2)))</f>
        <v/>
      </c>
      <c r="T196" s="5">
        <f>IF($J196="","",IFERROR(INDEX('CALENDARIO'!$C$15:$C$214,MATCH(TEXT($J196,"yyyy-mm-dd")&amp;"|"&amp;$X196&amp;"|"&amp;$Y196,'CALENDARIO'!$G$15:$G$214,0)),IFERROR(INDEX('CALENDARIO'!$C$15:$C$214,MATCH(TEXT($J196,"yyyy-mm-dd")&amp;"|"&amp;$X196&amp;"|",'CALENDARIO'!$G$15:$G$214,0)),IFERROR(INDEX('CALENDARIO'!$C$15:$C$214,MATCH(TEXT($J196,"yyyy-mm-dd")&amp;"||",'CALENDARIO'!$G$15:$G$214,0)),INDEX(patronHabil,WEEKDAY($J196,2))))))</f>
        <v/>
      </c>
      <c r="U196" s="5">
        <f>IF($I196="","",IFERROR(INDEX('CAT_TIPOS_OT'!$C$4:$C$8,MATCH($I196,'CAT_TIPOS_OT'!$A$4:$A$8,0)),"sin_clasificar"))</f>
        <v/>
      </c>
      <c r="V196" s="5">
        <f>IF($I196="","",IF(IFERROR(INDEX('CAT_TIPOS_OT'!$D$4:$D$8,MATCH($I196,'CAT_TIPOS_OT'!$A$4:$A$8,0)),"SIN CLASIFICAR")="","SIN CLASIFICAR",IFERROR(INDEX('CAT_TIPOS_OT'!$D$4:$D$8,MATCH($I196,'CAT_TIPOS_OT'!$A$4:$A$8,0)),"SIN CLASIFICAR")))</f>
        <v/>
      </c>
      <c r="W196" s="5">
        <f>IF($F196="","",IFERROR(INDEX('CAT_CENTROS_COSTO'!$F$4:$F$13,MATCH($F196,'CAT_CENTROS_COSTO'!$A$4:$A$13,0)),"(sin catálogo)"))</f>
        <v/>
      </c>
      <c r="X196" s="5">
        <f>IF($F196="","",IFERROR(INDEX('CAT_CENTROS_COSTO'!$D$4:$D$13,MATCH($F196,'CAT_CENTROS_COSTO'!$A$4:$A$13,0)),"(sin catálogo)"))</f>
        <v/>
      </c>
      <c r="Y196" s="5">
        <f>IF($F196="","",IF((IFERROR(INDEX('CAT_CENTROS_COSTO'!$E$4:$E$13,MATCH($F196,'CAT_CENTROS_COSTO'!$A$4:$A$13,0)),""))&lt;&gt;"",IFERROR(INDEX('CAT_CENTROS_COSTO'!$E$4:$E$13,MATCH($F196,'CAT_CENTROS_COSTO'!$A$4:$A$13,0)),""),$X196))</f>
        <v/>
      </c>
      <c r="Z196" s="5">
        <f>IF($F196="","",IFERROR(INDEX('CAT_CENTROS_COSTO'!$G$4:$G$13,MATCH($F196,'CAT_CENTROS_COSTO'!$A$4:$A$13,0)),"(sin catálogo)"))</f>
        <v/>
      </c>
      <c r="AA196" s="5">
        <f>IF($G196="","",IFERROR(INDEX('CAT_PUESTOS'!$B$4:$B$8,MATCH($G196,'CAT_PUESTOS'!$A$4:$A$8,0)),"(sin catálogo)"))</f>
        <v/>
      </c>
      <c r="AB196" s="5">
        <f>IF($H196="","",IFERROR(INDEX('CAT_ACTIVIDADES'!$B$4:$B$11,MATCH($H196,'CAT_ACTIVIDADES'!$A$4:$A$11,0)),"(sin catálogo)"))</f>
        <v/>
      </c>
      <c r="AC196" s="20">
        <f>IF($J196="","",TODAY()-$J196)</f>
        <v/>
      </c>
      <c r="AD196" s="20">
        <f>IF($J196="","",IF($J196&lt;=TODAY(),COUNTIFS(cal_fechas,"&gt;="&amp;$J196,cal_fechas,"&lt;"&amp;TODAY(),cal_habil,"sí"),-COUNTIFS(cal_fechas,"&gt;="&amp;TODAY(),cal_fechas,"&lt;"&amp;$J196,cal_habil,"sí")))</f>
        <v/>
      </c>
      <c r="AE196" s="5">
        <f>IF($AD196="","",IF($AD196&lt;0,"FUTURO",IF($AD196&gt;p_dias_backlog_max,"BACKLOG","MES CORRIENTE")))</f>
        <v/>
      </c>
      <c r="AF196" s="5">
        <f>IF($AD196="",FALSE,AND($AD196&gt;p_dias_backlog_min,$AD196&lt;=p_dias_backlog_max))</f>
        <v/>
      </c>
      <c r="AG196" s="4" t="inlineStr"/>
      <c r="AH196" s="5">
        <f>IF($AG196="","",IF((IFERROR(INDEX('ASIGNACIONES'!$J$4:$J$451,MATCH($O196&amp;"|"&amp;$S196&amp;"|"&amp;$AG196,'ASIGNACIONES'!$N$4:$N$451,0)),""))=0,"",IFERROR(INDEX('ASIGNACIONES'!$J$4:$J$451,MATCH($O196&amp;"|"&amp;$S196&amp;"|"&amp;$AG196,'ASIGNACIONES'!$N$4:$N$451,0)),"")))</f>
        <v/>
      </c>
      <c r="AI196" s="25">
        <f>IF($AG196="","",SUMIFS('ORDENES'!$M$4:$M$1203,'ORDENES'!$AG$4:$AG$1203,$AG196,'ORDENES'!$O$4:$O$1203,$O196,'ORDENES'!$S$4:$S$1203,$S196))</f>
        <v/>
      </c>
      <c r="AJ196" s="25">
        <f>IF($AI196="","",p_factor_productividad*IFERROR(INDEX('ASIGNACIONES'!$M$4:$M$451,MATCH($O196&amp;"|"&amp;$S196&amp;"|"&amp;$AG196,'ASIGNACIONES'!$N$4:$N$451,0)),0)-$AI196)</f>
        <v/>
      </c>
      <c r="AK196" s="18">
        <f>IF($A196="","",IFERROR(INDEX('2_IMPORTAR_EJECUCION'!$F$9:$F$1208,MATCH($AT196,'2_IMPORTAR_EJECUCION'!$J$9:$J$1208,0)),0))</f>
        <v/>
      </c>
      <c r="AL196" s="18">
        <f>IF($A196="","",MAX(0,IFERROR(INDEX('2_IMPORTAR_EJECUCION'!$H$9:$H$1208,MATCH($AT196,'2_IMPORTAR_EJECUCION'!$J$9:$J$1208,0)),0)-$AK196))</f>
        <v/>
      </c>
      <c r="AM196" s="18">
        <f>IF($A196="","",$AK196+$AL196)</f>
        <v/>
      </c>
      <c r="AN196" s="5">
        <f>IF($A196="","",IF(OR((IFERROR(INDEX('CAT_ACTIVIDADES'!$D$4:$D$11,MATCH($H196,'CAT_ACTIVIDADES'!$A$4:$A$11,0)),""))=0,(IFERROR(INDEX('CAT_ACTIVIDADES'!$D$4:$D$11,MATCH($H196,'CAT_ACTIVIDADES'!$A$4:$A$11,0)),""))=""),"SIN CLASIFICAR",IFERROR(INDEX('CAT_ACTIVIDADES'!$D$4:$D$11,MATCH($H196,'CAT_ACTIVIDADES'!$A$4:$A$11,0)),"")))</f>
        <v/>
      </c>
      <c r="AO196" s="4" t="inlineStr"/>
      <c r="AP196" s="4" t="inlineStr"/>
      <c r="AQ196" s="4" t="inlineStr"/>
      <c r="AR196" s="5">
        <f>IF($AQ196="","",HYPERLINK(p_ruta_base_checklists&amp;$AQ196,"abrir"))</f>
        <v/>
      </c>
      <c r="AS196" s="4" t="inlineStr"/>
      <c r="AT196" s="5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22" t="n">
        <v>46180</v>
      </c>
      <c r="K197" s="5" t="n">
        <v>2</v>
      </c>
      <c r="L197" s="18" t="n">
        <v>80</v>
      </c>
      <c r="M197" s="5">
        <f>IF($A197="","",IFERROR(INDEX('AJUSTES'!$B$4:$B$303,MATCH($AT197,'AJUSTES'!$A$4:$A$303,0)),IF($K197="","",$K197)))</f>
        <v/>
      </c>
      <c r="N197" s="5">
        <f>IF($A197="","",IFERROR(INDEX('CAT_ESTADOS_ERP'!$B$4:$B$7,MATCH(IFERROR(INDEX('2_IMPORTAR_EJECUCION'!$C$9:$C$1208,MATCH($AT197,'2_IMPORTAR_EJECUCION'!$J$9:$J$1208,0)),""),'CAT_ESTADOS_ERP'!$A$4:$A$7,0)),"Pendiente"))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IF($J197="","",$P197&amp;"-"&amp;TEXT($Q197,"00"))</f>
        <v/>
      </c>
      <c r="S197" s="5">
        <f>IF($J197="","",INDEX(lista_dias,WEEKDAY($J197,2)))</f>
        <v/>
      </c>
      <c r="T197" s="5">
        <f>IF($J197="","",IFERROR(INDEX('CALENDARIO'!$C$15:$C$214,MATCH(TEXT($J197,"yyyy-mm-dd")&amp;"|"&amp;$X197&amp;"|"&amp;$Y197,'CALENDARIO'!$G$15:$G$214,0)),IFERROR(INDEX('CALENDARIO'!$C$15:$C$214,MATCH(TEXT($J197,"yyyy-mm-dd")&amp;"|"&amp;$X197&amp;"|",'CALENDARIO'!$G$15:$G$214,0)),IFERROR(INDEX('CALENDARIO'!$C$15:$C$214,MATCH(TEXT($J197,"yyyy-mm-dd")&amp;"||",'CALENDARIO'!$G$15:$G$214,0)),INDEX(patronHabil,WEEKDAY($J197,2))))))</f>
        <v/>
      </c>
      <c r="U197" s="5">
        <f>IF($I197="","",IFERROR(INDEX('CAT_TIPOS_OT'!$C$4:$C$8,MATCH($I197,'CAT_TIPOS_OT'!$A$4:$A$8,0)),"sin_clasificar"))</f>
        <v/>
      </c>
      <c r="V197" s="5">
        <f>IF($I197="","",IF(IFERROR(INDEX('CAT_TIPOS_OT'!$D$4:$D$8,MATCH($I197,'CAT_TIPOS_OT'!$A$4:$A$8,0)),"SIN CLASIFICAR")="","SIN CLASIFICAR",IFERROR(INDEX('CAT_TIPOS_OT'!$D$4:$D$8,MATCH($I197,'CAT_TIPOS_OT'!$A$4:$A$8,0)),"SIN CLASIFICAR")))</f>
        <v/>
      </c>
      <c r="W197" s="5">
        <f>IF($F197="","",IFERROR(INDEX('CAT_CENTROS_COSTO'!$F$4:$F$13,MATCH($F197,'CAT_CENTROS_COSTO'!$A$4:$A$13,0)),"(sin catálogo)"))</f>
        <v/>
      </c>
      <c r="X197" s="5">
        <f>IF($F197="","",IFERROR(INDEX('CAT_CENTROS_COSTO'!$D$4:$D$13,MATCH($F197,'CAT_CENTROS_COSTO'!$A$4:$A$13,0)),"(sin catálogo)"))</f>
        <v/>
      </c>
      <c r="Y197" s="5">
        <f>IF($F197="","",IF((IFERROR(INDEX('CAT_CENTROS_COSTO'!$E$4:$E$13,MATCH($F197,'CAT_CENTROS_COSTO'!$A$4:$A$13,0)),""))&lt;&gt;"",IFERROR(INDEX('CAT_CENTROS_COSTO'!$E$4:$E$13,MATCH($F197,'CAT_CENTROS_COSTO'!$A$4:$A$13,0)),""),$X197))</f>
        <v/>
      </c>
      <c r="Z197" s="5">
        <f>IF($F197="","",IFERROR(INDEX('CAT_CENTROS_COSTO'!$G$4:$G$13,MATCH($F197,'CAT_CENTROS_COSTO'!$A$4:$A$13,0)),"(sin catálogo)"))</f>
        <v/>
      </c>
      <c r="AA197" s="5">
        <f>IF($G197="","",IFERROR(INDEX('CAT_PUESTOS'!$B$4:$B$8,MATCH($G197,'CAT_PUESTOS'!$A$4:$A$8,0)),"(sin catálogo)"))</f>
        <v/>
      </c>
      <c r="AB197" s="5">
        <f>IF($H197="","",IFERROR(INDEX('CAT_ACTIVIDADES'!$B$4:$B$11,MATCH($H197,'CAT_ACTIVIDADES'!$A$4:$A$11,0)),"(sin catálogo)"))</f>
        <v/>
      </c>
      <c r="AC197" s="20">
        <f>IF($J197="","",TODAY()-$J197)</f>
        <v/>
      </c>
      <c r="AD197" s="20">
        <f>IF($J197="","",IF($J197&lt;=TODAY(),COUNTIFS(cal_fechas,"&gt;="&amp;$J197,cal_fechas,"&lt;"&amp;TODAY(),cal_habil,"sí"),-COUNTIFS(cal_fechas,"&gt;="&amp;TODAY(),cal_fechas,"&lt;"&amp;$J197,cal_habil,"sí")))</f>
        <v/>
      </c>
      <c r="AE197" s="5">
        <f>IF($AD197="","",IF($AD197&lt;0,"FUTURO",IF($AD197&gt;p_dias_backlog_max,"BACKLOG","MES CORRIENTE")))</f>
        <v/>
      </c>
      <c r="AF197" s="5">
        <f>IF($AD197="",FALSE,AND($AD197&gt;p_dias_backlog_min,$AD197&lt;=p_dias_backlog_max))</f>
        <v/>
      </c>
      <c r="AG197" s="4" t="inlineStr"/>
      <c r="AH197" s="5">
        <f>IF($AG197="","",IF((IFERROR(INDEX('ASIGNACIONES'!$J$4:$J$451,MATCH($O197&amp;"|"&amp;$S197&amp;"|"&amp;$AG197,'ASIGNACIONES'!$N$4:$N$451,0)),""))=0,"",IFERROR(INDEX('ASIGNACIONES'!$J$4:$J$451,MATCH($O197&amp;"|"&amp;$S197&amp;"|"&amp;$AG197,'ASIGNACIONES'!$N$4:$N$451,0)),"")))</f>
        <v/>
      </c>
      <c r="AI197" s="25">
        <f>IF($AG197="","",SUMIFS('ORDENES'!$M$4:$M$1203,'ORDENES'!$AG$4:$AG$1203,$AG197,'ORDENES'!$O$4:$O$1203,$O197,'ORDENES'!$S$4:$S$1203,$S197))</f>
        <v/>
      </c>
      <c r="AJ197" s="25">
        <f>IF($AI197="","",p_factor_productividad*IFERROR(INDEX('ASIGNACIONES'!$M$4:$M$451,MATCH($O197&amp;"|"&amp;$S197&amp;"|"&amp;$AG197,'ASIGNACIONES'!$N$4:$N$451,0)),0)-$AI197)</f>
        <v/>
      </c>
      <c r="AK197" s="18">
        <f>IF($A197="","",IFERROR(INDEX('2_IMPORTAR_EJECUCION'!$F$9:$F$1208,MATCH($AT197,'2_IMPORTAR_EJECUCION'!$J$9:$J$1208,0)),0))</f>
        <v/>
      </c>
      <c r="AL197" s="18">
        <f>IF($A197="","",MAX(0,IFERROR(INDEX('2_IMPORTAR_EJECUCION'!$H$9:$H$1208,MATCH($AT197,'2_IMPORTAR_EJECUCION'!$J$9:$J$1208,0)),0)-$AK197))</f>
        <v/>
      </c>
      <c r="AM197" s="18">
        <f>IF($A197="","",$AK197+$AL197)</f>
        <v/>
      </c>
      <c r="AN197" s="5">
        <f>IF($A197="","",IF(OR((IFERROR(INDEX('CAT_ACTIVIDADES'!$D$4:$D$11,MATCH($H197,'CAT_ACTIVIDADES'!$A$4:$A$11,0)),""))=0,(IFERROR(INDEX('CAT_ACTIVIDADES'!$D$4:$D$11,MATCH($H197,'CAT_ACTIVIDADES'!$A$4:$A$11,0)),""))=""),"SIN CLASIFICAR",IFERROR(INDEX('CAT_ACTIVIDADES'!$D$4:$D$11,MATCH($H197,'CAT_ACTIVIDADES'!$A$4:$A$11,0)),"")))</f>
        <v/>
      </c>
      <c r="AO197" s="4" t="inlineStr"/>
      <c r="AP197" s="4" t="inlineStr"/>
      <c r="AQ197" s="4" t="inlineStr"/>
      <c r="AR197" s="5">
        <f>IF($AQ197="","",HYPERLINK(p_ruta_base_checklists&amp;$AQ197,"abrir"))</f>
        <v/>
      </c>
      <c r="AS197" s="4" t="inlineStr"/>
      <c r="AT197" s="5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22" t="n">
        <v>46179</v>
      </c>
      <c r="K198" s="5" t="n">
        <v>2</v>
      </c>
      <c r="L198" s="18" t="n">
        <v>80</v>
      </c>
      <c r="M198" s="5">
        <f>IF($A198="","",IFERROR(INDEX('AJUSTES'!$B$4:$B$303,MATCH($AT198,'AJUSTES'!$A$4:$A$303,0)),IF($K198="","",$K198)))</f>
        <v/>
      </c>
      <c r="N198" s="5">
        <f>IF($A198="","",IFERROR(INDEX('CAT_ESTADOS_ERP'!$B$4:$B$7,MATCH(IFERROR(INDEX('2_IMPORTAR_EJECUCION'!$C$9:$C$1208,MATCH($AT198,'2_IMPORTAR_EJECUCION'!$J$9:$J$1208,0)),""),'CAT_ESTADOS_ERP'!$A$4:$A$7,0)),"Pendiente"))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IF($J198="","",$P198&amp;"-"&amp;TEXT($Q198,"00"))</f>
        <v/>
      </c>
      <c r="S198" s="5">
        <f>IF($J198="","",INDEX(lista_dias,WEEKDAY($J198,2)))</f>
        <v/>
      </c>
      <c r="T198" s="5">
        <f>IF($J198="","",IFERROR(INDEX('CALENDARIO'!$C$15:$C$214,MATCH(TEXT($J198,"yyyy-mm-dd")&amp;"|"&amp;$X198&amp;"|"&amp;$Y198,'CALENDARIO'!$G$15:$G$214,0)),IFERROR(INDEX('CALENDARIO'!$C$15:$C$214,MATCH(TEXT($J198,"yyyy-mm-dd")&amp;"|"&amp;$X198&amp;"|",'CALENDARIO'!$G$15:$G$214,0)),IFERROR(INDEX('CALENDARIO'!$C$15:$C$214,MATCH(TEXT($J198,"yyyy-mm-dd")&amp;"||",'CALENDARIO'!$G$15:$G$214,0)),INDEX(patronHabil,WEEKDAY($J198,2))))))</f>
        <v/>
      </c>
      <c r="U198" s="5">
        <f>IF($I198="","",IFERROR(INDEX('CAT_TIPOS_OT'!$C$4:$C$8,MATCH($I198,'CAT_TIPOS_OT'!$A$4:$A$8,0)),"sin_clasificar"))</f>
        <v/>
      </c>
      <c r="V198" s="5">
        <f>IF($I198="","",IF(IFERROR(INDEX('CAT_TIPOS_OT'!$D$4:$D$8,MATCH($I198,'CAT_TIPOS_OT'!$A$4:$A$8,0)),"SIN CLASIFICAR")="","SIN CLASIFICAR",IFERROR(INDEX('CAT_TIPOS_OT'!$D$4:$D$8,MATCH($I198,'CAT_TIPOS_OT'!$A$4:$A$8,0)),"SIN CLASIFICAR")))</f>
        <v/>
      </c>
      <c r="W198" s="5">
        <f>IF($F198="","",IFERROR(INDEX('CAT_CENTROS_COSTO'!$F$4:$F$13,MATCH($F198,'CAT_CENTROS_COSTO'!$A$4:$A$13,0)),"(sin catálogo)"))</f>
        <v/>
      </c>
      <c r="X198" s="5">
        <f>IF($F198="","",IFERROR(INDEX('CAT_CENTROS_COSTO'!$D$4:$D$13,MATCH($F198,'CAT_CENTROS_COSTO'!$A$4:$A$13,0)),"(sin catálogo)"))</f>
        <v/>
      </c>
      <c r="Y198" s="5">
        <f>IF($F198="","",IF((IFERROR(INDEX('CAT_CENTROS_COSTO'!$E$4:$E$13,MATCH($F198,'CAT_CENTROS_COSTO'!$A$4:$A$13,0)),""))&lt;&gt;"",IFERROR(INDEX('CAT_CENTROS_COSTO'!$E$4:$E$13,MATCH($F198,'CAT_CENTROS_COSTO'!$A$4:$A$13,0)),""),$X198))</f>
        <v/>
      </c>
      <c r="Z198" s="5">
        <f>IF($F198="","",IFERROR(INDEX('CAT_CENTROS_COSTO'!$G$4:$G$13,MATCH($F198,'CAT_CENTROS_COSTO'!$A$4:$A$13,0)),"(sin catálogo)"))</f>
        <v/>
      </c>
      <c r="AA198" s="5">
        <f>IF($G198="","",IFERROR(INDEX('CAT_PUESTOS'!$B$4:$B$8,MATCH($G198,'CAT_PUESTOS'!$A$4:$A$8,0)),"(sin catálogo)"))</f>
        <v/>
      </c>
      <c r="AB198" s="5">
        <f>IF($H198="","",IFERROR(INDEX('CAT_ACTIVIDADES'!$B$4:$B$11,MATCH($H198,'CAT_ACTIVIDADES'!$A$4:$A$11,0)),"(sin catálogo)"))</f>
        <v/>
      </c>
      <c r="AC198" s="20">
        <f>IF($J198="","",TODAY()-$J198)</f>
        <v/>
      </c>
      <c r="AD198" s="20">
        <f>IF($J198="","",IF($J198&lt;=TODAY(),COUNTIFS(cal_fechas,"&gt;="&amp;$J198,cal_fechas,"&lt;"&amp;TODAY(),cal_habil,"sí"),-COUNTIFS(cal_fechas,"&gt;="&amp;TODAY(),cal_fechas,"&lt;"&amp;$J198,cal_habil,"sí")))</f>
        <v/>
      </c>
      <c r="AE198" s="5">
        <f>IF($AD198="","",IF($AD198&lt;0,"FUTURO",IF($AD198&gt;p_dias_backlog_max,"BACKLOG","MES CORRIENTE")))</f>
        <v/>
      </c>
      <c r="AF198" s="5">
        <f>IF($AD198="",FALSE,AND($AD198&gt;p_dias_backlog_min,$AD198&lt;=p_dias_backlog_max))</f>
        <v/>
      </c>
      <c r="AG198" s="4" t="inlineStr"/>
      <c r="AH198" s="5">
        <f>IF($AG198="","",IF((IFERROR(INDEX('ASIGNACIONES'!$J$4:$J$451,MATCH($O198&amp;"|"&amp;$S198&amp;"|"&amp;$AG198,'ASIGNACIONES'!$N$4:$N$451,0)),""))=0,"",IFERROR(INDEX('ASIGNACIONES'!$J$4:$J$451,MATCH($O198&amp;"|"&amp;$S198&amp;"|"&amp;$AG198,'ASIGNACIONES'!$N$4:$N$451,0)),"")))</f>
        <v/>
      </c>
      <c r="AI198" s="25">
        <f>IF($AG198="","",SUMIFS('ORDENES'!$M$4:$M$1203,'ORDENES'!$AG$4:$AG$1203,$AG198,'ORDENES'!$O$4:$O$1203,$O198,'ORDENES'!$S$4:$S$1203,$S198))</f>
        <v/>
      </c>
      <c r="AJ198" s="25">
        <f>IF($AI198="","",p_factor_productividad*IFERROR(INDEX('ASIGNACIONES'!$M$4:$M$451,MATCH($O198&amp;"|"&amp;$S198&amp;"|"&amp;$AG198,'ASIGNACIONES'!$N$4:$N$451,0)),0)-$AI198)</f>
        <v/>
      </c>
      <c r="AK198" s="18">
        <f>IF($A198="","",IFERROR(INDEX('2_IMPORTAR_EJECUCION'!$F$9:$F$1208,MATCH($AT198,'2_IMPORTAR_EJECUCION'!$J$9:$J$1208,0)),0))</f>
        <v/>
      </c>
      <c r="AL198" s="18">
        <f>IF($A198="","",MAX(0,IFERROR(INDEX('2_IMPORTAR_EJECUCION'!$H$9:$H$1208,MATCH($AT198,'2_IMPORTAR_EJECUCION'!$J$9:$J$1208,0)),0)-$AK198))</f>
        <v/>
      </c>
      <c r="AM198" s="18">
        <f>IF($A198="","",$AK198+$AL198)</f>
        <v/>
      </c>
      <c r="AN198" s="5">
        <f>IF($A198="","",IF(OR((IFERROR(INDEX('CAT_ACTIVIDADES'!$D$4:$D$11,MATCH($H198,'CAT_ACTIVIDADES'!$A$4:$A$11,0)),""))=0,(IFERROR(INDEX('CAT_ACTIVIDADES'!$D$4:$D$11,MATCH($H198,'CAT_ACTIVIDADES'!$A$4:$A$11,0)),""))=""),"SIN CLASIFICAR",IFERROR(INDEX('CAT_ACTIVIDADES'!$D$4:$D$11,MATCH($H198,'CAT_ACTIVIDADES'!$A$4:$A$11,0)),"")))</f>
        <v/>
      </c>
      <c r="AO198" s="4" t="inlineStr"/>
      <c r="AP198" s="4" t="inlineStr"/>
      <c r="AQ198" s="4" t="inlineStr"/>
      <c r="AR198" s="5">
        <f>IF($AQ198="","",HYPERLINK(p_ruta_base_checklists&amp;$AQ198,"abrir"))</f>
        <v/>
      </c>
      <c r="AS198" s="4" t="inlineStr"/>
      <c r="AT198" s="5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22" t="n">
        <v>46178</v>
      </c>
      <c r="K199" s="5" t="n">
        <v>2</v>
      </c>
      <c r="L199" s="18" t="n">
        <v>80</v>
      </c>
      <c r="M199" s="5">
        <f>IF($A199="","",IFERROR(INDEX('AJUSTES'!$B$4:$B$303,MATCH($AT199,'AJUSTES'!$A$4:$A$303,0)),IF($K199="","",$K199)))</f>
        <v/>
      </c>
      <c r="N199" s="5">
        <f>IF($A199="","",IFERROR(INDEX('CAT_ESTADOS_ERP'!$B$4:$B$7,MATCH(IFERROR(INDEX('2_IMPORTAR_EJECUCION'!$C$9:$C$1208,MATCH($AT199,'2_IMPORTAR_EJECUCION'!$J$9:$J$1208,0)),""),'CAT_ESTADOS_ERP'!$A$4:$A$7,0)),"Pendiente"))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IF($J199="","",$P199&amp;"-"&amp;TEXT($Q199,"00"))</f>
        <v/>
      </c>
      <c r="S199" s="5">
        <f>IF($J199="","",INDEX(lista_dias,WEEKDAY($J199,2)))</f>
        <v/>
      </c>
      <c r="T199" s="5">
        <f>IF($J199="","",IFERROR(INDEX('CALENDARIO'!$C$15:$C$214,MATCH(TEXT($J199,"yyyy-mm-dd")&amp;"|"&amp;$X199&amp;"|"&amp;$Y199,'CALENDARIO'!$G$15:$G$214,0)),IFERROR(INDEX('CALENDARIO'!$C$15:$C$214,MATCH(TEXT($J199,"yyyy-mm-dd")&amp;"|"&amp;$X199&amp;"|",'CALENDARIO'!$G$15:$G$214,0)),IFERROR(INDEX('CALENDARIO'!$C$15:$C$214,MATCH(TEXT($J199,"yyyy-mm-dd")&amp;"||",'CALENDARIO'!$G$15:$G$214,0)),INDEX(patronHabil,WEEKDAY($J199,2))))))</f>
        <v/>
      </c>
      <c r="U199" s="5">
        <f>IF($I199="","",IFERROR(INDEX('CAT_TIPOS_OT'!$C$4:$C$8,MATCH($I199,'CAT_TIPOS_OT'!$A$4:$A$8,0)),"sin_clasificar"))</f>
        <v/>
      </c>
      <c r="V199" s="5">
        <f>IF($I199="","",IF(IFERROR(INDEX('CAT_TIPOS_OT'!$D$4:$D$8,MATCH($I199,'CAT_TIPOS_OT'!$A$4:$A$8,0)),"SIN CLASIFICAR")="","SIN CLASIFICAR",IFERROR(INDEX('CAT_TIPOS_OT'!$D$4:$D$8,MATCH($I199,'CAT_TIPOS_OT'!$A$4:$A$8,0)),"SIN CLASIFICAR")))</f>
        <v/>
      </c>
      <c r="W199" s="5">
        <f>IF($F199="","",IFERROR(INDEX('CAT_CENTROS_COSTO'!$F$4:$F$13,MATCH($F199,'CAT_CENTROS_COSTO'!$A$4:$A$13,0)),"(sin catálogo)"))</f>
        <v/>
      </c>
      <c r="X199" s="5">
        <f>IF($F199="","",IFERROR(INDEX('CAT_CENTROS_COSTO'!$D$4:$D$13,MATCH($F199,'CAT_CENTROS_COSTO'!$A$4:$A$13,0)),"(sin catálogo)"))</f>
        <v/>
      </c>
      <c r="Y199" s="5">
        <f>IF($F199="","",IF((IFERROR(INDEX('CAT_CENTROS_COSTO'!$E$4:$E$13,MATCH($F199,'CAT_CENTROS_COSTO'!$A$4:$A$13,0)),""))&lt;&gt;"",IFERROR(INDEX('CAT_CENTROS_COSTO'!$E$4:$E$13,MATCH($F199,'CAT_CENTROS_COSTO'!$A$4:$A$13,0)),""),$X199))</f>
        <v/>
      </c>
      <c r="Z199" s="5">
        <f>IF($F199="","",IFERROR(INDEX('CAT_CENTROS_COSTO'!$G$4:$G$13,MATCH($F199,'CAT_CENTROS_COSTO'!$A$4:$A$13,0)),"(sin catálogo)"))</f>
        <v/>
      </c>
      <c r="AA199" s="5">
        <f>IF($G199="","",IFERROR(INDEX('CAT_PUESTOS'!$B$4:$B$8,MATCH($G199,'CAT_PUESTOS'!$A$4:$A$8,0)),"(sin catálogo)"))</f>
        <v/>
      </c>
      <c r="AB199" s="5">
        <f>IF($H199="","",IFERROR(INDEX('CAT_ACTIVIDADES'!$B$4:$B$11,MATCH($H199,'CAT_ACTIVIDADES'!$A$4:$A$11,0)),"(sin catálogo)"))</f>
        <v/>
      </c>
      <c r="AC199" s="20">
        <f>IF($J199="","",TODAY()-$J199)</f>
        <v/>
      </c>
      <c r="AD199" s="20">
        <f>IF($J199="","",IF($J199&lt;=TODAY(),COUNTIFS(cal_fechas,"&gt;="&amp;$J199,cal_fechas,"&lt;"&amp;TODAY(),cal_habil,"sí"),-COUNTIFS(cal_fechas,"&gt;="&amp;TODAY(),cal_fechas,"&lt;"&amp;$J199,cal_habil,"sí")))</f>
        <v/>
      </c>
      <c r="AE199" s="5">
        <f>IF($AD199="","",IF($AD199&lt;0,"FUTURO",IF($AD199&gt;p_dias_backlog_max,"BACKLOG","MES CORRIENTE")))</f>
        <v/>
      </c>
      <c r="AF199" s="5">
        <f>IF($AD199="",FALSE,AND($AD199&gt;p_dias_backlog_min,$AD199&lt;=p_dias_backlog_max))</f>
        <v/>
      </c>
      <c r="AG199" s="4" t="inlineStr"/>
      <c r="AH199" s="5">
        <f>IF($AG199="","",IF((IFERROR(INDEX('ASIGNACIONES'!$J$4:$J$451,MATCH($O199&amp;"|"&amp;$S199&amp;"|"&amp;$AG199,'ASIGNACIONES'!$N$4:$N$451,0)),""))=0,"",IFERROR(INDEX('ASIGNACIONES'!$J$4:$J$451,MATCH($O199&amp;"|"&amp;$S199&amp;"|"&amp;$AG199,'ASIGNACIONES'!$N$4:$N$451,0)),"")))</f>
        <v/>
      </c>
      <c r="AI199" s="25">
        <f>IF($AG199="","",SUMIFS('ORDENES'!$M$4:$M$1203,'ORDENES'!$AG$4:$AG$1203,$AG199,'ORDENES'!$O$4:$O$1203,$O199,'ORDENES'!$S$4:$S$1203,$S199))</f>
        <v/>
      </c>
      <c r="AJ199" s="25">
        <f>IF($AI199="","",p_factor_productividad*IFERROR(INDEX('ASIGNACIONES'!$M$4:$M$451,MATCH($O199&amp;"|"&amp;$S199&amp;"|"&amp;$AG199,'ASIGNACIONES'!$N$4:$N$451,0)),0)-$AI199)</f>
        <v/>
      </c>
      <c r="AK199" s="18">
        <f>IF($A199="","",IFERROR(INDEX('2_IMPORTAR_EJECUCION'!$F$9:$F$1208,MATCH($AT199,'2_IMPORTAR_EJECUCION'!$J$9:$J$1208,0)),0))</f>
        <v/>
      </c>
      <c r="AL199" s="18">
        <f>IF($A199="","",MAX(0,IFERROR(INDEX('2_IMPORTAR_EJECUCION'!$H$9:$H$1208,MATCH($AT199,'2_IMPORTAR_EJECUCION'!$J$9:$J$1208,0)),0)-$AK199))</f>
        <v/>
      </c>
      <c r="AM199" s="18">
        <f>IF($A199="","",$AK199+$AL199)</f>
        <v/>
      </c>
      <c r="AN199" s="5">
        <f>IF($A199="","",IF(OR((IFERROR(INDEX('CAT_ACTIVIDADES'!$D$4:$D$11,MATCH($H199,'CAT_ACTIVIDADES'!$A$4:$A$11,0)),""))=0,(IFERROR(INDEX('CAT_ACTIVIDADES'!$D$4:$D$11,MATCH($H199,'CAT_ACTIVIDADES'!$A$4:$A$11,0)),""))=""),"SIN CLASIFICAR",IFERROR(INDEX('CAT_ACTIVIDADES'!$D$4:$D$11,MATCH($H199,'CAT_ACTIVIDADES'!$A$4:$A$11,0)),"")))</f>
        <v/>
      </c>
      <c r="AO199" s="4" t="inlineStr"/>
      <c r="AP199" s="4" t="inlineStr"/>
      <c r="AQ199" s="4" t="inlineStr"/>
      <c r="AR199" s="5">
        <f>IF($AQ199="","",HYPERLINK(p_ruta_base_checklists&amp;$AQ199,"abrir"))</f>
        <v/>
      </c>
      <c r="AS199" s="4" t="inlineStr"/>
      <c r="AT199" s="5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22" t="n">
        <v>46177</v>
      </c>
      <c r="K200" s="5" t="n">
        <v>2</v>
      </c>
      <c r="L200" s="18" t="n">
        <v>80</v>
      </c>
      <c r="M200" s="5">
        <f>IF($A200="","",IFERROR(INDEX('AJUSTES'!$B$4:$B$303,MATCH($AT200,'AJUSTES'!$A$4:$A$303,0)),IF($K200="","",$K200)))</f>
        <v/>
      </c>
      <c r="N200" s="5">
        <f>IF($A200="","",IFERROR(INDEX('CAT_ESTADOS_ERP'!$B$4:$B$7,MATCH(IFERROR(INDEX('2_IMPORTAR_EJECUCION'!$C$9:$C$1208,MATCH($AT200,'2_IMPORTAR_EJECUCION'!$J$9:$J$1208,0)),""),'CAT_ESTADOS_ERP'!$A$4:$A$7,0)),"Pendiente"))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IF($J200="","",$P200&amp;"-"&amp;TEXT($Q200,"00"))</f>
        <v/>
      </c>
      <c r="S200" s="5">
        <f>IF($J200="","",INDEX(lista_dias,WEEKDAY($J200,2)))</f>
        <v/>
      </c>
      <c r="T200" s="5">
        <f>IF($J200="","",IFERROR(INDEX('CALENDARIO'!$C$15:$C$214,MATCH(TEXT($J200,"yyyy-mm-dd")&amp;"|"&amp;$X200&amp;"|"&amp;$Y200,'CALENDARIO'!$G$15:$G$214,0)),IFERROR(INDEX('CALENDARIO'!$C$15:$C$214,MATCH(TEXT($J200,"yyyy-mm-dd")&amp;"|"&amp;$X200&amp;"|",'CALENDARIO'!$G$15:$G$214,0)),IFERROR(INDEX('CALENDARIO'!$C$15:$C$214,MATCH(TEXT($J200,"yyyy-mm-dd")&amp;"||",'CALENDARIO'!$G$15:$G$214,0)),INDEX(patronHabil,WEEKDAY($J200,2))))))</f>
        <v/>
      </c>
      <c r="U200" s="5">
        <f>IF($I200="","",IFERROR(INDEX('CAT_TIPOS_OT'!$C$4:$C$8,MATCH($I200,'CAT_TIPOS_OT'!$A$4:$A$8,0)),"sin_clasificar"))</f>
        <v/>
      </c>
      <c r="V200" s="5">
        <f>IF($I200="","",IF(IFERROR(INDEX('CAT_TIPOS_OT'!$D$4:$D$8,MATCH($I200,'CAT_TIPOS_OT'!$A$4:$A$8,0)),"SIN CLASIFICAR")="","SIN CLASIFICAR",IFERROR(INDEX('CAT_TIPOS_OT'!$D$4:$D$8,MATCH($I200,'CAT_TIPOS_OT'!$A$4:$A$8,0)),"SIN CLASIFICAR")))</f>
        <v/>
      </c>
      <c r="W200" s="5">
        <f>IF($F200="","",IFERROR(INDEX('CAT_CENTROS_COSTO'!$F$4:$F$13,MATCH($F200,'CAT_CENTROS_COSTO'!$A$4:$A$13,0)),"(sin catálogo)"))</f>
        <v/>
      </c>
      <c r="X200" s="5">
        <f>IF($F200="","",IFERROR(INDEX('CAT_CENTROS_COSTO'!$D$4:$D$13,MATCH($F200,'CAT_CENTROS_COSTO'!$A$4:$A$13,0)),"(sin catálogo)"))</f>
        <v/>
      </c>
      <c r="Y200" s="5">
        <f>IF($F200="","",IF((IFERROR(INDEX('CAT_CENTROS_COSTO'!$E$4:$E$13,MATCH($F200,'CAT_CENTROS_COSTO'!$A$4:$A$13,0)),""))&lt;&gt;"",IFERROR(INDEX('CAT_CENTROS_COSTO'!$E$4:$E$13,MATCH($F200,'CAT_CENTROS_COSTO'!$A$4:$A$13,0)),""),$X200))</f>
        <v/>
      </c>
      <c r="Z200" s="5">
        <f>IF($F200="","",IFERROR(INDEX('CAT_CENTROS_COSTO'!$G$4:$G$13,MATCH($F200,'CAT_CENTROS_COSTO'!$A$4:$A$13,0)),"(sin catálogo)"))</f>
        <v/>
      </c>
      <c r="AA200" s="5">
        <f>IF($G200="","",IFERROR(INDEX('CAT_PUESTOS'!$B$4:$B$8,MATCH($G200,'CAT_PUESTOS'!$A$4:$A$8,0)),"(sin catálogo)"))</f>
        <v/>
      </c>
      <c r="AB200" s="5">
        <f>IF($H200="","",IFERROR(INDEX('CAT_ACTIVIDADES'!$B$4:$B$11,MATCH($H200,'CAT_ACTIVIDADES'!$A$4:$A$11,0)),"(sin catálogo)"))</f>
        <v/>
      </c>
      <c r="AC200" s="20">
        <f>IF($J200="","",TODAY()-$J200)</f>
        <v/>
      </c>
      <c r="AD200" s="20">
        <f>IF($J200="","",IF($J200&lt;=TODAY(),COUNTIFS(cal_fechas,"&gt;="&amp;$J200,cal_fechas,"&lt;"&amp;TODAY(),cal_habil,"sí"),-COUNTIFS(cal_fechas,"&gt;="&amp;TODAY(),cal_fechas,"&lt;"&amp;$J200,cal_habil,"sí")))</f>
        <v/>
      </c>
      <c r="AE200" s="5">
        <f>IF($AD200="","",IF($AD200&lt;0,"FUTURO",IF($AD200&gt;p_dias_backlog_max,"BACKLOG","MES CORRIENTE")))</f>
        <v/>
      </c>
      <c r="AF200" s="5">
        <f>IF($AD200="",FALSE,AND($AD200&gt;p_dias_backlog_min,$AD200&lt;=p_dias_backlog_max))</f>
        <v/>
      </c>
      <c r="AG200" s="4" t="inlineStr"/>
      <c r="AH200" s="5">
        <f>IF($AG200="","",IF((IFERROR(INDEX('ASIGNACIONES'!$J$4:$J$451,MATCH($O200&amp;"|"&amp;$S200&amp;"|"&amp;$AG200,'ASIGNACIONES'!$N$4:$N$451,0)),""))=0,"",IFERROR(INDEX('ASIGNACIONES'!$J$4:$J$451,MATCH($O200&amp;"|"&amp;$S200&amp;"|"&amp;$AG200,'ASIGNACIONES'!$N$4:$N$451,0)),"")))</f>
        <v/>
      </c>
      <c r="AI200" s="25">
        <f>IF($AG200="","",SUMIFS('ORDENES'!$M$4:$M$1203,'ORDENES'!$AG$4:$AG$1203,$AG200,'ORDENES'!$O$4:$O$1203,$O200,'ORDENES'!$S$4:$S$1203,$S200))</f>
        <v/>
      </c>
      <c r="AJ200" s="25">
        <f>IF($AI200="","",p_factor_productividad*IFERROR(INDEX('ASIGNACIONES'!$M$4:$M$451,MATCH($O200&amp;"|"&amp;$S200&amp;"|"&amp;$AG200,'ASIGNACIONES'!$N$4:$N$451,0)),0)-$AI200)</f>
        <v/>
      </c>
      <c r="AK200" s="18">
        <f>IF($A200="","",IFERROR(INDEX('2_IMPORTAR_EJECUCION'!$F$9:$F$1208,MATCH($AT200,'2_IMPORTAR_EJECUCION'!$J$9:$J$1208,0)),0))</f>
        <v/>
      </c>
      <c r="AL200" s="18">
        <f>IF($A200="","",MAX(0,IFERROR(INDEX('2_IMPORTAR_EJECUCION'!$H$9:$H$1208,MATCH($AT200,'2_IMPORTAR_EJECUCION'!$J$9:$J$1208,0)),0)-$AK200))</f>
        <v/>
      </c>
      <c r="AM200" s="18">
        <f>IF($A200="","",$AK200+$AL200)</f>
        <v/>
      </c>
      <c r="AN200" s="5">
        <f>IF($A200="","",IF(OR((IFERROR(INDEX('CAT_ACTIVIDADES'!$D$4:$D$11,MATCH($H200,'CAT_ACTIVIDADES'!$A$4:$A$11,0)),""))=0,(IFERROR(INDEX('CAT_ACTIVIDADES'!$D$4:$D$11,MATCH($H200,'CAT_ACTIVIDADES'!$A$4:$A$11,0)),""))=""),"SIN CLASIFICAR",IFERROR(INDEX('CAT_ACTIVIDADES'!$D$4:$D$11,MATCH($H200,'CAT_ACTIVIDADES'!$A$4:$A$11,0)),"")))</f>
        <v/>
      </c>
      <c r="AO200" s="4" t="inlineStr"/>
      <c r="AP200" s="4" t="inlineStr"/>
      <c r="AQ200" s="4" t="inlineStr"/>
      <c r="AR200" s="5">
        <f>IF($AQ200="","",HYPERLINK(p_ruta_base_checklists&amp;$AQ200,"abrir"))</f>
        <v/>
      </c>
      <c r="AS200" s="4" t="inlineStr"/>
      <c r="AT200" s="5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22" t="n">
        <v>46176</v>
      </c>
      <c r="K201" s="5" t="n">
        <v>2</v>
      </c>
      <c r="L201" s="18" t="n">
        <v>80</v>
      </c>
      <c r="M201" s="5">
        <f>IF($A201="","",IFERROR(INDEX('AJUSTES'!$B$4:$B$303,MATCH($AT201,'AJUSTES'!$A$4:$A$303,0)),IF($K201="","",$K201)))</f>
        <v/>
      </c>
      <c r="N201" s="5">
        <f>IF($A201="","",IFERROR(INDEX('CAT_ESTADOS_ERP'!$B$4:$B$7,MATCH(IFERROR(INDEX('2_IMPORTAR_EJECUCION'!$C$9:$C$1208,MATCH($AT201,'2_IMPORTAR_EJECUCION'!$J$9:$J$1208,0)),""),'CAT_ESTADOS_ERP'!$A$4:$A$7,0)),"Pendiente"))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IF($J201="","",$P201&amp;"-"&amp;TEXT($Q201,"00"))</f>
        <v/>
      </c>
      <c r="S201" s="5">
        <f>IF($J201="","",INDEX(lista_dias,WEEKDAY($J201,2)))</f>
        <v/>
      </c>
      <c r="T201" s="5">
        <f>IF($J201="","",IFERROR(INDEX('CALENDARIO'!$C$15:$C$214,MATCH(TEXT($J201,"yyyy-mm-dd")&amp;"|"&amp;$X201&amp;"|"&amp;$Y201,'CALENDARIO'!$G$15:$G$214,0)),IFERROR(INDEX('CALENDARIO'!$C$15:$C$214,MATCH(TEXT($J201,"yyyy-mm-dd")&amp;"|"&amp;$X201&amp;"|",'CALENDARIO'!$G$15:$G$214,0)),IFERROR(INDEX('CALENDARIO'!$C$15:$C$214,MATCH(TEXT($J201,"yyyy-mm-dd")&amp;"||",'CALENDARIO'!$G$15:$G$214,0)),INDEX(patronHabil,WEEKDAY($J201,2))))))</f>
        <v/>
      </c>
      <c r="U201" s="5">
        <f>IF($I201="","",IFERROR(INDEX('CAT_TIPOS_OT'!$C$4:$C$8,MATCH($I201,'CAT_TIPOS_OT'!$A$4:$A$8,0)),"sin_clasificar"))</f>
        <v/>
      </c>
      <c r="V201" s="5">
        <f>IF($I201="","",IF(IFERROR(INDEX('CAT_TIPOS_OT'!$D$4:$D$8,MATCH($I201,'CAT_TIPOS_OT'!$A$4:$A$8,0)),"SIN CLASIFICAR")="","SIN CLASIFICAR",IFERROR(INDEX('CAT_TIPOS_OT'!$D$4:$D$8,MATCH($I201,'CAT_TIPOS_OT'!$A$4:$A$8,0)),"SIN CLASIFICAR")))</f>
        <v/>
      </c>
      <c r="W201" s="5">
        <f>IF($F201="","",IFERROR(INDEX('CAT_CENTROS_COSTO'!$F$4:$F$13,MATCH($F201,'CAT_CENTROS_COSTO'!$A$4:$A$13,0)),"(sin catálogo)"))</f>
        <v/>
      </c>
      <c r="X201" s="5">
        <f>IF($F201="","",IFERROR(INDEX('CAT_CENTROS_COSTO'!$D$4:$D$13,MATCH($F201,'CAT_CENTROS_COSTO'!$A$4:$A$13,0)),"(sin catálogo)"))</f>
        <v/>
      </c>
      <c r="Y201" s="5">
        <f>IF($F201="","",IF((IFERROR(INDEX('CAT_CENTROS_COSTO'!$E$4:$E$13,MATCH($F201,'CAT_CENTROS_COSTO'!$A$4:$A$13,0)),""))&lt;&gt;"",IFERROR(INDEX('CAT_CENTROS_COSTO'!$E$4:$E$13,MATCH($F201,'CAT_CENTROS_COSTO'!$A$4:$A$13,0)),""),$X201))</f>
        <v/>
      </c>
      <c r="Z201" s="5">
        <f>IF($F201="","",IFERROR(INDEX('CAT_CENTROS_COSTO'!$G$4:$G$13,MATCH($F201,'CAT_CENTROS_COSTO'!$A$4:$A$13,0)),"(sin catálogo)"))</f>
        <v/>
      </c>
      <c r="AA201" s="5">
        <f>IF($G201="","",IFERROR(INDEX('CAT_PUESTOS'!$B$4:$B$8,MATCH($G201,'CAT_PUESTOS'!$A$4:$A$8,0)),"(sin catálogo)"))</f>
        <v/>
      </c>
      <c r="AB201" s="5">
        <f>IF($H201="","",IFERROR(INDEX('CAT_ACTIVIDADES'!$B$4:$B$11,MATCH($H201,'CAT_ACTIVIDADES'!$A$4:$A$11,0)),"(sin catálogo)"))</f>
        <v/>
      </c>
      <c r="AC201" s="20">
        <f>IF($J201="","",TODAY()-$J201)</f>
        <v/>
      </c>
      <c r="AD201" s="20">
        <f>IF($J201="","",IF($J201&lt;=TODAY(),COUNTIFS(cal_fechas,"&gt;="&amp;$J201,cal_fechas,"&lt;"&amp;TODAY(),cal_habil,"sí"),-COUNTIFS(cal_fechas,"&gt;="&amp;TODAY(),cal_fechas,"&lt;"&amp;$J201,cal_habil,"sí")))</f>
        <v/>
      </c>
      <c r="AE201" s="5">
        <f>IF($AD201="","",IF($AD201&lt;0,"FUTURO",IF($AD201&gt;p_dias_backlog_max,"BACKLOG","MES CORRIENTE")))</f>
        <v/>
      </c>
      <c r="AF201" s="5">
        <f>IF($AD201="",FALSE,AND($AD201&gt;p_dias_backlog_min,$AD201&lt;=p_dias_backlog_max))</f>
        <v/>
      </c>
      <c r="AG201" s="4" t="inlineStr"/>
      <c r="AH201" s="5">
        <f>IF($AG201="","",IF((IFERROR(INDEX('ASIGNACIONES'!$J$4:$J$451,MATCH($O201&amp;"|"&amp;$S201&amp;"|"&amp;$AG201,'ASIGNACIONES'!$N$4:$N$451,0)),""))=0,"",IFERROR(INDEX('ASIGNACIONES'!$J$4:$J$451,MATCH($O201&amp;"|"&amp;$S201&amp;"|"&amp;$AG201,'ASIGNACIONES'!$N$4:$N$451,0)),"")))</f>
        <v/>
      </c>
      <c r="AI201" s="25">
        <f>IF($AG201="","",SUMIFS('ORDENES'!$M$4:$M$1203,'ORDENES'!$AG$4:$AG$1203,$AG201,'ORDENES'!$O$4:$O$1203,$O201,'ORDENES'!$S$4:$S$1203,$S201))</f>
        <v/>
      </c>
      <c r="AJ201" s="25">
        <f>IF($AI201="","",p_factor_productividad*IFERROR(INDEX('ASIGNACIONES'!$M$4:$M$451,MATCH($O201&amp;"|"&amp;$S201&amp;"|"&amp;$AG201,'ASIGNACIONES'!$N$4:$N$451,0)),0)-$AI201)</f>
        <v/>
      </c>
      <c r="AK201" s="18">
        <f>IF($A201="","",IFERROR(INDEX('2_IMPORTAR_EJECUCION'!$F$9:$F$1208,MATCH($AT201,'2_IMPORTAR_EJECUCION'!$J$9:$J$1208,0)),0))</f>
        <v/>
      </c>
      <c r="AL201" s="18">
        <f>IF($A201="","",MAX(0,IFERROR(INDEX('2_IMPORTAR_EJECUCION'!$H$9:$H$1208,MATCH($AT201,'2_IMPORTAR_EJECUCION'!$J$9:$J$1208,0)),0)-$AK201))</f>
        <v/>
      </c>
      <c r="AM201" s="18">
        <f>IF($A201="","",$AK201+$AL201)</f>
        <v/>
      </c>
      <c r="AN201" s="5">
        <f>IF($A201="","",IF(OR((IFERROR(INDEX('CAT_ACTIVIDADES'!$D$4:$D$11,MATCH($H201,'CAT_ACTIVIDADES'!$A$4:$A$11,0)),""))=0,(IFERROR(INDEX('CAT_ACTIVIDADES'!$D$4:$D$11,MATCH($H201,'CAT_ACTIVIDADES'!$A$4:$A$11,0)),""))=""),"SIN CLASIFICAR",IFERROR(INDEX('CAT_ACTIVIDADES'!$D$4:$D$11,MATCH($H201,'CAT_ACTIVIDADES'!$A$4:$A$11,0)),"")))</f>
        <v/>
      </c>
      <c r="AO201" s="4" t="inlineStr"/>
      <c r="AP201" s="4" t="inlineStr"/>
      <c r="AQ201" s="4" t="inlineStr"/>
      <c r="AR201" s="5">
        <f>IF($AQ201="","",HYPERLINK(p_ruta_base_checklists&amp;$AQ201,"abrir"))</f>
        <v/>
      </c>
      <c r="AS201" s="4" t="inlineStr"/>
      <c r="AT201" s="5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22" t="n">
        <v>46175</v>
      </c>
      <c r="K202" s="5" t="n">
        <v>2</v>
      </c>
      <c r="L202" s="18" t="n">
        <v>80</v>
      </c>
      <c r="M202" s="5">
        <f>IF($A202="","",IFERROR(INDEX('AJUSTES'!$B$4:$B$303,MATCH($AT202,'AJUSTES'!$A$4:$A$303,0)),IF($K202="","",$K202)))</f>
        <v/>
      </c>
      <c r="N202" s="5">
        <f>IF($A202="","",IFERROR(INDEX('CAT_ESTADOS_ERP'!$B$4:$B$7,MATCH(IFERROR(INDEX('2_IMPORTAR_EJECUCION'!$C$9:$C$1208,MATCH($AT202,'2_IMPORTAR_EJECUCION'!$J$9:$J$1208,0)),""),'CAT_ESTADOS_ERP'!$A$4:$A$7,0)),"Pendiente"))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IF($J202="","",$P202&amp;"-"&amp;TEXT($Q202,"00"))</f>
        <v/>
      </c>
      <c r="S202" s="5">
        <f>IF($J202="","",INDEX(lista_dias,WEEKDAY($J202,2)))</f>
        <v/>
      </c>
      <c r="T202" s="5">
        <f>IF($J202="","",IFERROR(INDEX('CALENDARIO'!$C$15:$C$214,MATCH(TEXT($J202,"yyyy-mm-dd")&amp;"|"&amp;$X202&amp;"|"&amp;$Y202,'CALENDARIO'!$G$15:$G$214,0)),IFERROR(INDEX('CALENDARIO'!$C$15:$C$214,MATCH(TEXT($J202,"yyyy-mm-dd")&amp;"|"&amp;$X202&amp;"|",'CALENDARIO'!$G$15:$G$214,0)),IFERROR(INDEX('CALENDARIO'!$C$15:$C$214,MATCH(TEXT($J202,"yyyy-mm-dd")&amp;"||",'CALENDARIO'!$G$15:$G$214,0)),INDEX(patronHabil,WEEKDAY($J202,2))))))</f>
        <v/>
      </c>
      <c r="U202" s="5">
        <f>IF($I202="","",IFERROR(INDEX('CAT_TIPOS_OT'!$C$4:$C$8,MATCH($I202,'CAT_TIPOS_OT'!$A$4:$A$8,0)),"sin_clasificar"))</f>
        <v/>
      </c>
      <c r="V202" s="5">
        <f>IF($I202="","",IF(IFERROR(INDEX('CAT_TIPOS_OT'!$D$4:$D$8,MATCH($I202,'CAT_TIPOS_OT'!$A$4:$A$8,0)),"SIN CLASIFICAR")="","SIN CLASIFICAR",IFERROR(INDEX('CAT_TIPOS_OT'!$D$4:$D$8,MATCH($I202,'CAT_TIPOS_OT'!$A$4:$A$8,0)),"SIN CLASIFICAR")))</f>
        <v/>
      </c>
      <c r="W202" s="5">
        <f>IF($F202="","",IFERROR(INDEX('CAT_CENTROS_COSTO'!$F$4:$F$13,MATCH($F202,'CAT_CENTROS_COSTO'!$A$4:$A$13,0)),"(sin catálogo)"))</f>
        <v/>
      </c>
      <c r="X202" s="5">
        <f>IF($F202="","",IFERROR(INDEX('CAT_CENTROS_COSTO'!$D$4:$D$13,MATCH($F202,'CAT_CENTROS_COSTO'!$A$4:$A$13,0)),"(sin catálogo)"))</f>
        <v/>
      </c>
      <c r="Y202" s="5">
        <f>IF($F202="","",IF((IFERROR(INDEX('CAT_CENTROS_COSTO'!$E$4:$E$13,MATCH($F202,'CAT_CENTROS_COSTO'!$A$4:$A$13,0)),""))&lt;&gt;"",IFERROR(INDEX('CAT_CENTROS_COSTO'!$E$4:$E$13,MATCH($F202,'CAT_CENTROS_COSTO'!$A$4:$A$13,0)),""),$X202))</f>
        <v/>
      </c>
      <c r="Z202" s="5">
        <f>IF($F202="","",IFERROR(INDEX('CAT_CENTROS_COSTO'!$G$4:$G$13,MATCH($F202,'CAT_CENTROS_COSTO'!$A$4:$A$13,0)),"(sin catálogo)"))</f>
        <v/>
      </c>
      <c r="AA202" s="5">
        <f>IF($G202="","",IFERROR(INDEX('CAT_PUESTOS'!$B$4:$B$8,MATCH($G202,'CAT_PUESTOS'!$A$4:$A$8,0)),"(sin catálogo)"))</f>
        <v/>
      </c>
      <c r="AB202" s="5">
        <f>IF($H202="","",IFERROR(INDEX('CAT_ACTIVIDADES'!$B$4:$B$11,MATCH($H202,'CAT_ACTIVIDADES'!$A$4:$A$11,0)),"(sin catálogo)"))</f>
        <v/>
      </c>
      <c r="AC202" s="20">
        <f>IF($J202="","",TODAY()-$J202)</f>
        <v/>
      </c>
      <c r="AD202" s="20">
        <f>IF($J202="","",IF($J202&lt;=TODAY(),COUNTIFS(cal_fechas,"&gt;="&amp;$J202,cal_fechas,"&lt;"&amp;TODAY(),cal_habil,"sí"),-COUNTIFS(cal_fechas,"&gt;="&amp;TODAY(),cal_fechas,"&lt;"&amp;$J202,cal_habil,"sí")))</f>
        <v/>
      </c>
      <c r="AE202" s="5">
        <f>IF($AD202="","",IF($AD202&lt;0,"FUTURO",IF($AD202&gt;p_dias_backlog_max,"BACKLOG","MES CORRIENTE")))</f>
        <v/>
      </c>
      <c r="AF202" s="5">
        <f>IF($AD202="",FALSE,AND($AD202&gt;p_dias_backlog_min,$AD202&lt;=p_dias_backlog_max))</f>
        <v/>
      </c>
      <c r="AG202" s="4" t="inlineStr"/>
      <c r="AH202" s="5">
        <f>IF($AG202="","",IF((IFERROR(INDEX('ASIGNACIONES'!$J$4:$J$451,MATCH($O202&amp;"|"&amp;$S202&amp;"|"&amp;$AG202,'ASIGNACIONES'!$N$4:$N$451,0)),""))=0,"",IFERROR(INDEX('ASIGNACIONES'!$J$4:$J$451,MATCH($O202&amp;"|"&amp;$S202&amp;"|"&amp;$AG202,'ASIGNACIONES'!$N$4:$N$451,0)),"")))</f>
        <v/>
      </c>
      <c r="AI202" s="25">
        <f>IF($AG202="","",SUMIFS('ORDENES'!$M$4:$M$1203,'ORDENES'!$AG$4:$AG$1203,$AG202,'ORDENES'!$O$4:$O$1203,$O202,'ORDENES'!$S$4:$S$1203,$S202))</f>
        <v/>
      </c>
      <c r="AJ202" s="25">
        <f>IF($AI202="","",p_factor_productividad*IFERROR(INDEX('ASIGNACIONES'!$M$4:$M$451,MATCH($O202&amp;"|"&amp;$S202&amp;"|"&amp;$AG202,'ASIGNACIONES'!$N$4:$N$451,0)),0)-$AI202)</f>
        <v/>
      </c>
      <c r="AK202" s="18">
        <f>IF($A202="","",IFERROR(INDEX('2_IMPORTAR_EJECUCION'!$F$9:$F$1208,MATCH($AT202,'2_IMPORTAR_EJECUCION'!$J$9:$J$1208,0)),0))</f>
        <v/>
      </c>
      <c r="AL202" s="18">
        <f>IF($A202="","",MAX(0,IFERROR(INDEX('2_IMPORTAR_EJECUCION'!$H$9:$H$1208,MATCH($AT202,'2_IMPORTAR_EJECUCION'!$J$9:$J$1208,0)),0)-$AK202))</f>
        <v/>
      </c>
      <c r="AM202" s="18">
        <f>IF($A202="","",$AK202+$AL202)</f>
        <v/>
      </c>
      <c r="AN202" s="5">
        <f>IF($A202="","",IF(OR((IFERROR(INDEX('CAT_ACTIVIDADES'!$D$4:$D$11,MATCH($H202,'CAT_ACTIVIDADES'!$A$4:$A$11,0)),""))=0,(IFERROR(INDEX('CAT_ACTIVIDADES'!$D$4:$D$11,MATCH($H202,'CAT_ACTIVIDADES'!$A$4:$A$11,0)),""))=""),"SIN CLASIFICAR",IFERROR(INDEX('CAT_ACTIVIDADES'!$D$4:$D$11,MATCH($H202,'CAT_ACTIVIDADES'!$A$4:$A$11,0)),"")))</f>
        <v/>
      </c>
      <c r="AO202" s="4" t="inlineStr"/>
      <c r="AP202" s="4" t="inlineStr"/>
      <c r="AQ202" s="4" t="inlineStr"/>
      <c r="AR202" s="5">
        <f>IF($AQ202="","",HYPERLINK(p_ruta_base_checklists&amp;$AQ202,"abrir"))</f>
        <v/>
      </c>
      <c r="AS202" s="4" t="inlineStr"/>
      <c r="AT202" s="5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22" t="n">
        <v>46174</v>
      </c>
      <c r="K203" s="5" t="n">
        <v>2</v>
      </c>
      <c r="L203" s="18" t="n">
        <v>80</v>
      </c>
      <c r="M203" s="5">
        <f>IF($A203="","",IFERROR(INDEX('AJUSTES'!$B$4:$B$303,MATCH($AT203,'AJUSTES'!$A$4:$A$303,0)),IF($K203="","",$K203)))</f>
        <v/>
      </c>
      <c r="N203" s="5">
        <f>IF($A203="","",IFERROR(INDEX('CAT_ESTADOS_ERP'!$B$4:$B$7,MATCH(IFERROR(INDEX('2_IMPORTAR_EJECUCION'!$C$9:$C$1208,MATCH($AT203,'2_IMPORTAR_EJECUCION'!$J$9:$J$1208,0)),""),'CAT_ESTADOS_ERP'!$A$4:$A$7,0)),"Pendiente"))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IF($J203="","",$P203&amp;"-"&amp;TEXT($Q203,"00"))</f>
        <v/>
      </c>
      <c r="S203" s="5">
        <f>IF($J203="","",INDEX(lista_dias,WEEKDAY($J203,2)))</f>
        <v/>
      </c>
      <c r="T203" s="5">
        <f>IF($J203="","",IFERROR(INDEX('CALENDARIO'!$C$15:$C$214,MATCH(TEXT($J203,"yyyy-mm-dd")&amp;"|"&amp;$X203&amp;"|"&amp;$Y203,'CALENDARIO'!$G$15:$G$214,0)),IFERROR(INDEX('CALENDARIO'!$C$15:$C$214,MATCH(TEXT($J203,"yyyy-mm-dd")&amp;"|"&amp;$X203&amp;"|",'CALENDARIO'!$G$15:$G$214,0)),IFERROR(INDEX('CALENDARIO'!$C$15:$C$214,MATCH(TEXT($J203,"yyyy-mm-dd")&amp;"||",'CALENDARIO'!$G$15:$G$214,0)),INDEX(patronHabil,WEEKDAY($J203,2))))))</f>
        <v/>
      </c>
      <c r="U203" s="5">
        <f>IF($I203="","",IFERROR(INDEX('CAT_TIPOS_OT'!$C$4:$C$8,MATCH($I203,'CAT_TIPOS_OT'!$A$4:$A$8,0)),"sin_clasificar"))</f>
        <v/>
      </c>
      <c r="V203" s="5">
        <f>IF($I203="","",IF(IFERROR(INDEX('CAT_TIPOS_OT'!$D$4:$D$8,MATCH($I203,'CAT_TIPOS_OT'!$A$4:$A$8,0)),"SIN CLASIFICAR")="","SIN CLASIFICAR",IFERROR(INDEX('CAT_TIPOS_OT'!$D$4:$D$8,MATCH($I203,'CAT_TIPOS_OT'!$A$4:$A$8,0)),"SIN CLASIFICAR")))</f>
        <v/>
      </c>
      <c r="W203" s="5">
        <f>IF($F203="","",IFERROR(INDEX('CAT_CENTROS_COSTO'!$F$4:$F$13,MATCH($F203,'CAT_CENTROS_COSTO'!$A$4:$A$13,0)),"(sin catálogo)"))</f>
        <v/>
      </c>
      <c r="X203" s="5">
        <f>IF($F203="","",IFERROR(INDEX('CAT_CENTROS_COSTO'!$D$4:$D$13,MATCH($F203,'CAT_CENTROS_COSTO'!$A$4:$A$13,0)),"(sin catálogo)"))</f>
        <v/>
      </c>
      <c r="Y203" s="5">
        <f>IF($F203="","",IF((IFERROR(INDEX('CAT_CENTROS_COSTO'!$E$4:$E$13,MATCH($F203,'CAT_CENTROS_COSTO'!$A$4:$A$13,0)),""))&lt;&gt;"",IFERROR(INDEX('CAT_CENTROS_COSTO'!$E$4:$E$13,MATCH($F203,'CAT_CENTROS_COSTO'!$A$4:$A$13,0)),""),$X203))</f>
        <v/>
      </c>
      <c r="Z203" s="5">
        <f>IF($F203="","",IFERROR(INDEX('CAT_CENTROS_COSTO'!$G$4:$G$13,MATCH($F203,'CAT_CENTROS_COSTO'!$A$4:$A$13,0)),"(sin catálogo)"))</f>
        <v/>
      </c>
      <c r="AA203" s="5">
        <f>IF($G203="","",IFERROR(INDEX('CAT_PUESTOS'!$B$4:$B$8,MATCH($G203,'CAT_PUESTOS'!$A$4:$A$8,0)),"(sin catálogo)"))</f>
        <v/>
      </c>
      <c r="AB203" s="5">
        <f>IF($H203="","",IFERROR(INDEX('CAT_ACTIVIDADES'!$B$4:$B$11,MATCH($H203,'CAT_ACTIVIDADES'!$A$4:$A$11,0)),"(sin catálogo)"))</f>
        <v/>
      </c>
      <c r="AC203" s="20">
        <f>IF($J203="","",TODAY()-$J203)</f>
        <v/>
      </c>
      <c r="AD203" s="20">
        <f>IF($J203="","",IF($J203&lt;=TODAY(),COUNTIFS(cal_fechas,"&gt;="&amp;$J203,cal_fechas,"&lt;"&amp;TODAY(),cal_habil,"sí"),-COUNTIFS(cal_fechas,"&gt;="&amp;TODAY(),cal_fechas,"&lt;"&amp;$J203,cal_habil,"sí")))</f>
        <v/>
      </c>
      <c r="AE203" s="5">
        <f>IF($AD203="","",IF($AD203&lt;0,"FUTURO",IF($AD203&gt;p_dias_backlog_max,"BACKLOG","MES CORRIENTE")))</f>
        <v/>
      </c>
      <c r="AF203" s="5">
        <f>IF($AD203="",FALSE,AND($AD203&gt;p_dias_backlog_min,$AD203&lt;=p_dias_backlog_max))</f>
        <v/>
      </c>
      <c r="AG203" s="4" t="inlineStr"/>
      <c r="AH203" s="5">
        <f>IF($AG203="","",IF((IFERROR(INDEX('ASIGNACIONES'!$J$4:$J$451,MATCH($O203&amp;"|"&amp;$S203&amp;"|"&amp;$AG203,'ASIGNACIONES'!$N$4:$N$451,0)),""))=0,"",IFERROR(INDEX('ASIGNACIONES'!$J$4:$J$451,MATCH($O203&amp;"|"&amp;$S203&amp;"|"&amp;$AG203,'ASIGNACIONES'!$N$4:$N$451,0)),"")))</f>
        <v/>
      </c>
      <c r="AI203" s="25">
        <f>IF($AG203="","",SUMIFS('ORDENES'!$M$4:$M$1203,'ORDENES'!$AG$4:$AG$1203,$AG203,'ORDENES'!$O$4:$O$1203,$O203,'ORDENES'!$S$4:$S$1203,$S203))</f>
        <v/>
      </c>
      <c r="AJ203" s="25">
        <f>IF($AI203="","",p_factor_productividad*IFERROR(INDEX('ASIGNACIONES'!$M$4:$M$451,MATCH($O203&amp;"|"&amp;$S203&amp;"|"&amp;$AG203,'ASIGNACIONES'!$N$4:$N$451,0)),0)-$AI203)</f>
        <v/>
      </c>
      <c r="AK203" s="18">
        <f>IF($A203="","",IFERROR(INDEX('2_IMPORTAR_EJECUCION'!$F$9:$F$1208,MATCH($AT203,'2_IMPORTAR_EJECUCION'!$J$9:$J$1208,0)),0))</f>
        <v/>
      </c>
      <c r="AL203" s="18">
        <f>IF($A203="","",MAX(0,IFERROR(INDEX('2_IMPORTAR_EJECUCION'!$H$9:$H$1208,MATCH($AT203,'2_IMPORTAR_EJECUCION'!$J$9:$J$1208,0)),0)-$AK203))</f>
        <v/>
      </c>
      <c r="AM203" s="18">
        <f>IF($A203="","",$AK203+$AL203)</f>
        <v/>
      </c>
      <c r="AN203" s="5">
        <f>IF($A203="","",IF(OR((IFERROR(INDEX('CAT_ACTIVIDADES'!$D$4:$D$11,MATCH($H203,'CAT_ACTIVIDADES'!$A$4:$A$11,0)),""))=0,(IFERROR(INDEX('CAT_ACTIVIDADES'!$D$4:$D$11,MATCH($H203,'CAT_ACTIVIDADES'!$A$4:$A$11,0)),""))=""),"SIN CLASIFICAR",IFERROR(INDEX('CAT_ACTIVIDADES'!$D$4:$D$11,MATCH($H203,'CAT_ACTIVIDADES'!$A$4:$A$11,0)),"")))</f>
        <v/>
      </c>
      <c r="AO203" s="4" t="inlineStr"/>
      <c r="AP203" s="4" t="inlineStr"/>
      <c r="AQ203" s="4" t="inlineStr"/>
      <c r="AR203" s="5">
        <f>IF($AQ203="","",HYPERLINK(p_ruta_base_checklists&amp;$AQ203,"abrir"))</f>
        <v/>
      </c>
      <c r="AS203" s="4" t="inlineStr"/>
      <c r="AT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2" t="n"/>
      <c r="K204" s="5" t="n"/>
      <c r="L204" s="18" t="n"/>
      <c r="M204" s="5">
        <f>IF($A204="","",IFERROR(INDEX('AJUSTES'!$B$4:$B$303,MATCH($AT204,'AJUSTES'!$A$4:$A$303,0)),IF($K204="","",$K204)))</f>
        <v/>
      </c>
      <c r="N204" s="5">
        <f>IF($A204="","",IFERROR(INDEX('CAT_ESTADOS_ERP'!$B$4:$B$7,MATCH(IFERROR(INDEX('2_IMPORTAR_EJECUCION'!$C$9:$C$1208,MATCH($AT204,'2_IMPORTAR_EJECUCION'!$J$9:$J$1208,0)),""),'CAT_ESTADOS_ERP'!$A$4:$A$7,0)),"Pendiente"))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IF($J204="","",$P204&amp;"-"&amp;TEXT($Q204,"00"))</f>
        <v/>
      </c>
      <c r="S204" s="5">
        <f>IF($J204="","",INDEX(lista_dias,WEEKDAY($J204,2)))</f>
        <v/>
      </c>
      <c r="T204" s="5">
        <f>IF($J204="","",IFERROR(INDEX('CALENDARIO'!$C$15:$C$214,MATCH(TEXT($J204,"yyyy-mm-dd")&amp;"|"&amp;$X204&amp;"|"&amp;$Y204,'CALENDARIO'!$G$15:$G$214,0)),IFERROR(INDEX('CALENDARIO'!$C$15:$C$214,MATCH(TEXT($J204,"yyyy-mm-dd")&amp;"|"&amp;$X204&amp;"|",'CALENDARIO'!$G$15:$G$214,0)),IFERROR(INDEX('CALENDARIO'!$C$15:$C$214,MATCH(TEXT($J204,"yyyy-mm-dd")&amp;"||",'CALENDARIO'!$G$15:$G$214,0)),INDEX(patronHabil,WEEKDAY($J204,2))))))</f>
        <v/>
      </c>
      <c r="U204" s="5">
        <f>IF($I204="","",IFERROR(INDEX('CAT_TIPOS_OT'!$C$4:$C$8,MATCH($I204,'CAT_TIPOS_OT'!$A$4:$A$8,0)),"sin_clasificar"))</f>
        <v/>
      </c>
      <c r="V204" s="5">
        <f>IF($I204="","",IF(IFERROR(INDEX('CAT_TIPOS_OT'!$D$4:$D$8,MATCH($I204,'CAT_TIPOS_OT'!$A$4:$A$8,0)),"SIN CLASIFICAR")="","SIN CLASIFICAR",IFERROR(INDEX('CAT_TIPOS_OT'!$D$4:$D$8,MATCH($I204,'CAT_TIPOS_OT'!$A$4:$A$8,0)),"SIN CLASIFICAR")))</f>
        <v/>
      </c>
      <c r="W204" s="5">
        <f>IF($F204="","",IFERROR(INDEX('CAT_CENTROS_COSTO'!$F$4:$F$13,MATCH($F204,'CAT_CENTROS_COSTO'!$A$4:$A$13,0)),"(sin catálogo)"))</f>
        <v/>
      </c>
      <c r="X204" s="5">
        <f>IF($F204="","",IFERROR(INDEX('CAT_CENTROS_COSTO'!$D$4:$D$13,MATCH($F204,'CAT_CENTROS_COSTO'!$A$4:$A$13,0)),"(sin catálogo)"))</f>
        <v/>
      </c>
      <c r="Y204" s="5">
        <f>IF($F204="","",IF((IFERROR(INDEX('CAT_CENTROS_COSTO'!$E$4:$E$13,MATCH($F204,'CAT_CENTROS_COSTO'!$A$4:$A$13,0)),""))&lt;&gt;"",IFERROR(INDEX('CAT_CENTROS_COSTO'!$E$4:$E$13,MATCH($F204,'CAT_CENTROS_COSTO'!$A$4:$A$13,0)),""),$X204))</f>
        <v/>
      </c>
      <c r="Z204" s="5">
        <f>IF($F204="","",IFERROR(INDEX('CAT_CENTROS_COSTO'!$G$4:$G$13,MATCH($F204,'CAT_CENTROS_COSTO'!$A$4:$A$13,0)),"(sin catálogo)"))</f>
        <v/>
      </c>
      <c r="AA204" s="5">
        <f>IF($G204="","",IFERROR(INDEX('CAT_PUESTOS'!$B$4:$B$8,MATCH($G204,'CAT_PUESTOS'!$A$4:$A$8,0)),"(sin catálogo)"))</f>
        <v/>
      </c>
      <c r="AB204" s="5">
        <f>IF($H204="","",IFERROR(INDEX('CAT_ACTIVIDADES'!$B$4:$B$11,MATCH($H204,'CAT_ACTIVIDADES'!$A$4:$A$11,0)),"(sin catálogo)"))</f>
        <v/>
      </c>
      <c r="AC204" s="20">
        <f>IF($J204="","",TODAY()-$J204)</f>
        <v/>
      </c>
      <c r="AD204" s="20">
        <f>IF($J204="","",IF($J204&lt;=TODAY(),COUNTIFS(cal_fechas,"&gt;="&amp;$J204,cal_fechas,"&lt;"&amp;TODAY(),cal_habil,"sí"),-COUNTIFS(cal_fechas,"&gt;="&amp;TODAY(),cal_fechas,"&lt;"&amp;$J204,cal_habil,"sí")))</f>
        <v/>
      </c>
      <c r="AE204" s="5">
        <f>IF($AD204="","",IF($AD204&lt;0,"FUTURO",IF($AD204&gt;p_dias_backlog_max,"BACKLOG","MES CORRIENTE")))</f>
        <v/>
      </c>
      <c r="AF204" s="5">
        <f>IF($AD204="",FALSE,AND($AD204&gt;p_dias_backlog_min,$AD204&lt;=p_dias_backlog_max))</f>
        <v/>
      </c>
      <c r="AG204" s="4" t="n"/>
      <c r="AH204" s="5">
        <f>IF($AG204="","",IF((IFERROR(INDEX('ASIGNACIONES'!$J$4:$J$451,MATCH($O204&amp;"|"&amp;$S204&amp;"|"&amp;$AG204,'ASIGNACIONES'!$N$4:$N$451,0)),""))=0,"",IFERROR(INDEX('ASIGNACIONES'!$J$4:$J$451,MATCH($O204&amp;"|"&amp;$S204&amp;"|"&amp;$AG204,'ASIGNACIONES'!$N$4:$N$451,0)),"")))</f>
        <v/>
      </c>
      <c r="AI204" s="25">
        <f>IF($AG204="","",SUMIFS('ORDENES'!$M$4:$M$1203,'ORDENES'!$AG$4:$AG$1203,$AG204,'ORDENES'!$O$4:$O$1203,$O204,'ORDENES'!$S$4:$S$1203,$S204))</f>
        <v/>
      </c>
      <c r="AJ204" s="25">
        <f>IF($AI204="","",p_factor_productividad*IFERROR(INDEX('ASIGNACIONES'!$M$4:$M$451,MATCH($O204&amp;"|"&amp;$S204&amp;"|"&amp;$AG204,'ASIGNACIONES'!$N$4:$N$451,0)),0)-$AI204)</f>
        <v/>
      </c>
      <c r="AK204" s="18">
        <f>IF($A204="","",IFERROR(INDEX('2_IMPORTAR_EJECUCION'!$F$9:$F$1208,MATCH($AT204,'2_IMPORTAR_EJECUCION'!$J$9:$J$1208,0)),0))</f>
        <v/>
      </c>
      <c r="AL204" s="18">
        <f>IF($A204="","",MAX(0,IFERROR(INDEX('2_IMPORTAR_EJECUCION'!$H$9:$H$1208,MATCH($AT204,'2_IMPORTAR_EJECUCION'!$J$9:$J$1208,0)),0)-$AK204))</f>
        <v/>
      </c>
      <c r="AM204" s="18">
        <f>IF($A204="","",$AK204+$AL204)</f>
        <v/>
      </c>
      <c r="AN204" s="5">
        <f>IF($A204="","",IF(OR((IFERROR(INDEX('CAT_ACTIVIDADES'!$D$4:$D$11,MATCH($H204,'CAT_ACTIVIDADES'!$A$4:$A$11,0)),""))=0,(IFERROR(INDEX('CAT_ACTIVIDADES'!$D$4:$D$11,MATCH($H204,'CAT_ACTIVIDADES'!$A$4:$A$11,0)),""))=""),"SIN CLASIFICAR",IFERROR(INDEX('CAT_ACTIVIDADES'!$D$4:$D$11,MATCH($H204,'CAT_ACTIVIDADES'!$A$4:$A$11,0)),"")))</f>
        <v/>
      </c>
      <c r="AO204" s="4" t="n"/>
      <c r="AP204" s="4" t="n"/>
      <c r="AQ204" s="4" t="n"/>
      <c r="AR204" s="5">
        <f>IF($AQ204="","",HYPERLINK(p_ruta_base_checklists&amp;$AQ204,"abrir"))</f>
        <v/>
      </c>
      <c r="AS204" s="4" t="n"/>
      <c r="AT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2" t="n"/>
      <c r="K205" s="5" t="n"/>
      <c r="L205" s="18" t="n"/>
      <c r="M205" s="5">
        <f>IF($A205="","",IFERROR(INDEX('AJUSTES'!$B$4:$B$303,MATCH($AT205,'AJUSTES'!$A$4:$A$303,0)),IF($K205="","",$K205)))</f>
        <v/>
      </c>
      <c r="N205" s="5">
        <f>IF($A205="","",IFERROR(INDEX('CAT_ESTADOS_ERP'!$B$4:$B$7,MATCH(IFERROR(INDEX('2_IMPORTAR_EJECUCION'!$C$9:$C$1208,MATCH($AT205,'2_IMPORTAR_EJECUCION'!$J$9:$J$1208,0)),""),'CAT_ESTADOS_ERP'!$A$4:$A$7,0)),"Pendiente"))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IF($J205="","",$P205&amp;"-"&amp;TEXT($Q205,"00"))</f>
        <v/>
      </c>
      <c r="S205" s="5">
        <f>IF($J205="","",INDEX(lista_dias,WEEKDAY($J205,2)))</f>
        <v/>
      </c>
      <c r="T205" s="5">
        <f>IF($J205="","",IFERROR(INDEX('CALENDARIO'!$C$15:$C$214,MATCH(TEXT($J205,"yyyy-mm-dd")&amp;"|"&amp;$X205&amp;"|"&amp;$Y205,'CALENDARIO'!$G$15:$G$214,0)),IFERROR(INDEX('CALENDARIO'!$C$15:$C$214,MATCH(TEXT($J205,"yyyy-mm-dd")&amp;"|"&amp;$X205&amp;"|",'CALENDARIO'!$G$15:$G$214,0)),IFERROR(INDEX('CALENDARIO'!$C$15:$C$214,MATCH(TEXT($J205,"yyyy-mm-dd")&amp;"||",'CALENDARIO'!$G$15:$G$214,0)),INDEX(patronHabil,WEEKDAY($J205,2))))))</f>
        <v/>
      </c>
      <c r="U205" s="5">
        <f>IF($I205="","",IFERROR(INDEX('CAT_TIPOS_OT'!$C$4:$C$8,MATCH($I205,'CAT_TIPOS_OT'!$A$4:$A$8,0)),"sin_clasificar"))</f>
        <v/>
      </c>
      <c r="V205" s="5">
        <f>IF($I205="","",IF(IFERROR(INDEX('CAT_TIPOS_OT'!$D$4:$D$8,MATCH($I205,'CAT_TIPOS_OT'!$A$4:$A$8,0)),"SIN CLASIFICAR")="","SIN CLASIFICAR",IFERROR(INDEX('CAT_TIPOS_OT'!$D$4:$D$8,MATCH($I205,'CAT_TIPOS_OT'!$A$4:$A$8,0)),"SIN CLASIFICAR")))</f>
        <v/>
      </c>
      <c r="W205" s="5">
        <f>IF($F205="","",IFERROR(INDEX('CAT_CENTROS_COSTO'!$F$4:$F$13,MATCH($F205,'CAT_CENTROS_COSTO'!$A$4:$A$13,0)),"(sin catálogo)"))</f>
        <v/>
      </c>
      <c r="X205" s="5">
        <f>IF($F205="","",IFERROR(INDEX('CAT_CENTROS_COSTO'!$D$4:$D$13,MATCH($F205,'CAT_CENTROS_COSTO'!$A$4:$A$13,0)),"(sin catálogo)"))</f>
        <v/>
      </c>
      <c r="Y205" s="5">
        <f>IF($F205="","",IF((IFERROR(INDEX('CAT_CENTROS_COSTO'!$E$4:$E$13,MATCH($F205,'CAT_CENTROS_COSTO'!$A$4:$A$13,0)),""))&lt;&gt;"",IFERROR(INDEX('CAT_CENTROS_COSTO'!$E$4:$E$13,MATCH($F205,'CAT_CENTROS_COSTO'!$A$4:$A$13,0)),""),$X205))</f>
        <v/>
      </c>
      <c r="Z205" s="5">
        <f>IF($F205="","",IFERROR(INDEX('CAT_CENTROS_COSTO'!$G$4:$G$13,MATCH($F205,'CAT_CENTROS_COSTO'!$A$4:$A$13,0)),"(sin catálogo)"))</f>
        <v/>
      </c>
      <c r="AA205" s="5">
        <f>IF($G205="","",IFERROR(INDEX('CAT_PUESTOS'!$B$4:$B$8,MATCH($G205,'CAT_PUESTOS'!$A$4:$A$8,0)),"(sin catálogo)"))</f>
        <v/>
      </c>
      <c r="AB205" s="5">
        <f>IF($H205="","",IFERROR(INDEX('CAT_ACTIVIDADES'!$B$4:$B$11,MATCH($H205,'CAT_ACTIVIDADES'!$A$4:$A$11,0)),"(sin catálogo)"))</f>
        <v/>
      </c>
      <c r="AC205" s="20">
        <f>IF($J205="","",TODAY()-$J205)</f>
        <v/>
      </c>
      <c r="AD205" s="20">
        <f>IF($J205="","",IF($J205&lt;=TODAY(),COUNTIFS(cal_fechas,"&gt;="&amp;$J205,cal_fechas,"&lt;"&amp;TODAY(),cal_habil,"sí"),-COUNTIFS(cal_fechas,"&gt;="&amp;TODAY(),cal_fechas,"&lt;"&amp;$J205,cal_habil,"sí")))</f>
        <v/>
      </c>
      <c r="AE205" s="5">
        <f>IF($AD205="","",IF($AD205&lt;0,"FUTURO",IF($AD205&gt;p_dias_backlog_max,"BACKLOG","MES CORRIENTE")))</f>
        <v/>
      </c>
      <c r="AF205" s="5">
        <f>IF($AD205="",FALSE,AND($AD205&gt;p_dias_backlog_min,$AD205&lt;=p_dias_backlog_max))</f>
        <v/>
      </c>
      <c r="AG205" s="4" t="n"/>
      <c r="AH205" s="5">
        <f>IF($AG205="","",IF((IFERROR(INDEX('ASIGNACIONES'!$J$4:$J$451,MATCH($O205&amp;"|"&amp;$S205&amp;"|"&amp;$AG205,'ASIGNACIONES'!$N$4:$N$451,0)),""))=0,"",IFERROR(INDEX('ASIGNACIONES'!$J$4:$J$451,MATCH($O205&amp;"|"&amp;$S205&amp;"|"&amp;$AG205,'ASIGNACIONES'!$N$4:$N$451,0)),"")))</f>
        <v/>
      </c>
      <c r="AI205" s="25">
        <f>IF($AG205="","",SUMIFS('ORDENES'!$M$4:$M$1203,'ORDENES'!$AG$4:$AG$1203,$AG205,'ORDENES'!$O$4:$O$1203,$O205,'ORDENES'!$S$4:$S$1203,$S205))</f>
        <v/>
      </c>
      <c r="AJ205" s="25">
        <f>IF($AI205="","",p_factor_productividad*IFERROR(INDEX('ASIGNACIONES'!$M$4:$M$451,MATCH($O205&amp;"|"&amp;$S205&amp;"|"&amp;$AG205,'ASIGNACIONES'!$N$4:$N$451,0)),0)-$AI205)</f>
        <v/>
      </c>
      <c r="AK205" s="18">
        <f>IF($A205="","",IFERROR(INDEX('2_IMPORTAR_EJECUCION'!$F$9:$F$1208,MATCH($AT205,'2_IMPORTAR_EJECUCION'!$J$9:$J$1208,0)),0))</f>
        <v/>
      </c>
      <c r="AL205" s="18">
        <f>IF($A205="","",MAX(0,IFERROR(INDEX('2_IMPORTAR_EJECUCION'!$H$9:$H$1208,MATCH($AT205,'2_IMPORTAR_EJECUCION'!$J$9:$J$1208,0)),0)-$AK205))</f>
        <v/>
      </c>
      <c r="AM205" s="18">
        <f>IF($A205="","",$AK205+$AL205)</f>
        <v/>
      </c>
      <c r="AN205" s="5">
        <f>IF($A205="","",IF(OR((IFERROR(INDEX('CAT_ACTIVIDADES'!$D$4:$D$11,MATCH($H205,'CAT_ACTIVIDADES'!$A$4:$A$11,0)),""))=0,(IFERROR(INDEX('CAT_ACTIVIDADES'!$D$4:$D$11,MATCH($H205,'CAT_ACTIVIDADES'!$A$4:$A$11,0)),""))=""),"SIN CLASIFICAR",IFERROR(INDEX('CAT_ACTIVIDADES'!$D$4:$D$11,MATCH($H205,'CAT_ACTIVIDADES'!$A$4:$A$11,0)),"")))</f>
        <v/>
      </c>
      <c r="AO205" s="4" t="n"/>
      <c r="AP205" s="4" t="n"/>
      <c r="AQ205" s="4" t="n"/>
      <c r="AR205" s="5">
        <f>IF($AQ205="","",HYPERLINK(p_ruta_base_checklists&amp;$AQ205,"abrir"))</f>
        <v/>
      </c>
      <c r="AS205" s="4" t="n"/>
      <c r="AT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2" t="n"/>
      <c r="K206" s="5" t="n"/>
      <c r="L206" s="18" t="n"/>
      <c r="M206" s="5">
        <f>IF($A206="","",IFERROR(INDEX('AJUSTES'!$B$4:$B$303,MATCH($AT206,'AJUSTES'!$A$4:$A$303,0)),IF($K206="","",$K206)))</f>
        <v/>
      </c>
      <c r="N206" s="5">
        <f>IF($A206="","",IFERROR(INDEX('CAT_ESTADOS_ERP'!$B$4:$B$7,MATCH(IFERROR(INDEX('2_IMPORTAR_EJECUCION'!$C$9:$C$1208,MATCH($AT206,'2_IMPORTAR_EJECUCION'!$J$9:$J$1208,0)),""),'CAT_ESTADOS_ERP'!$A$4:$A$7,0)),"Pendiente"))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IF($J206="","",$P206&amp;"-"&amp;TEXT($Q206,"00"))</f>
        <v/>
      </c>
      <c r="S206" s="5">
        <f>IF($J206="","",INDEX(lista_dias,WEEKDAY($J206,2)))</f>
        <v/>
      </c>
      <c r="T206" s="5">
        <f>IF($J206="","",IFERROR(INDEX('CALENDARIO'!$C$15:$C$214,MATCH(TEXT($J206,"yyyy-mm-dd")&amp;"|"&amp;$X206&amp;"|"&amp;$Y206,'CALENDARIO'!$G$15:$G$214,0)),IFERROR(INDEX('CALENDARIO'!$C$15:$C$214,MATCH(TEXT($J206,"yyyy-mm-dd")&amp;"|"&amp;$X206&amp;"|",'CALENDARIO'!$G$15:$G$214,0)),IFERROR(INDEX('CALENDARIO'!$C$15:$C$214,MATCH(TEXT($J206,"yyyy-mm-dd")&amp;"||",'CALENDARIO'!$G$15:$G$214,0)),INDEX(patronHabil,WEEKDAY($J206,2))))))</f>
        <v/>
      </c>
      <c r="U206" s="5">
        <f>IF($I206="","",IFERROR(INDEX('CAT_TIPOS_OT'!$C$4:$C$8,MATCH($I206,'CAT_TIPOS_OT'!$A$4:$A$8,0)),"sin_clasificar"))</f>
        <v/>
      </c>
      <c r="V206" s="5">
        <f>IF($I206="","",IF(IFERROR(INDEX('CAT_TIPOS_OT'!$D$4:$D$8,MATCH($I206,'CAT_TIPOS_OT'!$A$4:$A$8,0)),"SIN CLASIFICAR")="","SIN CLASIFICAR",IFERROR(INDEX('CAT_TIPOS_OT'!$D$4:$D$8,MATCH($I206,'CAT_TIPOS_OT'!$A$4:$A$8,0)),"SIN CLASIFICAR")))</f>
        <v/>
      </c>
      <c r="W206" s="5">
        <f>IF($F206="","",IFERROR(INDEX('CAT_CENTROS_COSTO'!$F$4:$F$13,MATCH($F206,'CAT_CENTROS_COSTO'!$A$4:$A$13,0)),"(sin catálogo)"))</f>
        <v/>
      </c>
      <c r="X206" s="5">
        <f>IF($F206="","",IFERROR(INDEX('CAT_CENTROS_COSTO'!$D$4:$D$13,MATCH($F206,'CAT_CENTROS_COSTO'!$A$4:$A$13,0)),"(sin catálogo)"))</f>
        <v/>
      </c>
      <c r="Y206" s="5">
        <f>IF($F206="","",IF((IFERROR(INDEX('CAT_CENTROS_COSTO'!$E$4:$E$13,MATCH($F206,'CAT_CENTROS_COSTO'!$A$4:$A$13,0)),""))&lt;&gt;"",IFERROR(INDEX('CAT_CENTROS_COSTO'!$E$4:$E$13,MATCH($F206,'CAT_CENTROS_COSTO'!$A$4:$A$13,0)),""),$X206))</f>
        <v/>
      </c>
      <c r="Z206" s="5">
        <f>IF($F206="","",IFERROR(INDEX('CAT_CENTROS_COSTO'!$G$4:$G$13,MATCH($F206,'CAT_CENTROS_COSTO'!$A$4:$A$13,0)),"(sin catálogo)"))</f>
        <v/>
      </c>
      <c r="AA206" s="5">
        <f>IF($G206="","",IFERROR(INDEX('CAT_PUESTOS'!$B$4:$B$8,MATCH($G206,'CAT_PUESTOS'!$A$4:$A$8,0)),"(sin catálogo)"))</f>
        <v/>
      </c>
      <c r="AB206" s="5">
        <f>IF($H206="","",IFERROR(INDEX('CAT_ACTIVIDADES'!$B$4:$B$11,MATCH($H206,'CAT_ACTIVIDADES'!$A$4:$A$11,0)),"(sin catálogo)"))</f>
        <v/>
      </c>
      <c r="AC206" s="20">
        <f>IF($J206="","",TODAY()-$J206)</f>
        <v/>
      </c>
      <c r="AD206" s="20">
        <f>IF($J206="","",IF($J206&lt;=TODAY(),COUNTIFS(cal_fechas,"&gt;="&amp;$J206,cal_fechas,"&lt;"&amp;TODAY(),cal_habil,"sí"),-COUNTIFS(cal_fechas,"&gt;="&amp;TODAY(),cal_fechas,"&lt;"&amp;$J206,cal_habil,"sí")))</f>
        <v/>
      </c>
      <c r="AE206" s="5">
        <f>IF($AD206="","",IF($AD206&lt;0,"FUTURO",IF($AD206&gt;p_dias_backlog_max,"BACKLOG","MES CORRIENTE")))</f>
        <v/>
      </c>
      <c r="AF206" s="5">
        <f>IF($AD206="",FALSE,AND($AD206&gt;p_dias_backlog_min,$AD206&lt;=p_dias_backlog_max))</f>
        <v/>
      </c>
      <c r="AG206" s="4" t="n"/>
      <c r="AH206" s="5">
        <f>IF($AG206="","",IF((IFERROR(INDEX('ASIGNACIONES'!$J$4:$J$451,MATCH($O206&amp;"|"&amp;$S206&amp;"|"&amp;$AG206,'ASIGNACIONES'!$N$4:$N$451,0)),""))=0,"",IFERROR(INDEX('ASIGNACIONES'!$J$4:$J$451,MATCH($O206&amp;"|"&amp;$S206&amp;"|"&amp;$AG206,'ASIGNACIONES'!$N$4:$N$451,0)),"")))</f>
        <v/>
      </c>
      <c r="AI206" s="25">
        <f>IF($AG206="","",SUMIFS('ORDENES'!$M$4:$M$1203,'ORDENES'!$AG$4:$AG$1203,$AG206,'ORDENES'!$O$4:$O$1203,$O206,'ORDENES'!$S$4:$S$1203,$S206))</f>
        <v/>
      </c>
      <c r="AJ206" s="25">
        <f>IF($AI206="","",p_factor_productividad*IFERROR(INDEX('ASIGNACIONES'!$M$4:$M$451,MATCH($O206&amp;"|"&amp;$S206&amp;"|"&amp;$AG206,'ASIGNACIONES'!$N$4:$N$451,0)),0)-$AI206)</f>
        <v/>
      </c>
      <c r="AK206" s="18">
        <f>IF($A206="","",IFERROR(INDEX('2_IMPORTAR_EJECUCION'!$F$9:$F$1208,MATCH($AT206,'2_IMPORTAR_EJECUCION'!$J$9:$J$1208,0)),0))</f>
        <v/>
      </c>
      <c r="AL206" s="18">
        <f>IF($A206="","",MAX(0,IFERROR(INDEX('2_IMPORTAR_EJECUCION'!$H$9:$H$1208,MATCH($AT206,'2_IMPORTAR_EJECUCION'!$J$9:$J$1208,0)),0)-$AK206))</f>
        <v/>
      </c>
      <c r="AM206" s="18">
        <f>IF($A206="","",$AK206+$AL206)</f>
        <v/>
      </c>
      <c r="AN206" s="5">
        <f>IF($A206="","",IF(OR((IFERROR(INDEX('CAT_ACTIVIDADES'!$D$4:$D$11,MATCH($H206,'CAT_ACTIVIDADES'!$A$4:$A$11,0)),""))=0,(IFERROR(INDEX('CAT_ACTIVIDADES'!$D$4:$D$11,MATCH($H206,'CAT_ACTIVIDADES'!$A$4:$A$11,0)),""))=""),"SIN CLASIFICAR",IFERROR(INDEX('CAT_ACTIVIDADES'!$D$4:$D$11,MATCH($H206,'CAT_ACTIVIDADES'!$A$4:$A$11,0)),"")))</f>
        <v/>
      </c>
      <c r="AO206" s="4" t="n"/>
      <c r="AP206" s="4" t="n"/>
      <c r="AQ206" s="4" t="n"/>
      <c r="AR206" s="5">
        <f>IF($AQ206="","",HYPERLINK(p_ruta_base_checklists&amp;$AQ206,"abrir"))</f>
        <v/>
      </c>
      <c r="AS206" s="4" t="n"/>
      <c r="AT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2" t="n"/>
      <c r="K207" s="5" t="n"/>
      <c r="L207" s="18" t="n"/>
      <c r="M207" s="5">
        <f>IF($A207="","",IFERROR(INDEX('AJUSTES'!$B$4:$B$303,MATCH($AT207,'AJUSTES'!$A$4:$A$303,0)),IF($K207="","",$K207)))</f>
        <v/>
      </c>
      <c r="N207" s="5">
        <f>IF($A207="","",IFERROR(INDEX('CAT_ESTADOS_ERP'!$B$4:$B$7,MATCH(IFERROR(INDEX('2_IMPORTAR_EJECUCION'!$C$9:$C$1208,MATCH($AT207,'2_IMPORTAR_EJECUCION'!$J$9:$J$1208,0)),""),'CAT_ESTADOS_ERP'!$A$4:$A$7,0)),"Pendiente"))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IF($J207="","",$P207&amp;"-"&amp;TEXT($Q207,"00"))</f>
        <v/>
      </c>
      <c r="S207" s="5">
        <f>IF($J207="","",INDEX(lista_dias,WEEKDAY($J207,2)))</f>
        <v/>
      </c>
      <c r="T207" s="5">
        <f>IF($J207="","",IFERROR(INDEX('CALENDARIO'!$C$15:$C$214,MATCH(TEXT($J207,"yyyy-mm-dd")&amp;"|"&amp;$X207&amp;"|"&amp;$Y207,'CALENDARIO'!$G$15:$G$214,0)),IFERROR(INDEX('CALENDARIO'!$C$15:$C$214,MATCH(TEXT($J207,"yyyy-mm-dd")&amp;"|"&amp;$X207&amp;"|",'CALENDARIO'!$G$15:$G$214,0)),IFERROR(INDEX('CALENDARIO'!$C$15:$C$214,MATCH(TEXT($J207,"yyyy-mm-dd")&amp;"||",'CALENDARIO'!$G$15:$G$214,0)),INDEX(patronHabil,WEEKDAY($J207,2))))))</f>
        <v/>
      </c>
      <c r="U207" s="5">
        <f>IF($I207="","",IFERROR(INDEX('CAT_TIPOS_OT'!$C$4:$C$8,MATCH($I207,'CAT_TIPOS_OT'!$A$4:$A$8,0)),"sin_clasificar"))</f>
        <v/>
      </c>
      <c r="V207" s="5">
        <f>IF($I207="","",IF(IFERROR(INDEX('CAT_TIPOS_OT'!$D$4:$D$8,MATCH($I207,'CAT_TIPOS_OT'!$A$4:$A$8,0)),"SIN CLASIFICAR")="","SIN CLASIFICAR",IFERROR(INDEX('CAT_TIPOS_OT'!$D$4:$D$8,MATCH($I207,'CAT_TIPOS_OT'!$A$4:$A$8,0)),"SIN CLASIFICAR")))</f>
        <v/>
      </c>
      <c r="W207" s="5">
        <f>IF($F207="","",IFERROR(INDEX('CAT_CENTROS_COSTO'!$F$4:$F$13,MATCH($F207,'CAT_CENTROS_COSTO'!$A$4:$A$13,0)),"(sin catálogo)"))</f>
        <v/>
      </c>
      <c r="X207" s="5">
        <f>IF($F207="","",IFERROR(INDEX('CAT_CENTROS_COSTO'!$D$4:$D$13,MATCH($F207,'CAT_CENTROS_COSTO'!$A$4:$A$13,0)),"(sin catálogo)"))</f>
        <v/>
      </c>
      <c r="Y207" s="5">
        <f>IF($F207="","",IF((IFERROR(INDEX('CAT_CENTROS_COSTO'!$E$4:$E$13,MATCH($F207,'CAT_CENTROS_COSTO'!$A$4:$A$13,0)),""))&lt;&gt;"",IFERROR(INDEX('CAT_CENTROS_COSTO'!$E$4:$E$13,MATCH($F207,'CAT_CENTROS_COSTO'!$A$4:$A$13,0)),""),$X207))</f>
        <v/>
      </c>
      <c r="Z207" s="5">
        <f>IF($F207="","",IFERROR(INDEX('CAT_CENTROS_COSTO'!$G$4:$G$13,MATCH($F207,'CAT_CENTROS_COSTO'!$A$4:$A$13,0)),"(sin catálogo)"))</f>
        <v/>
      </c>
      <c r="AA207" s="5">
        <f>IF($G207="","",IFERROR(INDEX('CAT_PUESTOS'!$B$4:$B$8,MATCH($G207,'CAT_PUESTOS'!$A$4:$A$8,0)),"(sin catálogo)"))</f>
        <v/>
      </c>
      <c r="AB207" s="5">
        <f>IF($H207="","",IFERROR(INDEX('CAT_ACTIVIDADES'!$B$4:$B$11,MATCH($H207,'CAT_ACTIVIDADES'!$A$4:$A$11,0)),"(sin catálogo)"))</f>
        <v/>
      </c>
      <c r="AC207" s="20">
        <f>IF($J207="","",TODAY()-$J207)</f>
        <v/>
      </c>
      <c r="AD207" s="20">
        <f>IF($J207="","",IF($J207&lt;=TODAY(),COUNTIFS(cal_fechas,"&gt;="&amp;$J207,cal_fechas,"&lt;"&amp;TODAY(),cal_habil,"sí"),-COUNTIFS(cal_fechas,"&gt;="&amp;TODAY(),cal_fechas,"&lt;"&amp;$J207,cal_habil,"sí")))</f>
        <v/>
      </c>
      <c r="AE207" s="5">
        <f>IF($AD207="","",IF($AD207&lt;0,"FUTURO",IF($AD207&gt;p_dias_backlog_max,"BACKLOG","MES CORRIENTE")))</f>
        <v/>
      </c>
      <c r="AF207" s="5">
        <f>IF($AD207="",FALSE,AND($AD207&gt;p_dias_backlog_min,$AD207&lt;=p_dias_backlog_max))</f>
        <v/>
      </c>
      <c r="AG207" s="4" t="n"/>
      <c r="AH207" s="5">
        <f>IF($AG207="","",IF((IFERROR(INDEX('ASIGNACIONES'!$J$4:$J$451,MATCH($O207&amp;"|"&amp;$S207&amp;"|"&amp;$AG207,'ASIGNACIONES'!$N$4:$N$451,0)),""))=0,"",IFERROR(INDEX('ASIGNACIONES'!$J$4:$J$451,MATCH($O207&amp;"|"&amp;$S207&amp;"|"&amp;$AG207,'ASIGNACIONES'!$N$4:$N$451,0)),"")))</f>
        <v/>
      </c>
      <c r="AI207" s="25">
        <f>IF($AG207="","",SUMIFS('ORDENES'!$M$4:$M$1203,'ORDENES'!$AG$4:$AG$1203,$AG207,'ORDENES'!$O$4:$O$1203,$O207,'ORDENES'!$S$4:$S$1203,$S207))</f>
        <v/>
      </c>
      <c r="AJ207" s="25">
        <f>IF($AI207="","",p_factor_productividad*IFERROR(INDEX('ASIGNACIONES'!$M$4:$M$451,MATCH($O207&amp;"|"&amp;$S207&amp;"|"&amp;$AG207,'ASIGNACIONES'!$N$4:$N$451,0)),0)-$AI207)</f>
        <v/>
      </c>
      <c r="AK207" s="18">
        <f>IF($A207="","",IFERROR(INDEX('2_IMPORTAR_EJECUCION'!$F$9:$F$1208,MATCH($AT207,'2_IMPORTAR_EJECUCION'!$J$9:$J$1208,0)),0))</f>
        <v/>
      </c>
      <c r="AL207" s="18">
        <f>IF($A207="","",MAX(0,IFERROR(INDEX('2_IMPORTAR_EJECUCION'!$H$9:$H$1208,MATCH($AT207,'2_IMPORTAR_EJECUCION'!$J$9:$J$1208,0)),0)-$AK207))</f>
        <v/>
      </c>
      <c r="AM207" s="18">
        <f>IF($A207="","",$AK207+$AL207)</f>
        <v/>
      </c>
      <c r="AN207" s="5">
        <f>IF($A207="","",IF(OR((IFERROR(INDEX('CAT_ACTIVIDADES'!$D$4:$D$11,MATCH($H207,'CAT_ACTIVIDADES'!$A$4:$A$11,0)),""))=0,(IFERROR(INDEX('CAT_ACTIVIDADES'!$D$4:$D$11,MATCH($H207,'CAT_ACTIVIDADES'!$A$4:$A$11,0)),""))=""),"SIN CLASIFICAR",IFERROR(INDEX('CAT_ACTIVIDADES'!$D$4:$D$11,MATCH($H207,'CAT_ACTIVIDADES'!$A$4:$A$11,0)),"")))</f>
        <v/>
      </c>
      <c r="AO207" s="4" t="n"/>
      <c r="AP207" s="4" t="n"/>
      <c r="AQ207" s="4" t="n"/>
      <c r="AR207" s="5">
        <f>IF($AQ207="","",HYPERLINK(p_ruta_base_checklists&amp;$AQ207,"abrir"))</f>
        <v/>
      </c>
      <c r="AS207" s="4" t="n"/>
      <c r="AT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2" t="n"/>
      <c r="K208" s="5" t="n"/>
      <c r="L208" s="18" t="n"/>
      <c r="M208" s="5">
        <f>IF($A208="","",IFERROR(INDEX('AJUSTES'!$B$4:$B$303,MATCH($AT208,'AJUSTES'!$A$4:$A$303,0)),IF($K208="","",$K208)))</f>
        <v/>
      </c>
      <c r="N208" s="5">
        <f>IF($A208="","",IFERROR(INDEX('CAT_ESTADOS_ERP'!$B$4:$B$7,MATCH(IFERROR(INDEX('2_IMPORTAR_EJECUCION'!$C$9:$C$1208,MATCH($AT208,'2_IMPORTAR_EJECUCION'!$J$9:$J$1208,0)),""),'CAT_ESTADOS_ERP'!$A$4:$A$7,0)),"Pendiente"))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IF($J208="","",$P208&amp;"-"&amp;TEXT($Q208,"00"))</f>
        <v/>
      </c>
      <c r="S208" s="5">
        <f>IF($J208="","",INDEX(lista_dias,WEEKDAY($J208,2)))</f>
        <v/>
      </c>
      <c r="T208" s="5">
        <f>IF($J208="","",IFERROR(INDEX('CALENDARIO'!$C$15:$C$214,MATCH(TEXT($J208,"yyyy-mm-dd")&amp;"|"&amp;$X208&amp;"|"&amp;$Y208,'CALENDARIO'!$G$15:$G$214,0)),IFERROR(INDEX('CALENDARIO'!$C$15:$C$214,MATCH(TEXT($J208,"yyyy-mm-dd")&amp;"|"&amp;$X208&amp;"|",'CALENDARIO'!$G$15:$G$214,0)),IFERROR(INDEX('CALENDARIO'!$C$15:$C$214,MATCH(TEXT($J208,"yyyy-mm-dd")&amp;"||",'CALENDARIO'!$G$15:$G$214,0)),INDEX(patronHabil,WEEKDAY($J208,2))))))</f>
        <v/>
      </c>
      <c r="U208" s="5">
        <f>IF($I208="","",IFERROR(INDEX('CAT_TIPOS_OT'!$C$4:$C$8,MATCH($I208,'CAT_TIPOS_OT'!$A$4:$A$8,0)),"sin_clasificar"))</f>
        <v/>
      </c>
      <c r="V208" s="5">
        <f>IF($I208="","",IF(IFERROR(INDEX('CAT_TIPOS_OT'!$D$4:$D$8,MATCH($I208,'CAT_TIPOS_OT'!$A$4:$A$8,0)),"SIN CLASIFICAR")="","SIN CLASIFICAR",IFERROR(INDEX('CAT_TIPOS_OT'!$D$4:$D$8,MATCH($I208,'CAT_TIPOS_OT'!$A$4:$A$8,0)),"SIN CLASIFICAR")))</f>
        <v/>
      </c>
      <c r="W208" s="5">
        <f>IF($F208="","",IFERROR(INDEX('CAT_CENTROS_COSTO'!$F$4:$F$13,MATCH($F208,'CAT_CENTROS_COSTO'!$A$4:$A$13,0)),"(sin catálogo)"))</f>
        <v/>
      </c>
      <c r="X208" s="5">
        <f>IF($F208="","",IFERROR(INDEX('CAT_CENTROS_COSTO'!$D$4:$D$13,MATCH($F208,'CAT_CENTROS_COSTO'!$A$4:$A$13,0)),"(sin catálogo)"))</f>
        <v/>
      </c>
      <c r="Y208" s="5">
        <f>IF($F208="","",IF((IFERROR(INDEX('CAT_CENTROS_COSTO'!$E$4:$E$13,MATCH($F208,'CAT_CENTROS_COSTO'!$A$4:$A$13,0)),""))&lt;&gt;"",IFERROR(INDEX('CAT_CENTROS_COSTO'!$E$4:$E$13,MATCH($F208,'CAT_CENTROS_COSTO'!$A$4:$A$13,0)),""),$X208))</f>
        <v/>
      </c>
      <c r="Z208" s="5">
        <f>IF($F208="","",IFERROR(INDEX('CAT_CENTROS_COSTO'!$G$4:$G$13,MATCH($F208,'CAT_CENTROS_COSTO'!$A$4:$A$13,0)),"(sin catálogo)"))</f>
        <v/>
      </c>
      <c r="AA208" s="5">
        <f>IF($G208="","",IFERROR(INDEX('CAT_PUESTOS'!$B$4:$B$8,MATCH($G208,'CAT_PUESTOS'!$A$4:$A$8,0)),"(sin catálogo)"))</f>
        <v/>
      </c>
      <c r="AB208" s="5">
        <f>IF($H208="","",IFERROR(INDEX('CAT_ACTIVIDADES'!$B$4:$B$11,MATCH($H208,'CAT_ACTIVIDADES'!$A$4:$A$11,0)),"(sin catálogo)"))</f>
        <v/>
      </c>
      <c r="AC208" s="20">
        <f>IF($J208="","",TODAY()-$J208)</f>
        <v/>
      </c>
      <c r="AD208" s="20">
        <f>IF($J208="","",IF($J208&lt;=TODAY(),COUNTIFS(cal_fechas,"&gt;="&amp;$J208,cal_fechas,"&lt;"&amp;TODAY(),cal_habil,"sí"),-COUNTIFS(cal_fechas,"&gt;="&amp;TODAY(),cal_fechas,"&lt;"&amp;$J208,cal_habil,"sí")))</f>
        <v/>
      </c>
      <c r="AE208" s="5">
        <f>IF($AD208="","",IF($AD208&lt;0,"FUTURO",IF($AD208&gt;p_dias_backlog_max,"BACKLOG","MES CORRIENTE")))</f>
        <v/>
      </c>
      <c r="AF208" s="5">
        <f>IF($AD208="",FALSE,AND($AD208&gt;p_dias_backlog_min,$AD208&lt;=p_dias_backlog_max))</f>
        <v/>
      </c>
      <c r="AG208" s="4" t="n"/>
      <c r="AH208" s="5">
        <f>IF($AG208="","",IF((IFERROR(INDEX('ASIGNACIONES'!$J$4:$J$451,MATCH($O208&amp;"|"&amp;$S208&amp;"|"&amp;$AG208,'ASIGNACIONES'!$N$4:$N$451,0)),""))=0,"",IFERROR(INDEX('ASIGNACIONES'!$J$4:$J$451,MATCH($O208&amp;"|"&amp;$S208&amp;"|"&amp;$AG208,'ASIGNACIONES'!$N$4:$N$451,0)),"")))</f>
        <v/>
      </c>
      <c r="AI208" s="25">
        <f>IF($AG208="","",SUMIFS('ORDENES'!$M$4:$M$1203,'ORDENES'!$AG$4:$AG$1203,$AG208,'ORDENES'!$O$4:$O$1203,$O208,'ORDENES'!$S$4:$S$1203,$S208))</f>
        <v/>
      </c>
      <c r="AJ208" s="25">
        <f>IF($AI208="","",p_factor_productividad*IFERROR(INDEX('ASIGNACIONES'!$M$4:$M$451,MATCH($O208&amp;"|"&amp;$S208&amp;"|"&amp;$AG208,'ASIGNACIONES'!$N$4:$N$451,0)),0)-$AI208)</f>
        <v/>
      </c>
      <c r="AK208" s="18">
        <f>IF($A208="","",IFERROR(INDEX('2_IMPORTAR_EJECUCION'!$F$9:$F$1208,MATCH($AT208,'2_IMPORTAR_EJECUCION'!$J$9:$J$1208,0)),0))</f>
        <v/>
      </c>
      <c r="AL208" s="18">
        <f>IF($A208="","",MAX(0,IFERROR(INDEX('2_IMPORTAR_EJECUCION'!$H$9:$H$1208,MATCH($AT208,'2_IMPORTAR_EJECUCION'!$J$9:$J$1208,0)),0)-$AK208))</f>
        <v/>
      </c>
      <c r="AM208" s="18">
        <f>IF($A208="","",$AK208+$AL208)</f>
        <v/>
      </c>
      <c r="AN208" s="5">
        <f>IF($A208="","",IF(OR((IFERROR(INDEX('CAT_ACTIVIDADES'!$D$4:$D$11,MATCH($H208,'CAT_ACTIVIDADES'!$A$4:$A$11,0)),""))=0,(IFERROR(INDEX('CAT_ACTIVIDADES'!$D$4:$D$11,MATCH($H208,'CAT_ACTIVIDADES'!$A$4:$A$11,0)),""))=""),"SIN CLASIFICAR",IFERROR(INDEX('CAT_ACTIVIDADES'!$D$4:$D$11,MATCH($H208,'CAT_ACTIVIDADES'!$A$4:$A$11,0)),"")))</f>
        <v/>
      </c>
      <c r="AO208" s="4" t="n"/>
      <c r="AP208" s="4" t="n"/>
      <c r="AQ208" s="4" t="n"/>
      <c r="AR208" s="5">
        <f>IF($AQ208="","",HYPERLINK(p_ruta_base_checklists&amp;$AQ208,"abrir"))</f>
        <v/>
      </c>
      <c r="AS208" s="4" t="n"/>
      <c r="AT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2" t="n"/>
      <c r="K209" s="5" t="n"/>
      <c r="L209" s="18" t="n"/>
      <c r="M209" s="5">
        <f>IF($A209="","",IFERROR(INDEX('AJUSTES'!$B$4:$B$303,MATCH($AT209,'AJUSTES'!$A$4:$A$303,0)),IF($K209="","",$K209)))</f>
        <v/>
      </c>
      <c r="N209" s="5">
        <f>IF($A209="","",IFERROR(INDEX('CAT_ESTADOS_ERP'!$B$4:$B$7,MATCH(IFERROR(INDEX('2_IMPORTAR_EJECUCION'!$C$9:$C$1208,MATCH($AT209,'2_IMPORTAR_EJECUCION'!$J$9:$J$1208,0)),""),'CAT_ESTADOS_ERP'!$A$4:$A$7,0)),"Pendiente"))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IF($J209="","",$P209&amp;"-"&amp;TEXT($Q209,"00"))</f>
        <v/>
      </c>
      <c r="S209" s="5">
        <f>IF($J209="","",INDEX(lista_dias,WEEKDAY($J209,2)))</f>
        <v/>
      </c>
      <c r="T209" s="5">
        <f>IF($J209="","",IFERROR(INDEX('CALENDARIO'!$C$15:$C$214,MATCH(TEXT($J209,"yyyy-mm-dd")&amp;"|"&amp;$X209&amp;"|"&amp;$Y209,'CALENDARIO'!$G$15:$G$214,0)),IFERROR(INDEX('CALENDARIO'!$C$15:$C$214,MATCH(TEXT($J209,"yyyy-mm-dd")&amp;"|"&amp;$X209&amp;"|",'CALENDARIO'!$G$15:$G$214,0)),IFERROR(INDEX('CALENDARIO'!$C$15:$C$214,MATCH(TEXT($J209,"yyyy-mm-dd")&amp;"||",'CALENDARIO'!$G$15:$G$214,0)),INDEX(patronHabil,WEEKDAY($J209,2))))))</f>
        <v/>
      </c>
      <c r="U209" s="5">
        <f>IF($I209="","",IFERROR(INDEX('CAT_TIPOS_OT'!$C$4:$C$8,MATCH($I209,'CAT_TIPOS_OT'!$A$4:$A$8,0)),"sin_clasificar"))</f>
        <v/>
      </c>
      <c r="V209" s="5">
        <f>IF($I209="","",IF(IFERROR(INDEX('CAT_TIPOS_OT'!$D$4:$D$8,MATCH($I209,'CAT_TIPOS_OT'!$A$4:$A$8,0)),"SIN CLASIFICAR")="","SIN CLASIFICAR",IFERROR(INDEX('CAT_TIPOS_OT'!$D$4:$D$8,MATCH($I209,'CAT_TIPOS_OT'!$A$4:$A$8,0)),"SIN CLASIFICAR")))</f>
        <v/>
      </c>
      <c r="W209" s="5">
        <f>IF($F209="","",IFERROR(INDEX('CAT_CENTROS_COSTO'!$F$4:$F$13,MATCH($F209,'CAT_CENTROS_COSTO'!$A$4:$A$13,0)),"(sin catálogo)"))</f>
        <v/>
      </c>
      <c r="X209" s="5">
        <f>IF($F209="","",IFERROR(INDEX('CAT_CENTROS_COSTO'!$D$4:$D$13,MATCH($F209,'CAT_CENTROS_COSTO'!$A$4:$A$13,0)),"(sin catálogo)"))</f>
        <v/>
      </c>
      <c r="Y209" s="5">
        <f>IF($F209="","",IF((IFERROR(INDEX('CAT_CENTROS_COSTO'!$E$4:$E$13,MATCH($F209,'CAT_CENTROS_COSTO'!$A$4:$A$13,0)),""))&lt;&gt;"",IFERROR(INDEX('CAT_CENTROS_COSTO'!$E$4:$E$13,MATCH($F209,'CAT_CENTROS_COSTO'!$A$4:$A$13,0)),""),$X209))</f>
        <v/>
      </c>
      <c r="Z209" s="5">
        <f>IF($F209="","",IFERROR(INDEX('CAT_CENTROS_COSTO'!$G$4:$G$13,MATCH($F209,'CAT_CENTROS_COSTO'!$A$4:$A$13,0)),"(sin catálogo)"))</f>
        <v/>
      </c>
      <c r="AA209" s="5">
        <f>IF($G209="","",IFERROR(INDEX('CAT_PUESTOS'!$B$4:$B$8,MATCH($G209,'CAT_PUESTOS'!$A$4:$A$8,0)),"(sin catálogo)"))</f>
        <v/>
      </c>
      <c r="AB209" s="5">
        <f>IF($H209="","",IFERROR(INDEX('CAT_ACTIVIDADES'!$B$4:$B$11,MATCH($H209,'CAT_ACTIVIDADES'!$A$4:$A$11,0)),"(sin catálogo)"))</f>
        <v/>
      </c>
      <c r="AC209" s="20">
        <f>IF($J209="","",TODAY()-$J209)</f>
        <v/>
      </c>
      <c r="AD209" s="20">
        <f>IF($J209="","",IF($J209&lt;=TODAY(),COUNTIFS(cal_fechas,"&gt;="&amp;$J209,cal_fechas,"&lt;"&amp;TODAY(),cal_habil,"sí"),-COUNTIFS(cal_fechas,"&gt;="&amp;TODAY(),cal_fechas,"&lt;"&amp;$J209,cal_habil,"sí")))</f>
        <v/>
      </c>
      <c r="AE209" s="5">
        <f>IF($AD209="","",IF($AD209&lt;0,"FUTURO",IF($AD209&gt;p_dias_backlog_max,"BACKLOG","MES CORRIENTE")))</f>
        <v/>
      </c>
      <c r="AF209" s="5">
        <f>IF($AD209="",FALSE,AND($AD209&gt;p_dias_backlog_min,$AD209&lt;=p_dias_backlog_max))</f>
        <v/>
      </c>
      <c r="AG209" s="4" t="n"/>
      <c r="AH209" s="5">
        <f>IF($AG209="","",IF((IFERROR(INDEX('ASIGNACIONES'!$J$4:$J$451,MATCH($O209&amp;"|"&amp;$S209&amp;"|"&amp;$AG209,'ASIGNACIONES'!$N$4:$N$451,0)),""))=0,"",IFERROR(INDEX('ASIGNACIONES'!$J$4:$J$451,MATCH($O209&amp;"|"&amp;$S209&amp;"|"&amp;$AG209,'ASIGNACIONES'!$N$4:$N$451,0)),"")))</f>
        <v/>
      </c>
      <c r="AI209" s="25">
        <f>IF($AG209="","",SUMIFS('ORDENES'!$M$4:$M$1203,'ORDENES'!$AG$4:$AG$1203,$AG209,'ORDENES'!$O$4:$O$1203,$O209,'ORDENES'!$S$4:$S$1203,$S209))</f>
        <v/>
      </c>
      <c r="AJ209" s="25">
        <f>IF($AI209="","",p_factor_productividad*IFERROR(INDEX('ASIGNACIONES'!$M$4:$M$451,MATCH($O209&amp;"|"&amp;$S209&amp;"|"&amp;$AG209,'ASIGNACIONES'!$N$4:$N$451,0)),0)-$AI209)</f>
        <v/>
      </c>
      <c r="AK209" s="18">
        <f>IF($A209="","",IFERROR(INDEX('2_IMPORTAR_EJECUCION'!$F$9:$F$1208,MATCH($AT209,'2_IMPORTAR_EJECUCION'!$J$9:$J$1208,0)),0))</f>
        <v/>
      </c>
      <c r="AL209" s="18">
        <f>IF($A209="","",MAX(0,IFERROR(INDEX('2_IMPORTAR_EJECUCION'!$H$9:$H$1208,MATCH($AT209,'2_IMPORTAR_EJECUCION'!$J$9:$J$1208,0)),0)-$AK209))</f>
        <v/>
      </c>
      <c r="AM209" s="18">
        <f>IF($A209="","",$AK209+$AL209)</f>
        <v/>
      </c>
      <c r="AN209" s="5">
        <f>IF($A209="","",IF(OR((IFERROR(INDEX('CAT_ACTIVIDADES'!$D$4:$D$11,MATCH($H209,'CAT_ACTIVIDADES'!$A$4:$A$11,0)),""))=0,(IFERROR(INDEX('CAT_ACTIVIDADES'!$D$4:$D$11,MATCH($H209,'CAT_ACTIVIDADES'!$A$4:$A$11,0)),""))=""),"SIN CLASIFICAR",IFERROR(INDEX('CAT_ACTIVIDADES'!$D$4:$D$11,MATCH($H209,'CAT_ACTIVIDADES'!$A$4:$A$11,0)),"")))</f>
        <v/>
      </c>
      <c r="AO209" s="4" t="n"/>
      <c r="AP209" s="4" t="n"/>
      <c r="AQ209" s="4" t="n"/>
      <c r="AR209" s="5">
        <f>IF($AQ209="","",HYPERLINK(p_ruta_base_checklists&amp;$AQ209,"abrir"))</f>
        <v/>
      </c>
      <c r="AS209" s="4" t="n"/>
      <c r="AT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2" t="n"/>
      <c r="K210" s="5" t="n"/>
      <c r="L210" s="18" t="n"/>
      <c r="M210" s="5">
        <f>IF($A210="","",IFERROR(INDEX('AJUSTES'!$B$4:$B$303,MATCH($AT210,'AJUSTES'!$A$4:$A$303,0)),IF($K210="","",$K210)))</f>
        <v/>
      </c>
      <c r="N210" s="5">
        <f>IF($A210="","",IFERROR(INDEX('CAT_ESTADOS_ERP'!$B$4:$B$7,MATCH(IFERROR(INDEX('2_IMPORTAR_EJECUCION'!$C$9:$C$1208,MATCH($AT210,'2_IMPORTAR_EJECUCION'!$J$9:$J$1208,0)),""),'CAT_ESTADOS_ERP'!$A$4:$A$7,0)),"Pendiente"))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IF($J210="","",$P210&amp;"-"&amp;TEXT($Q210,"00"))</f>
        <v/>
      </c>
      <c r="S210" s="5">
        <f>IF($J210="","",INDEX(lista_dias,WEEKDAY($J210,2)))</f>
        <v/>
      </c>
      <c r="T210" s="5">
        <f>IF($J210="","",IFERROR(INDEX('CALENDARIO'!$C$15:$C$214,MATCH(TEXT($J210,"yyyy-mm-dd")&amp;"|"&amp;$X210&amp;"|"&amp;$Y210,'CALENDARIO'!$G$15:$G$214,0)),IFERROR(INDEX('CALENDARIO'!$C$15:$C$214,MATCH(TEXT($J210,"yyyy-mm-dd")&amp;"|"&amp;$X210&amp;"|",'CALENDARIO'!$G$15:$G$214,0)),IFERROR(INDEX('CALENDARIO'!$C$15:$C$214,MATCH(TEXT($J210,"yyyy-mm-dd")&amp;"||",'CALENDARIO'!$G$15:$G$214,0)),INDEX(patronHabil,WEEKDAY($J210,2))))))</f>
        <v/>
      </c>
      <c r="U210" s="5">
        <f>IF($I210="","",IFERROR(INDEX('CAT_TIPOS_OT'!$C$4:$C$8,MATCH($I210,'CAT_TIPOS_OT'!$A$4:$A$8,0)),"sin_clasificar"))</f>
        <v/>
      </c>
      <c r="V210" s="5">
        <f>IF($I210="","",IF(IFERROR(INDEX('CAT_TIPOS_OT'!$D$4:$D$8,MATCH($I210,'CAT_TIPOS_OT'!$A$4:$A$8,0)),"SIN CLASIFICAR")="","SIN CLASIFICAR",IFERROR(INDEX('CAT_TIPOS_OT'!$D$4:$D$8,MATCH($I210,'CAT_TIPOS_OT'!$A$4:$A$8,0)),"SIN CLASIFICAR")))</f>
        <v/>
      </c>
      <c r="W210" s="5">
        <f>IF($F210="","",IFERROR(INDEX('CAT_CENTROS_COSTO'!$F$4:$F$13,MATCH($F210,'CAT_CENTROS_COSTO'!$A$4:$A$13,0)),"(sin catálogo)"))</f>
        <v/>
      </c>
      <c r="X210" s="5">
        <f>IF($F210="","",IFERROR(INDEX('CAT_CENTROS_COSTO'!$D$4:$D$13,MATCH($F210,'CAT_CENTROS_COSTO'!$A$4:$A$13,0)),"(sin catálogo)"))</f>
        <v/>
      </c>
      <c r="Y210" s="5">
        <f>IF($F210="","",IF((IFERROR(INDEX('CAT_CENTROS_COSTO'!$E$4:$E$13,MATCH($F210,'CAT_CENTROS_COSTO'!$A$4:$A$13,0)),""))&lt;&gt;"",IFERROR(INDEX('CAT_CENTROS_COSTO'!$E$4:$E$13,MATCH($F210,'CAT_CENTROS_COSTO'!$A$4:$A$13,0)),""),$X210))</f>
        <v/>
      </c>
      <c r="Z210" s="5">
        <f>IF($F210="","",IFERROR(INDEX('CAT_CENTROS_COSTO'!$G$4:$G$13,MATCH($F210,'CAT_CENTROS_COSTO'!$A$4:$A$13,0)),"(sin catálogo)"))</f>
        <v/>
      </c>
      <c r="AA210" s="5">
        <f>IF($G210="","",IFERROR(INDEX('CAT_PUESTOS'!$B$4:$B$8,MATCH($G210,'CAT_PUESTOS'!$A$4:$A$8,0)),"(sin catálogo)"))</f>
        <v/>
      </c>
      <c r="AB210" s="5">
        <f>IF($H210="","",IFERROR(INDEX('CAT_ACTIVIDADES'!$B$4:$B$11,MATCH($H210,'CAT_ACTIVIDADES'!$A$4:$A$11,0)),"(sin catálogo)"))</f>
        <v/>
      </c>
      <c r="AC210" s="20">
        <f>IF($J210="","",TODAY()-$J210)</f>
        <v/>
      </c>
      <c r="AD210" s="20">
        <f>IF($J210="","",IF($J210&lt;=TODAY(),COUNTIFS(cal_fechas,"&gt;="&amp;$J210,cal_fechas,"&lt;"&amp;TODAY(),cal_habil,"sí"),-COUNTIFS(cal_fechas,"&gt;="&amp;TODAY(),cal_fechas,"&lt;"&amp;$J210,cal_habil,"sí")))</f>
        <v/>
      </c>
      <c r="AE210" s="5">
        <f>IF($AD210="","",IF($AD210&lt;0,"FUTURO",IF($AD210&gt;p_dias_backlog_max,"BACKLOG","MES CORRIENTE")))</f>
        <v/>
      </c>
      <c r="AF210" s="5">
        <f>IF($AD210="",FALSE,AND($AD210&gt;p_dias_backlog_min,$AD210&lt;=p_dias_backlog_max))</f>
        <v/>
      </c>
      <c r="AG210" s="4" t="n"/>
      <c r="AH210" s="5">
        <f>IF($AG210="","",IF((IFERROR(INDEX('ASIGNACIONES'!$J$4:$J$451,MATCH($O210&amp;"|"&amp;$S210&amp;"|"&amp;$AG210,'ASIGNACIONES'!$N$4:$N$451,0)),""))=0,"",IFERROR(INDEX('ASIGNACIONES'!$J$4:$J$451,MATCH($O210&amp;"|"&amp;$S210&amp;"|"&amp;$AG210,'ASIGNACIONES'!$N$4:$N$451,0)),"")))</f>
        <v/>
      </c>
      <c r="AI210" s="25">
        <f>IF($AG210="","",SUMIFS('ORDENES'!$M$4:$M$1203,'ORDENES'!$AG$4:$AG$1203,$AG210,'ORDENES'!$O$4:$O$1203,$O210,'ORDENES'!$S$4:$S$1203,$S210))</f>
        <v/>
      </c>
      <c r="AJ210" s="25">
        <f>IF($AI210="","",p_factor_productividad*IFERROR(INDEX('ASIGNACIONES'!$M$4:$M$451,MATCH($O210&amp;"|"&amp;$S210&amp;"|"&amp;$AG210,'ASIGNACIONES'!$N$4:$N$451,0)),0)-$AI210)</f>
        <v/>
      </c>
      <c r="AK210" s="18">
        <f>IF($A210="","",IFERROR(INDEX('2_IMPORTAR_EJECUCION'!$F$9:$F$1208,MATCH($AT210,'2_IMPORTAR_EJECUCION'!$J$9:$J$1208,0)),0))</f>
        <v/>
      </c>
      <c r="AL210" s="18">
        <f>IF($A210="","",MAX(0,IFERROR(INDEX('2_IMPORTAR_EJECUCION'!$H$9:$H$1208,MATCH($AT210,'2_IMPORTAR_EJECUCION'!$J$9:$J$1208,0)),0)-$AK210))</f>
        <v/>
      </c>
      <c r="AM210" s="18">
        <f>IF($A210="","",$AK210+$AL210)</f>
        <v/>
      </c>
      <c r="AN210" s="5">
        <f>IF($A210="","",IF(OR((IFERROR(INDEX('CAT_ACTIVIDADES'!$D$4:$D$11,MATCH($H210,'CAT_ACTIVIDADES'!$A$4:$A$11,0)),""))=0,(IFERROR(INDEX('CAT_ACTIVIDADES'!$D$4:$D$11,MATCH($H210,'CAT_ACTIVIDADES'!$A$4:$A$11,0)),""))=""),"SIN CLASIFICAR",IFERROR(INDEX('CAT_ACTIVIDADES'!$D$4:$D$11,MATCH($H210,'CAT_ACTIVIDADES'!$A$4:$A$11,0)),"")))</f>
        <v/>
      </c>
      <c r="AO210" s="4" t="n"/>
      <c r="AP210" s="4" t="n"/>
      <c r="AQ210" s="4" t="n"/>
      <c r="AR210" s="5">
        <f>IF($AQ210="","",HYPERLINK(p_ruta_base_checklists&amp;$AQ210,"abrir"))</f>
        <v/>
      </c>
      <c r="AS210" s="4" t="n"/>
      <c r="AT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2" t="n"/>
      <c r="K211" s="5" t="n"/>
      <c r="L211" s="18" t="n"/>
      <c r="M211" s="5">
        <f>IF($A211="","",IFERROR(INDEX('AJUSTES'!$B$4:$B$303,MATCH($AT211,'AJUSTES'!$A$4:$A$303,0)),IF($K211="","",$K211)))</f>
        <v/>
      </c>
      <c r="N211" s="5">
        <f>IF($A211="","",IFERROR(INDEX('CAT_ESTADOS_ERP'!$B$4:$B$7,MATCH(IFERROR(INDEX('2_IMPORTAR_EJECUCION'!$C$9:$C$1208,MATCH($AT211,'2_IMPORTAR_EJECUCION'!$J$9:$J$1208,0)),""),'CAT_ESTADOS_ERP'!$A$4:$A$7,0)),"Pendiente"))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IF($J211="","",$P211&amp;"-"&amp;TEXT($Q211,"00"))</f>
        <v/>
      </c>
      <c r="S211" s="5">
        <f>IF($J211="","",INDEX(lista_dias,WEEKDAY($J211,2)))</f>
        <v/>
      </c>
      <c r="T211" s="5">
        <f>IF($J211="","",IFERROR(INDEX('CALENDARIO'!$C$15:$C$214,MATCH(TEXT($J211,"yyyy-mm-dd")&amp;"|"&amp;$X211&amp;"|"&amp;$Y211,'CALENDARIO'!$G$15:$G$214,0)),IFERROR(INDEX('CALENDARIO'!$C$15:$C$214,MATCH(TEXT($J211,"yyyy-mm-dd")&amp;"|"&amp;$X211&amp;"|",'CALENDARIO'!$G$15:$G$214,0)),IFERROR(INDEX('CALENDARIO'!$C$15:$C$214,MATCH(TEXT($J211,"yyyy-mm-dd")&amp;"||",'CALENDARIO'!$G$15:$G$214,0)),INDEX(patronHabil,WEEKDAY($J211,2))))))</f>
        <v/>
      </c>
      <c r="U211" s="5">
        <f>IF($I211="","",IFERROR(INDEX('CAT_TIPOS_OT'!$C$4:$C$8,MATCH($I211,'CAT_TIPOS_OT'!$A$4:$A$8,0)),"sin_clasificar"))</f>
        <v/>
      </c>
      <c r="V211" s="5">
        <f>IF($I211="","",IF(IFERROR(INDEX('CAT_TIPOS_OT'!$D$4:$D$8,MATCH($I211,'CAT_TIPOS_OT'!$A$4:$A$8,0)),"SIN CLASIFICAR")="","SIN CLASIFICAR",IFERROR(INDEX('CAT_TIPOS_OT'!$D$4:$D$8,MATCH($I211,'CAT_TIPOS_OT'!$A$4:$A$8,0)),"SIN CLASIFICAR")))</f>
        <v/>
      </c>
      <c r="W211" s="5">
        <f>IF($F211="","",IFERROR(INDEX('CAT_CENTROS_COSTO'!$F$4:$F$13,MATCH($F211,'CAT_CENTROS_COSTO'!$A$4:$A$13,0)),"(sin catálogo)"))</f>
        <v/>
      </c>
      <c r="X211" s="5">
        <f>IF($F211="","",IFERROR(INDEX('CAT_CENTROS_COSTO'!$D$4:$D$13,MATCH($F211,'CAT_CENTROS_COSTO'!$A$4:$A$13,0)),"(sin catálogo)"))</f>
        <v/>
      </c>
      <c r="Y211" s="5">
        <f>IF($F211="","",IF((IFERROR(INDEX('CAT_CENTROS_COSTO'!$E$4:$E$13,MATCH($F211,'CAT_CENTROS_COSTO'!$A$4:$A$13,0)),""))&lt;&gt;"",IFERROR(INDEX('CAT_CENTROS_COSTO'!$E$4:$E$13,MATCH($F211,'CAT_CENTROS_COSTO'!$A$4:$A$13,0)),""),$X211))</f>
        <v/>
      </c>
      <c r="Z211" s="5">
        <f>IF($F211="","",IFERROR(INDEX('CAT_CENTROS_COSTO'!$G$4:$G$13,MATCH($F211,'CAT_CENTROS_COSTO'!$A$4:$A$13,0)),"(sin catálogo)"))</f>
        <v/>
      </c>
      <c r="AA211" s="5">
        <f>IF($G211="","",IFERROR(INDEX('CAT_PUESTOS'!$B$4:$B$8,MATCH($G211,'CAT_PUESTOS'!$A$4:$A$8,0)),"(sin catálogo)"))</f>
        <v/>
      </c>
      <c r="AB211" s="5">
        <f>IF($H211="","",IFERROR(INDEX('CAT_ACTIVIDADES'!$B$4:$B$11,MATCH($H211,'CAT_ACTIVIDADES'!$A$4:$A$11,0)),"(sin catálogo)"))</f>
        <v/>
      </c>
      <c r="AC211" s="20">
        <f>IF($J211="","",TODAY()-$J211)</f>
        <v/>
      </c>
      <c r="AD211" s="20">
        <f>IF($J211="","",IF($J211&lt;=TODAY(),COUNTIFS(cal_fechas,"&gt;="&amp;$J211,cal_fechas,"&lt;"&amp;TODAY(),cal_habil,"sí"),-COUNTIFS(cal_fechas,"&gt;="&amp;TODAY(),cal_fechas,"&lt;"&amp;$J211,cal_habil,"sí")))</f>
        <v/>
      </c>
      <c r="AE211" s="5">
        <f>IF($AD211="","",IF($AD211&lt;0,"FUTURO",IF($AD211&gt;p_dias_backlog_max,"BACKLOG","MES CORRIENTE")))</f>
        <v/>
      </c>
      <c r="AF211" s="5">
        <f>IF($AD211="",FALSE,AND($AD211&gt;p_dias_backlog_min,$AD211&lt;=p_dias_backlog_max))</f>
        <v/>
      </c>
      <c r="AG211" s="4" t="n"/>
      <c r="AH211" s="5">
        <f>IF($AG211="","",IF((IFERROR(INDEX('ASIGNACIONES'!$J$4:$J$451,MATCH($O211&amp;"|"&amp;$S211&amp;"|"&amp;$AG211,'ASIGNACIONES'!$N$4:$N$451,0)),""))=0,"",IFERROR(INDEX('ASIGNACIONES'!$J$4:$J$451,MATCH($O211&amp;"|"&amp;$S211&amp;"|"&amp;$AG211,'ASIGNACIONES'!$N$4:$N$451,0)),"")))</f>
        <v/>
      </c>
      <c r="AI211" s="25">
        <f>IF($AG211="","",SUMIFS('ORDENES'!$M$4:$M$1203,'ORDENES'!$AG$4:$AG$1203,$AG211,'ORDENES'!$O$4:$O$1203,$O211,'ORDENES'!$S$4:$S$1203,$S211))</f>
        <v/>
      </c>
      <c r="AJ211" s="25">
        <f>IF($AI211="","",p_factor_productividad*IFERROR(INDEX('ASIGNACIONES'!$M$4:$M$451,MATCH($O211&amp;"|"&amp;$S211&amp;"|"&amp;$AG211,'ASIGNACIONES'!$N$4:$N$451,0)),0)-$AI211)</f>
        <v/>
      </c>
      <c r="AK211" s="18">
        <f>IF($A211="","",IFERROR(INDEX('2_IMPORTAR_EJECUCION'!$F$9:$F$1208,MATCH($AT211,'2_IMPORTAR_EJECUCION'!$J$9:$J$1208,0)),0))</f>
        <v/>
      </c>
      <c r="AL211" s="18">
        <f>IF($A211="","",MAX(0,IFERROR(INDEX('2_IMPORTAR_EJECUCION'!$H$9:$H$1208,MATCH($AT211,'2_IMPORTAR_EJECUCION'!$J$9:$J$1208,0)),0)-$AK211))</f>
        <v/>
      </c>
      <c r="AM211" s="18">
        <f>IF($A211="","",$AK211+$AL211)</f>
        <v/>
      </c>
      <c r="AN211" s="5">
        <f>IF($A211="","",IF(OR((IFERROR(INDEX('CAT_ACTIVIDADES'!$D$4:$D$11,MATCH($H211,'CAT_ACTIVIDADES'!$A$4:$A$11,0)),""))=0,(IFERROR(INDEX('CAT_ACTIVIDADES'!$D$4:$D$11,MATCH($H211,'CAT_ACTIVIDADES'!$A$4:$A$11,0)),""))=""),"SIN CLASIFICAR",IFERROR(INDEX('CAT_ACTIVIDADES'!$D$4:$D$11,MATCH($H211,'CAT_ACTIVIDADES'!$A$4:$A$11,0)),"")))</f>
        <v/>
      </c>
      <c r="AO211" s="4" t="n"/>
      <c r="AP211" s="4" t="n"/>
      <c r="AQ211" s="4" t="n"/>
      <c r="AR211" s="5">
        <f>IF($AQ211="","",HYPERLINK(p_ruta_base_checklists&amp;$AQ211,"abrir"))</f>
        <v/>
      </c>
      <c r="AS211" s="4" t="n"/>
      <c r="AT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2" t="n"/>
      <c r="K212" s="5" t="n"/>
      <c r="L212" s="18" t="n"/>
      <c r="M212" s="5">
        <f>IF($A212="","",IFERROR(INDEX('AJUSTES'!$B$4:$B$303,MATCH($AT212,'AJUSTES'!$A$4:$A$303,0)),IF($K212="","",$K212)))</f>
        <v/>
      </c>
      <c r="N212" s="5">
        <f>IF($A212="","",IFERROR(INDEX('CAT_ESTADOS_ERP'!$B$4:$B$7,MATCH(IFERROR(INDEX('2_IMPORTAR_EJECUCION'!$C$9:$C$1208,MATCH($AT212,'2_IMPORTAR_EJECUCION'!$J$9:$J$1208,0)),""),'CAT_ESTADOS_ERP'!$A$4:$A$7,0)),"Pendiente"))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IF($J212="","",$P212&amp;"-"&amp;TEXT($Q212,"00"))</f>
        <v/>
      </c>
      <c r="S212" s="5">
        <f>IF($J212="","",INDEX(lista_dias,WEEKDAY($J212,2)))</f>
        <v/>
      </c>
      <c r="T212" s="5">
        <f>IF($J212="","",IFERROR(INDEX('CALENDARIO'!$C$15:$C$214,MATCH(TEXT($J212,"yyyy-mm-dd")&amp;"|"&amp;$X212&amp;"|"&amp;$Y212,'CALENDARIO'!$G$15:$G$214,0)),IFERROR(INDEX('CALENDARIO'!$C$15:$C$214,MATCH(TEXT($J212,"yyyy-mm-dd")&amp;"|"&amp;$X212&amp;"|",'CALENDARIO'!$G$15:$G$214,0)),IFERROR(INDEX('CALENDARIO'!$C$15:$C$214,MATCH(TEXT($J212,"yyyy-mm-dd")&amp;"||",'CALENDARIO'!$G$15:$G$214,0)),INDEX(patronHabil,WEEKDAY($J212,2))))))</f>
        <v/>
      </c>
      <c r="U212" s="5">
        <f>IF($I212="","",IFERROR(INDEX('CAT_TIPOS_OT'!$C$4:$C$8,MATCH($I212,'CAT_TIPOS_OT'!$A$4:$A$8,0)),"sin_clasificar"))</f>
        <v/>
      </c>
      <c r="V212" s="5">
        <f>IF($I212="","",IF(IFERROR(INDEX('CAT_TIPOS_OT'!$D$4:$D$8,MATCH($I212,'CAT_TIPOS_OT'!$A$4:$A$8,0)),"SIN CLASIFICAR")="","SIN CLASIFICAR",IFERROR(INDEX('CAT_TIPOS_OT'!$D$4:$D$8,MATCH($I212,'CAT_TIPOS_OT'!$A$4:$A$8,0)),"SIN CLASIFICAR")))</f>
        <v/>
      </c>
      <c r="W212" s="5">
        <f>IF($F212="","",IFERROR(INDEX('CAT_CENTROS_COSTO'!$F$4:$F$13,MATCH($F212,'CAT_CENTROS_COSTO'!$A$4:$A$13,0)),"(sin catálogo)"))</f>
        <v/>
      </c>
      <c r="X212" s="5">
        <f>IF($F212="","",IFERROR(INDEX('CAT_CENTROS_COSTO'!$D$4:$D$13,MATCH($F212,'CAT_CENTROS_COSTO'!$A$4:$A$13,0)),"(sin catálogo)"))</f>
        <v/>
      </c>
      <c r="Y212" s="5">
        <f>IF($F212="","",IF((IFERROR(INDEX('CAT_CENTROS_COSTO'!$E$4:$E$13,MATCH($F212,'CAT_CENTROS_COSTO'!$A$4:$A$13,0)),""))&lt;&gt;"",IFERROR(INDEX('CAT_CENTROS_COSTO'!$E$4:$E$13,MATCH($F212,'CAT_CENTROS_COSTO'!$A$4:$A$13,0)),""),$X212))</f>
        <v/>
      </c>
      <c r="Z212" s="5">
        <f>IF($F212="","",IFERROR(INDEX('CAT_CENTROS_COSTO'!$G$4:$G$13,MATCH($F212,'CAT_CENTROS_COSTO'!$A$4:$A$13,0)),"(sin catálogo)"))</f>
        <v/>
      </c>
      <c r="AA212" s="5">
        <f>IF($G212="","",IFERROR(INDEX('CAT_PUESTOS'!$B$4:$B$8,MATCH($G212,'CAT_PUESTOS'!$A$4:$A$8,0)),"(sin catálogo)"))</f>
        <v/>
      </c>
      <c r="AB212" s="5">
        <f>IF($H212="","",IFERROR(INDEX('CAT_ACTIVIDADES'!$B$4:$B$11,MATCH($H212,'CAT_ACTIVIDADES'!$A$4:$A$11,0)),"(sin catálogo)"))</f>
        <v/>
      </c>
      <c r="AC212" s="20">
        <f>IF($J212="","",TODAY()-$J212)</f>
        <v/>
      </c>
      <c r="AD212" s="20">
        <f>IF($J212="","",IF($J212&lt;=TODAY(),COUNTIFS(cal_fechas,"&gt;="&amp;$J212,cal_fechas,"&lt;"&amp;TODAY(),cal_habil,"sí"),-COUNTIFS(cal_fechas,"&gt;="&amp;TODAY(),cal_fechas,"&lt;"&amp;$J212,cal_habil,"sí")))</f>
        <v/>
      </c>
      <c r="AE212" s="5">
        <f>IF($AD212="","",IF($AD212&lt;0,"FUTURO",IF($AD212&gt;p_dias_backlog_max,"BACKLOG","MES CORRIENTE")))</f>
        <v/>
      </c>
      <c r="AF212" s="5">
        <f>IF($AD212="",FALSE,AND($AD212&gt;p_dias_backlog_min,$AD212&lt;=p_dias_backlog_max))</f>
        <v/>
      </c>
      <c r="AG212" s="4" t="n"/>
      <c r="AH212" s="5">
        <f>IF($AG212="","",IF((IFERROR(INDEX('ASIGNACIONES'!$J$4:$J$451,MATCH($O212&amp;"|"&amp;$S212&amp;"|"&amp;$AG212,'ASIGNACIONES'!$N$4:$N$451,0)),""))=0,"",IFERROR(INDEX('ASIGNACIONES'!$J$4:$J$451,MATCH($O212&amp;"|"&amp;$S212&amp;"|"&amp;$AG212,'ASIGNACIONES'!$N$4:$N$451,0)),"")))</f>
        <v/>
      </c>
      <c r="AI212" s="25">
        <f>IF($AG212="","",SUMIFS('ORDENES'!$M$4:$M$1203,'ORDENES'!$AG$4:$AG$1203,$AG212,'ORDENES'!$O$4:$O$1203,$O212,'ORDENES'!$S$4:$S$1203,$S212))</f>
        <v/>
      </c>
      <c r="AJ212" s="25">
        <f>IF($AI212="","",p_factor_productividad*IFERROR(INDEX('ASIGNACIONES'!$M$4:$M$451,MATCH($O212&amp;"|"&amp;$S212&amp;"|"&amp;$AG212,'ASIGNACIONES'!$N$4:$N$451,0)),0)-$AI212)</f>
        <v/>
      </c>
      <c r="AK212" s="18">
        <f>IF($A212="","",IFERROR(INDEX('2_IMPORTAR_EJECUCION'!$F$9:$F$1208,MATCH($AT212,'2_IMPORTAR_EJECUCION'!$J$9:$J$1208,0)),0))</f>
        <v/>
      </c>
      <c r="AL212" s="18">
        <f>IF($A212="","",MAX(0,IFERROR(INDEX('2_IMPORTAR_EJECUCION'!$H$9:$H$1208,MATCH($AT212,'2_IMPORTAR_EJECUCION'!$J$9:$J$1208,0)),0)-$AK212))</f>
        <v/>
      </c>
      <c r="AM212" s="18">
        <f>IF($A212="","",$AK212+$AL212)</f>
        <v/>
      </c>
      <c r="AN212" s="5">
        <f>IF($A212="","",IF(OR((IFERROR(INDEX('CAT_ACTIVIDADES'!$D$4:$D$11,MATCH($H212,'CAT_ACTIVIDADES'!$A$4:$A$11,0)),""))=0,(IFERROR(INDEX('CAT_ACTIVIDADES'!$D$4:$D$11,MATCH($H212,'CAT_ACTIVIDADES'!$A$4:$A$11,0)),""))=""),"SIN CLASIFICAR",IFERROR(INDEX('CAT_ACTIVIDADES'!$D$4:$D$11,MATCH($H212,'CAT_ACTIVIDADES'!$A$4:$A$11,0)),"")))</f>
        <v/>
      </c>
      <c r="AO212" s="4" t="n"/>
      <c r="AP212" s="4" t="n"/>
      <c r="AQ212" s="4" t="n"/>
      <c r="AR212" s="5">
        <f>IF($AQ212="","",HYPERLINK(p_ruta_base_checklists&amp;$AQ212,"abrir"))</f>
        <v/>
      </c>
      <c r="AS212" s="4" t="n"/>
      <c r="AT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2" t="n"/>
      <c r="K213" s="5" t="n"/>
      <c r="L213" s="18" t="n"/>
      <c r="M213" s="5">
        <f>IF($A213="","",IFERROR(INDEX('AJUSTES'!$B$4:$B$303,MATCH($AT213,'AJUSTES'!$A$4:$A$303,0)),IF($K213="","",$K213)))</f>
        <v/>
      </c>
      <c r="N213" s="5">
        <f>IF($A213="","",IFERROR(INDEX('CAT_ESTADOS_ERP'!$B$4:$B$7,MATCH(IFERROR(INDEX('2_IMPORTAR_EJECUCION'!$C$9:$C$1208,MATCH($AT213,'2_IMPORTAR_EJECUCION'!$J$9:$J$1208,0)),""),'CAT_ESTADOS_ERP'!$A$4:$A$7,0)),"Pendiente"))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IF($J213="","",$P213&amp;"-"&amp;TEXT($Q213,"00"))</f>
        <v/>
      </c>
      <c r="S213" s="5">
        <f>IF($J213="","",INDEX(lista_dias,WEEKDAY($J213,2)))</f>
        <v/>
      </c>
      <c r="T213" s="5">
        <f>IF($J213="","",IFERROR(INDEX('CALENDARIO'!$C$15:$C$214,MATCH(TEXT($J213,"yyyy-mm-dd")&amp;"|"&amp;$X213&amp;"|"&amp;$Y213,'CALENDARIO'!$G$15:$G$214,0)),IFERROR(INDEX('CALENDARIO'!$C$15:$C$214,MATCH(TEXT($J213,"yyyy-mm-dd")&amp;"|"&amp;$X213&amp;"|",'CALENDARIO'!$G$15:$G$214,0)),IFERROR(INDEX('CALENDARIO'!$C$15:$C$214,MATCH(TEXT($J213,"yyyy-mm-dd")&amp;"||",'CALENDARIO'!$G$15:$G$214,0)),INDEX(patronHabil,WEEKDAY($J213,2))))))</f>
        <v/>
      </c>
      <c r="U213" s="5">
        <f>IF($I213="","",IFERROR(INDEX('CAT_TIPOS_OT'!$C$4:$C$8,MATCH($I213,'CAT_TIPOS_OT'!$A$4:$A$8,0)),"sin_clasificar"))</f>
        <v/>
      </c>
      <c r="V213" s="5">
        <f>IF($I213="","",IF(IFERROR(INDEX('CAT_TIPOS_OT'!$D$4:$D$8,MATCH($I213,'CAT_TIPOS_OT'!$A$4:$A$8,0)),"SIN CLASIFICAR")="","SIN CLASIFICAR",IFERROR(INDEX('CAT_TIPOS_OT'!$D$4:$D$8,MATCH($I213,'CAT_TIPOS_OT'!$A$4:$A$8,0)),"SIN CLASIFICAR")))</f>
        <v/>
      </c>
      <c r="W213" s="5">
        <f>IF($F213="","",IFERROR(INDEX('CAT_CENTROS_COSTO'!$F$4:$F$13,MATCH($F213,'CAT_CENTROS_COSTO'!$A$4:$A$13,0)),"(sin catálogo)"))</f>
        <v/>
      </c>
      <c r="X213" s="5">
        <f>IF($F213="","",IFERROR(INDEX('CAT_CENTROS_COSTO'!$D$4:$D$13,MATCH($F213,'CAT_CENTROS_COSTO'!$A$4:$A$13,0)),"(sin catálogo)"))</f>
        <v/>
      </c>
      <c r="Y213" s="5">
        <f>IF($F213="","",IF((IFERROR(INDEX('CAT_CENTROS_COSTO'!$E$4:$E$13,MATCH($F213,'CAT_CENTROS_COSTO'!$A$4:$A$13,0)),""))&lt;&gt;"",IFERROR(INDEX('CAT_CENTROS_COSTO'!$E$4:$E$13,MATCH($F213,'CAT_CENTROS_COSTO'!$A$4:$A$13,0)),""),$X213))</f>
        <v/>
      </c>
      <c r="Z213" s="5">
        <f>IF($F213="","",IFERROR(INDEX('CAT_CENTROS_COSTO'!$G$4:$G$13,MATCH($F213,'CAT_CENTROS_COSTO'!$A$4:$A$13,0)),"(sin catálogo)"))</f>
        <v/>
      </c>
      <c r="AA213" s="5">
        <f>IF($G213="","",IFERROR(INDEX('CAT_PUESTOS'!$B$4:$B$8,MATCH($G213,'CAT_PUESTOS'!$A$4:$A$8,0)),"(sin catálogo)"))</f>
        <v/>
      </c>
      <c r="AB213" s="5">
        <f>IF($H213="","",IFERROR(INDEX('CAT_ACTIVIDADES'!$B$4:$B$11,MATCH($H213,'CAT_ACTIVIDADES'!$A$4:$A$11,0)),"(sin catálogo)"))</f>
        <v/>
      </c>
      <c r="AC213" s="20">
        <f>IF($J213="","",TODAY()-$J213)</f>
        <v/>
      </c>
      <c r="AD213" s="20">
        <f>IF($J213="","",IF($J213&lt;=TODAY(),COUNTIFS(cal_fechas,"&gt;="&amp;$J213,cal_fechas,"&lt;"&amp;TODAY(),cal_habil,"sí"),-COUNTIFS(cal_fechas,"&gt;="&amp;TODAY(),cal_fechas,"&lt;"&amp;$J213,cal_habil,"sí")))</f>
        <v/>
      </c>
      <c r="AE213" s="5">
        <f>IF($AD213="","",IF($AD213&lt;0,"FUTURO",IF($AD213&gt;p_dias_backlog_max,"BACKLOG","MES CORRIENTE")))</f>
        <v/>
      </c>
      <c r="AF213" s="5">
        <f>IF($AD213="",FALSE,AND($AD213&gt;p_dias_backlog_min,$AD213&lt;=p_dias_backlog_max))</f>
        <v/>
      </c>
      <c r="AG213" s="4" t="n"/>
      <c r="AH213" s="5">
        <f>IF($AG213="","",IF((IFERROR(INDEX('ASIGNACIONES'!$J$4:$J$451,MATCH($O213&amp;"|"&amp;$S213&amp;"|"&amp;$AG213,'ASIGNACIONES'!$N$4:$N$451,0)),""))=0,"",IFERROR(INDEX('ASIGNACIONES'!$J$4:$J$451,MATCH($O213&amp;"|"&amp;$S213&amp;"|"&amp;$AG213,'ASIGNACIONES'!$N$4:$N$451,0)),"")))</f>
        <v/>
      </c>
      <c r="AI213" s="25">
        <f>IF($AG213="","",SUMIFS('ORDENES'!$M$4:$M$1203,'ORDENES'!$AG$4:$AG$1203,$AG213,'ORDENES'!$O$4:$O$1203,$O213,'ORDENES'!$S$4:$S$1203,$S213))</f>
        <v/>
      </c>
      <c r="AJ213" s="25">
        <f>IF($AI213="","",p_factor_productividad*IFERROR(INDEX('ASIGNACIONES'!$M$4:$M$451,MATCH($O213&amp;"|"&amp;$S213&amp;"|"&amp;$AG213,'ASIGNACIONES'!$N$4:$N$451,0)),0)-$AI213)</f>
        <v/>
      </c>
      <c r="AK213" s="18">
        <f>IF($A213="","",IFERROR(INDEX('2_IMPORTAR_EJECUCION'!$F$9:$F$1208,MATCH($AT213,'2_IMPORTAR_EJECUCION'!$J$9:$J$1208,0)),0))</f>
        <v/>
      </c>
      <c r="AL213" s="18">
        <f>IF($A213="","",MAX(0,IFERROR(INDEX('2_IMPORTAR_EJECUCION'!$H$9:$H$1208,MATCH($AT213,'2_IMPORTAR_EJECUCION'!$J$9:$J$1208,0)),0)-$AK213))</f>
        <v/>
      </c>
      <c r="AM213" s="18">
        <f>IF($A213="","",$AK213+$AL213)</f>
        <v/>
      </c>
      <c r="AN213" s="5">
        <f>IF($A213="","",IF(OR((IFERROR(INDEX('CAT_ACTIVIDADES'!$D$4:$D$11,MATCH($H213,'CAT_ACTIVIDADES'!$A$4:$A$11,0)),""))=0,(IFERROR(INDEX('CAT_ACTIVIDADES'!$D$4:$D$11,MATCH($H213,'CAT_ACTIVIDADES'!$A$4:$A$11,0)),""))=""),"SIN CLASIFICAR",IFERROR(INDEX('CAT_ACTIVIDADES'!$D$4:$D$11,MATCH($H213,'CAT_ACTIVIDADES'!$A$4:$A$11,0)),"")))</f>
        <v/>
      </c>
      <c r="AO213" s="4" t="n"/>
      <c r="AP213" s="4" t="n"/>
      <c r="AQ213" s="4" t="n"/>
      <c r="AR213" s="5">
        <f>IF($AQ213="","",HYPERLINK(p_ruta_base_checklists&amp;$AQ213,"abrir"))</f>
        <v/>
      </c>
      <c r="AS213" s="4" t="n"/>
      <c r="AT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2" t="n"/>
      <c r="K214" s="5" t="n"/>
      <c r="L214" s="18" t="n"/>
      <c r="M214" s="5">
        <f>IF($A214="","",IFERROR(INDEX('AJUSTES'!$B$4:$B$303,MATCH($AT214,'AJUSTES'!$A$4:$A$303,0)),IF($K214="","",$K214)))</f>
        <v/>
      </c>
      <c r="N214" s="5">
        <f>IF($A214="","",IFERROR(INDEX('CAT_ESTADOS_ERP'!$B$4:$B$7,MATCH(IFERROR(INDEX('2_IMPORTAR_EJECUCION'!$C$9:$C$1208,MATCH($AT214,'2_IMPORTAR_EJECUCION'!$J$9:$J$1208,0)),""),'CAT_ESTADOS_ERP'!$A$4:$A$7,0)),"Pendiente"))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IF($J214="","",$P214&amp;"-"&amp;TEXT($Q214,"00"))</f>
        <v/>
      </c>
      <c r="S214" s="5">
        <f>IF($J214="","",INDEX(lista_dias,WEEKDAY($J214,2)))</f>
        <v/>
      </c>
      <c r="T214" s="5">
        <f>IF($J214="","",IFERROR(INDEX('CALENDARIO'!$C$15:$C$214,MATCH(TEXT($J214,"yyyy-mm-dd")&amp;"|"&amp;$X214&amp;"|"&amp;$Y214,'CALENDARIO'!$G$15:$G$214,0)),IFERROR(INDEX('CALENDARIO'!$C$15:$C$214,MATCH(TEXT($J214,"yyyy-mm-dd")&amp;"|"&amp;$X214&amp;"|",'CALENDARIO'!$G$15:$G$214,0)),IFERROR(INDEX('CALENDARIO'!$C$15:$C$214,MATCH(TEXT($J214,"yyyy-mm-dd")&amp;"||",'CALENDARIO'!$G$15:$G$214,0)),INDEX(patronHabil,WEEKDAY($J214,2))))))</f>
        <v/>
      </c>
      <c r="U214" s="5">
        <f>IF($I214="","",IFERROR(INDEX('CAT_TIPOS_OT'!$C$4:$C$8,MATCH($I214,'CAT_TIPOS_OT'!$A$4:$A$8,0)),"sin_clasificar"))</f>
        <v/>
      </c>
      <c r="V214" s="5">
        <f>IF($I214="","",IF(IFERROR(INDEX('CAT_TIPOS_OT'!$D$4:$D$8,MATCH($I214,'CAT_TIPOS_OT'!$A$4:$A$8,0)),"SIN CLASIFICAR")="","SIN CLASIFICAR",IFERROR(INDEX('CAT_TIPOS_OT'!$D$4:$D$8,MATCH($I214,'CAT_TIPOS_OT'!$A$4:$A$8,0)),"SIN CLASIFICAR")))</f>
        <v/>
      </c>
      <c r="W214" s="5">
        <f>IF($F214="","",IFERROR(INDEX('CAT_CENTROS_COSTO'!$F$4:$F$13,MATCH($F214,'CAT_CENTROS_COSTO'!$A$4:$A$13,0)),"(sin catálogo)"))</f>
        <v/>
      </c>
      <c r="X214" s="5">
        <f>IF($F214="","",IFERROR(INDEX('CAT_CENTROS_COSTO'!$D$4:$D$13,MATCH($F214,'CAT_CENTROS_COSTO'!$A$4:$A$13,0)),"(sin catálogo)"))</f>
        <v/>
      </c>
      <c r="Y214" s="5">
        <f>IF($F214="","",IF((IFERROR(INDEX('CAT_CENTROS_COSTO'!$E$4:$E$13,MATCH($F214,'CAT_CENTROS_COSTO'!$A$4:$A$13,0)),""))&lt;&gt;"",IFERROR(INDEX('CAT_CENTROS_COSTO'!$E$4:$E$13,MATCH($F214,'CAT_CENTROS_COSTO'!$A$4:$A$13,0)),""),$X214))</f>
        <v/>
      </c>
      <c r="Z214" s="5">
        <f>IF($F214="","",IFERROR(INDEX('CAT_CENTROS_COSTO'!$G$4:$G$13,MATCH($F214,'CAT_CENTROS_COSTO'!$A$4:$A$13,0)),"(sin catálogo)"))</f>
        <v/>
      </c>
      <c r="AA214" s="5">
        <f>IF($G214="","",IFERROR(INDEX('CAT_PUESTOS'!$B$4:$B$8,MATCH($G214,'CAT_PUESTOS'!$A$4:$A$8,0)),"(sin catálogo)"))</f>
        <v/>
      </c>
      <c r="AB214" s="5">
        <f>IF($H214="","",IFERROR(INDEX('CAT_ACTIVIDADES'!$B$4:$B$11,MATCH($H214,'CAT_ACTIVIDADES'!$A$4:$A$11,0)),"(sin catálogo)"))</f>
        <v/>
      </c>
      <c r="AC214" s="20">
        <f>IF($J214="","",TODAY()-$J214)</f>
        <v/>
      </c>
      <c r="AD214" s="20">
        <f>IF($J214="","",IF($J214&lt;=TODAY(),COUNTIFS(cal_fechas,"&gt;="&amp;$J214,cal_fechas,"&lt;"&amp;TODAY(),cal_habil,"sí"),-COUNTIFS(cal_fechas,"&gt;="&amp;TODAY(),cal_fechas,"&lt;"&amp;$J214,cal_habil,"sí")))</f>
        <v/>
      </c>
      <c r="AE214" s="5">
        <f>IF($AD214="","",IF($AD214&lt;0,"FUTURO",IF($AD214&gt;p_dias_backlog_max,"BACKLOG","MES CORRIENTE")))</f>
        <v/>
      </c>
      <c r="AF214" s="5">
        <f>IF($AD214="",FALSE,AND($AD214&gt;p_dias_backlog_min,$AD214&lt;=p_dias_backlog_max))</f>
        <v/>
      </c>
      <c r="AG214" s="4" t="n"/>
      <c r="AH214" s="5">
        <f>IF($AG214="","",IF((IFERROR(INDEX('ASIGNACIONES'!$J$4:$J$451,MATCH($O214&amp;"|"&amp;$S214&amp;"|"&amp;$AG214,'ASIGNACIONES'!$N$4:$N$451,0)),""))=0,"",IFERROR(INDEX('ASIGNACIONES'!$J$4:$J$451,MATCH($O214&amp;"|"&amp;$S214&amp;"|"&amp;$AG214,'ASIGNACIONES'!$N$4:$N$451,0)),"")))</f>
        <v/>
      </c>
      <c r="AI214" s="25">
        <f>IF($AG214="","",SUMIFS('ORDENES'!$M$4:$M$1203,'ORDENES'!$AG$4:$AG$1203,$AG214,'ORDENES'!$O$4:$O$1203,$O214,'ORDENES'!$S$4:$S$1203,$S214))</f>
        <v/>
      </c>
      <c r="AJ214" s="25">
        <f>IF($AI214="","",p_factor_productividad*IFERROR(INDEX('ASIGNACIONES'!$M$4:$M$451,MATCH($O214&amp;"|"&amp;$S214&amp;"|"&amp;$AG214,'ASIGNACIONES'!$N$4:$N$451,0)),0)-$AI214)</f>
        <v/>
      </c>
      <c r="AK214" s="18">
        <f>IF($A214="","",IFERROR(INDEX('2_IMPORTAR_EJECUCION'!$F$9:$F$1208,MATCH($AT214,'2_IMPORTAR_EJECUCION'!$J$9:$J$1208,0)),0))</f>
        <v/>
      </c>
      <c r="AL214" s="18">
        <f>IF($A214="","",MAX(0,IFERROR(INDEX('2_IMPORTAR_EJECUCION'!$H$9:$H$1208,MATCH($AT214,'2_IMPORTAR_EJECUCION'!$J$9:$J$1208,0)),0)-$AK214))</f>
        <v/>
      </c>
      <c r="AM214" s="18">
        <f>IF($A214="","",$AK214+$AL214)</f>
        <v/>
      </c>
      <c r="AN214" s="5">
        <f>IF($A214="","",IF(OR((IFERROR(INDEX('CAT_ACTIVIDADES'!$D$4:$D$11,MATCH($H214,'CAT_ACTIVIDADES'!$A$4:$A$11,0)),""))=0,(IFERROR(INDEX('CAT_ACTIVIDADES'!$D$4:$D$11,MATCH($H214,'CAT_ACTIVIDADES'!$A$4:$A$11,0)),""))=""),"SIN CLASIFICAR",IFERROR(INDEX('CAT_ACTIVIDADES'!$D$4:$D$11,MATCH($H214,'CAT_ACTIVIDADES'!$A$4:$A$11,0)),"")))</f>
        <v/>
      </c>
      <c r="AO214" s="4" t="n"/>
      <c r="AP214" s="4" t="n"/>
      <c r="AQ214" s="4" t="n"/>
      <c r="AR214" s="5">
        <f>IF($AQ214="","",HYPERLINK(p_ruta_base_checklists&amp;$AQ214,"abrir"))</f>
        <v/>
      </c>
      <c r="AS214" s="4" t="n"/>
      <c r="AT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2" t="n"/>
      <c r="K215" s="5" t="n"/>
      <c r="L215" s="18" t="n"/>
      <c r="M215" s="5">
        <f>IF($A215="","",IFERROR(INDEX('AJUSTES'!$B$4:$B$303,MATCH($AT215,'AJUSTES'!$A$4:$A$303,0)),IF($K215="","",$K215)))</f>
        <v/>
      </c>
      <c r="N215" s="5">
        <f>IF($A215="","",IFERROR(INDEX('CAT_ESTADOS_ERP'!$B$4:$B$7,MATCH(IFERROR(INDEX('2_IMPORTAR_EJECUCION'!$C$9:$C$1208,MATCH($AT215,'2_IMPORTAR_EJECUCION'!$J$9:$J$1208,0)),""),'CAT_ESTADOS_ERP'!$A$4:$A$7,0)),"Pendiente"))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IF($J215="","",$P215&amp;"-"&amp;TEXT($Q215,"00"))</f>
        <v/>
      </c>
      <c r="S215" s="5">
        <f>IF($J215="","",INDEX(lista_dias,WEEKDAY($J215,2)))</f>
        <v/>
      </c>
      <c r="T215" s="5">
        <f>IF($J215="","",IFERROR(INDEX('CALENDARIO'!$C$15:$C$214,MATCH(TEXT($J215,"yyyy-mm-dd")&amp;"|"&amp;$X215&amp;"|"&amp;$Y215,'CALENDARIO'!$G$15:$G$214,0)),IFERROR(INDEX('CALENDARIO'!$C$15:$C$214,MATCH(TEXT($J215,"yyyy-mm-dd")&amp;"|"&amp;$X215&amp;"|",'CALENDARIO'!$G$15:$G$214,0)),IFERROR(INDEX('CALENDARIO'!$C$15:$C$214,MATCH(TEXT($J215,"yyyy-mm-dd")&amp;"||",'CALENDARIO'!$G$15:$G$214,0)),INDEX(patronHabil,WEEKDAY($J215,2))))))</f>
        <v/>
      </c>
      <c r="U215" s="5">
        <f>IF($I215="","",IFERROR(INDEX('CAT_TIPOS_OT'!$C$4:$C$8,MATCH($I215,'CAT_TIPOS_OT'!$A$4:$A$8,0)),"sin_clasificar"))</f>
        <v/>
      </c>
      <c r="V215" s="5">
        <f>IF($I215="","",IF(IFERROR(INDEX('CAT_TIPOS_OT'!$D$4:$D$8,MATCH($I215,'CAT_TIPOS_OT'!$A$4:$A$8,0)),"SIN CLASIFICAR")="","SIN CLASIFICAR",IFERROR(INDEX('CAT_TIPOS_OT'!$D$4:$D$8,MATCH($I215,'CAT_TIPOS_OT'!$A$4:$A$8,0)),"SIN CLASIFICAR")))</f>
        <v/>
      </c>
      <c r="W215" s="5">
        <f>IF($F215="","",IFERROR(INDEX('CAT_CENTROS_COSTO'!$F$4:$F$13,MATCH($F215,'CAT_CENTROS_COSTO'!$A$4:$A$13,0)),"(sin catálogo)"))</f>
        <v/>
      </c>
      <c r="X215" s="5">
        <f>IF($F215="","",IFERROR(INDEX('CAT_CENTROS_COSTO'!$D$4:$D$13,MATCH($F215,'CAT_CENTROS_COSTO'!$A$4:$A$13,0)),"(sin catálogo)"))</f>
        <v/>
      </c>
      <c r="Y215" s="5">
        <f>IF($F215="","",IF((IFERROR(INDEX('CAT_CENTROS_COSTO'!$E$4:$E$13,MATCH($F215,'CAT_CENTROS_COSTO'!$A$4:$A$13,0)),""))&lt;&gt;"",IFERROR(INDEX('CAT_CENTROS_COSTO'!$E$4:$E$13,MATCH($F215,'CAT_CENTROS_COSTO'!$A$4:$A$13,0)),""),$X215))</f>
        <v/>
      </c>
      <c r="Z215" s="5">
        <f>IF($F215="","",IFERROR(INDEX('CAT_CENTROS_COSTO'!$G$4:$G$13,MATCH($F215,'CAT_CENTROS_COSTO'!$A$4:$A$13,0)),"(sin catálogo)"))</f>
        <v/>
      </c>
      <c r="AA215" s="5">
        <f>IF($G215="","",IFERROR(INDEX('CAT_PUESTOS'!$B$4:$B$8,MATCH($G215,'CAT_PUESTOS'!$A$4:$A$8,0)),"(sin catálogo)"))</f>
        <v/>
      </c>
      <c r="AB215" s="5">
        <f>IF($H215="","",IFERROR(INDEX('CAT_ACTIVIDADES'!$B$4:$B$11,MATCH($H215,'CAT_ACTIVIDADES'!$A$4:$A$11,0)),"(sin catálogo)"))</f>
        <v/>
      </c>
      <c r="AC215" s="20">
        <f>IF($J215="","",TODAY()-$J215)</f>
        <v/>
      </c>
      <c r="AD215" s="20">
        <f>IF($J215="","",IF($J215&lt;=TODAY(),COUNTIFS(cal_fechas,"&gt;="&amp;$J215,cal_fechas,"&lt;"&amp;TODAY(),cal_habil,"sí"),-COUNTIFS(cal_fechas,"&gt;="&amp;TODAY(),cal_fechas,"&lt;"&amp;$J215,cal_habil,"sí")))</f>
        <v/>
      </c>
      <c r="AE215" s="5">
        <f>IF($AD215="","",IF($AD215&lt;0,"FUTURO",IF($AD215&gt;p_dias_backlog_max,"BACKLOG","MES CORRIENTE")))</f>
        <v/>
      </c>
      <c r="AF215" s="5">
        <f>IF($AD215="",FALSE,AND($AD215&gt;p_dias_backlog_min,$AD215&lt;=p_dias_backlog_max))</f>
        <v/>
      </c>
      <c r="AG215" s="4" t="n"/>
      <c r="AH215" s="5">
        <f>IF($AG215="","",IF((IFERROR(INDEX('ASIGNACIONES'!$J$4:$J$451,MATCH($O215&amp;"|"&amp;$S215&amp;"|"&amp;$AG215,'ASIGNACIONES'!$N$4:$N$451,0)),""))=0,"",IFERROR(INDEX('ASIGNACIONES'!$J$4:$J$451,MATCH($O215&amp;"|"&amp;$S215&amp;"|"&amp;$AG215,'ASIGNACIONES'!$N$4:$N$451,0)),"")))</f>
        <v/>
      </c>
      <c r="AI215" s="25">
        <f>IF($AG215="","",SUMIFS('ORDENES'!$M$4:$M$1203,'ORDENES'!$AG$4:$AG$1203,$AG215,'ORDENES'!$O$4:$O$1203,$O215,'ORDENES'!$S$4:$S$1203,$S215))</f>
        <v/>
      </c>
      <c r="AJ215" s="25">
        <f>IF($AI215="","",p_factor_productividad*IFERROR(INDEX('ASIGNACIONES'!$M$4:$M$451,MATCH($O215&amp;"|"&amp;$S215&amp;"|"&amp;$AG215,'ASIGNACIONES'!$N$4:$N$451,0)),0)-$AI215)</f>
        <v/>
      </c>
      <c r="AK215" s="18">
        <f>IF($A215="","",IFERROR(INDEX('2_IMPORTAR_EJECUCION'!$F$9:$F$1208,MATCH($AT215,'2_IMPORTAR_EJECUCION'!$J$9:$J$1208,0)),0))</f>
        <v/>
      </c>
      <c r="AL215" s="18">
        <f>IF($A215="","",MAX(0,IFERROR(INDEX('2_IMPORTAR_EJECUCION'!$H$9:$H$1208,MATCH($AT215,'2_IMPORTAR_EJECUCION'!$J$9:$J$1208,0)),0)-$AK215))</f>
        <v/>
      </c>
      <c r="AM215" s="18">
        <f>IF($A215="","",$AK215+$AL215)</f>
        <v/>
      </c>
      <c r="AN215" s="5">
        <f>IF($A215="","",IF(OR((IFERROR(INDEX('CAT_ACTIVIDADES'!$D$4:$D$11,MATCH($H215,'CAT_ACTIVIDADES'!$A$4:$A$11,0)),""))=0,(IFERROR(INDEX('CAT_ACTIVIDADES'!$D$4:$D$11,MATCH($H215,'CAT_ACTIVIDADES'!$A$4:$A$11,0)),""))=""),"SIN CLASIFICAR",IFERROR(INDEX('CAT_ACTIVIDADES'!$D$4:$D$11,MATCH($H215,'CAT_ACTIVIDADES'!$A$4:$A$11,0)),"")))</f>
        <v/>
      </c>
      <c r="AO215" s="4" t="n"/>
      <c r="AP215" s="4" t="n"/>
      <c r="AQ215" s="4" t="n"/>
      <c r="AR215" s="5">
        <f>IF($AQ215="","",HYPERLINK(p_ruta_base_checklists&amp;$AQ215,"abrir"))</f>
        <v/>
      </c>
      <c r="AS215" s="4" t="n"/>
      <c r="AT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2" t="n"/>
      <c r="K216" s="5" t="n"/>
      <c r="L216" s="18" t="n"/>
      <c r="M216" s="5">
        <f>IF($A216="","",IFERROR(INDEX('AJUSTES'!$B$4:$B$303,MATCH($AT216,'AJUSTES'!$A$4:$A$303,0)),IF($K216="","",$K216)))</f>
        <v/>
      </c>
      <c r="N216" s="5">
        <f>IF($A216="","",IFERROR(INDEX('CAT_ESTADOS_ERP'!$B$4:$B$7,MATCH(IFERROR(INDEX('2_IMPORTAR_EJECUCION'!$C$9:$C$1208,MATCH($AT216,'2_IMPORTAR_EJECUCION'!$J$9:$J$1208,0)),""),'CAT_ESTADOS_ERP'!$A$4:$A$7,0)),"Pendiente"))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IF($J216="","",$P216&amp;"-"&amp;TEXT($Q216,"00"))</f>
        <v/>
      </c>
      <c r="S216" s="5">
        <f>IF($J216="","",INDEX(lista_dias,WEEKDAY($J216,2)))</f>
        <v/>
      </c>
      <c r="T216" s="5">
        <f>IF($J216="","",IFERROR(INDEX('CALENDARIO'!$C$15:$C$214,MATCH(TEXT($J216,"yyyy-mm-dd")&amp;"|"&amp;$X216&amp;"|"&amp;$Y216,'CALENDARIO'!$G$15:$G$214,0)),IFERROR(INDEX('CALENDARIO'!$C$15:$C$214,MATCH(TEXT($J216,"yyyy-mm-dd")&amp;"|"&amp;$X216&amp;"|",'CALENDARIO'!$G$15:$G$214,0)),IFERROR(INDEX('CALENDARIO'!$C$15:$C$214,MATCH(TEXT($J216,"yyyy-mm-dd")&amp;"||",'CALENDARIO'!$G$15:$G$214,0)),INDEX(patronHabil,WEEKDAY($J216,2))))))</f>
        <v/>
      </c>
      <c r="U216" s="5">
        <f>IF($I216="","",IFERROR(INDEX('CAT_TIPOS_OT'!$C$4:$C$8,MATCH($I216,'CAT_TIPOS_OT'!$A$4:$A$8,0)),"sin_clasificar"))</f>
        <v/>
      </c>
      <c r="V216" s="5">
        <f>IF($I216="","",IF(IFERROR(INDEX('CAT_TIPOS_OT'!$D$4:$D$8,MATCH($I216,'CAT_TIPOS_OT'!$A$4:$A$8,0)),"SIN CLASIFICAR")="","SIN CLASIFICAR",IFERROR(INDEX('CAT_TIPOS_OT'!$D$4:$D$8,MATCH($I216,'CAT_TIPOS_OT'!$A$4:$A$8,0)),"SIN CLASIFICAR")))</f>
        <v/>
      </c>
      <c r="W216" s="5">
        <f>IF($F216="","",IFERROR(INDEX('CAT_CENTROS_COSTO'!$F$4:$F$13,MATCH($F216,'CAT_CENTROS_COSTO'!$A$4:$A$13,0)),"(sin catálogo)"))</f>
        <v/>
      </c>
      <c r="X216" s="5">
        <f>IF($F216="","",IFERROR(INDEX('CAT_CENTROS_COSTO'!$D$4:$D$13,MATCH($F216,'CAT_CENTROS_COSTO'!$A$4:$A$13,0)),"(sin catálogo)"))</f>
        <v/>
      </c>
      <c r="Y216" s="5">
        <f>IF($F216="","",IF((IFERROR(INDEX('CAT_CENTROS_COSTO'!$E$4:$E$13,MATCH($F216,'CAT_CENTROS_COSTO'!$A$4:$A$13,0)),""))&lt;&gt;"",IFERROR(INDEX('CAT_CENTROS_COSTO'!$E$4:$E$13,MATCH($F216,'CAT_CENTROS_COSTO'!$A$4:$A$13,0)),""),$X216))</f>
        <v/>
      </c>
      <c r="Z216" s="5">
        <f>IF($F216="","",IFERROR(INDEX('CAT_CENTROS_COSTO'!$G$4:$G$13,MATCH($F216,'CAT_CENTROS_COSTO'!$A$4:$A$13,0)),"(sin catálogo)"))</f>
        <v/>
      </c>
      <c r="AA216" s="5">
        <f>IF($G216="","",IFERROR(INDEX('CAT_PUESTOS'!$B$4:$B$8,MATCH($G216,'CAT_PUESTOS'!$A$4:$A$8,0)),"(sin catálogo)"))</f>
        <v/>
      </c>
      <c r="AB216" s="5">
        <f>IF($H216="","",IFERROR(INDEX('CAT_ACTIVIDADES'!$B$4:$B$11,MATCH($H216,'CAT_ACTIVIDADES'!$A$4:$A$11,0)),"(sin catálogo)"))</f>
        <v/>
      </c>
      <c r="AC216" s="20">
        <f>IF($J216="","",TODAY()-$J216)</f>
        <v/>
      </c>
      <c r="AD216" s="20">
        <f>IF($J216="","",IF($J216&lt;=TODAY(),COUNTIFS(cal_fechas,"&gt;="&amp;$J216,cal_fechas,"&lt;"&amp;TODAY(),cal_habil,"sí"),-COUNTIFS(cal_fechas,"&gt;="&amp;TODAY(),cal_fechas,"&lt;"&amp;$J216,cal_habil,"sí")))</f>
        <v/>
      </c>
      <c r="AE216" s="5">
        <f>IF($AD216="","",IF($AD216&lt;0,"FUTURO",IF($AD216&gt;p_dias_backlog_max,"BACKLOG","MES CORRIENTE")))</f>
        <v/>
      </c>
      <c r="AF216" s="5">
        <f>IF($AD216="",FALSE,AND($AD216&gt;p_dias_backlog_min,$AD216&lt;=p_dias_backlog_max))</f>
        <v/>
      </c>
      <c r="AG216" s="4" t="n"/>
      <c r="AH216" s="5">
        <f>IF($AG216="","",IF((IFERROR(INDEX('ASIGNACIONES'!$J$4:$J$451,MATCH($O216&amp;"|"&amp;$S216&amp;"|"&amp;$AG216,'ASIGNACIONES'!$N$4:$N$451,0)),""))=0,"",IFERROR(INDEX('ASIGNACIONES'!$J$4:$J$451,MATCH($O216&amp;"|"&amp;$S216&amp;"|"&amp;$AG216,'ASIGNACIONES'!$N$4:$N$451,0)),"")))</f>
        <v/>
      </c>
      <c r="AI216" s="25">
        <f>IF($AG216="","",SUMIFS('ORDENES'!$M$4:$M$1203,'ORDENES'!$AG$4:$AG$1203,$AG216,'ORDENES'!$O$4:$O$1203,$O216,'ORDENES'!$S$4:$S$1203,$S216))</f>
        <v/>
      </c>
      <c r="AJ216" s="25">
        <f>IF($AI216="","",p_factor_productividad*IFERROR(INDEX('ASIGNACIONES'!$M$4:$M$451,MATCH($O216&amp;"|"&amp;$S216&amp;"|"&amp;$AG216,'ASIGNACIONES'!$N$4:$N$451,0)),0)-$AI216)</f>
        <v/>
      </c>
      <c r="AK216" s="18">
        <f>IF($A216="","",IFERROR(INDEX('2_IMPORTAR_EJECUCION'!$F$9:$F$1208,MATCH($AT216,'2_IMPORTAR_EJECUCION'!$J$9:$J$1208,0)),0))</f>
        <v/>
      </c>
      <c r="AL216" s="18">
        <f>IF($A216="","",MAX(0,IFERROR(INDEX('2_IMPORTAR_EJECUCION'!$H$9:$H$1208,MATCH($AT216,'2_IMPORTAR_EJECUCION'!$J$9:$J$1208,0)),0)-$AK216))</f>
        <v/>
      </c>
      <c r="AM216" s="18">
        <f>IF($A216="","",$AK216+$AL216)</f>
        <v/>
      </c>
      <c r="AN216" s="5">
        <f>IF($A216="","",IF(OR((IFERROR(INDEX('CAT_ACTIVIDADES'!$D$4:$D$11,MATCH($H216,'CAT_ACTIVIDADES'!$A$4:$A$11,0)),""))=0,(IFERROR(INDEX('CAT_ACTIVIDADES'!$D$4:$D$11,MATCH($H216,'CAT_ACTIVIDADES'!$A$4:$A$11,0)),""))=""),"SIN CLASIFICAR",IFERROR(INDEX('CAT_ACTIVIDADES'!$D$4:$D$11,MATCH($H216,'CAT_ACTIVIDADES'!$A$4:$A$11,0)),"")))</f>
        <v/>
      </c>
      <c r="AO216" s="4" t="n"/>
      <c r="AP216" s="4" t="n"/>
      <c r="AQ216" s="4" t="n"/>
      <c r="AR216" s="5">
        <f>IF($AQ216="","",HYPERLINK(p_ruta_base_checklists&amp;$AQ216,"abrir"))</f>
        <v/>
      </c>
      <c r="AS216" s="4" t="n"/>
      <c r="AT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2" t="n"/>
      <c r="K217" s="5" t="n"/>
      <c r="L217" s="18" t="n"/>
      <c r="M217" s="5">
        <f>IF($A217="","",IFERROR(INDEX('AJUSTES'!$B$4:$B$303,MATCH($AT217,'AJUSTES'!$A$4:$A$303,0)),IF($K217="","",$K217)))</f>
        <v/>
      </c>
      <c r="N217" s="5">
        <f>IF($A217="","",IFERROR(INDEX('CAT_ESTADOS_ERP'!$B$4:$B$7,MATCH(IFERROR(INDEX('2_IMPORTAR_EJECUCION'!$C$9:$C$1208,MATCH($AT217,'2_IMPORTAR_EJECUCION'!$J$9:$J$1208,0)),""),'CAT_ESTADOS_ERP'!$A$4:$A$7,0)),"Pendiente"))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IF($J217="","",$P217&amp;"-"&amp;TEXT($Q217,"00"))</f>
        <v/>
      </c>
      <c r="S217" s="5">
        <f>IF($J217="","",INDEX(lista_dias,WEEKDAY($J217,2)))</f>
        <v/>
      </c>
      <c r="T217" s="5">
        <f>IF($J217="","",IFERROR(INDEX('CALENDARIO'!$C$15:$C$214,MATCH(TEXT($J217,"yyyy-mm-dd")&amp;"|"&amp;$X217&amp;"|"&amp;$Y217,'CALENDARIO'!$G$15:$G$214,0)),IFERROR(INDEX('CALENDARIO'!$C$15:$C$214,MATCH(TEXT($J217,"yyyy-mm-dd")&amp;"|"&amp;$X217&amp;"|",'CALENDARIO'!$G$15:$G$214,0)),IFERROR(INDEX('CALENDARIO'!$C$15:$C$214,MATCH(TEXT($J217,"yyyy-mm-dd")&amp;"||",'CALENDARIO'!$G$15:$G$214,0)),INDEX(patronHabil,WEEKDAY($J217,2))))))</f>
        <v/>
      </c>
      <c r="U217" s="5">
        <f>IF($I217="","",IFERROR(INDEX('CAT_TIPOS_OT'!$C$4:$C$8,MATCH($I217,'CAT_TIPOS_OT'!$A$4:$A$8,0)),"sin_clasificar"))</f>
        <v/>
      </c>
      <c r="V217" s="5">
        <f>IF($I217="","",IF(IFERROR(INDEX('CAT_TIPOS_OT'!$D$4:$D$8,MATCH($I217,'CAT_TIPOS_OT'!$A$4:$A$8,0)),"SIN CLASIFICAR")="","SIN CLASIFICAR",IFERROR(INDEX('CAT_TIPOS_OT'!$D$4:$D$8,MATCH($I217,'CAT_TIPOS_OT'!$A$4:$A$8,0)),"SIN CLASIFICAR")))</f>
        <v/>
      </c>
      <c r="W217" s="5">
        <f>IF($F217="","",IFERROR(INDEX('CAT_CENTROS_COSTO'!$F$4:$F$13,MATCH($F217,'CAT_CENTROS_COSTO'!$A$4:$A$13,0)),"(sin catálogo)"))</f>
        <v/>
      </c>
      <c r="X217" s="5">
        <f>IF($F217="","",IFERROR(INDEX('CAT_CENTROS_COSTO'!$D$4:$D$13,MATCH($F217,'CAT_CENTROS_COSTO'!$A$4:$A$13,0)),"(sin catálogo)"))</f>
        <v/>
      </c>
      <c r="Y217" s="5">
        <f>IF($F217="","",IF((IFERROR(INDEX('CAT_CENTROS_COSTO'!$E$4:$E$13,MATCH($F217,'CAT_CENTROS_COSTO'!$A$4:$A$13,0)),""))&lt;&gt;"",IFERROR(INDEX('CAT_CENTROS_COSTO'!$E$4:$E$13,MATCH($F217,'CAT_CENTROS_COSTO'!$A$4:$A$13,0)),""),$X217))</f>
        <v/>
      </c>
      <c r="Z217" s="5">
        <f>IF($F217="","",IFERROR(INDEX('CAT_CENTROS_COSTO'!$G$4:$G$13,MATCH($F217,'CAT_CENTROS_COSTO'!$A$4:$A$13,0)),"(sin catálogo)"))</f>
        <v/>
      </c>
      <c r="AA217" s="5">
        <f>IF($G217="","",IFERROR(INDEX('CAT_PUESTOS'!$B$4:$B$8,MATCH($G217,'CAT_PUESTOS'!$A$4:$A$8,0)),"(sin catálogo)"))</f>
        <v/>
      </c>
      <c r="AB217" s="5">
        <f>IF($H217="","",IFERROR(INDEX('CAT_ACTIVIDADES'!$B$4:$B$11,MATCH($H217,'CAT_ACTIVIDADES'!$A$4:$A$11,0)),"(sin catálogo)"))</f>
        <v/>
      </c>
      <c r="AC217" s="20">
        <f>IF($J217="","",TODAY()-$J217)</f>
        <v/>
      </c>
      <c r="AD217" s="20">
        <f>IF($J217="","",IF($J217&lt;=TODAY(),COUNTIFS(cal_fechas,"&gt;="&amp;$J217,cal_fechas,"&lt;"&amp;TODAY(),cal_habil,"sí"),-COUNTIFS(cal_fechas,"&gt;="&amp;TODAY(),cal_fechas,"&lt;"&amp;$J217,cal_habil,"sí")))</f>
        <v/>
      </c>
      <c r="AE217" s="5">
        <f>IF($AD217="","",IF($AD217&lt;0,"FUTURO",IF($AD217&gt;p_dias_backlog_max,"BACKLOG","MES CORRIENTE")))</f>
        <v/>
      </c>
      <c r="AF217" s="5">
        <f>IF($AD217="",FALSE,AND($AD217&gt;p_dias_backlog_min,$AD217&lt;=p_dias_backlog_max))</f>
        <v/>
      </c>
      <c r="AG217" s="4" t="n"/>
      <c r="AH217" s="5">
        <f>IF($AG217="","",IF((IFERROR(INDEX('ASIGNACIONES'!$J$4:$J$451,MATCH($O217&amp;"|"&amp;$S217&amp;"|"&amp;$AG217,'ASIGNACIONES'!$N$4:$N$451,0)),""))=0,"",IFERROR(INDEX('ASIGNACIONES'!$J$4:$J$451,MATCH($O217&amp;"|"&amp;$S217&amp;"|"&amp;$AG217,'ASIGNACIONES'!$N$4:$N$451,0)),"")))</f>
        <v/>
      </c>
      <c r="AI217" s="25">
        <f>IF($AG217="","",SUMIFS('ORDENES'!$M$4:$M$1203,'ORDENES'!$AG$4:$AG$1203,$AG217,'ORDENES'!$O$4:$O$1203,$O217,'ORDENES'!$S$4:$S$1203,$S217))</f>
        <v/>
      </c>
      <c r="AJ217" s="25">
        <f>IF($AI217="","",p_factor_productividad*IFERROR(INDEX('ASIGNACIONES'!$M$4:$M$451,MATCH($O217&amp;"|"&amp;$S217&amp;"|"&amp;$AG217,'ASIGNACIONES'!$N$4:$N$451,0)),0)-$AI217)</f>
        <v/>
      </c>
      <c r="AK217" s="18">
        <f>IF($A217="","",IFERROR(INDEX('2_IMPORTAR_EJECUCION'!$F$9:$F$1208,MATCH($AT217,'2_IMPORTAR_EJECUCION'!$J$9:$J$1208,0)),0))</f>
        <v/>
      </c>
      <c r="AL217" s="18">
        <f>IF($A217="","",MAX(0,IFERROR(INDEX('2_IMPORTAR_EJECUCION'!$H$9:$H$1208,MATCH($AT217,'2_IMPORTAR_EJECUCION'!$J$9:$J$1208,0)),0)-$AK217))</f>
        <v/>
      </c>
      <c r="AM217" s="18">
        <f>IF($A217="","",$AK217+$AL217)</f>
        <v/>
      </c>
      <c r="AN217" s="5">
        <f>IF($A217="","",IF(OR((IFERROR(INDEX('CAT_ACTIVIDADES'!$D$4:$D$11,MATCH($H217,'CAT_ACTIVIDADES'!$A$4:$A$11,0)),""))=0,(IFERROR(INDEX('CAT_ACTIVIDADES'!$D$4:$D$11,MATCH($H217,'CAT_ACTIVIDADES'!$A$4:$A$11,0)),""))=""),"SIN CLASIFICAR",IFERROR(INDEX('CAT_ACTIVIDADES'!$D$4:$D$11,MATCH($H217,'CAT_ACTIVIDADES'!$A$4:$A$11,0)),"")))</f>
        <v/>
      </c>
      <c r="AO217" s="4" t="n"/>
      <c r="AP217" s="4" t="n"/>
      <c r="AQ217" s="4" t="n"/>
      <c r="AR217" s="5">
        <f>IF($AQ217="","",HYPERLINK(p_ruta_base_checklists&amp;$AQ217,"abrir"))</f>
        <v/>
      </c>
      <c r="AS217" s="4" t="n"/>
      <c r="AT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2" t="n"/>
      <c r="K218" s="5" t="n"/>
      <c r="L218" s="18" t="n"/>
      <c r="M218" s="5">
        <f>IF($A218="","",IFERROR(INDEX('AJUSTES'!$B$4:$B$303,MATCH($AT218,'AJUSTES'!$A$4:$A$303,0)),IF($K218="","",$K218)))</f>
        <v/>
      </c>
      <c r="N218" s="5">
        <f>IF($A218="","",IFERROR(INDEX('CAT_ESTADOS_ERP'!$B$4:$B$7,MATCH(IFERROR(INDEX('2_IMPORTAR_EJECUCION'!$C$9:$C$1208,MATCH($AT218,'2_IMPORTAR_EJECUCION'!$J$9:$J$1208,0)),""),'CAT_ESTADOS_ERP'!$A$4:$A$7,0)),"Pendiente"))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IF($J218="","",$P218&amp;"-"&amp;TEXT($Q218,"00"))</f>
        <v/>
      </c>
      <c r="S218" s="5">
        <f>IF($J218="","",INDEX(lista_dias,WEEKDAY($J218,2)))</f>
        <v/>
      </c>
      <c r="T218" s="5">
        <f>IF($J218="","",IFERROR(INDEX('CALENDARIO'!$C$15:$C$214,MATCH(TEXT($J218,"yyyy-mm-dd")&amp;"|"&amp;$X218&amp;"|"&amp;$Y218,'CALENDARIO'!$G$15:$G$214,0)),IFERROR(INDEX('CALENDARIO'!$C$15:$C$214,MATCH(TEXT($J218,"yyyy-mm-dd")&amp;"|"&amp;$X218&amp;"|",'CALENDARIO'!$G$15:$G$214,0)),IFERROR(INDEX('CALENDARIO'!$C$15:$C$214,MATCH(TEXT($J218,"yyyy-mm-dd")&amp;"||",'CALENDARIO'!$G$15:$G$214,0)),INDEX(patronHabil,WEEKDAY($J218,2))))))</f>
        <v/>
      </c>
      <c r="U218" s="5">
        <f>IF($I218="","",IFERROR(INDEX('CAT_TIPOS_OT'!$C$4:$C$8,MATCH($I218,'CAT_TIPOS_OT'!$A$4:$A$8,0)),"sin_clasificar"))</f>
        <v/>
      </c>
      <c r="V218" s="5">
        <f>IF($I218="","",IF(IFERROR(INDEX('CAT_TIPOS_OT'!$D$4:$D$8,MATCH($I218,'CAT_TIPOS_OT'!$A$4:$A$8,0)),"SIN CLASIFICAR")="","SIN CLASIFICAR",IFERROR(INDEX('CAT_TIPOS_OT'!$D$4:$D$8,MATCH($I218,'CAT_TIPOS_OT'!$A$4:$A$8,0)),"SIN CLASIFICAR")))</f>
        <v/>
      </c>
      <c r="W218" s="5">
        <f>IF($F218="","",IFERROR(INDEX('CAT_CENTROS_COSTO'!$F$4:$F$13,MATCH($F218,'CAT_CENTROS_COSTO'!$A$4:$A$13,0)),"(sin catálogo)"))</f>
        <v/>
      </c>
      <c r="X218" s="5">
        <f>IF($F218="","",IFERROR(INDEX('CAT_CENTROS_COSTO'!$D$4:$D$13,MATCH($F218,'CAT_CENTROS_COSTO'!$A$4:$A$13,0)),"(sin catálogo)"))</f>
        <v/>
      </c>
      <c r="Y218" s="5">
        <f>IF($F218="","",IF((IFERROR(INDEX('CAT_CENTROS_COSTO'!$E$4:$E$13,MATCH($F218,'CAT_CENTROS_COSTO'!$A$4:$A$13,0)),""))&lt;&gt;"",IFERROR(INDEX('CAT_CENTROS_COSTO'!$E$4:$E$13,MATCH($F218,'CAT_CENTROS_COSTO'!$A$4:$A$13,0)),""),$X218))</f>
        <v/>
      </c>
      <c r="Z218" s="5">
        <f>IF($F218="","",IFERROR(INDEX('CAT_CENTROS_COSTO'!$G$4:$G$13,MATCH($F218,'CAT_CENTROS_COSTO'!$A$4:$A$13,0)),"(sin catálogo)"))</f>
        <v/>
      </c>
      <c r="AA218" s="5">
        <f>IF($G218="","",IFERROR(INDEX('CAT_PUESTOS'!$B$4:$B$8,MATCH($G218,'CAT_PUESTOS'!$A$4:$A$8,0)),"(sin catálogo)"))</f>
        <v/>
      </c>
      <c r="AB218" s="5">
        <f>IF($H218="","",IFERROR(INDEX('CAT_ACTIVIDADES'!$B$4:$B$11,MATCH($H218,'CAT_ACTIVIDADES'!$A$4:$A$11,0)),"(sin catálogo)"))</f>
        <v/>
      </c>
      <c r="AC218" s="20">
        <f>IF($J218="","",TODAY()-$J218)</f>
        <v/>
      </c>
      <c r="AD218" s="20">
        <f>IF($J218="","",IF($J218&lt;=TODAY(),COUNTIFS(cal_fechas,"&gt;="&amp;$J218,cal_fechas,"&lt;"&amp;TODAY(),cal_habil,"sí"),-COUNTIFS(cal_fechas,"&gt;="&amp;TODAY(),cal_fechas,"&lt;"&amp;$J218,cal_habil,"sí")))</f>
        <v/>
      </c>
      <c r="AE218" s="5">
        <f>IF($AD218="","",IF($AD218&lt;0,"FUTURO",IF($AD218&gt;p_dias_backlog_max,"BACKLOG","MES CORRIENTE")))</f>
        <v/>
      </c>
      <c r="AF218" s="5">
        <f>IF($AD218="",FALSE,AND($AD218&gt;p_dias_backlog_min,$AD218&lt;=p_dias_backlog_max))</f>
        <v/>
      </c>
      <c r="AG218" s="4" t="n"/>
      <c r="AH218" s="5">
        <f>IF($AG218="","",IF((IFERROR(INDEX('ASIGNACIONES'!$J$4:$J$451,MATCH($O218&amp;"|"&amp;$S218&amp;"|"&amp;$AG218,'ASIGNACIONES'!$N$4:$N$451,0)),""))=0,"",IFERROR(INDEX('ASIGNACIONES'!$J$4:$J$451,MATCH($O218&amp;"|"&amp;$S218&amp;"|"&amp;$AG218,'ASIGNACIONES'!$N$4:$N$451,0)),"")))</f>
        <v/>
      </c>
      <c r="AI218" s="25">
        <f>IF($AG218="","",SUMIFS('ORDENES'!$M$4:$M$1203,'ORDENES'!$AG$4:$AG$1203,$AG218,'ORDENES'!$O$4:$O$1203,$O218,'ORDENES'!$S$4:$S$1203,$S218))</f>
        <v/>
      </c>
      <c r="AJ218" s="25">
        <f>IF($AI218="","",p_factor_productividad*IFERROR(INDEX('ASIGNACIONES'!$M$4:$M$451,MATCH($O218&amp;"|"&amp;$S218&amp;"|"&amp;$AG218,'ASIGNACIONES'!$N$4:$N$451,0)),0)-$AI218)</f>
        <v/>
      </c>
      <c r="AK218" s="18">
        <f>IF($A218="","",IFERROR(INDEX('2_IMPORTAR_EJECUCION'!$F$9:$F$1208,MATCH($AT218,'2_IMPORTAR_EJECUCION'!$J$9:$J$1208,0)),0))</f>
        <v/>
      </c>
      <c r="AL218" s="18">
        <f>IF($A218="","",MAX(0,IFERROR(INDEX('2_IMPORTAR_EJECUCION'!$H$9:$H$1208,MATCH($AT218,'2_IMPORTAR_EJECUCION'!$J$9:$J$1208,0)),0)-$AK218))</f>
        <v/>
      </c>
      <c r="AM218" s="18">
        <f>IF($A218="","",$AK218+$AL218)</f>
        <v/>
      </c>
      <c r="AN218" s="5">
        <f>IF($A218="","",IF(OR((IFERROR(INDEX('CAT_ACTIVIDADES'!$D$4:$D$11,MATCH($H218,'CAT_ACTIVIDADES'!$A$4:$A$11,0)),""))=0,(IFERROR(INDEX('CAT_ACTIVIDADES'!$D$4:$D$11,MATCH($H218,'CAT_ACTIVIDADES'!$A$4:$A$11,0)),""))=""),"SIN CLASIFICAR",IFERROR(INDEX('CAT_ACTIVIDADES'!$D$4:$D$11,MATCH($H218,'CAT_ACTIVIDADES'!$A$4:$A$11,0)),"")))</f>
        <v/>
      </c>
      <c r="AO218" s="4" t="n"/>
      <c r="AP218" s="4" t="n"/>
      <c r="AQ218" s="4" t="n"/>
      <c r="AR218" s="5">
        <f>IF($AQ218="","",HYPERLINK(p_ruta_base_checklists&amp;$AQ218,"abrir"))</f>
        <v/>
      </c>
      <c r="AS218" s="4" t="n"/>
      <c r="AT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2" t="n"/>
      <c r="K219" s="5" t="n"/>
      <c r="L219" s="18" t="n"/>
      <c r="M219" s="5">
        <f>IF($A219="","",IFERROR(INDEX('AJUSTES'!$B$4:$B$303,MATCH($AT219,'AJUSTES'!$A$4:$A$303,0)),IF($K219="","",$K219)))</f>
        <v/>
      </c>
      <c r="N219" s="5">
        <f>IF($A219="","",IFERROR(INDEX('CAT_ESTADOS_ERP'!$B$4:$B$7,MATCH(IFERROR(INDEX('2_IMPORTAR_EJECUCION'!$C$9:$C$1208,MATCH($AT219,'2_IMPORTAR_EJECUCION'!$J$9:$J$1208,0)),""),'CAT_ESTADOS_ERP'!$A$4:$A$7,0)),"Pendiente"))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IF($J219="","",$P219&amp;"-"&amp;TEXT($Q219,"00"))</f>
        <v/>
      </c>
      <c r="S219" s="5">
        <f>IF($J219="","",INDEX(lista_dias,WEEKDAY($J219,2)))</f>
        <v/>
      </c>
      <c r="T219" s="5">
        <f>IF($J219="","",IFERROR(INDEX('CALENDARIO'!$C$15:$C$214,MATCH(TEXT($J219,"yyyy-mm-dd")&amp;"|"&amp;$X219&amp;"|"&amp;$Y219,'CALENDARIO'!$G$15:$G$214,0)),IFERROR(INDEX('CALENDARIO'!$C$15:$C$214,MATCH(TEXT($J219,"yyyy-mm-dd")&amp;"|"&amp;$X219&amp;"|",'CALENDARIO'!$G$15:$G$214,0)),IFERROR(INDEX('CALENDARIO'!$C$15:$C$214,MATCH(TEXT($J219,"yyyy-mm-dd")&amp;"||",'CALENDARIO'!$G$15:$G$214,0)),INDEX(patronHabil,WEEKDAY($J219,2))))))</f>
        <v/>
      </c>
      <c r="U219" s="5">
        <f>IF($I219="","",IFERROR(INDEX('CAT_TIPOS_OT'!$C$4:$C$8,MATCH($I219,'CAT_TIPOS_OT'!$A$4:$A$8,0)),"sin_clasificar"))</f>
        <v/>
      </c>
      <c r="V219" s="5">
        <f>IF($I219="","",IF(IFERROR(INDEX('CAT_TIPOS_OT'!$D$4:$D$8,MATCH($I219,'CAT_TIPOS_OT'!$A$4:$A$8,0)),"SIN CLASIFICAR")="","SIN CLASIFICAR",IFERROR(INDEX('CAT_TIPOS_OT'!$D$4:$D$8,MATCH($I219,'CAT_TIPOS_OT'!$A$4:$A$8,0)),"SIN CLASIFICAR")))</f>
        <v/>
      </c>
      <c r="W219" s="5">
        <f>IF($F219="","",IFERROR(INDEX('CAT_CENTROS_COSTO'!$F$4:$F$13,MATCH($F219,'CAT_CENTROS_COSTO'!$A$4:$A$13,0)),"(sin catálogo)"))</f>
        <v/>
      </c>
      <c r="X219" s="5">
        <f>IF($F219="","",IFERROR(INDEX('CAT_CENTROS_COSTO'!$D$4:$D$13,MATCH($F219,'CAT_CENTROS_COSTO'!$A$4:$A$13,0)),"(sin catálogo)"))</f>
        <v/>
      </c>
      <c r="Y219" s="5">
        <f>IF($F219="","",IF((IFERROR(INDEX('CAT_CENTROS_COSTO'!$E$4:$E$13,MATCH($F219,'CAT_CENTROS_COSTO'!$A$4:$A$13,0)),""))&lt;&gt;"",IFERROR(INDEX('CAT_CENTROS_COSTO'!$E$4:$E$13,MATCH($F219,'CAT_CENTROS_COSTO'!$A$4:$A$13,0)),""),$X219))</f>
        <v/>
      </c>
      <c r="Z219" s="5">
        <f>IF($F219="","",IFERROR(INDEX('CAT_CENTROS_COSTO'!$G$4:$G$13,MATCH($F219,'CAT_CENTROS_COSTO'!$A$4:$A$13,0)),"(sin catálogo)"))</f>
        <v/>
      </c>
      <c r="AA219" s="5">
        <f>IF($G219="","",IFERROR(INDEX('CAT_PUESTOS'!$B$4:$B$8,MATCH($G219,'CAT_PUESTOS'!$A$4:$A$8,0)),"(sin catálogo)"))</f>
        <v/>
      </c>
      <c r="AB219" s="5">
        <f>IF($H219="","",IFERROR(INDEX('CAT_ACTIVIDADES'!$B$4:$B$11,MATCH($H219,'CAT_ACTIVIDADES'!$A$4:$A$11,0)),"(sin catálogo)"))</f>
        <v/>
      </c>
      <c r="AC219" s="20">
        <f>IF($J219="","",TODAY()-$J219)</f>
        <v/>
      </c>
      <c r="AD219" s="20">
        <f>IF($J219="","",IF($J219&lt;=TODAY(),COUNTIFS(cal_fechas,"&gt;="&amp;$J219,cal_fechas,"&lt;"&amp;TODAY(),cal_habil,"sí"),-COUNTIFS(cal_fechas,"&gt;="&amp;TODAY(),cal_fechas,"&lt;"&amp;$J219,cal_habil,"sí")))</f>
        <v/>
      </c>
      <c r="AE219" s="5">
        <f>IF($AD219="","",IF($AD219&lt;0,"FUTURO",IF($AD219&gt;p_dias_backlog_max,"BACKLOG","MES CORRIENTE")))</f>
        <v/>
      </c>
      <c r="AF219" s="5">
        <f>IF($AD219="",FALSE,AND($AD219&gt;p_dias_backlog_min,$AD219&lt;=p_dias_backlog_max))</f>
        <v/>
      </c>
      <c r="AG219" s="4" t="n"/>
      <c r="AH219" s="5">
        <f>IF($AG219="","",IF((IFERROR(INDEX('ASIGNACIONES'!$J$4:$J$451,MATCH($O219&amp;"|"&amp;$S219&amp;"|"&amp;$AG219,'ASIGNACIONES'!$N$4:$N$451,0)),""))=0,"",IFERROR(INDEX('ASIGNACIONES'!$J$4:$J$451,MATCH($O219&amp;"|"&amp;$S219&amp;"|"&amp;$AG219,'ASIGNACIONES'!$N$4:$N$451,0)),"")))</f>
        <v/>
      </c>
      <c r="AI219" s="25">
        <f>IF($AG219="","",SUMIFS('ORDENES'!$M$4:$M$1203,'ORDENES'!$AG$4:$AG$1203,$AG219,'ORDENES'!$O$4:$O$1203,$O219,'ORDENES'!$S$4:$S$1203,$S219))</f>
        <v/>
      </c>
      <c r="AJ219" s="25">
        <f>IF($AI219="","",p_factor_productividad*IFERROR(INDEX('ASIGNACIONES'!$M$4:$M$451,MATCH($O219&amp;"|"&amp;$S219&amp;"|"&amp;$AG219,'ASIGNACIONES'!$N$4:$N$451,0)),0)-$AI219)</f>
        <v/>
      </c>
      <c r="AK219" s="18">
        <f>IF($A219="","",IFERROR(INDEX('2_IMPORTAR_EJECUCION'!$F$9:$F$1208,MATCH($AT219,'2_IMPORTAR_EJECUCION'!$J$9:$J$1208,0)),0))</f>
        <v/>
      </c>
      <c r="AL219" s="18">
        <f>IF($A219="","",MAX(0,IFERROR(INDEX('2_IMPORTAR_EJECUCION'!$H$9:$H$1208,MATCH($AT219,'2_IMPORTAR_EJECUCION'!$J$9:$J$1208,0)),0)-$AK219))</f>
        <v/>
      </c>
      <c r="AM219" s="18">
        <f>IF($A219="","",$AK219+$AL219)</f>
        <v/>
      </c>
      <c r="AN219" s="5">
        <f>IF($A219="","",IF(OR((IFERROR(INDEX('CAT_ACTIVIDADES'!$D$4:$D$11,MATCH($H219,'CAT_ACTIVIDADES'!$A$4:$A$11,0)),""))=0,(IFERROR(INDEX('CAT_ACTIVIDADES'!$D$4:$D$11,MATCH($H219,'CAT_ACTIVIDADES'!$A$4:$A$11,0)),""))=""),"SIN CLASIFICAR",IFERROR(INDEX('CAT_ACTIVIDADES'!$D$4:$D$11,MATCH($H219,'CAT_ACTIVIDADES'!$A$4:$A$11,0)),"")))</f>
        <v/>
      </c>
      <c r="AO219" s="4" t="n"/>
      <c r="AP219" s="4" t="n"/>
      <c r="AQ219" s="4" t="n"/>
      <c r="AR219" s="5">
        <f>IF($AQ219="","",HYPERLINK(p_ruta_base_checklists&amp;$AQ219,"abrir"))</f>
        <v/>
      </c>
      <c r="AS219" s="4" t="n"/>
      <c r="AT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2" t="n"/>
      <c r="K220" s="5" t="n"/>
      <c r="L220" s="18" t="n"/>
      <c r="M220" s="5">
        <f>IF($A220="","",IFERROR(INDEX('AJUSTES'!$B$4:$B$303,MATCH($AT220,'AJUSTES'!$A$4:$A$303,0)),IF($K220="","",$K220)))</f>
        <v/>
      </c>
      <c r="N220" s="5">
        <f>IF($A220="","",IFERROR(INDEX('CAT_ESTADOS_ERP'!$B$4:$B$7,MATCH(IFERROR(INDEX('2_IMPORTAR_EJECUCION'!$C$9:$C$1208,MATCH($AT220,'2_IMPORTAR_EJECUCION'!$J$9:$J$1208,0)),""),'CAT_ESTADOS_ERP'!$A$4:$A$7,0)),"Pendiente"))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IF($J220="","",$P220&amp;"-"&amp;TEXT($Q220,"00"))</f>
        <v/>
      </c>
      <c r="S220" s="5">
        <f>IF($J220="","",INDEX(lista_dias,WEEKDAY($J220,2)))</f>
        <v/>
      </c>
      <c r="T220" s="5">
        <f>IF($J220="","",IFERROR(INDEX('CALENDARIO'!$C$15:$C$214,MATCH(TEXT($J220,"yyyy-mm-dd")&amp;"|"&amp;$X220&amp;"|"&amp;$Y220,'CALENDARIO'!$G$15:$G$214,0)),IFERROR(INDEX('CALENDARIO'!$C$15:$C$214,MATCH(TEXT($J220,"yyyy-mm-dd")&amp;"|"&amp;$X220&amp;"|",'CALENDARIO'!$G$15:$G$214,0)),IFERROR(INDEX('CALENDARIO'!$C$15:$C$214,MATCH(TEXT($J220,"yyyy-mm-dd")&amp;"||",'CALENDARIO'!$G$15:$G$214,0)),INDEX(patronHabil,WEEKDAY($J220,2))))))</f>
        <v/>
      </c>
      <c r="U220" s="5">
        <f>IF($I220="","",IFERROR(INDEX('CAT_TIPOS_OT'!$C$4:$C$8,MATCH($I220,'CAT_TIPOS_OT'!$A$4:$A$8,0)),"sin_clasificar"))</f>
        <v/>
      </c>
      <c r="V220" s="5">
        <f>IF($I220="","",IF(IFERROR(INDEX('CAT_TIPOS_OT'!$D$4:$D$8,MATCH($I220,'CAT_TIPOS_OT'!$A$4:$A$8,0)),"SIN CLASIFICAR")="","SIN CLASIFICAR",IFERROR(INDEX('CAT_TIPOS_OT'!$D$4:$D$8,MATCH($I220,'CAT_TIPOS_OT'!$A$4:$A$8,0)),"SIN CLASIFICAR")))</f>
        <v/>
      </c>
      <c r="W220" s="5">
        <f>IF($F220="","",IFERROR(INDEX('CAT_CENTROS_COSTO'!$F$4:$F$13,MATCH($F220,'CAT_CENTROS_COSTO'!$A$4:$A$13,0)),"(sin catálogo)"))</f>
        <v/>
      </c>
      <c r="X220" s="5">
        <f>IF($F220="","",IFERROR(INDEX('CAT_CENTROS_COSTO'!$D$4:$D$13,MATCH($F220,'CAT_CENTROS_COSTO'!$A$4:$A$13,0)),"(sin catálogo)"))</f>
        <v/>
      </c>
      <c r="Y220" s="5">
        <f>IF($F220="","",IF((IFERROR(INDEX('CAT_CENTROS_COSTO'!$E$4:$E$13,MATCH($F220,'CAT_CENTROS_COSTO'!$A$4:$A$13,0)),""))&lt;&gt;"",IFERROR(INDEX('CAT_CENTROS_COSTO'!$E$4:$E$13,MATCH($F220,'CAT_CENTROS_COSTO'!$A$4:$A$13,0)),""),$X220))</f>
        <v/>
      </c>
      <c r="Z220" s="5">
        <f>IF($F220="","",IFERROR(INDEX('CAT_CENTROS_COSTO'!$G$4:$G$13,MATCH($F220,'CAT_CENTROS_COSTO'!$A$4:$A$13,0)),"(sin catálogo)"))</f>
        <v/>
      </c>
      <c r="AA220" s="5">
        <f>IF($G220="","",IFERROR(INDEX('CAT_PUESTOS'!$B$4:$B$8,MATCH($G220,'CAT_PUESTOS'!$A$4:$A$8,0)),"(sin catálogo)"))</f>
        <v/>
      </c>
      <c r="AB220" s="5">
        <f>IF($H220="","",IFERROR(INDEX('CAT_ACTIVIDADES'!$B$4:$B$11,MATCH($H220,'CAT_ACTIVIDADES'!$A$4:$A$11,0)),"(sin catálogo)"))</f>
        <v/>
      </c>
      <c r="AC220" s="20">
        <f>IF($J220="","",TODAY()-$J220)</f>
        <v/>
      </c>
      <c r="AD220" s="20">
        <f>IF($J220="","",IF($J220&lt;=TODAY(),COUNTIFS(cal_fechas,"&gt;="&amp;$J220,cal_fechas,"&lt;"&amp;TODAY(),cal_habil,"sí"),-COUNTIFS(cal_fechas,"&gt;="&amp;TODAY(),cal_fechas,"&lt;"&amp;$J220,cal_habil,"sí")))</f>
        <v/>
      </c>
      <c r="AE220" s="5">
        <f>IF($AD220="","",IF($AD220&lt;0,"FUTURO",IF($AD220&gt;p_dias_backlog_max,"BACKLOG","MES CORRIENTE")))</f>
        <v/>
      </c>
      <c r="AF220" s="5">
        <f>IF($AD220="",FALSE,AND($AD220&gt;p_dias_backlog_min,$AD220&lt;=p_dias_backlog_max))</f>
        <v/>
      </c>
      <c r="AG220" s="4" t="n"/>
      <c r="AH220" s="5">
        <f>IF($AG220="","",IF((IFERROR(INDEX('ASIGNACIONES'!$J$4:$J$451,MATCH($O220&amp;"|"&amp;$S220&amp;"|"&amp;$AG220,'ASIGNACIONES'!$N$4:$N$451,0)),""))=0,"",IFERROR(INDEX('ASIGNACIONES'!$J$4:$J$451,MATCH($O220&amp;"|"&amp;$S220&amp;"|"&amp;$AG220,'ASIGNACIONES'!$N$4:$N$451,0)),"")))</f>
        <v/>
      </c>
      <c r="AI220" s="25">
        <f>IF($AG220="","",SUMIFS('ORDENES'!$M$4:$M$1203,'ORDENES'!$AG$4:$AG$1203,$AG220,'ORDENES'!$O$4:$O$1203,$O220,'ORDENES'!$S$4:$S$1203,$S220))</f>
        <v/>
      </c>
      <c r="AJ220" s="25">
        <f>IF($AI220="","",p_factor_productividad*IFERROR(INDEX('ASIGNACIONES'!$M$4:$M$451,MATCH($O220&amp;"|"&amp;$S220&amp;"|"&amp;$AG220,'ASIGNACIONES'!$N$4:$N$451,0)),0)-$AI220)</f>
        <v/>
      </c>
      <c r="AK220" s="18">
        <f>IF($A220="","",IFERROR(INDEX('2_IMPORTAR_EJECUCION'!$F$9:$F$1208,MATCH($AT220,'2_IMPORTAR_EJECUCION'!$J$9:$J$1208,0)),0))</f>
        <v/>
      </c>
      <c r="AL220" s="18">
        <f>IF($A220="","",MAX(0,IFERROR(INDEX('2_IMPORTAR_EJECUCION'!$H$9:$H$1208,MATCH($AT220,'2_IMPORTAR_EJECUCION'!$J$9:$J$1208,0)),0)-$AK220))</f>
        <v/>
      </c>
      <c r="AM220" s="18">
        <f>IF($A220="","",$AK220+$AL220)</f>
        <v/>
      </c>
      <c r="AN220" s="5">
        <f>IF($A220="","",IF(OR((IFERROR(INDEX('CAT_ACTIVIDADES'!$D$4:$D$11,MATCH($H220,'CAT_ACTIVIDADES'!$A$4:$A$11,0)),""))=0,(IFERROR(INDEX('CAT_ACTIVIDADES'!$D$4:$D$11,MATCH($H220,'CAT_ACTIVIDADES'!$A$4:$A$11,0)),""))=""),"SIN CLASIFICAR",IFERROR(INDEX('CAT_ACTIVIDADES'!$D$4:$D$11,MATCH($H220,'CAT_ACTIVIDADES'!$A$4:$A$11,0)),"")))</f>
        <v/>
      </c>
      <c r="AO220" s="4" t="n"/>
      <c r="AP220" s="4" t="n"/>
      <c r="AQ220" s="4" t="n"/>
      <c r="AR220" s="5">
        <f>IF($AQ220="","",HYPERLINK(p_ruta_base_checklists&amp;$AQ220,"abrir"))</f>
        <v/>
      </c>
      <c r="AS220" s="4" t="n"/>
      <c r="AT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2" t="n"/>
      <c r="K221" s="5" t="n"/>
      <c r="L221" s="18" t="n"/>
      <c r="M221" s="5">
        <f>IF($A221="","",IFERROR(INDEX('AJUSTES'!$B$4:$B$303,MATCH($AT221,'AJUSTES'!$A$4:$A$303,0)),IF($K221="","",$K221)))</f>
        <v/>
      </c>
      <c r="N221" s="5">
        <f>IF($A221="","",IFERROR(INDEX('CAT_ESTADOS_ERP'!$B$4:$B$7,MATCH(IFERROR(INDEX('2_IMPORTAR_EJECUCION'!$C$9:$C$1208,MATCH($AT221,'2_IMPORTAR_EJECUCION'!$J$9:$J$1208,0)),""),'CAT_ESTADOS_ERP'!$A$4:$A$7,0)),"Pendiente"))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IF($J221="","",$P221&amp;"-"&amp;TEXT($Q221,"00"))</f>
        <v/>
      </c>
      <c r="S221" s="5">
        <f>IF($J221="","",INDEX(lista_dias,WEEKDAY($J221,2)))</f>
        <v/>
      </c>
      <c r="T221" s="5">
        <f>IF($J221="","",IFERROR(INDEX('CALENDARIO'!$C$15:$C$214,MATCH(TEXT($J221,"yyyy-mm-dd")&amp;"|"&amp;$X221&amp;"|"&amp;$Y221,'CALENDARIO'!$G$15:$G$214,0)),IFERROR(INDEX('CALENDARIO'!$C$15:$C$214,MATCH(TEXT($J221,"yyyy-mm-dd")&amp;"|"&amp;$X221&amp;"|",'CALENDARIO'!$G$15:$G$214,0)),IFERROR(INDEX('CALENDARIO'!$C$15:$C$214,MATCH(TEXT($J221,"yyyy-mm-dd")&amp;"||",'CALENDARIO'!$G$15:$G$214,0)),INDEX(patronHabil,WEEKDAY($J221,2))))))</f>
        <v/>
      </c>
      <c r="U221" s="5">
        <f>IF($I221="","",IFERROR(INDEX('CAT_TIPOS_OT'!$C$4:$C$8,MATCH($I221,'CAT_TIPOS_OT'!$A$4:$A$8,0)),"sin_clasificar"))</f>
        <v/>
      </c>
      <c r="V221" s="5">
        <f>IF($I221="","",IF(IFERROR(INDEX('CAT_TIPOS_OT'!$D$4:$D$8,MATCH($I221,'CAT_TIPOS_OT'!$A$4:$A$8,0)),"SIN CLASIFICAR")="","SIN CLASIFICAR",IFERROR(INDEX('CAT_TIPOS_OT'!$D$4:$D$8,MATCH($I221,'CAT_TIPOS_OT'!$A$4:$A$8,0)),"SIN CLASIFICAR")))</f>
        <v/>
      </c>
      <c r="W221" s="5">
        <f>IF($F221="","",IFERROR(INDEX('CAT_CENTROS_COSTO'!$F$4:$F$13,MATCH($F221,'CAT_CENTROS_COSTO'!$A$4:$A$13,0)),"(sin catálogo)"))</f>
        <v/>
      </c>
      <c r="X221" s="5">
        <f>IF($F221="","",IFERROR(INDEX('CAT_CENTROS_COSTO'!$D$4:$D$13,MATCH($F221,'CAT_CENTROS_COSTO'!$A$4:$A$13,0)),"(sin catálogo)"))</f>
        <v/>
      </c>
      <c r="Y221" s="5">
        <f>IF($F221="","",IF((IFERROR(INDEX('CAT_CENTROS_COSTO'!$E$4:$E$13,MATCH($F221,'CAT_CENTROS_COSTO'!$A$4:$A$13,0)),""))&lt;&gt;"",IFERROR(INDEX('CAT_CENTROS_COSTO'!$E$4:$E$13,MATCH($F221,'CAT_CENTROS_COSTO'!$A$4:$A$13,0)),""),$X221))</f>
        <v/>
      </c>
      <c r="Z221" s="5">
        <f>IF($F221="","",IFERROR(INDEX('CAT_CENTROS_COSTO'!$G$4:$G$13,MATCH($F221,'CAT_CENTROS_COSTO'!$A$4:$A$13,0)),"(sin catálogo)"))</f>
        <v/>
      </c>
      <c r="AA221" s="5">
        <f>IF($G221="","",IFERROR(INDEX('CAT_PUESTOS'!$B$4:$B$8,MATCH($G221,'CAT_PUESTOS'!$A$4:$A$8,0)),"(sin catálogo)"))</f>
        <v/>
      </c>
      <c r="AB221" s="5">
        <f>IF($H221="","",IFERROR(INDEX('CAT_ACTIVIDADES'!$B$4:$B$11,MATCH($H221,'CAT_ACTIVIDADES'!$A$4:$A$11,0)),"(sin catálogo)"))</f>
        <v/>
      </c>
      <c r="AC221" s="20">
        <f>IF($J221="","",TODAY()-$J221)</f>
        <v/>
      </c>
      <c r="AD221" s="20">
        <f>IF($J221="","",IF($J221&lt;=TODAY(),COUNTIFS(cal_fechas,"&gt;="&amp;$J221,cal_fechas,"&lt;"&amp;TODAY(),cal_habil,"sí"),-COUNTIFS(cal_fechas,"&gt;="&amp;TODAY(),cal_fechas,"&lt;"&amp;$J221,cal_habil,"sí")))</f>
        <v/>
      </c>
      <c r="AE221" s="5">
        <f>IF($AD221="","",IF($AD221&lt;0,"FUTURO",IF($AD221&gt;p_dias_backlog_max,"BACKLOG","MES CORRIENTE")))</f>
        <v/>
      </c>
      <c r="AF221" s="5">
        <f>IF($AD221="",FALSE,AND($AD221&gt;p_dias_backlog_min,$AD221&lt;=p_dias_backlog_max))</f>
        <v/>
      </c>
      <c r="AG221" s="4" t="n"/>
      <c r="AH221" s="5">
        <f>IF($AG221="","",IF((IFERROR(INDEX('ASIGNACIONES'!$J$4:$J$451,MATCH($O221&amp;"|"&amp;$S221&amp;"|"&amp;$AG221,'ASIGNACIONES'!$N$4:$N$451,0)),""))=0,"",IFERROR(INDEX('ASIGNACIONES'!$J$4:$J$451,MATCH($O221&amp;"|"&amp;$S221&amp;"|"&amp;$AG221,'ASIGNACIONES'!$N$4:$N$451,0)),"")))</f>
        <v/>
      </c>
      <c r="AI221" s="25">
        <f>IF($AG221="","",SUMIFS('ORDENES'!$M$4:$M$1203,'ORDENES'!$AG$4:$AG$1203,$AG221,'ORDENES'!$O$4:$O$1203,$O221,'ORDENES'!$S$4:$S$1203,$S221))</f>
        <v/>
      </c>
      <c r="AJ221" s="25">
        <f>IF($AI221="","",p_factor_productividad*IFERROR(INDEX('ASIGNACIONES'!$M$4:$M$451,MATCH($O221&amp;"|"&amp;$S221&amp;"|"&amp;$AG221,'ASIGNACIONES'!$N$4:$N$451,0)),0)-$AI221)</f>
        <v/>
      </c>
      <c r="AK221" s="18">
        <f>IF($A221="","",IFERROR(INDEX('2_IMPORTAR_EJECUCION'!$F$9:$F$1208,MATCH($AT221,'2_IMPORTAR_EJECUCION'!$J$9:$J$1208,0)),0))</f>
        <v/>
      </c>
      <c r="AL221" s="18">
        <f>IF($A221="","",MAX(0,IFERROR(INDEX('2_IMPORTAR_EJECUCION'!$H$9:$H$1208,MATCH($AT221,'2_IMPORTAR_EJECUCION'!$J$9:$J$1208,0)),0)-$AK221))</f>
        <v/>
      </c>
      <c r="AM221" s="18">
        <f>IF($A221="","",$AK221+$AL221)</f>
        <v/>
      </c>
      <c r="AN221" s="5">
        <f>IF($A221="","",IF(OR((IFERROR(INDEX('CAT_ACTIVIDADES'!$D$4:$D$11,MATCH($H221,'CAT_ACTIVIDADES'!$A$4:$A$11,0)),""))=0,(IFERROR(INDEX('CAT_ACTIVIDADES'!$D$4:$D$11,MATCH($H221,'CAT_ACTIVIDADES'!$A$4:$A$11,0)),""))=""),"SIN CLASIFICAR",IFERROR(INDEX('CAT_ACTIVIDADES'!$D$4:$D$11,MATCH($H221,'CAT_ACTIVIDADES'!$A$4:$A$11,0)),"")))</f>
        <v/>
      </c>
      <c r="AO221" s="4" t="n"/>
      <c r="AP221" s="4" t="n"/>
      <c r="AQ221" s="4" t="n"/>
      <c r="AR221" s="5">
        <f>IF($AQ221="","",HYPERLINK(p_ruta_base_checklists&amp;$AQ221,"abrir"))</f>
        <v/>
      </c>
      <c r="AS221" s="4" t="n"/>
      <c r="AT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2" t="n"/>
      <c r="K222" s="5" t="n"/>
      <c r="L222" s="18" t="n"/>
      <c r="M222" s="5">
        <f>IF($A222="","",IFERROR(INDEX('AJUSTES'!$B$4:$B$303,MATCH($AT222,'AJUSTES'!$A$4:$A$303,0)),IF($K222="","",$K222)))</f>
        <v/>
      </c>
      <c r="N222" s="5">
        <f>IF($A222="","",IFERROR(INDEX('CAT_ESTADOS_ERP'!$B$4:$B$7,MATCH(IFERROR(INDEX('2_IMPORTAR_EJECUCION'!$C$9:$C$1208,MATCH($AT222,'2_IMPORTAR_EJECUCION'!$J$9:$J$1208,0)),""),'CAT_ESTADOS_ERP'!$A$4:$A$7,0)),"Pendiente"))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IF($J222="","",$P222&amp;"-"&amp;TEXT($Q222,"00"))</f>
        <v/>
      </c>
      <c r="S222" s="5">
        <f>IF($J222="","",INDEX(lista_dias,WEEKDAY($J222,2)))</f>
        <v/>
      </c>
      <c r="T222" s="5">
        <f>IF($J222="","",IFERROR(INDEX('CALENDARIO'!$C$15:$C$214,MATCH(TEXT($J222,"yyyy-mm-dd")&amp;"|"&amp;$X222&amp;"|"&amp;$Y222,'CALENDARIO'!$G$15:$G$214,0)),IFERROR(INDEX('CALENDARIO'!$C$15:$C$214,MATCH(TEXT($J222,"yyyy-mm-dd")&amp;"|"&amp;$X222&amp;"|",'CALENDARIO'!$G$15:$G$214,0)),IFERROR(INDEX('CALENDARIO'!$C$15:$C$214,MATCH(TEXT($J222,"yyyy-mm-dd")&amp;"||",'CALENDARIO'!$G$15:$G$214,0)),INDEX(patronHabil,WEEKDAY($J222,2))))))</f>
        <v/>
      </c>
      <c r="U222" s="5">
        <f>IF($I222="","",IFERROR(INDEX('CAT_TIPOS_OT'!$C$4:$C$8,MATCH($I222,'CAT_TIPOS_OT'!$A$4:$A$8,0)),"sin_clasificar"))</f>
        <v/>
      </c>
      <c r="V222" s="5">
        <f>IF($I222="","",IF(IFERROR(INDEX('CAT_TIPOS_OT'!$D$4:$D$8,MATCH($I222,'CAT_TIPOS_OT'!$A$4:$A$8,0)),"SIN CLASIFICAR")="","SIN CLASIFICAR",IFERROR(INDEX('CAT_TIPOS_OT'!$D$4:$D$8,MATCH($I222,'CAT_TIPOS_OT'!$A$4:$A$8,0)),"SIN CLASIFICAR")))</f>
        <v/>
      </c>
      <c r="W222" s="5">
        <f>IF($F222="","",IFERROR(INDEX('CAT_CENTROS_COSTO'!$F$4:$F$13,MATCH($F222,'CAT_CENTROS_COSTO'!$A$4:$A$13,0)),"(sin catálogo)"))</f>
        <v/>
      </c>
      <c r="X222" s="5">
        <f>IF($F222="","",IFERROR(INDEX('CAT_CENTROS_COSTO'!$D$4:$D$13,MATCH($F222,'CAT_CENTROS_COSTO'!$A$4:$A$13,0)),"(sin catálogo)"))</f>
        <v/>
      </c>
      <c r="Y222" s="5">
        <f>IF($F222="","",IF((IFERROR(INDEX('CAT_CENTROS_COSTO'!$E$4:$E$13,MATCH($F222,'CAT_CENTROS_COSTO'!$A$4:$A$13,0)),""))&lt;&gt;"",IFERROR(INDEX('CAT_CENTROS_COSTO'!$E$4:$E$13,MATCH($F222,'CAT_CENTROS_COSTO'!$A$4:$A$13,0)),""),$X222))</f>
        <v/>
      </c>
      <c r="Z222" s="5">
        <f>IF($F222="","",IFERROR(INDEX('CAT_CENTROS_COSTO'!$G$4:$G$13,MATCH($F222,'CAT_CENTROS_COSTO'!$A$4:$A$13,0)),"(sin catálogo)"))</f>
        <v/>
      </c>
      <c r="AA222" s="5">
        <f>IF($G222="","",IFERROR(INDEX('CAT_PUESTOS'!$B$4:$B$8,MATCH($G222,'CAT_PUESTOS'!$A$4:$A$8,0)),"(sin catálogo)"))</f>
        <v/>
      </c>
      <c r="AB222" s="5">
        <f>IF($H222="","",IFERROR(INDEX('CAT_ACTIVIDADES'!$B$4:$B$11,MATCH($H222,'CAT_ACTIVIDADES'!$A$4:$A$11,0)),"(sin catálogo)"))</f>
        <v/>
      </c>
      <c r="AC222" s="20">
        <f>IF($J222="","",TODAY()-$J222)</f>
        <v/>
      </c>
      <c r="AD222" s="20">
        <f>IF($J222="","",IF($J222&lt;=TODAY(),COUNTIFS(cal_fechas,"&gt;="&amp;$J222,cal_fechas,"&lt;"&amp;TODAY(),cal_habil,"sí"),-COUNTIFS(cal_fechas,"&gt;="&amp;TODAY(),cal_fechas,"&lt;"&amp;$J222,cal_habil,"sí")))</f>
        <v/>
      </c>
      <c r="AE222" s="5">
        <f>IF($AD222="","",IF($AD222&lt;0,"FUTURO",IF($AD222&gt;p_dias_backlog_max,"BACKLOG","MES CORRIENTE")))</f>
        <v/>
      </c>
      <c r="AF222" s="5">
        <f>IF($AD222="",FALSE,AND($AD222&gt;p_dias_backlog_min,$AD222&lt;=p_dias_backlog_max))</f>
        <v/>
      </c>
      <c r="AG222" s="4" t="n"/>
      <c r="AH222" s="5">
        <f>IF($AG222="","",IF((IFERROR(INDEX('ASIGNACIONES'!$J$4:$J$451,MATCH($O222&amp;"|"&amp;$S222&amp;"|"&amp;$AG222,'ASIGNACIONES'!$N$4:$N$451,0)),""))=0,"",IFERROR(INDEX('ASIGNACIONES'!$J$4:$J$451,MATCH($O222&amp;"|"&amp;$S222&amp;"|"&amp;$AG222,'ASIGNACIONES'!$N$4:$N$451,0)),"")))</f>
        <v/>
      </c>
      <c r="AI222" s="25">
        <f>IF($AG222="","",SUMIFS('ORDENES'!$M$4:$M$1203,'ORDENES'!$AG$4:$AG$1203,$AG222,'ORDENES'!$O$4:$O$1203,$O222,'ORDENES'!$S$4:$S$1203,$S222))</f>
        <v/>
      </c>
      <c r="AJ222" s="25">
        <f>IF($AI222="","",p_factor_productividad*IFERROR(INDEX('ASIGNACIONES'!$M$4:$M$451,MATCH($O222&amp;"|"&amp;$S222&amp;"|"&amp;$AG222,'ASIGNACIONES'!$N$4:$N$451,0)),0)-$AI222)</f>
        <v/>
      </c>
      <c r="AK222" s="18">
        <f>IF($A222="","",IFERROR(INDEX('2_IMPORTAR_EJECUCION'!$F$9:$F$1208,MATCH($AT222,'2_IMPORTAR_EJECUCION'!$J$9:$J$1208,0)),0))</f>
        <v/>
      </c>
      <c r="AL222" s="18">
        <f>IF($A222="","",MAX(0,IFERROR(INDEX('2_IMPORTAR_EJECUCION'!$H$9:$H$1208,MATCH($AT222,'2_IMPORTAR_EJECUCION'!$J$9:$J$1208,0)),0)-$AK222))</f>
        <v/>
      </c>
      <c r="AM222" s="18">
        <f>IF($A222="","",$AK222+$AL222)</f>
        <v/>
      </c>
      <c r="AN222" s="5">
        <f>IF($A222="","",IF(OR((IFERROR(INDEX('CAT_ACTIVIDADES'!$D$4:$D$11,MATCH($H222,'CAT_ACTIVIDADES'!$A$4:$A$11,0)),""))=0,(IFERROR(INDEX('CAT_ACTIVIDADES'!$D$4:$D$11,MATCH($H222,'CAT_ACTIVIDADES'!$A$4:$A$11,0)),""))=""),"SIN CLASIFICAR",IFERROR(INDEX('CAT_ACTIVIDADES'!$D$4:$D$11,MATCH($H222,'CAT_ACTIVIDADES'!$A$4:$A$11,0)),"")))</f>
        <v/>
      </c>
      <c r="AO222" s="4" t="n"/>
      <c r="AP222" s="4" t="n"/>
      <c r="AQ222" s="4" t="n"/>
      <c r="AR222" s="5">
        <f>IF($AQ222="","",HYPERLINK(p_ruta_base_checklists&amp;$AQ222,"abrir"))</f>
        <v/>
      </c>
      <c r="AS222" s="4" t="n"/>
      <c r="AT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2" t="n"/>
      <c r="K223" s="5" t="n"/>
      <c r="L223" s="18" t="n"/>
      <c r="M223" s="5">
        <f>IF($A223="","",IFERROR(INDEX('AJUSTES'!$B$4:$B$303,MATCH($AT223,'AJUSTES'!$A$4:$A$303,0)),IF($K223="","",$K223)))</f>
        <v/>
      </c>
      <c r="N223" s="5">
        <f>IF($A223="","",IFERROR(INDEX('CAT_ESTADOS_ERP'!$B$4:$B$7,MATCH(IFERROR(INDEX('2_IMPORTAR_EJECUCION'!$C$9:$C$1208,MATCH($AT223,'2_IMPORTAR_EJECUCION'!$J$9:$J$1208,0)),""),'CAT_ESTADOS_ERP'!$A$4:$A$7,0)),"Pendiente"))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IF($J223="","",$P223&amp;"-"&amp;TEXT($Q223,"00"))</f>
        <v/>
      </c>
      <c r="S223" s="5">
        <f>IF($J223="","",INDEX(lista_dias,WEEKDAY($J223,2)))</f>
        <v/>
      </c>
      <c r="T223" s="5">
        <f>IF($J223="","",IFERROR(INDEX('CALENDARIO'!$C$15:$C$214,MATCH(TEXT($J223,"yyyy-mm-dd")&amp;"|"&amp;$X223&amp;"|"&amp;$Y223,'CALENDARIO'!$G$15:$G$214,0)),IFERROR(INDEX('CALENDARIO'!$C$15:$C$214,MATCH(TEXT($J223,"yyyy-mm-dd")&amp;"|"&amp;$X223&amp;"|",'CALENDARIO'!$G$15:$G$214,0)),IFERROR(INDEX('CALENDARIO'!$C$15:$C$214,MATCH(TEXT($J223,"yyyy-mm-dd")&amp;"||",'CALENDARIO'!$G$15:$G$214,0)),INDEX(patronHabil,WEEKDAY($J223,2))))))</f>
        <v/>
      </c>
      <c r="U223" s="5">
        <f>IF($I223="","",IFERROR(INDEX('CAT_TIPOS_OT'!$C$4:$C$8,MATCH($I223,'CAT_TIPOS_OT'!$A$4:$A$8,0)),"sin_clasificar"))</f>
        <v/>
      </c>
      <c r="V223" s="5">
        <f>IF($I223="","",IF(IFERROR(INDEX('CAT_TIPOS_OT'!$D$4:$D$8,MATCH($I223,'CAT_TIPOS_OT'!$A$4:$A$8,0)),"SIN CLASIFICAR")="","SIN CLASIFICAR",IFERROR(INDEX('CAT_TIPOS_OT'!$D$4:$D$8,MATCH($I223,'CAT_TIPOS_OT'!$A$4:$A$8,0)),"SIN CLASIFICAR")))</f>
        <v/>
      </c>
      <c r="W223" s="5">
        <f>IF($F223="","",IFERROR(INDEX('CAT_CENTROS_COSTO'!$F$4:$F$13,MATCH($F223,'CAT_CENTROS_COSTO'!$A$4:$A$13,0)),"(sin catálogo)"))</f>
        <v/>
      </c>
      <c r="X223" s="5">
        <f>IF($F223="","",IFERROR(INDEX('CAT_CENTROS_COSTO'!$D$4:$D$13,MATCH($F223,'CAT_CENTROS_COSTO'!$A$4:$A$13,0)),"(sin catálogo)"))</f>
        <v/>
      </c>
      <c r="Y223" s="5">
        <f>IF($F223="","",IF((IFERROR(INDEX('CAT_CENTROS_COSTO'!$E$4:$E$13,MATCH($F223,'CAT_CENTROS_COSTO'!$A$4:$A$13,0)),""))&lt;&gt;"",IFERROR(INDEX('CAT_CENTROS_COSTO'!$E$4:$E$13,MATCH($F223,'CAT_CENTROS_COSTO'!$A$4:$A$13,0)),""),$X223))</f>
        <v/>
      </c>
      <c r="Z223" s="5">
        <f>IF($F223="","",IFERROR(INDEX('CAT_CENTROS_COSTO'!$G$4:$G$13,MATCH($F223,'CAT_CENTROS_COSTO'!$A$4:$A$13,0)),"(sin catálogo)"))</f>
        <v/>
      </c>
      <c r="AA223" s="5">
        <f>IF($G223="","",IFERROR(INDEX('CAT_PUESTOS'!$B$4:$B$8,MATCH($G223,'CAT_PUESTOS'!$A$4:$A$8,0)),"(sin catálogo)"))</f>
        <v/>
      </c>
      <c r="AB223" s="5">
        <f>IF($H223="","",IFERROR(INDEX('CAT_ACTIVIDADES'!$B$4:$B$11,MATCH($H223,'CAT_ACTIVIDADES'!$A$4:$A$11,0)),"(sin catálogo)"))</f>
        <v/>
      </c>
      <c r="AC223" s="20">
        <f>IF($J223="","",TODAY()-$J223)</f>
        <v/>
      </c>
      <c r="AD223" s="20">
        <f>IF($J223="","",IF($J223&lt;=TODAY(),COUNTIFS(cal_fechas,"&gt;="&amp;$J223,cal_fechas,"&lt;"&amp;TODAY(),cal_habil,"sí"),-COUNTIFS(cal_fechas,"&gt;="&amp;TODAY(),cal_fechas,"&lt;"&amp;$J223,cal_habil,"sí")))</f>
        <v/>
      </c>
      <c r="AE223" s="5">
        <f>IF($AD223="","",IF($AD223&lt;0,"FUTURO",IF($AD223&gt;p_dias_backlog_max,"BACKLOG","MES CORRIENTE")))</f>
        <v/>
      </c>
      <c r="AF223" s="5">
        <f>IF($AD223="",FALSE,AND($AD223&gt;p_dias_backlog_min,$AD223&lt;=p_dias_backlog_max))</f>
        <v/>
      </c>
      <c r="AG223" s="4" t="n"/>
      <c r="AH223" s="5">
        <f>IF($AG223="","",IF((IFERROR(INDEX('ASIGNACIONES'!$J$4:$J$451,MATCH($O223&amp;"|"&amp;$S223&amp;"|"&amp;$AG223,'ASIGNACIONES'!$N$4:$N$451,0)),""))=0,"",IFERROR(INDEX('ASIGNACIONES'!$J$4:$J$451,MATCH($O223&amp;"|"&amp;$S223&amp;"|"&amp;$AG223,'ASIGNACIONES'!$N$4:$N$451,0)),"")))</f>
        <v/>
      </c>
      <c r="AI223" s="25">
        <f>IF($AG223="","",SUMIFS('ORDENES'!$M$4:$M$1203,'ORDENES'!$AG$4:$AG$1203,$AG223,'ORDENES'!$O$4:$O$1203,$O223,'ORDENES'!$S$4:$S$1203,$S223))</f>
        <v/>
      </c>
      <c r="AJ223" s="25">
        <f>IF($AI223="","",p_factor_productividad*IFERROR(INDEX('ASIGNACIONES'!$M$4:$M$451,MATCH($O223&amp;"|"&amp;$S223&amp;"|"&amp;$AG223,'ASIGNACIONES'!$N$4:$N$451,0)),0)-$AI223)</f>
        <v/>
      </c>
      <c r="AK223" s="18">
        <f>IF($A223="","",IFERROR(INDEX('2_IMPORTAR_EJECUCION'!$F$9:$F$1208,MATCH($AT223,'2_IMPORTAR_EJECUCION'!$J$9:$J$1208,0)),0))</f>
        <v/>
      </c>
      <c r="AL223" s="18">
        <f>IF($A223="","",MAX(0,IFERROR(INDEX('2_IMPORTAR_EJECUCION'!$H$9:$H$1208,MATCH($AT223,'2_IMPORTAR_EJECUCION'!$J$9:$J$1208,0)),0)-$AK223))</f>
        <v/>
      </c>
      <c r="AM223" s="18">
        <f>IF($A223="","",$AK223+$AL223)</f>
        <v/>
      </c>
      <c r="AN223" s="5">
        <f>IF($A223="","",IF(OR((IFERROR(INDEX('CAT_ACTIVIDADES'!$D$4:$D$11,MATCH($H223,'CAT_ACTIVIDADES'!$A$4:$A$11,0)),""))=0,(IFERROR(INDEX('CAT_ACTIVIDADES'!$D$4:$D$11,MATCH($H223,'CAT_ACTIVIDADES'!$A$4:$A$11,0)),""))=""),"SIN CLASIFICAR",IFERROR(INDEX('CAT_ACTIVIDADES'!$D$4:$D$11,MATCH($H223,'CAT_ACTIVIDADES'!$A$4:$A$11,0)),"")))</f>
        <v/>
      </c>
      <c r="AO223" s="4" t="n"/>
      <c r="AP223" s="4" t="n"/>
      <c r="AQ223" s="4" t="n"/>
      <c r="AR223" s="5">
        <f>IF($AQ223="","",HYPERLINK(p_ruta_base_checklists&amp;$AQ223,"abrir"))</f>
        <v/>
      </c>
      <c r="AS223" s="4" t="n"/>
      <c r="AT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2" t="n"/>
      <c r="K224" s="5" t="n"/>
      <c r="L224" s="18" t="n"/>
      <c r="M224" s="5">
        <f>IF($A224="","",IFERROR(INDEX('AJUSTES'!$B$4:$B$303,MATCH($AT224,'AJUSTES'!$A$4:$A$303,0)),IF($K224="","",$K224)))</f>
        <v/>
      </c>
      <c r="N224" s="5">
        <f>IF($A224="","",IFERROR(INDEX('CAT_ESTADOS_ERP'!$B$4:$B$7,MATCH(IFERROR(INDEX('2_IMPORTAR_EJECUCION'!$C$9:$C$1208,MATCH($AT224,'2_IMPORTAR_EJECUCION'!$J$9:$J$1208,0)),""),'CAT_ESTADOS_ERP'!$A$4:$A$7,0)),"Pendiente"))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IF($J224="","",$P224&amp;"-"&amp;TEXT($Q224,"00"))</f>
        <v/>
      </c>
      <c r="S224" s="5">
        <f>IF($J224="","",INDEX(lista_dias,WEEKDAY($J224,2)))</f>
        <v/>
      </c>
      <c r="T224" s="5">
        <f>IF($J224="","",IFERROR(INDEX('CALENDARIO'!$C$15:$C$214,MATCH(TEXT($J224,"yyyy-mm-dd")&amp;"|"&amp;$X224&amp;"|"&amp;$Y224,'CALENDARIO'!$G$15:$G$214,0)),IFERROR(INDEX('CALENDARIO'!$C$15:$C$214,MATCH(TEXT($J224,"yyyy-mm-dd")&amp;"|"&amp;$X224&amp;"|",'CALENDARIO'!$G$15:$G$214,0)),IFERROR(INDEX('CALENDARIO'!$C$15:$C$214,MATCH(TEXT($J224,"yyyy-mm-dd")&amp;"||",'CALENDARIO'!$G$15:$G$214,0)),INDEX(patronHabil,WEEKDAY($J224,2))))))</f>
        <v/>
      </c>
      <c r="U224" s="5">
        <f>IF($I224="","",IFERROR(INDEX('CAT_TIPOS_OT'!$C$4:$C$8,MATCH($I224,'CAT_TIPOS_OT'!$A$4:$A$8,0)),"sin_clasificar"))</f>
        <v/>
      </c>
      <c r="V224" s="5">
        <f>IF($I224="","",IF(IFERROR(INDEX('CAT_TIPOS_OT'!$D$4:$D$8,MATCH($I224,'CAT_TIPOS_OT'!$A$4:$A$8,0)),"SIN CLASIFICAR")="","SIN CLASIFICAR",IFERROR(INDEX('CAT_TIPOS_OT'!$D$4:$D$8,MATCH($I224,'CAT_TIPOS_OT'!$A$4:$A$8,0)),"SIN CLASIFICAR")))</f>
        <v/>
      </c>
      <c r="W224" s="5">
        <f>IF($F224="","",IFERROR(INDEX('CAT_CENTROS_COSTO'!$F$4:$F$13,MATCH($F224,'CAT_CENTROS_COSTO'!$A$4:$A$13,0)),"(sin catálogo)"))</f>
        <v/>
      </c>
      <c r="X224" s="5">
        <f>IF($F224="","",IFERROR(INDEX('CAT_CENTROS_COSTO'!$D$4:$D$13,MATCH($F224,'CAT_CENTROS_COSTO'!$A$4:$A$13,0)),"(sin catálogo)"))</f>
        <v/>
      </c>
      <c r="Y224" s="5">
        <f>IF($F224="","",IF((IFERROR(INDEX('CAT_CENTROS_COSTO'!$E$4:$E$13,MATCH($F224,'CAT_CENTROS_COSTO'!$A$4:$A$13,0)),""))&lt;&gt;"",IFERROR(INDEX('CAT_CENTROS_COSTO'!$E$4:$E$13,MATCH($F224,'CAT_CENTROS_COSTO'!$A$4:$A$13,0)),""),$X224))</f>
        <v/>
      </c>
      <c r="Z224" s="5">
        <f>IF($F224="","",IFERROR(INDEX('CAT_CENTROS_COSTO'!$G$4:$G$13,MATCH($F224,'CAT_CENTROS_COSTO'!$A$4:$A$13,0)),"(sin catálogo)"))</f>
        <v/>
      </c>
      <c r="AA224" s="5">
        <f>IF($G224="","",IFERROR(INDEX('CAT_PUESTOS'!$B$4:$B$8,MATCH($G224,'CAT_PUESTOS'!$A$4:$A$8,0)),"(sin catálogo)"))</f>
        <v/>
      </c>
      <c r="AB224" s="5">
        <f>IF($H224="","",IFERROR(INDEX('CAT_ACTIVIDADES'!$B$4:$B$11,MATCH($H224,'CAT_ACTIVIDADES'!$A$4:$A$11,0)),"(sin catálogo)"))</f>
        <v/>
      </c>
      <c r="AC224" s="20">
        <f>IF($J224="","",TODAY()-$J224)</f>
        <v/>
      </c>
      <c r="AD224" s="20">
        <f>IF($J224="","",IF($J224&lt;=TODAY(),COUNTIFS(cal_fechas,"&gt;="&amp;$J224,cal_fechas,"&lt;"&amp;TODAY(),cal_habil,"sí"),-COUNTIFS(cal_fechas,"&gt;="&amp;TODAY(),cal_fechas,"&lt;"&amp;$J224,cal_habil,"sí")))</f>
        <v/>
      </c>
      <c r="AE224" s="5">
        <f>IF($AD224="","",IF($AD224&lt;0,"FUTURO",IF($AD224&gt;p_dias_backlog_max,"BACKLOG","MES CORRIENTE")))</f>
        <v/>
      </c>
      <c r="AF224" s="5">
        <f>IF($AD224="",FALSE,AND($AD224&gt;p_dias_backlog_min,$AD224&lt;=p_dias_backlog_max))</f>
        <v/>
      </c>
      <c r="AG224" s="4" t="n"/>
      <c r="AH224" s="5">
        <f>IF($AG224="","",IF((IFERROR(INDEX('ASIGNACIONES'!$J$4:$J$451,MATCH($O224&amp;"|"&amp;$S224&amp;"|"&amp;$AG224,'ASIGNACIONES'!$N$4:$N$451,0)),""))=0,"",IFERROR(INDEX('ASIGNACIONES'!$J$4:$J$451,MATCH($O224&amp;"|"&amp;$S224&amp;"|"&amp;$AG224,'ASIGNACIONES'!$N$4:$N$451,0)),"")))</f>
        <v/>
      </c>
      <c r="AI224" s="25">
        <f>IF($AG224="","",SUMIFS('ORDENES'!$M$4:$M$1203,'ORDENES'!$AG$4:$AG$1203,$AG224,'ORDENES'!$O$4:$O$1203,$O224,'ORDENES'!$S$4:$S$1203,$S224))</f>
        <v/>
      </c>
      <c r="AJ224" s="25">
        <f>IF($AI224="","",p_factor_productividad*IFERROR(INDEX('ASIGNACIONES'!$M$4:$M$451,MATCH($O224&amp;"|"&amp;$S224&amp;"|"&amp;$AG224,'ASIGNACIONES'!$N$4:$N$451,0)),0)-$AI224)</f>
        <v/>
      </c>
      <c r="AK224" s="18">
        <f>IF($A224="","",IFERROR(INDEX('2_IMPORTAR_EJECUCION'!$F$9:$F$1208,MATCH($AT224,'2_IMPORTAR_EJECUCION'!$J$9:$J$1208,0)),0))</f>
        <v/>
      </c>
      <c r="AL224" s="18">
        <f>IF($A224="","",MAX(0,IFERROR(INDEX('2_IMPORTAR_EJECUCION'!$H$9:$H$1208,MATCH($AT224,'2_IMPORTAR_EJECUCION'!$J$9:$J$1208,0)),0)-$AK224))</f>
        <v/>
      </c>
      <c r="AM224" s="18">
        <f>IF($A224="","",$AK224+$AL224)</f>
        <v/>
      </c>
      <c r="AN224" s="5">
        <f>IF($A224="","",IF(OR((IFERROR(INDEX('CAT_ACTIVIDADES'!$D$4:$D$11,MATCH($H224,'CAT_ACTIVIDADES'!$A$4:$A$11,0)),""))=0,(IFERROR(INDEX('CAT_ACTIVIDADES'!$D$4:$D$11,MATCH($H224,'CAT_ACTIVIDADES'!$A$4:$A$11,0)),""))=""),"SIN CLASIFICAR",IFERROR(INDEX('CAT_ACTIVIDADES'!$D$4:$D$11,MATCH($H224,'CAT_ACTIVIDADES'!$A$4:$A$11,0)),"")))</f>
        <v/>
      </c>
      <c r="AO224" s="4" t="n"/>
      <c r="AP224" s="4" t="n"/>
      <c r="AQ224" s="4" t="n"/>
      <c r="AR224" s="5">
        <f>IF($AQ224="","",HYPERLINK(p_ruta_base_checklists&amp;$AQ224,"abrir"))</f>
        <v/>
      </c>
      <c r="AS224" s="4" t="n"/>
      <c r="AT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2" t="n"/>
      <c r="K225" s="5" t="n"/>
      <c r="L225" s="18" t="n"/>
      <c r="M225" s="5">
        <f>IF($A225="","",IFERROR(INDEX('AJUSTES'!$B$4:$B$303,MATCH($AT225,'AJUSTES'!$A$4:$A$303,0)),IF($K225="","",$K225)))</f>
        <v/>
      </c>
      <c r="N225" s="5">
        <f>IF($A225="","",IFERROR(INDEX('CAT_ESTADOS_ERP'!$B$4:$B$7,MATCH(IFERROR(INDEX('2_IMPORTAR_EJECUCION'!$C$9:$C$1208,MATCH($AT225,'2_IMPORTAR_EJECUCION'!$J$9:$J$1208,0)),""),'CAT_ESTADOS_ERP'!$A$4:$A$7,0)),"Pendiente"))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IF($J225="","",$P225&amp;"-"&amp;TEXT($Q225,"00"))</f>
        <v/>
      </c>
      <c r="S225" s="5">
        <f>IF($J225="","",INDEX(lista_dias,WEEKDAY($J225,2)))</f>
        <v/>
      </c>
      <c r="T225" s="5">
        <f>IF($J225="","",IFERROR(INDEX('CALENDARIO'!$C$15:$C$214,MATCH(TEXT($J225,"yyyy-mm-dd")&amp;"|"&amp;$X225&amp;"|"&amp;$Y225,'CALENDARIO'!$G$15:$G$214,0)),IFERROR(INDEX('CALENDARIO'!$C$15:$C$214,MATCH(TEXT($J225,"yyyy-mm-dd")&amp;"|"&amp;$X225&amp;"|",'CALENDARIO'!$G$15:$G$214,0)),IFERROR(INDEX('CALENDARIO'!$C$15:$C$214,MATCH(TEXT($J225,"yyyy-mm-dd")&amp;"||",'CALENDARIO'!$G$15:$G$214,0)),INDEX(patronHabil,WEEKDAY($J225,2))))))</f>
        <v/>
      </c>
      <c r="U225" s="5">
        <f>IF($I225="","",IFERROR(INDEX('CAT_TIPOS_OT'!$C$4:$C$8,MATCH($I225,'CAT_TIPOS_OT'!$A$4:$A$8,0)),"sin_clasificar"))</f>
        <v/>
      </c>
      <c r="V225" s="5">
        <f>IF($I225="","",IF(IFERROR(INDEX('CAT_TIPOS_OT'!$D$4:$D$8,MATCH($I225,'CAT_TIPOS_OT'!$A$4:$A$8,0)),"SIN CLASIFICAR")="","SIN CLASIFICAR",IFERROR(INDEX('CAT_TIPOS_OT'!$D$4:$D$8,MATCH($I225,'CAT_TIPOS_OT'!$A$4:$A$8,0)),"SIN CLASIFICAR")))</f>
        <v/>
      </c>
      <c r="W225" s="5">
        <f>IF($F225="","",IFERROR(INDEX('CAT_CENTROS_COSTO'!$F$4:$F$13,MATCH($F225,'CAT_CENTROS_COSTO'!$A$4:$A$13,0)),"(sin catálogo)"))</f>
        <v/>
      </c>
      <c r="X225" s="5">
        <f>IF($F225="","",IFERROR(INDEX('CAT_CENTROS_COSTO'!$D$4:$D$13,MATCH($F225,'CAT_CENTROS_COSTO'!$A$4:$A$13,0)),"(sin catálogo)"))</f>
        <v/>
      </c>
      <c r="Y225" s="5">
        <f>IF($F225="","",IF((IFERROR(INDEX('CAT_CENTROS_COSTO'!$E$4:$E$13,MATCH($F225,'CAT_CENTROS_COSTO'!$A$4:$A$13,0)),""))&lt;&gt;"",IFERROR(INDEX('CAT_CENTROS_COSTO'!$E$4:$E$13,MATCH($F225,'CAT_CENTROS_COSTO'!$A$4:$A$13,0)),""),$X225))</f>
        <v/>
      </c>
      <c r="Z225" s="5">
        <f>IF($F225="","",IFERROR(INDEX('CAT_CENTROS_COSTO'!$G$4:$G$13,MATCH($F225,'CAT_CENTROS_COSTO'!$A$4:$A$13,0)),"(sin catálogo)"))</f>
        <v/>
      </c>
      <c r="AA225" s="5">
        <f>IF($G225="","",IFERROR(INDEX('CAT_PUESTOS'!$B$4:$B$8,MATCH($G225,'CAT_PUESTOS'!$A$4:$A$8,0)),"(sin catálogo)"))</f>
        <v/>
      </c>
      <c r="AB225" s="5">
        <f>IF($H225="","",IFERROR(INDEX('CAT_ACTIVIDADES'!$B$4:$B$11,MATCH($H225,'CAT_ACTIVIDADES'!$A$4:$A$11,0)),"(sin catálogo)"))</f>
        <v/>
      </c>
      <c r="AC225" s="20">
        <f>IF($J225="","",TODAY()-$J225)</f>
        <v/>
      </c>
      <c r="AD225" s="20">
        <f>IF($J225="","",IF($J225&lt;=TODAY(),COUNTIFS(cal_fechas,"&gt;="&amp;$J225,cal_fechas,"&lt;"&amp;TODAY(),cal_habil,"sí"),-COUNTIFS(cal_fechas,"&gt;="&amp;TODAY(),cal_fechas,"&lt;"&amp;$J225,cal_habil,"sí")))</f>
        <v/>
      </c>
      <c r="AE225" s="5">
        <f>IF($AD225="","",IF($AD225&lt;0,"FUTURO",IF($AD225&gt;p_dias_backlog_max,"BACKLOG","MES CORRIENTE")))</f>
        <v/>
      </c>
      <c r="AF225" s="5">
        <f>IF($AD225="",FALSE,AND($AD225&gt;p_dias_backlog_min,$AD225&lt;=p_dias_backlog_max))</f>
        <v/>
      </c>
      <c r="AG225" s="4" t="n"/>
      <c r="AH225" s="5">
        <f>IF($AG225="","",IF((IFERROR(INDEX('ASIGNACIONES'!$J$4:$J$451,MATCH($O225&amp;"|"&amp;$S225&amp;"|"&amp;$AG225,'ASIGNACIONES'!$N$4:$N$451,0)),""))=0,"",IFERROR(INDEX('ASIGNACIONES'!$J$4:$J$451,MATCH($O225&amp;"|"&amp;$S225&amp;"|"&amp;$AG225,'ASIGNACIONES'!$N$4:$N$451,0)),"")))</f>
        <v/>
      </c>
      <c r="AI225" s="25">
        <f>IF($AG225="","",SUMIFS('ORDENES'!$M$4:$M$1203,'ORDENES'!$AG$4:$AG$1203,$AG225,'ORDENES'!$O$4:$O$1203,$O225,'ORDENES'!$S$4:$S$1203,$S225))</f>
        <v/>
      </c>
      <c r="AJ225" s="25">
        <f>IF($AI225="","",p_factor_productividad*IFERROR(INDEX('ASIGNACIONES'!$M$4:$M$451,MATCH($O225&amp;"|"&amp;$S225&amp;"|"&amp;$AG225,'ASIGNACIONES'!$N$4:$N$451,0)),0)-$AI225)</f>
        <v/>
      </c>
      <c r="AK225" s="18">
        <f>IF($A225="","",IFERROR(INDEX('2_IMPORTAR_EJECUCION'!$F$9:$F$1208,MATCH($AT225,'2_IMPORTAR_EJECUCION'!$J$9:$J$1208,0)),0))</f>
        <v/>
      </c>
      <c r="AL225" s="18">
        <f>IF($A225="","",MAX(0,IFERROR(INDEX('2_IMPORTAR_EJECUCION'!$H$9:$H$1208,MATCH($AT225,'2_IMPORTAR_EJECUCION'!$J$9:$J$1208,0)),0)-$AK225))</f>
        <v/>
      </c>
      <c r="AM225" s="18">
        <f>IF($A225="","",$AK225+$AL225)</f>
        <v/>
      </c>
      <c r="AN225" s="5">
        <f>IF($A225="","",IF(OR((IFERROR(INDEX('CAT_ACTIVIDADES'!$D$4:$D$11,MATCH($H225,'CAT_ACTIVIDADES'!$A$4:$A$11,0)),""))=0,(IFERROR(INDEX('CAT_ACTIVIDADES'!$D$4:$D$11,MATCH($H225,'CAT_ACTIVIDADES'!$A$4:$A$11,0)),""))=""),"SIN CLASIFICAR",IFERROR(INDEX('CAT_ACTIVIDADES'!$D$4:$D$11,MATCH($H225,'CAT_ACTIVIDADES'!$A$4:$A$11,0)),"")))</f>
        <v/>
      </c>
      <c r="AO225" s="4" t="n"/>
      <c r="AP225" s="4" t="n"/>
      <c r="AQ225" s="4" t="n"/>
      <c r="AR225" s="5">
        <f>IF($AQ225="","",HYPERLINK(p_ruta_base_checklists&amp;$AQ225,"abrir"))</f>
        <v/>
      </c>
      <c r="AS225" s="4" t="n"/>
      <c r="AT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2" t="n"/>
      <c r="K226" s="5" t="n"/>
      <c r="L226" s="18" t="n"/>
      <c r="M226" s="5">
        <f>IF($A226="","",IFERROR(INDEX('AJUSTES'!$B$4:$B$303,MATCH($AT226,'AJUSTES'!$A$4:$A$303,0)),IF($K226="","",$K226)))</f>
        <v/>
      </c>
      <c r="N226" s="5">
        <f>IF($A226="","",IFERROR(INDEX('CAT_ESTADOS_ERP'!$B$4:$B$7,MATCH(IFERROR(INDEX('2_IMPORTAR_EJECUCION'!$C$9:$C$1208,MATCH($AT226,'2_IMPORTAR_EJECUCION'!$J$9:$J$1208,0)),""),'CAT_ESTADOS_ERP'!$A$4:$A$7,0)),"Pendiente"))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IF($J226="","",$P226&amp;"-"&amp;TEXT($Q226,"00"))</f>
        <v/>
      </c>
      <c r="S226" s="5">
        <f>IF($J226="","",INDEX(lista_dias,WEEKDAY($J226,2)))</f>
        <v/>
      </c>
      <c r="T226" s="5">
        <f>IF($J226="","",IFERROR(INDEX('CALENDARIO'!$C$15:$C$214,MATCH(TEXT($J226,"yyyy-mm-dd")&amp;"|"&amp;$X226&amp;"|"&amp;$Y226,'CALENDARIO'!$G$15:$G$214,0)),IFERROR(INDEX('CALENDARIO'!$C$15:$C$214,MATCH(TEXT($J226,"yyyy-mm-dd")&amp;"|"&amp;$X226&amp;"|",'CALENDARIO'!$G$15:$G$214,0)),IFERROR(INDEX('CALENDARIO'!$C$15:$C$214,MATCH(TEXT($J226,"yyyy-mm-dd")&amp;"||",'CALENDARIO'!$G$15:$G$214,0)),INDEX(patronHabil,WEEKDAY($J226,2))))))</f>
        <v/>
      </c>
      <c r="U226" s="5">
        <f>IF($I226="","",IFERROR(INDEX('CAT_TIPOS_OT'!$C$4:$C$8,MATCH($I226,'CAT_TIPOS_OT'!$A$4:$A$8,0)),"sin_clasificar"))</f>
        <v/>
      </c>
      <c r="V226" s="5">
        <f>IF($I226="","",IF(IFERROR(INDEX('CAT_TIPOS_OT'!$D$4:$D$8,MATCH($I226,'CAT_TIPOS_OT'!$A$4:$A$8,0)),"SIN CLASIFICAR")="","SIN CLASIFICAR",IFERROR(INDEX('CAT_TIPOS_OT'!$D$4:$D$8,MATCH($I226,'CAT_TIPOS_OT'!$A$4:$A$8,0)),"SIN CLASIFICAR")))</f>
        <v/>
      </c>
      <c r="W226" s="5">
        <f>IF($F226="","",IFERROR(INDEX('CAT_CENTROS_COSTO'!$F$4:$F$13,MATCH($F226,'CAT_CENTROS_COSTO'!$A$4:$A$13,0)),"(sin catálogo)"))</f>
        <v/>
      </c>
      <c r="X226" s="5">
        <f>IF($F226="","",IFERROR(INDEX('CAT_CENTROS_COSTO'!$D$4:$D$13,MATCH($F226,'CAT_CENTROS_COSTO'!$A$4:$A$13,0)),"(sin catálogo)"))</f>
        <v/>
      </c>
      <c r="Y226" s="5">
        <f>IF($F226="","",IF((IFERROR(INDEX('CAT_CENTROS_COSTO'!$E$4:$E$13,MATCH($F226,'CAT_CENTROS_COSTO'!$A$4:$A$13,0)),""))&lt;&gt;"",IFERROR(INDEX('CAT_CENTROS_COSTO'!$E$4:$E$13,MATCH($F226,'CAT_CENTROS_COSTO'!$A$4:$A$13,0)),""),$X226))</f>
        <v/>
      </c>
      <c r="Z226" s="5">
        <f>IF($F226="","",IFERROR(INDEX('CAT_CENTROS_COSTO'!$G$4:$G$13,MATCH($F226,'CAT_CENTROS_COSTO'!$A$4:$A$13,0)),"(sin catálogo)"))</f>
        <v/>
      </c>
      <c r="AA226" s="5">
        <f>IF($G226="","",IFERROR(INDEX('CAT_PUESTOS'!$B$4:$B$8,MATCH($G226,'CAT_PUESTOS'!$A$4:$A$8,0)),"(sin catálogo)"))</f>
        <v/>
      </c>
      <c r="AB226" s="5">
        <f>IF($H226="","",IFERROR(INDEX('CAT_ACTIVIDADES'!$B$4:$B$11,MATCH($H226,'CAT_ACTIVIDADES'!$A$4:$A$11,0)),"(sin catálogo)"))</f>
        <v/>
      </c>
      <c r="AC226" s="20">
        <f>IF($J226="","",TODAY()-$J226)</f>
        <v/>
      </c>
      <c r="AD226" s="20">
        <f>IF($J226="","",IF($J226&lt;=TODAY(),COUNTIFS(cal_fechas,"&gt;="&amp;$J226,cal_fechas,"&lt;"&amp;TODAY(),cal_habil,"sí"),-COUNTIFS(cal_fechas,"&gt;="&amp;TODAY(),cal_fechas,"&lt;"&amp;$J226,cal_habil,"sí")))</f>
        <v/>
      </c>
      <c r="AE226" s="5">
        <f>IF($AD226="","",IF($AD226&lt;0,"FUTURO",IF($AD226&gt;p_dias_backlog_max,"BACKLOG","MES CORRIENTE")))</f>
        <v/>
      </c>
      <c r="AF226" s="5">
        <f>IF($AD226="",FALSE,AND($AD226&gt;p_dias_backlog_min,$AD226&lt;=p_dias_backlog_max))</f>
        <v/>
      </c>
      <c r="AG226" s="4" t="n"/>
      <c r="AH226" s="5">
        <f>IF($AG226="","",IF((IFERROR(INDEX('ASIGNACIONES'!$J$4:$J$451,MATCH($O226&amp;"|"&amp;$S226&amp;"|"&amp;$AG226,'ASIGNACIONES'!$N$4:$N$451,0)),""))=0,"",IFERROR(INDEX('ASIGNACIONES'!$J$4:$J$451,MATCH($O226&amp;"|"&amp;$S226&amp;"|"&amp;$AG226,'ASIGNACIONES'!$N$4:$N$451,0)),"")))</f>
        <v/>
      </c>
      <c r="AI226" s="25">
        <f>IF($AG226="","",SUMIFS('ORDENES'!$M$4:$M$1203,'ORDENES'!$AG$4:$AG$1203,$AG226,'ORDENES'!$O$4:$O$1203,$O226,'ORDENES'!$S$4:$S$1203,$S226))</f>
        <v/>
      </c>
      <c r="AJ226" s="25">
        <f>IF($AI226="","",p_factor_productividad*IFERROR(INDEX('ASIGNACIONES'!$M$4:$M$451,MATCH($O226&amp;"|"&amp;$S226&amp;"|"&amp;$AG226,'ASIGNACIONES'!$N$4:$N$451,0)),0)-$AI226)</f>
        <v/>
      </c>
      <c r="AK226" s="18">
        <f>IF($A226="","",IFERROR(INDEX('2_IMPORTAR_EJECUCION'!$F$9:$F$1208,MATCH($AT226,'2_IMPORTAR_EJECUCION'!$J$9:$J$1208,0)),0))</f>
        <v/>
      </c>
      <c r="AL226" s="18">
        <f>IF($A226="","",MAX(0,IFERROR(INDEX('2_IMPORTAR_EJECUCION'!$H$9:$H$1208,MATCH($AT226,'2_IMPORTAR_EJECUCION'!$J$9:$J$1208,0)),0)-$AK226))</f>
        <v/>
      </c>
      <c r="AM226" s="18">
        <f>IF($A226="","",$AK226+$AL226)</f>
        <v/>
      </c>
      <c r="AN226" s="5">
        <f>IF($A226="","",IF(OR((IFERROR(INDEX('CAT_ACTIVIDADES'!$D$4:$D$11,MATCH($H226,'CAT_ACTIVIDADES'!$A$4:$A$11,0)),""))=0,(IFERROR(INDEX('CAT_ACTIVIDADES'!$D$4:$D$11,MATCH($H226,'CAT_ACTIVIDADES'!$A$4:$A$11,0)),""))=""),"SIN CLASIFICAR",IFERROR(INDEX('CAT_ACTIVIDADES'!$D$4:$D$11,MATCH($H226,'CAT_ACTIVIDADES'!$A$4:$A$11,0)),"")))</f>
        <v/>
      </c>
      <c r="AO226" s="4" t="n"/>
      <c r="AP226" s="4" t="n"/>
      <c r="AQ226" s="4" t="n"/>
      <c r="AR226" s="5">
        <f>IF($AQ226="","",HYPERLINK(p_ruta_base_checklists&amp;$AQ226,"abrir"))</f>
        <v/>
      </c>
      <c r="AS226" s="4" t="n"/>
      <c r="AT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2" t="n"/>
      <c r="K227" s="5" t="n"/>
      <c r="L227" s="18" t="n"/>
      <c r="M227" s="5">
        <f>IF($A227="","",IFERROR(INDEX('AJUSTES'!$B$4:$B$303,MATCH($AT227,'AJUSTES'!$A$4:$A$303,0)),IF($K227="","",$K227)))</f>
        <v/>
      </c>
      <c r="N227" s="5">
        <f>IF($A227="","",IFERROR(INDEX('CAT_ESTADOS_ERP'!$B$4:$B$7,MATCH(IFERROR(INDEX('2_IMPORTAR_EJECUCION'!$C$9:$C$1208,MATCH($AT227,'2_IMPORTAR_EJECUCION'!$J$9:$J$1208,0)),""),'CAT_ESTADOS_ERP'!$A$4:$A$7,0)),"Pendiente"))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IF($J227="","",$P227&amp;"-"&amp;TEXT($Q227,"00"))</f>
        <v/>
      </c>
      <c r="S227" s="5">
        <f>IF($J227="","",INDEX(lista_dias,WEEKDAY($J227,2)))</f>
        <v/>
      </c>
      <c r="T227" s="5">
        <f>IF($J227="","",IFERROR(INDEX('CALENDARIO'!$C$15:$C$214,MATCH(TEXT($J227,"yyyy-mm-dd")&amp;"|"&amp;$X227&amp;"|"&amp;$Y227,'CALENDARIO'!$G$15:$G$214,0)),IFERROR(INDEX('CALENDARIO'!$C$15:$C$214,MATCH(TEXT($J227,"yyyy-mm-dd")&amp;"|"&amp;$X227&amp;"|",'CALENDARIO'!$G$15:$G$214,0)),IFERROR(INDEX('CALENDARIO'!$C$15:$C$214,MATCH(TEXT($J227,"yyyy-mm-dd")&amp;"||",'CALENDARIO'!$G$15:$G$214,0)),INDEX(patronHabil,WEEKDAY($J227,2))))))</f>
        <v/>
      </c>
      <c r="U227" s="5">
        <f>IF($I227="","",IFERROR(INDEX('CAT_TIPOS_OT'!$C$4:$C$8,MATCH($I227,'CAT_TIPOS_OT'!$A$4:$A$8,0)),"sin_clasificar"))</f>
        <v/>
      </c>
      <c r="V227" s="5">
        <f>IF($I227="","",IF(IFERROR(INDEX('CAT_TIPOS_OT'!$D$4:$D$8,MATCH($I227,'CAT_TIPOS_OT'!$A$4:$A$8,0)),"SIN CLASIFICAR")="","SIN CLASIFICAR",IFERROR(INDEX('CAT_TIPOS_OT'!$D$4:$D$8,MATCH($I227,'CAT_TIPOS_OT'!$A$4:$A$8,0)),"SIN CLASIFICAR")))</f>
        <v/>
      </c>
      <c r="W227" s="5">
        <f>IF($F227="","",IFERROR(INDEX('CAT_CENTROS_COSTO'!$F$4:$F$13,MATCH($F227,'CAT_CENTROS_COSTO'!$A$4:$A$13,0)),"(sin catálogo)"))</f>
        <v/>
      </c>
      <c r="X227" s="5">
        <f>IF($F227="","",IFERROR(INDEX('CAT_CENTROS_COSTO'!$D$4:$D$13,MATCH($F227,'CAT_CENTROS_COSTO'!$A$4:$A$13,0)),"(sin catálogo)"))</f>
        <v/>
      </c>
      <c r="Y227" s="5">
        <f>IF($F227="","",IF((IFERROR(INDEX('CAT_CENTROS_COSTO'!$E$4:$E$13,MATCH($F227,'CAT_CENTROS_COSTO'!$A$4:$A$13,0)),""))&lt;&gt;"",IFERROR(INDEX('CAT_CENTROS_COSTO'!$E$4:$E$13,MATCH($F227,'CAT_CENTROS_COSTO'!$A$4:$A$13,0)),""),$X227))</f>
        <v/>
      </c>
      <c r="Z227" s="5">
        <f>IF($F227="","",IFERROR(INDEX('CAT_CENTROS_COSTO'!$G$4:$G$13,MATCH($F227,'CAT_CENTROS_COSTO'!$A$4:$A$13,0)),"(sin catálogo)"))</f>
        <v/>
      </c>
      <c r="AA227" s="5">
        <f>IF($G227="","",IFERROR(INDEX('CAT_PUESTOS'!$B$4:$B$8,MATCH($G227,'CAT_PUESTOS'!$A$4:$A$8,0)),"(sin catálogo)"))</f>
        <v/>
      </c>
      <c r="AB227" s="5">
        <f>IF($H227="","",IFERROR(INDEX('CAT_ACTIVIDADES'!$B$4:$B$11,MATCH($H227,'CAT_ACTIVIDADES'!$A$4:$A$11,0)),"(sin catálogo)"))</f>
        <v/>
      </c>
      <c r="AC227" s="20">
        <f>IF($J227="","",TODAY()-$J227)</f>
        <v/>
      </c>
      <c r="AD227" s="20">
        <f>IF($J227="","",IF($J227&lt;=TODAY(),COUNTIFS(cal_fechas,"&gt;="&amp;$J227,cal_fechas,"&lt;"&amp;TODAY(),cal_habil,"sí"),-COUNTIFS(cal_fechas,"&gt;="&amp;TODAY(),cal_fechas,"&lt;"&amp;$J227,cal_habil,"sí")))</f>
        <v/>
      </c>
      <c r="AE227" s="5">
        <f>IF($AD227="","",IF($AD227&lt;0,"FUTURO",IF($AD227&gt;p_dias_backlog_max,"BACKLOG","MES CORRIENTE")))</f>
        <v/>
      </c>
      <c r="AF227" s="5">
        <f>IF($AD227="",FALSE,AND($AD227&gt;p_dias_backlog_min,$AD227&lt;=p_dias_backlog_max))</f>
        <v/>
      </c>
      <c r="AG227" s="4" t="n"/>
      <c r="AH227" s="5">
        <f>IF($AG227="","",IF((IFERROR(INDEX('ASIGNACIONES'!$J$4:$J$451,MATCH($O227&amp;"|"&amp;$S227&amp;"|"&amp;$AG227,'ASIGNACIONES'!$N$4:$N$451,0)),""))=0,"",IFERROR(INDEX('ASIGNACIONES'!$J$4:$J$451,MATCH($O227&amp;"|"&amp;$S227&amp;"|"&amp;$AG227,'ASIGNACIONES'!$N$4:$N$451,0)),"")))</f>
        <v/>
      </c>
      <c r="AI227" s="25">
        <f>IF($AG227="","",SUMIFS('ORDENES'!$M$4:$M$1203,'ORDENES'!$AG$4:$AG$1203,$AG227,'ORDENES'!$O$4:$O$1203,$O227,'ORDENES'!$S$4:$S$1203,$S227))</f>
        <v/>
      </c>
      <c r="AJ227" s="25">
        <f>IF($AI227="","",p_factor_productividad*IFERROR(INDEX('ASIGNACIONES'!$M$4:$M$451,MATCH($O227&amp;"|"&amp;$S227&amp;"|"&amp;$AG227,'ASIGNACIONES'!$N$4:$N$451,0)),0)-$AI227)</f>
        <v/>
      </c>
      <c r="AK227" s="18">
        <f>IF($A227="","",IFERROR(INDEX('2_IMPORTAR_EJECUCION'!$F$9:$F$1208,MATCH($AT227,'2_IMPORTAR_EJECUCION'!$J$9:$J$1208,0)),0))</f>
        <v/>
      </c>
      <c r="AL227" s="18">
        <f>IF($A227="","",MAX(0,IFERROR(INDEX('2_IMPORTAR_EJECUCION'!$H$9:$H$1208,MATCH($AT227,'2_IMPORTAR_EJECUCION'!$J$9:$J$1208,0)),0)-$AK227))</f>
        <v/>
      </c>
      <c r="AM227" s="18">
        <f>IF($A227="","",$AK227+$AL227)</f>
        <v/>
      </c>
      <c r="AN227" s="5">
        <f>IF($A227="","",IF(OR((IFERROR(INDEX('CAT_ACTIVIDADES'!$D$4:$D$11,MATCH($H227,'CAT_ACTIVIDADES'!$A$4:$A$11,0)),""))=0,(IFERROR(INDEX('CAT_ACTIVIDADES'!$D$4:$D$11,MATCH($H227,'CAT_ACTIVIDADES'!$A$4:$A$11,0)),""))=""),"SIN CLASIFICAR",IFERROR(INDEX('CAT_ACTIVIDADES'!$D$4:$D$11,MATCH($H227,'CAT_ACTIVIDADES'!$A$4:$A$11,0)),"")))</f>
        <v/>
      </c>
      <c r="AO227" s="4" t="n"/>
      <c r="AP227" s="4" t="n"/>
      <c r="AQ227" s="4" t="n"/>
      <c r="AR227" s="5">
        <f>IF($AQ227="","",HYPERLINK(p_ruta_base_checklists&amp;$AQ227,"abrir"))</f>
        <v/>
      </c>
      <c r="AS227" s="4" t="n"/>
      <c r="AT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2" t="n"/>
      <c r="K228" s="5" t="n"/>
      <c r="L228" s="18" t="n"/>
      <c r="M228" s="5">
        <f>IF($A228="","",IFERROR(INDEX('AJUSTES'!$B$4:$B$303,MATCH($AT228,'AJUSTES'!$A$4:$A$303,0)),IF($K228="","",$K228)))</f>
        <v/>
      </c>
      <c r="N228" s="5">
        <f>IF($A228="","",IFERROR(INDEX('CAT_ESTADOS_ERP'!$B$4:$B$7,MATCH(IFERROR(INDEX('2_IMPORTAR_EJECUCION'!$C$9:$C$1208,MATCH($AT228,'2_IMPORTAR_EJECUCION'!$J$9:$J$1208,0)),""),'CAT_ESTADOS_ERP'!$A$4:$A$7,0)),"Pendiente"))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IF($J228="","",$P228&amp;"-"&amp;TEXT($Q228,"00"))</f>
        <v/>
      </c>
      <c r="S228" s="5">
        <f>IF($J228="","",INDEX(lista_dias,WEEKDAY($J228,2)))</f>
        <v/>
      </c>
      <c r="T228" s="5">
        <f>IF($J228="","",IFERROR(INDEX('CALENDARIO'!$C$15:$C$214,MATCH(TEXT($J228,"yyyy-mm-dd")&amp;"|"&amp;$X228&amp;"|"&amp;$Y228,'CALENDARIO'!$G$15:$G$214,0)),IFERROR(INDEX('CALENDARIO'!$C$15:$C$214,MATCH(TEXT($J228,"yyyy-mm-dd")&amp;"|"&amp;$X228&amp;"|",'CALENDARIO'!$G$15:$G$214,0)),IFERROR(INDEX('CALENDARIO'!$C$15:$C$214,MATCH(TEXT($J228,"yyyy-mm-dd")&amp;"||",'CALENDARIO'!$G$15:$G$214,0)),INDEX(patronHabil,WEEKDAY($J228,2))))))</f>
        <v/>
      </c>
      <c r="U228" s="5">
        <f>IF($I228="","",IFERROR(INDEX('CAT_TIPOS_OT'!$C$4:$C$8,MATCH($I228,'CAT_TIPOS_OT'!$A$4:$A$8,0)),"sin_clasificar"))</f>
        <v/>
      </c>
      <c r="V228" s="5">
        <f>IF($I228="","",IF(IFERROR(INDEX('CAT_TIPOS_OT'!$D$4:$D$8,MATCH($I228,'CAT_TIPOS_OT'!$A$4:$A$8,0)),"SIN CLASIFICAR")="","SIN CLASIFICAR",IFERROR(INDEX('CAT_TIPOS_OT'!$D$4:$D$8,MATCH($I228,'CAT_TIPOS_OT'!$A$4:$A$8,0)),"SIN CLASIFICAR")))</f>
        <v/>
      </c>
      <c r="W228" s="5">
        <f>IF($F228="","",IFERROR(INDEX('CAT_CENTROS_COSTO'!$F$4:$F$13,MATCH($F228,'CAT_CENTROS_COSTO'!$A$4:$A$13,0)),"(sin catálogo)"))</f>
        <v/>
      </c>
      <c r="X228" s="5">
        <f>IF($F228="","",IFERROR(INDEX('CAT_CENTROS_COSTO'!$D$4:$D$13,MATCH($F228,'CAT_CENTROS_COSTO'!$A$4:$A$13,0)),"(sin catálogo)"))</f>
        <v/>
      </c>
      <c r="Y228" s="5">
        <f>IF($F228="","",IF((IFERROR(INDEX('CAT_CENTROS_COSTO'!$E$4:$E$13,MATCH($F228,'CAT_CENTROS_COSTO'!$A$4:$A$13,0)),""))&lt;&gt;"",IFERROR(INDEX('CAT_CENTROS_COSTO'!$E$4:$E$13,MATCH($F228,'CAT_CENTROS_COSTO'!$A$4:$A$13,0)),""),$X228))</f>
        <v/>
      </c>
      <c r="Z228" s="5">
        <f>IF($F228="","",IFERROR(INDEX('CAT_CENTROS_COSTO'!$G$4:$G$13,MATCH($F228,'CAT_CENTROS_COSTO'!$A$4:$A$13,0)),"(sin catálogo)"))</f>
        <v/>
      </c>
      <c r="AA228" s="5">
        <f>IF($G228="","",IFERROR(INDEX('CAT_PUESTOS'!$B$4:$B$8,MATCH($G228,'CAT_PUESTOS'!$A$4:$A$8,0)),"(sin catálogo)"))</f>
        <v/>
      </c>
      <c r="AB228" s="5">
        <f>IF($H228="","",IFERROR(INDEX('CAT_ACTIVIDADES'!$B$4:$B$11,MATCH($H228,'CAT_ACTIVIDADES'!$A$4:$A$11,0)),"(sin catálogo)"))</f>
        <v/>
      </c>
      <c r="AC228" s="20">
        <f>IF($J228="","",TODAY()-$J228)</f>
        <v/>
      </c>
      <c r="AD228" s="20">
        <f>IF($J228="","",IF($J228&lt;=TODAY(),COUNTIFS(cal_fechas,"&gt;="&amp;$J228,cal_fechas,"&lt;"&amp;TODAY(),cal_habil,"sí"),-COUNTIFS(cal_fechas,"&gt;="&amp;TODAY(),cal_fechas,"&lt;"&amp;$J228,cal_habil,"sí")))</f>
        <v/>
      </c>
      <c r="AE228" s="5">
        <f>IF($AD228="","",IF($AD228&lt;0,"FUTURO",IF($AD228&gt;p_dias_backlog_max,"BACKLOG","MES CORRIENTE")))</f>
        <v/>
      </c>
      <c r="AF228" s="5">
        <f>IF($AD228="",FALSE,AND($AD228&gt;p_dias_backlog_min,$AD228&lt;=p_dias_backlog_max))</f>
        <v/>
      </c>
      <c r="AG228" s="4" t="n"/>
      <c r="AH228" s="5">
        <f>IF($AG228="","",IF((IFERROR(INDEX('ASIGNACIONES'!$J$4:$J$451,MATCH($O228&amp;"|"&amp;$S228&amp;"|"&amp;$AG228,'ASIGNACIONES'!$N$4:$N$451,0)),""))=0,"",IFERROR(INDEX('ASIGNACIONES'!$J$4:$J$451,MATCH($O228&amp;"|"&amp;$S228&amp;"|"&amp;$AG228,'ASIGNACIONES'!$N$4:$N$451,0)),"")))</f>
        <v/>
      </c>
      <c r="AI228" s="25">
        <f>IF($AG228="","",SUMIFS('ORDENES'!$M$4:$M$1203,'ORDENES'!$AG$4:$AG$1203,$AG228,'ORDENES'!$O$4:$O$1203,$O228,'ORDENES'!$S$4:$S$1203,$S228))</f>
        <v/>
      </c>
      <c r="AJ228" s="25">
        <f>IF($AI228="","",p_factor_productividad*IFERROR(INDEX('ASIGNACIONES'!$M$4:$M$451,MATCH($O228&amp;"|"&amp;$S228&amp;"|"&amp;$AG228,'ASIGNACIONES'!$N$4:$N$451,0)),0)-$AI228)</f>
        <v/>
      </c>
      <c r="AK228" s="18">
        <f>IF($A228="","",IFERROR(INDEX('2_IMPORTAR_EJECUCION'!$F$9:$F$1208,MATCH($AT228,'2_IMPORTAR_EJECUCION'!$J$9:$J$1208,0)),0))</f>
        <v/>
      </c>
      <c r="AL228" s="18">
        <f>IF($A228="","",MAX(0,IFERROR(INDEX('2_IMPORTAR_EJECUCION'!$H$9:$H$1208,MATCH($AT228,'2_IMPORTAR_EJECUCION'!$J$9:$J$1208,0)),0)-$AK228))</f>
        <v/>
      </c>
      <c r="AM228" s="18">
        <f>IF($A228="","",$AK228+$AL228)</f>
        <v/>
      </c>
      <c r="AN228" s="5">
        <f>IF($A228="","",IF(OR((IFERROR(INDEX('CAT_ACTIVIDADES'!$D$4:$D$11,MATCH($H228,'CAT_ACTIVIDADES'!$A$4:$A$11,0)),""))=0,(IFERROR(INDEX('CAT_ACTIVIDADES'!$D$4:$D$11,MATCH($H228,'CAT_ACTIVIDADES'!$A$4:$A$11,0)),""))=""),"SIN CLASIFICAR",IFERROR(INDEX('CAT_ACTIVIDADES'!$D$4:$D$11,MATCH($H228,'CAT_ACTIVIDADES'!$A$4:$A$11,0)),"")))</f>
        <v/>
      </c>
      <c r="AO228" s="4" t="n"/>
      <c r="AP228" s="4" t="n"/>
      <c r="AQ228" s="4" t="n"/>
      <c r="AR228" s="5">
        <f>IF($AQ228="","",HYPERLINK(p_ruta_base_checklists&amp;$AQ228,"abrir"))</f>
        <v/>
      </c>
      <c r="AS228" s="4" t="n"/>
      <c r="AT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2" t="n"/>
      <c r="K229" s="5" t="n"/>
      <c r="L229" s="18" t="n"/>
      <c r="M229" s="5">
        <f>IF($A229="","",IFERROR(INDEX('AJUSTES'!$B$4:$B$303,MATCH($AT229,'AJUSTES'!$A$4:$A$303,0)),IF($K229="","",$K229)))</f>
        <v/>
      </c>
      <c r="N229" s="5">
        <f>IF($A229="","",IFERROR(INDEX('CAT_ESTADOS_ERP'!$B$4:$B$7,MATCH(IFERROR(INDEX('2_IMPORTAR_EJECUCION'!$C$9:$C$1208,MATCH($AT229,'2_IMPORTAR_EJECUCION'!$J$9:$J$1208,0)),""),'CAT_ESTADOS_ERP'!$A$4:$A$7,0)),"Pendiente"))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IF($J229="","",$P229&amp;"-"&amp;TEXT($Q229,"00"))</f>
        <v/>
      </c>
      <c r="S229" s="5">
        <f>IF($J229="","",INDEX(lista_dias,WEEKDAY($J229,2)))</f>
        <v/>
      </c>
      <c r="T229" s="5">
        <f>IF($J229="","",IFERROR(INDEX('CALENDARIO'!$C$15:$C$214,MATCH(TEXT($J229,"yyyy-mm-dd")&amp;"|"&amp;$X229&amp;"|"&amp;$Y229,'CALENDARIO'!$G$15:$G$214,0)),IFERROR(INDEX('CALENDARIO'!$C$15:$C$214,MATCH(TEXT($J229,"yyyy-mm-dd")&amp;"|"&amp;$X229&amp;"|",'CALENDARIO'!$G$15:$G$214,0)),IFERROR(INDEX('CALENDARIO'!$C$15:$C$214,MATCH(TEXT($J229,"yyyy-mm-dd")&amp;"||",'CALENDARIO'!$G$15:$G$214,0)),INDEX(patronHabil,WEEKDAY($J229,2))))))</f>
        <v/>
      </c>
      <c r="U229" s="5">
        <f>IF($I229="","",IFERROR(INDEX('CAT_TIPOS_OT'!$C$4:$C$8,MATCH($I229,'CAT_TIPOS_OT'!$A$4:$A$8,0)),"sin_clasificar"))</f>
        <v/>
      </c>
      <c r="V229" s="5">
        <f>IF($I229="","",IF(IFERROR(INDEX('CAT_TIPOS_OT'!$D$4:$D$8,MATCH($I229,'CAT_TIPOS_OT'!$A$4:$A$8,0)),"SIN CLASIFICAR")="","SIN CLASIFICAR",IFERROR(INDEX('CAT_TIPOS_OT'!$D$4:$D$8,MATCH($I229,'CAT_TIPOS_OT'!$A$4:$A$8,0)),"SIN CLASIFICAR")))</f>
        <v/>
      </c>
      <c r="W229" s="5">
        <f>IF($F229="","",IFERROR(INDEX('CAT_CENTROS_COSTO'!$F$4:$F$13,MATCH($F229,'CAT_CENTROS_COSTO'!$A$4:$A$13,0)),"(sin catálogo)"))</f>
        <v/>
      </c>
      <c r="X229" s="5">
        <f>IF($F229="","",IFERROR(INDEX('CAT_CENTROS_COSTO'!$D$4:$D$13,MATCH($F229,'CAT_CENTROS_COSTO'!$A$4:$A$13,0)),"(sin catálogo)"))</f>
        <v/>
      </c>
      <c r="Y229" s="5">
        <f>IF($F229="","",IF((IFERROR(INDEX('CAT_CENTROS_COSTO'!$E$4:$E$13,MATCH($F229,'CAT_CENTROS_COSTO'!$A$4:$A$13,0)),""))&lt;&gt;"",IFERROR(INDEX('CAT_CENTROS_COSTO'!$E$4:$E$13,MATCH($F229,'CAT_CENTROS_COSTO'!$A$4:$A$13,0)),""),$X229))</f>
        <v/>
      </c>
      <c r="Z229" s="5">
        <f>IF($F229="","",IFERROR(INDEX('CAT_CENTROS_COSTO'!$G$4:$G$13,MATCH($F229,'CAT_CENTROS_COSTO'!$A$4:$A$13,0)),"(sin catálogo)"))</f>
        <v/>
      </c>
      <c r="AA229" s="5">
        <f>IF($G229="","",IFERROR(INDEX('CAT_PUESTOS'!$B$4:$B$8,MATCH($G229,'CAT_PUESTOS'!$A$4:$A$8,0)),"(sin catálogo)"))</f>
        <v/>
      </c>
      <c r="AB229" s="5">
        <f>IF($H229="","",IFERROR(INDEX('CAT_ACTIVIDADES'!$B$4:$B$11,MATCH($H229,'CAT_ACTIVIDADES'!$A$4:$A$11,0)),"(sin catálogo)"))</f>
        <v/>
      </c>
      <c r="AC229" s="20">
        <f>IF($J229="","",TODAY()-$J229)</f>
        <v/>
      </c>
      <c r="AD229" s="20">
        <f>IF($J229="","",IF($J229&lt;=TODAY(),COUNTIFS(cal_fechas,"&gt;="&amp;$J229,cal_fechas,"&lt;"&amp;TODAY(),cal_habil,"sí"),-COUNTIFS(cal_fechas,"&gt;="&amp;TODAY(),cal_fechas,"&lt;"&amp;$J229,cal_habil,"sí")))</f>
        <v/>
      </c>
      <c r="AE229" s="5">
        <f>IF($AD229="","",IF($AD229&lt;0,"FUTURO",IF($AD229&gt;p_dias_backlog_max,"BACKLOG","MES CORRIENTE")))</f>
        <v/>
      </c>
      <c r="AF229" s="5">
        <f>IF($AD229="",FALSE,AND($AD229&gt;p_dias_backlog_min,$AD229&lt;=p_dias_backlog_max))</f>
        <v/>
      </c>
      <c r="AG229" s="4" t="n"/>
      <c r="AH229" s="5">
        <f>IF($AG229="","",IF((IFERROR(INDEX('ASIGNACIONES'!$J$4:$J$451,MATCH($O229&amp;"|"&amp;$S229&amp;"|"&amp;$AG229,'ASIGNACIONES'!$N$4:$N$451,0)),""))=0,"",IFERROR(INDEX('ASIGNACIONES'!$J$4:$J$451,MATCH($O229&amp;"|"&amp;$S229&amp;"|"&amp;$AG229,'ASIGNACIONES'!$N$4:$N$451,0)),"")))</f>
        <v/>
      </c>
      <c r="AI229" s="25">
        <f>IF($AG229="","",SUMIFS('ORDENES'!$M$4:$M$1203,'ORDENES'!$AG$4:$AG$1203,$AG229,'ORDENES'!$O$4:$O$1203,$O229,'ORDENES'!$S$4:$S$1203,$S229))</f>
        <v/>
      </c>
      <c r="AJ229" s="25">
        <f>IF($AI229="","",p_factor_productividad*IFERROR(INDEX('ASIGNACIONES'!$M$4:$M$451,MATCH($O229&amp;"|"&amp;$S229&amp;"|"&amp;$AG229,'ASIGNACIONES'!$N$4:$N$451,0)),0)-$AI229)</f>
        <v/>
      </c>
      <c r="AK229" s="18">
        <f>IF($A229="","",IFERROR(INDEX('2_IMPORTAR_EJECUCION'!$F$9:$F$1208,MATCH($AT229,'2_IMPORTAR_EJECUCION'!$J$9:$J$1208,0)),0))</f>
        <v/>
      </c>
      <c r="AL229" s="18">
        <f>IF($A229="","",MAX(0,IFERROR(INDEX('2_IMPORTAR_EJECUCION'!$H$9:$H$1208,MATCH($AT229,'2_IMPORTAR_EJECUCION'!$J$9:$J$1208,0)),0)-$AK229))</f>
        <v/>
      </c>
      <c r="AM229" s="18">
        <f>IF($A229="","",$AK229+$AL229)</f>
        <v/>
      </c>
      <c r="AN229" s="5">
        <f>IF($A229="","",IF(OR((IFERROR(INDEX('CAT_ACTIVIDADES'!$D$4:$D$11,MATCH($H229,'CAT_ACTIVIDADES'!$A$4:$A$11,0)),""))=0,(IFERROR(INDEX('CAT_ACTIVIDADES'!$D$4:$D$11,MATCH($H229,'CAT_ACTIVIDADES'!$A$4:$A$11,0)),""))=""),"SIN CLASIFICAR",IFERROR(INDEX('CAT_ACTIVIDADES'!$D$4:$D$11,MATCH($H229,'CAT_ACTIVIDADES'!$A$4:$A$11,0)),"")))</f>
        <v/>
      </c>
      <c r="AO229" s="4" t="n"/>
      <c r="AP229" s="4" t="n"/>
      <c r="AQ229" s="4" t="n"/>
      <c r="AR229" s="5">
        <f>IF($AQ229="","",HYPERLINK(p_ruta_base_checklists&amp;$AQ229,"abrir"))</f>
        <v/>
      </c>
      <c r="AS229" s="4" t="n"/>
      <c r="AT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2" t="n"/>
      <c r="K230" s="5" t="n"/>
      <c r="L230" s="18" t="n"/>
      <c r="M230" s="5">
        <f>IF($A230="","",IFERROR(INDEX('AJUSTES'!$B$4:$B$303,MATCH($AT230,'AJUSTES'!$A$4:$A$303,0)),IF($K230="","",$K230)))</f>
        <v/>
      </c>
      <c r="N230" s="5">
        <f>IF($A230="","",IFERROR(INDEX('CAT_ESTADOS_ERP'!$B$4:$B$7,MATCH(IFERROR(INDEX('2_IMPORTAR_EJECUCION'!$C$9:$C$1208,MATCH($AT230,'2_IMPORTAR_EJECUCION'!$J$9:$J$1208,0)),""),'CAT_ESTADOS_ERP'!$A$4:$A$7,0)),"Pendiente"))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IF($J230="","",$P230&amp;"-"&amp;TEXT($Q230,"00"))</f>
        <v/>
      </c>
      <c r="S230" s="5">
        <f>IF($J230="","",INDEX(lista_dias,WEEKDAY($J230,2)))</f>
        <v/>
      </c>
      <c r="T230" s="5">
        <f>IF($J230="","",IFERROR(INDEX('CALENDARIO'!$C$15:$C$214,MATCH(TEXT($J230,"yyyy-mm-dd")&amp;"|"&amp;$X230&amp;"|"&amp;$Y230,'CALENDARIO'!$G$15:$G$214,0)),IFERROR(INDEX('CALENDARIO'!$C$15:$C$214,MATCH(TEXT($J230,"yyyy-mm-dd")&amp;"|"&amp;$X230&amp;"|",'CALENDARIO'!$G$15:$G$214,0)),IFERROR(INDEX('CALENDARIO'!$C$15:$C$214,MATCH(TEXT($J230,"yyyy-mm-dd")&amp;"||",'CALENDARIO'!$G$15:$G$214,0)),INDEX(patronHabil,WEEKDAY($J230,2))))))</f>
        <v/>
      </c>
      <c r="U230" s="5">
        <f>IF($I230="","",IFERROR(INDEX('CAT_TIPOS_OT'!$C$4:$C$8,MATCH($I230,'CAT_TIPOS_OT'!$A$4:$A$8,0)),"sin_clasificar"))</f>
        <v/>
      </c>
      <c r="V230" s="5">
        <f>IF($I230="","",IF(IFERROR(INDEX('CAT_TIPOS_OT'!$D$4:$D$8,MATCH($I230,'CAT_TIPOS_OT'!$A$4:$A$8,0)),"SIN CLASIFICAR")="","SIN CLASIFICAR",IFERROR(INDEX('CAT_TIPOS_OT'!$D$4:$D$8,MATCH($I230,'CAT_TIPOS_OT'!$A$4:$A$8,0)),"SIN CLASIFICAR")))</f>
        <v/>
      </c>
      <c r="W230" s="5">
        <f>IF($F230="","",IFERROR(INDEX('CAT_CENTROS_COSTO'!$F$4:$F$13,MATCH($F230,'CAT_CENTROS_COSTO'!$A$4:$A$13,0)),"(sin catálogo)"))</f>
        <v/>
      </c>
      <c r="X230" s="5">
        <f>IF($F230="","",IFERROR(INDEX('CAT_CENTROS_COSTO'!$D$4:$D$13,MATCH($F230,'CAT_CENTROS_COSTO'!$A$4:$A$13,0)),"(sin catálogo)"))</f>
        <v/>
      </c>
      <c r="Y230" s="5">
        <f>IF($F230="","",IF((IFERROR(INDEX('CAT_CENTROS_COSTO'!$E$4:$E$13,MATCH($F230,'CAT_CENTROS_COSTO'!$A$4:$A$13,0)),""))&lt;&gt;"",IFERROR(INDEX('CAT_CENTROS_COSTO'!$E$4:$E$13,MATCH($F230,'CAT_CENTROS_COSTO'!$A$4:$A$13,0)),""),$X230))</f>
        <v/>
      </c>
      <c r="Z230" s="5">
        <f>IF($F230="","",IFERROR(INDEX('CAT_CENTROS_COSTO'!$G$4:$G$13,MATCH($F230,'CAT_CENTROS_COSTO'!$A$4:$A$13,0)),"(sin catálogo)"))</f>
        <v/>
      </c>
      <c r="AA230" s="5">
        <f>IF($G230="","",IFERROR(INDEX('CAT_PUESTOS'!$B$4:$B$8,MATCH($G230,'CAT_PUESTOS'!$A$4:$A$8,0)),"(sin catálogo)"))</f>
        <v/>
      </c>
      <c r="AB230" s="5">
        <f>IF($H230="","",IFERROR(INDEX('CAT_ACTIVIDADES'!$B$4:$B$11,MATCH($H230,'CAT_ACTIVIDADES'!$A$4:$A$11,0)),"(sin catálogo)"))</f>
        <v/>
      </c>
      <c r="AC230" s="20">
        <f>IF($J230="","",TODAY()-$J230)</f>
        <v/>
      </c>
      <c r="AD230" s="20">
        <f>IF($J230="","",IF($J230&lt;=TODAY(),COUNTIFS(cal_fechas,"&gt;="&amp;$J230,cal_fechas,"&lt;"&amp;TODAY(),cal_habil,"sí"),-COUNTIFS(cal_fechas,"&gt;="&amp;TODAY(),cal_fechas,"&lt;"&amp;$J230,cal_habil,"sí")))</f>
        <v/>
      </c>
      <c r="AE230" s="5">
        <f>IF($AD230="","",IF($AD230&lt;0,"FUTURO",IF($AD230&gt;p_dias_backlog_max,"BACKLOG","MES CORRIENTE")))</f>
        <v/>
      </c>
      <c r="AF230" s="5">
        <f>IF($AD230="",FALSE,AND($AD230&gt;p_dias_backlog_min,$AD230&lt;=p_dias_backlog_max))</f>
        <v/>
      </c>
      <c r="AG230" s="4" t="n"/>
      <c r="AH230" s="5">
        <f>IF($AG230="","",IF((IFERROR(INDEX('ASIGNACIONES'!$J$4:$J$451,MATCH($O230&amp;"|"&amp;$S230&amp;"|"&amp;$AG230,'ASIGNACIONES'!$N$4:$N$451,0)),""))=0,"",IFERROR(INDEX('ASIGNACIONES'!$J$4:$J$451,MATCH($O230&amp;"|"&amp;$S230&amp;"|"&amp;$AG230,'ASIGNACIONES'!$N$4:$N$451,0)),"")))</f>
        <v/>
      </c>
      <c r="AI230" s="25">
        <f>IF($AG230="","",SUMIFS('ORDENES'!$M$4:$M$1203,'ORDENES'!$AG$4:$AG$1203,$AG230,'ORDENES'!$O$4:$O$1203,$O230,'ORDENES'!$S$4:$S$1203,$S230))</f>
        <v/>
      </c>
      <c r="AJ230" s="25">
        <f>IF($AI230="","",p_factor_productividad*IFERROR(INDEX('ASIGNACIONES'!$M$4:$M$451,MATCH($O230&amp;"|"&amp;$S230&amp;"|"&amp;$AG230,'ASIGNACIONES'!$N$4:$N$451,0)),0)-$AI230)</f>
        <v/>
      </c>
      <c r="AK230" s="18">
        <f>IF($A230="","",IFERROR(INDEX('2_IMPORTAR_EJECUCION'!$F$9:$F$1208,MATCH($AT230,'2_IMPORTAR_EJECUCION'!$J$9:$J$1208,0)),0))</f>
        <v/>
      </c>
      <c r="AL230" s="18">
        <f>IF($A230="","",MAX(0,IFERROR(INDEX('2_IMPORTAR_EJECUCION'!$H$9:$H$1208,MATCH($AT230,'2_IMPORTAR_EJECUCION'!$J$9:$J$1208,0)),0)-$AK230))</f>
        <v/>
      </c>
      <c r="AM230" s="18">
        <f>IF($A230="","",$AK230+$AL230)</f>
        <v/>
      </c>
      <c r="AN230" s="5">
        <f>IF($A230="","",IF(OR((IFERROR(INDEX('CAT_ACTIVIDADES'!$D$4:$D$11,MATCH($H230,'CAT_ACTIVIDADES'!$A$4:$A$11,0)),""))=0,(IFERROR(INDEX('CAT_ACTIVIDADES'!$D$4:$D$11,MATCH($H230,'CAT_ACTIVIDADES'!$A$4:$A$11,0)),""))=""),"SIN CLASIFICAR",IFERROR(INDEX('CAT_ACTIVIDADES'!$D$4:$D$11,MATCH($H230,'CAT_ACTIVIDADES'!$A$4:$A$11,0)),"")))</f>
        <v/>
      </c>
      <c r="AO230" s="4" t="n"/>
      <c r="AP230" s="4" t="n"/>
      <c r="AQ230" s="4" t="n"/>
      <c r="AR230" s="5">
        <f>IF($AQ230="","",HYPERLINK(p_ruta_base_checklists&amp;$AQ230,"abrir"))</f>
        <v/>
      </c>
      <c r="AS230" s="4" t="n"/>
      <c r="AT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2" t="n"/>
      <c r="K231" s="5" t="n"/>
      <c r="L231" s="18" t="n"/>
      <c r="M231" s="5">
        <f>IF($A231="","",IFERROR(INDEX('AJUSTES'!$B$4:$B$303,MATCH($AT231,'AJUSTES'!$A$4:$A$303,0)),IF($K231="","",$K231)))</f>
        <v/>
      </c>
      <c r="N231" s="5">
        <f>IF($A231="","",IFERROR(INDEX('CAT_ESTADOS_ERP'!$B$4:$B$7,MATCH(IFERROR(INDEX('2_IMPORTAR_EJECUCION'!$C$9:$C$1208,MATCH($AT231,'2_IMPORTAR_EJECUCION'!$J$9:$J$1208,0)),""),'CAT_ESTADOS_ERP'!$A$4:$A$7,0)),"Pendiente"))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IF($J231="","",$P231&amp;"-"&amp;TEXT($Q231,"00"))</f>
        <v/>
      </c>
      <c r="S231" s="5">
        <f>IF($J231="","",INDEX(lista_dias,WEEKDAY($J231,2)))</f>
        <v/>
      </c>
      <c r="T231" s="5">
        <f>IF($J231="","",IFERROR(INDEX('CALENDARIO'!$C$15:$C$214,MATCH(TEXT($J231,"yyyy-mm-dd")&amp;"|"&amp;$X231&amp;"|"&amp;$Y231,'CALENDARIO'!$G$15:$G$214,0)),IFERROR(INDEX('CALENDARIO'!$C$15:$C$214,MATCH(TEXT($J231,"yyyy-mm-dd")&amp;"|"&amp;$X231&amp;"|",'CALENDARIO'!$G$15:$G$214,0)),IFERROR(INDEX('CALENDARIO'!$C$15:$C$214,MATCH(TEXT($J231,"yyyy-mm-dd")&amp;"||",'CALENDARIO'!$G$15:$G$214,0)),INDEX(patronHabil,WEEKDAY($J231,2))))))</f>
        <v/>
      </c>
      <c r="U231" s="5">
        <f>IF($I231="","",IFERROR(INDEX('CAT_TIPOS_OT'!$C$4:$C$8,MATCH($I231,'CAT_TIPOS_OT'!$A$4:$A$8,0)),"sin_clasificar"))</f>
        <v/>
      </c>
      <c r="V231" s="5">
        <f>IF($I231="","",IF(IFERROR(INDEX('CAT_TIPOS_OT'!$D$4:$D$8,MATCH($I231,'CAT_TIPOS_OT'!$A$4:$A$8,0)),"SIN CLASIFICAR")="","SIN CLASIFICAR",IFERROR(INDEX('CAT_TIPOS_OT'!$D$4:$D$8,MATCH($I231,'CAT_TIPOS_OT'!$A$4:$A$8,0)),"SIN CLASIFICAR")))</f>
        <v/>
      </c>
      <c r="W231" s="5">
        <f>IF($F231="","",IFERROR(INDEX('CAT_CENTROS_COSTO'!$F$4:$F$13,MATCH($F231,'CAT_CENTROS_COSTO'!$A$4:$A$13,0)),"(sin catálogo)"))</f>
        <v/>
      </c>
      <c r="X231" s="5">
        <f>IF($F231="","",IFERROR(INDEX('CAT_CENTROS_COSTO'!$D$4:$D$13,MATCH($F231,'CAT_CENTROS_COSTO'!$A$4:$A$13,0)),"(sin catálogo)"))</f>
        <v/>
      </c>
      <c r="Y231" s="5">
        <f>IF($F231="","",IF((IFERROR(INDEX('CAT_CENTROS_COSTO'!$E$4:$E$13,MATCH($F231,'CAT_CENTROS_COSTO'!$A$4:$A$13,0)),""))&lt;&gt;"",IFERROR(INDEX('CAT_CENTROS_COSTO'!$E$4:$E$13,MATCH($F231,'CAT_CENTROS_COSTO'!$A$4:$A$13,0)),""),$X231))</f>
        <v/>
      </c>
      <c r="Z231" s="5">
        <f>IF($F231="","",IFERROR(INDEX('CAT_CENTROS_COSTO'!$G$4:$G$13,MATCH($F231,'CAT_CENTROS_COSTO'!$A$4:$A$13,0)),"(sin catálogo)"))</f>
        <v/>
      </c>
      <c r="AA231" s="5">
        <f>IF($G231="","",IFERROR(INDEX('CAT_PUESTOS'!$B$4:$B$8,MATCH($G231,'CAT_PUESTOS'!$A$4:$A$8,0)),"(sin catálogo)"))</f>
        <v/>
      </c>
      <c r="AB231" s="5">
        <f>IF($H231="","",IFERROR(INDEX('CAT_ACTIVIDADES'!$B$4:$B$11,MATCH($H231,'CAT_ACTIVIDADES'!$A$4:$A$11,0)),"(sin catálogo)"))</f>
        <v/>
      </c>
      <c r="AC231" s="20">
        <f>IF($J231="","",TODAY()-$J231)</f>
        <v/>
      </c>
      <c r="AD231" s="20">
        <f>IF($J231="","",IF($J231&lt;=TODAY(),COUNTIFS(cal_fechas,"&gt;="&amp;$J231,cal_fechas,"&lt;"&amp;TODAY(),cal_habil,"sí"),-COUNTIFS(cal_fechas,"&gt;="&amp;TODAY(),cal_fechas,"&lt;"&amp;$J231,cal_habil,"sí")))</f>
        <v/>
      </c>
      <c r="AE231" s="5">
        <f>IF($AD231="","",IF($AD231&lt;0,"FUTURO",IF($AD231&gt;p_dias_backlog_max,"BACKLOG","MES CORRIENTE")))</f>
        <v/>
      </c>
      <c r="AF231" s="5">
        <f>IF($AD231="",FALSE,AND($AD231&gt;p_dias_backlog_min,$AD231&lt;=p_dias_backlog_max))</f>
        <v/>
      </c>
      <c r="AG231" s="4" t="n"/>
      <c r="AH231" s="5">
        <f>IF($AG231="","",IF((IFERROR(INDEX('ASIGNACIONES'!$J$4:$J$451,MATCH($O231&amp;"|"&amp;$S231&amp;"|"&amp;$AG231,'ASIGNACIONES'!$N$4:$N$451,0)),""))=0,"",IFERROR(INDEX('ASIGNACIONES'!$J$4:$J$451,MATCH($O231&amp;"|"&amp;$S231&amp;"|"&amp;$AG231,'ASIGNACIONES'!$N$4:$N$451,0)),"")))</f>
        <v/>
      </c>
      <c r="AI231" s="25">
        <f>IF($AG231="","",SUMIFS('ORDENES'!$M$4:$M$1203,'ORDENES'!$AG$4:$AG$1203,$AG231,'ORDENES'!$O$4:$O$1203,$O231,'ORDENES'!$S$4:$S$1203,$S231))</f>
        <v/>
      </c>
      <c r="AJ231" s="25">
        <f>IF($AI231="","",p_factor_productividad*IFERROR(INDEX('ASIGNACIONES'!$M$4:$M$451,MATCH($O231&amp;"|"&amp;$S231&amp;"|"&amp;$AG231,'ASIGNACIONES'!$N$4:$N$451,0)),0)-$AI231)</f>
        <v/>
      </c>
      <c r="AK231" s="18">
        <f>IF($A231="","",IFERROR(INDEX('2_IMPORTAR_EJECUCION'!$F$9:$F$1208,MATCH($AT231,'2_IMPORTAR_EJECUCION'!$J$9:$J$1208,0)),0))</f>
        <v/>
      </c>
      <c r="AL231" s="18">
        <f>IF($A231="","",MAX(0,IFERROR(INDEX('2_IMPORTAR_EJECUCION'!$H$9:$H$1208,MATCH($AT231,'2_IMPORTAR_EJECUCION'!$J$9:$J$1208,0)),0)-$AK231))</f>
        <v/>
      </c>
      <c r="AM231" s="18">
        <f>IF($A231="","",$AK231+$AL231)</f>
        <v/>
      </c>
      <c r="AN231" s="5">
        <f>IF($A231="","",IF(OR((IFERROR(INDEX('CAT_ACTIVIDADES'!$D$4:$D$11,MATCH($H231,'CAT_ACTIVIDADES'!$A$4:$A$11,0)),""))=0,(IFERROR(INDEX('CAT_ACTIVIDADES'!$D$4:$D$11,MATCH($H231,'CAT_ACTIVIDADES'!$A$4:$A$11,0)),""))=""),"SIN CLASIFICAR",IFERROR(INDEX('CAT_ACTIVIDADES'!$D$4:$D$11,MATCH($H231,'CAT_ACTIVIDADES'!$A$4:$A$11,0)),"")))</f>
        <v/>
      </c>
      <c r="AO231" s="4" t="n"/>
      <c r="AP231" s="4" t="n"/>
      <c r="AQ231" s="4" t="n"/>
      <c r="AR231" s="5">
        <f>IF($AQ231="","",HYPERLINK(p_ruta_base_checklists&amp;$AQ231,"abrir"))</f>
        <v/>
      </c>
      <c r="AS231" s="4" t="n"/>
      <c r="AT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2" t="n"/>
      <c r="K232" s="5" t="n"/>
      <c r="L232" s="18" t="n"/>
      <c r="M232" s="5">
        <f>IF($A232="","",IFERROR(INDEX('AJUSTES'!$B$4:$B$303,MATCH($AT232,'AJUSTES'!$A$4:$A$303,0)),IF($K232="","",$K232)))</f>
        <v/>
      </c>
      <c r="N232" s="5">
        <f>IF($A232="","",IFERROR(INDEX('CAT_ESTADOS_ERP'!$B$4:$B$7,MATCH(IFERROR(INDEX('2_IMPORTAR_EJECUCION'!$C$9:$C$1208,MATCH($AT232,'2_IMPORTAR_EJECUCION'!$J$9:$J$1208,0)),""),'CAT_ESTADOS_ERP'!$A$4:$A$7,0)),"Pendiente"))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IF($J232="","",$P232&amp;"-"&amp;TEXT($Q232,"00"))</f>
        <v/>
      </c>
      <c r="S232" s="5">
        <f>IF($J232="","",INDEX(lista_dias,WEEKDAY($J232,2)))</f>
        <v/>
      </c>
      <c r="T232" s="5">
        <f>IF($J232="","",IFERROR(INDEX('CALENDARIO'!$C$15:$C$214,MATCH(TEXT($J232,"yyyy-mm-dd")&amp;"|"&amp;$X232&amp;"|"&amp;$Y232,'CALENDARIO'!$G$15:$G$214,0)),IFERROR(INDEX('CALENDARIO'!$C$15:$C$214,MATCH(TEXT($J232,"yyyy-mm-dd")&amp;"|"&amp;$X232&amp;"|",'CALENDARIO'!$G$15:$G$214,0)),IFERROR(INDEX('CALENDARIO'!$C$15:$C$214,MATCH(TEXT($J232,"yyyy-mm-dd")&amp;"||",'CALENDARIO'!$G$15:$G$214,0)),INDEX(patronHabil,WEEKDAY($J232,2))))))</f>
        <v/>
      </c>
      <c r="U232" s="5">
        <f>IF($I232="","",IFERROR(INDEX('CAT_TIPOS_OT'!$C$4:$C$8,MATCH($I232,'CAT_TIPOS_OT'!$A$4:$A$8,0)),"sin_clasificar"))</f>
        <v/>
      </c>
      <c r="V232" s="5">
        <f>IF($I232="","",IF(IFERROR(INDEX('CAT_TIPOS_OT'!$D$4:$D$8,MATCH($I232,'CAT_TIPOS_OT'!$A$4:$A$8,0)),"SIN CLASIFICAR")="","SIN CLASIFICAR",IFERROR(INDEX('CAT_TIPOS_OT'!$D$4:$D$8,MATCH($I232,'CAT_TIPOS_OT'!$A$4:$A$8,0)),"SIN CLASIFICAR")))</f>
        <v/>
      </c>
      <c r="W232" s="5">
        <f>IF($F232="","",IFERROR(INDEX('CAT_CENTROS_COSTO'!$F$4:$F$13,MATCH($F232,'CAT_CENTROS_COSTO'!$A$4:$A$13,0)),"(sin catálogo)"))</f>
        <v/>
      </c>
      <c r="X232" s="5">
        <f>IF($F232="","",IFERROR(INDEX('CAT_CENTROS_COSTO'!$D$4:$D$13,MATCH($F232,'CAT_CENTROS_COSTO'!$A$4:$A$13,0)),"(sin catálogo)"))</f>
        <v/>
      </c>
      <c r="Y232" s="5">
        <f>IF($F232="","",IF((IFERROR(INDEX('CAT_CENTROS_COSTO'!$E$4:$E$13,MATCH($F232,'CAT_CENTROS_COSTO'!$A$4:$A$13,0)),""))&lt;&gt;"",IFERROR(INDEX('CAT_CENTROS_COSTO'!$E$4:$E$13,MATCH($F232,'CAT_CENTROS_COSTO'!$A$4:$A$13,0)),""),$X232))</f>
        <v/>
      </c>
      <c r="Z232" s="5">
        <f>IF($F232="","",IFERROR(INDEX('CAT_CENTROS_COSTO'!$G$4:$G$13,MATCH($F232,'CAT_CENTROS_COSTO'!$A$4:$A$13,0)),"(sin catálogo)"))</f>
        <v/>
      </c>
      <c r="AA232" s="5">
        <f>IF($G232="","",IFERROR(INDEX('CAT_PUESTOS'!$B$4:$B$8,MATCH($G232,'CAT_PUESTOS'!$A$4:$A$8,0)),"(sin catálogo)"))</f>
        <v/>
      </c>
      <c r="AB232" s="5">
        <f>IF($H232="","",IFERROR(INDEX('CAT_ACTIVIDADES'!$B$4:$B$11,MATCH($H232,'CAT_ACTIVIDADES'!$A$4:$A$11,0)),"(sin catálogo)"))</f>
        <v/>
      </c>
      <c r="AC232" s="20">
        <f>IF($J232="","",TODAY()-$J232)</f>
        <v/>
      </c>
      <c r="AD232" s="20">
        <f>IF($J232="","",IF($J232&lt;=TODAY(),COUNTIFS(cal_fechas,"&gt;="&amp;$J232,cal_fechas,"&lt;"&amp;TODAY(),cal_habil,"sí"),-COUNTIFS(cal_fechas,"&gt;="&amp;TODAY(),cal_fechas,"&lt;"&amp;$J232,cal_habil,"sí")))</f>
        <v/>
      </c>
      <c r="AE232" s="5">
        <f>IF($AD232="","",IF($AD232&lt;0,"FUTURO",IF($AD232&gt;p_dias_backlog_max,"BACKLOG","MES CORRIENTE")))</f>
        <v/>
      </c>
      <c r="AF232" s="5">
        <f>IF($AD232="",FALSE,AND($AD232&gt;p_dias_backlog_min,$AD232&lt;=p_dias_backlog_max))</f>
        <v/>
      </c>
      <c r="AG232" s="4" t="n"/>
      <c r="AH232" s="5">
        <f>IF($AG232="","",IF((IFERROR(INDEX('ASIGNACIONES'!$J$4:$J$451,MATCH($O232&amp;"|"&amp;$S232&amp;"|"&amp;$AG232,'ASIGNACIONES'!$N$4:$N$451,0)),""))=0,"",IFERROR(INDEX('ASIGNACIONES'!$J$4:$J$451,MATCH($O232&amp;"|"&amp;$S232&amp;"|"&amp;$AG232,'ASIGNACIONES'!$N$4:$N$451,0)),"")))</f>
        <v/>
      </c>
      <c r="AI232" s="25">
        <f>IF($AG232="","",SUMIFS('ORDENES'!$M$4:$M$1203,'ORDENES'!$AG$4:$AG$1203,$AG232,'ORDENES'!$O$4:$O$1203,$O232,'ORDENES'!$S$4:$S$1203,$S232))</f>
        <v/>
      </c>
      <c r="AJ232" s="25">
        <f>IF($AI232="","",p_factor_productividad*IFERROR(INDEX('ASIGNACIONES'!$M$4:$M$451,MATCH($O232&amp;"|"&amp;$S232&amp;"|"&amp;$AG232,'ASIGNACIONES'!$N$4:$N$451,0)),0)-$AI232)</f>
        <v/>
      </c>
      <c r="AK232" s="18">
        <f>IF($A232="","",IFERROR(INDEX('2_IMPORTAR_EJECUCION'!$F$9:$F$1208,MATCH($AT232,'2_IMPORTAR_EJECUCION'!$J$9:$J$1208,0)),0))</f>
        <v/>
      </c>
      <c r="AL232" s="18">
        <f>IF($A232="","",MAX(0,IFERROR(INDEX('2_IMPORTAR_EJECUCION'!$H$9:$H$1208,MATCH($AT232,'2_IMPORTAR_EJECUCION'!$J$9:$J$1208,0)),0)-$AK232))</f>
        <v/>
      </c>
      <c r="AM232" s="18">
        <f>IF($A232="","",$AK232+$AL232)</f>
        <v/>
      </c>
      <c r="AN232" s="5">
        <f>IF($A232="","",IF(OR((IFERROR(INDEX('CAT_ACTIVIDADES'!$D$4:$D$11,MATCH($H232,'CAT_ACTIVIDADES'!$A$4:$A$11,0)),""))=0,(IFERROR(INDEX('CAT_ACTIVIDADES'!$D$4:$D$11,MATCH($H232,'CAT_ACTIVIDADES'!$A$4:$A$11,0)),""))=""),"SIN CLASIFICAR",IFERROR(INDEX('CAT_ACTIVIDADES'!$D$4:$D$11,MATCH($H232,'CAT_ACTIVIDADES'!$A$4:$A$11,0)),"")))</f>
        <v/>
      </c>
      <c r="AO232" s="4" t="n"/>
      <c r="AP232" s="4" t="n"/>
      <c r="AQ232" s="4" t="n"/>
      <c r="AR232" s="5">
        <f>IF($AQ232="","",HYPERLINK(p_ruta_base_checklists&amp;$AQ232,"abrir"))</f>
        <v/>
      </c>
      <c r="AS232" s="4" t="n"/>
      <c r="AT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2" t="n"/>
      <c r="K233" s="5" t="n"/>
      <c r="L233" s="18" t="n"/>
      <c r="M233" s="5">
        <f>IF($A233="","",IFERROR(INDEX('AJUSTES'!$B$4:$B$303,MATCH($AT233,'AJUSTES'!$A$4:$A$303,0)),IF($K233="","",$K233)))</f>
        <v/>
      </c>
      <c r="N233" s="5">
        <f>IF($A233="","",IFERROR(INDEX('CAT_ESTADOS_ERP'!$B$4:$B$7,MATCH(IFERROR(INDEX('2_IMPORTAR_EJECUCION'!$C$9:$C$1208,MATCH($AT233,'2_IMPORTAR_EJECUCION'!$J$9:$J$1208,0)),""),'CAT_ESTADOS_ERP'!$A$4:$A$7,0)),"Pendiente"))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IF($J233="","",$P233&amp;"-"&amp;TEXT($Q233,"00"))</f>
        <v/>
      </c>
      <c r="S233" s="5">
        <f>IF($J233="","",INDEX(lista_dias,WEEKDAY($J233,2)))</f>
        <v/>
      </c>
      <c r="T233" s="5">
        <f>IF($J233="","",IFERROR(INDEX('CALENDARIO'!$C$15:$C$214,MATCH(TEXT($J233,"yyyy-mm-dd")&amp;"|"&amp;$X233&amp;"|"&amp;$Y233,'CALENDARIO'!$G$15:$G$214,0)),IFERROR(INDEX('CALENDARIO'!$C$15:$C$214,MATCH(TEXT($J233,"yyyy-mm-dd")&amp;"|"&amp;$X233&amp;"|",'CALENDARIO'!$G$15:$G$214,0)),IFERROR(INDEX('CALENDARIO'!$C$15:$C$214,MATCH(TEXT($J233,"yyyy-mm-dd")&amp;"||",'CALENDARIO'!$G$15:$G$214,0)),INDEX(patronHabil,WEEKDAY($J233,2))))))</f>
        <v/>
      </c>
      <c r="U233" s="5">
        <f>IF($I233="","",IFERROR(INDEX('CAT_TIPOS_OT'!$C$4:$C$8,MATCH($I233,'CAT_TIPOS_OT'!$A$4:$A$8,0)),"sin_clasificar"))</f>
        <v/>
      </c>
      <c r="V233" s="5">
        <f>IF($I233="","",IF(IFERROR(INDEX('CAT_TIPOS_OT'!$D$4:$D$8,MATCH($I233,'CAT_TIPOS_OT'!$A$4:$A$8,0)),"SIN CLASIFICAR")="","SIN CLASIFICAR",IFERROR(INDEX('CAT_TIPOS_OT'!$D$4:$D$8,MATCH($I233,'CAT_TIPOS_OT'!$A$4:$A$8,0)),"SIN CLASIFICAR")))</f>
        <v/>
      </c>
      <c r="W233" s="5">
        <f>IF($F233="","",IFERROR(INDEX('CAT_CENTROS_COSTO'!$F$4:$F$13,MATCH($F233,'CAT_CENTROS_COSTO'!$A$4:$A$13,0)),"(sin catálogo)"))</f>
        <v/>
      </c>
      <c r="X233" s="5">
        <f>IF($F233="","",IFERROR(INDEX('CAT_CENTROS_COSTO'!$D$4:$D$13,MATCH($F233,'CAT_CENTROS_COSTO'!$A$4:$A$13,0)),"(sin catálogo)"))</f>
        <v/>
      </c>
      <c r="Y233" s="5">
        <f>IF($F233="","",IF((IFERROR(INDEX('CAT_CENTROS_COSTO'!$E$4:$E$13,MATCH($F233,'CAT_CENTROS_COSTO'!$A$4:$A$13,0)),""))&lt;&gt;"",IFERROR(INDEX('CAT_CENTROS_COSTO'!$E$4:$E$13,MATCH($F233,'CAT_CENTROS_COSTO'!$A$4:$A$13,0)),""),$X233))</f>
        <v/>
      </c>
      <c r="Z233" s="5">
        <f>IF($F233="","",IFERROR(INDEX('CAT_CENTROS_COSTO'!$G$4:$G$13,MATCH($F233,'CAT_CENTROS_COSTO'!$A$4:$A$13,0)),"(sin catálogo)"))</f>
        <v/>
      </c>
      <c r="AA233" s="5">
        <f>IF($G233="","",IFERROR(INDEX('CAT_PUESTOS'!$B$4:$B$8,MATCH($G233,'CAT_PUESTOS'!$A$4:$A$8,0)),"(sin catálogo)"))</f>
        <v/>
      </c>
      <c r="AB233" s="5">
        <f>IF($H233="","",IFERROR(INDEX('CAT_ACTIVIDADES'!$B$4:$B$11,MATCH($H233,'CAT_ACTIVIDADES'!$A$4:$A$11,0)),"(sin catálogo)"))</f>
        <v/>
      </c>
      <c r="AC233" s="20">
        <f>IF($J233="","",TODAY()-$J233)</f>
        <v/>
      </c>
      <c r="AD233" s="20">
        <f>IF($J233="","",IF($J233&lt;=TODAY(),COUNTIFS(cal_fechas,"&gt;="&amp;$J233,cal_fechas,"&lt;"&amp;TODAY(),cal_habil,"sí"),-COUNTIFS(cal_fechas,"&gt;="&amp;TODAY(),cal_fechas,"&lt;"&amp;$J233,cal_habil,"sí")))</f>
        <v/>
      </c>
      <c r="AE233" s="5">
        <f>IF($AD233="","",IF($AD233&lt;0,"FUTURO",IF($AD233&gt;p_dias_backlog_max,"BACKLOG","MES CORRIENTE")))</f>
        <v/>
      </c>
      <c r="AF233" s="5">
        <f>IF($AD233="",FALSE,AND($AD233&gt;p_dias_backlog_min,$AD233&lt;=p_dias_backlog_max))</f>
        <v/>
      </c>
      <c r="AG233" s="4" t="n"/>
      <c r="AH233" s="5">
        <f>IF($AG233="","",IF((IFERROR(INDEX('ASIGNACIONES'!$J$4:$J$451,MATCH($O233&amp;"|"&amp;$S233&amp;"|"&amp;$AG233,'ASIGNACIONES'!$N$4:$N$451,0)),""))=0,"",IFERROR(INDEX('ASIGNACIONES'!$J$4:$J$451,MATCH($O233&amp;"|"&amp;$S233&amp;"|"&amp;$AG233,'ASIGNACIONES'!$N$4:$N$451,0)),"")))</f>
        <v/>
      </c>
      <c r="AI233" s="25">
        <f>IF($AG233="","",SUMIFS('ORDENES'!$M$4:$M$1203,'ORDENES'!$AG$4:$AG$1203,$AG233,'ORDENES'!$O$4:$O$1203,$O233,'ORDENES'!$S$4:$S$1203,$S233))</f>
        <v/>
      </c>
      <c r="AJ233" s="25">
        <f>IF($AI233="","",p_factor_productividad*IFERROR(INDEX('ASIGNACIONES'!$M$4:$M$451,MATCH($O233&amp;"|"&amp;$S233&amp;"|"&amp;$AG233,'ASIGNACIONES'!$N$4:$N$451,0)),0)-$AI233)</f>
        <v/>
      </c>
      <c r="AK233" s="18">
        <f>IF($A233="","",IFERROR(INDEX('2_IMPORTAR_EJECUCION'!$F$9:$F$1208,MATCH($AT233,'2_IMPORTAR_EJECUCION'!$J$9:$J$1208,0)),0))</f>
        <v/>
      </c>
      <c r="AL233" s="18">
        <f>IF($A233="","",MAX(0,IFERROR(INDEX('2_IMPORTAR_EJECUCION'!$H$9:$H$1208,MATCH($AT233,'2_IMPORTAR_EJECUCION'!$J$9:$J$1208,0)),0)-$AK233))</f>
        <v/>
      </c>
      <c r="AM233" s="18">
        <f>IF($A233="","",$AK233+$AL233)</f>
        <v/>
      </c>
      <c r="AN233" s="5">
        <f>IF($A233="","",IF(OR((IFERROR(INDEX('CAT_ACTIVIDADES'!$D$4:$D$11,MATCH($H233,'CAT_ACTIVIDADES'!$A$4:$A$11,0)),""))=0,(IFERROR(INDEX('CAT_ACTIVIDADES'!$D$4:$D$11,MATCH($H233,'CAT_ACTIVIDADES'!$A$4:$A$11,0)),""))=""),"SIN CLASIFICAR",IFERROR(INDEX('CAT_ACTIVIDADES'!$D$4:$D$11,MATCH($H233,'CAT_ACTIVIDADES'!$A$4:$A$11,0)),"")))</f>
        <v/>
      </c>
      <c r="AO233" s="4" t="n"/>
      <c r="AP233" s="4" t="n"/>
      <c r="AQ233" s="4" t="n"/>
      <c r="AR233" s="5">
        <f>IF($AQ233="","",HYPERLINK(p_ruta_base_checklists&amp;$AQ233,"abrir"))</f>
        <v/>
      </c>
      <c r="AS233" s="4" t="n"/>
      <c r="AT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2" t="n"/>
      <c r="K234" s="5" t="n"/>
      <c r="L234" s="18" t="n"/>
      <c r="M234" s="5">
        <f>IF($A234="","",IFERROR(INDEX('AJUSTES'!$B$4:$B$303,MATCH($AT234,'AJUSTES'!$A$4:$A$303,0)),IF($K234="","",$K234)))</f>
        <v/>
      </c>
      <c r="N234" s="5">
        <f>IF($A234="","",IFERROR(INDEX('CAT_ESTADOS_ERP'!$B$4:$B$7,MATCH(IFERROR(INDEX('2_IMPORTAR_EJECUCION'!$C$9:$C$1208,MATCH($AT234,'2_IMPORTAR_EJECUCION'!$J$9:$J$1208,0)),""),'CAT_ESTADOS_ERP'!$A$4:$A$7,0)),"Pendiente"))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IF($J234="","",$P234&amp;"-"&amp;TEXT($Q234,"00"))</f>
        <v/>
      </c>
      <c r="S234" s="5">
        <f>IF($J234="","",INDEX(lista_dias,WEEKDAY($J234,2)))</f>
        <v/>
      </c>
      <c r="T234" s="5">
        <f>IF($J234="","",IFERROR(INDEX('CALENDARIO'!$C$15:$C$214,MATCH(TEXT($J234,"yyyy-mm-dd")&amp;"|"&amp;$X234&amp;"|"&amp;$Y234,'CALENDARIO'!$G$15:$G$214,0)),IFERROR(INDEX('CALENDARIO'!$C$15:$C$214,MATCH(TEXT($J234,"yyyy-mm-dd")&amp;"|"&amp;$X234&amp;"|",'CALENDARIO'!$G$15:$G$214,0)),IFERROR(INDEX('CALENDARIO'!$C$15:$C$214,MATCH(TEXT($J234,"yyyy-mm-dd")&amp;"||",'CALENDARIO'!$G$15:$G$214,0)),INDEX(patronHabil,WEEKDAY($J234,2))))))</f>
        <v/>
      </c>
      <c r="U234" s="5">
        <f>IF($I234="","",IFERROR(INDEX('CAT_TIPOS_OT'!$C$4:$C$8,MATCH($I234,'CAT_TIPOS_OT'!$A$4:$A$8,0)),"sin_clasificar"))</f>
        <v/>
      </c>
      <c r="V234" s="5">
        <f>IF($I234="","",IF(IFERROR(INDEX('CAT_TIPOS_OT'!$D$4:$D$8,MATCH($I234,'CAT_TIPOS_OT'!$A$4:$A$8,0)),"SIN CLASIFICAR")="","SIN CLASIFICAR",IFERROR(INDEX('CAT_TIPOS_OT'!$D$4:$D$8,MATCH($I234,'CAT_TIPOS_OT'!$A$4:$A$8,0)),"SIN CLASIFICAR")))</f>
        <v/>
      </c>
      <c r="W234" s="5">
        <f>IF($F234="","",IFERROR(INDEX('CAT_CENTROS_COSTO'!$F$4:$F$13,MATCH($F234,'CAT_CENTROS_COSTO'!$A$4:$A$13,0)),"(sin catálogo)"))</f>
        <v/>
      </c>
      <c r="X234" s="5">
        <f>IF($F234="","",IFERROR(INDEX('CAT_CENTROS_COSTO'!$D$4:$D$13,MATCH($F234,'CAT_CENTROS_COSTO'!$A$4:$A$13,0)),"(sin catálogo)"))</f>
        <v/>
      </c>
      <c r="Y234" s="5">
        <f>IF($F234="","",IF((IFERROR(INDEX('CAT_CENTROS_COSTO'!$E$4:$E$13,MATCH($F234,'CAT_CENTROS_COSTO'!$A$4:$A$13,0)),""))&lt;&gt;"",IFERROR(INDEX('CAT_CENTROS_COSTO'!$E$4:$E$13,MATCH($F234,'CAT_CENTROS_COSTO'!$A$4:$A$13,0)),""),$X234))</f>
        <v/>
      </c>
      <c r="Z234" s="5">
        <f>IF($F234="","",IFERROR(INDEX('CAT_CENTROS_COSTO'!$G$4:$G$13,MATCH($F234,'CAT_CENTROS_COSTO'!$A$4:$A$13,0)),"(sin catálogo)"))</f>
        <v/>
      </c>
      <c r="AA234" s="5">
        <f>IF($G234="","",IFERROR(INDEX('CAT_PUESTOS'!$B$4:$B$8,MATCH($G234,'CAT_PUESTOS'!$A$4:$A$8,0)),"(sin catálogo)"))</f>
        <v/>
      </c>
      <c r="AB234" s="5">
        <f>IF($H234="","",IFERROR(INDEX('CAT_ACTIVIDADES'!$B$4:$B$11,MATCH($H234,'CAT_ACTIVIDADES'!$A$4:$A$11,0)),"(sin catálogo)"))</f>
        <v/>
      </c>
      <c r="AC234" s="20">
        <f>IF($J234="","",TODAY()-$J234)</f>
        <v/>
      </c>
      <c r="AD234" s="20">
        <f>IF($J234="","",IF($J234&lt;=TODAY(),COUNTIFS(cal_fechas,"&gt;="&amp;$J234,cal_fechas,"&lt;"&amp;TODAY(),cal_habil,"sí"),-COUNTIFS(cal_fechas,"&gt;="&amp;TODAY(),cal_fechas,"&lt;"&amp;$J234,cal_habil,"sí")))</f>
        <v/>
      </c>
      <c r="AE234" s="5">
        <f>IF($AD234="","",IF($AD234&lt;0,"FUTURO",IF($AD234&gt;p_dias_backlog_max,"BACKLOG","MES CORRIENTE")))</f>
        <v/>
      </c>
      <c r="AF234" s="5">
        <f>IF($AD234="",FALSE,AND($AD234&gt;p_dias_backlog_min,$AD234&lt;=p_dias_backlog_max))</f>
        <v/>
      </c>
      <c r="AG234" s="4" t="n"/>
      <c r="AH234" s="5">
        <f>IF($AG234="","",IF((IFERROR(INDEX('ASIGNACIONES'!$J$4:$J$451,MATCH($O234&amp;"|"&amp;$S234&amp;"|"&amp;$AG234,'ASIGNACIONES'!$N$4:$N$451,0)),""))=0,"",IFERROR(INDEX('ASIGNACIONES'!$J$4:$J$451,MATCH($O234&amp;"|"&amp;$S234&amp;"|"&amp;$AG234,'ASIGNACIONES'!$N$4:$N$451,0)),"")))</f>
        <v/>
      </c>
      <c r="AI234" s="25">
        <f>IF($AG234="","",SUMIFS('ORDENES'!$M$4:$M$1203,'ORDENES'!$AG$4:$AG$1203,$AG234,'ORDENES'!$O$4:$O$1203,$O234,'ORDENES'!$S$4:$S$1203,$S234))</f>
        <v/>
      </c>
      <c r="AJ234" s="25">
        <f>IF($AI234="","",p_factor_productividad*IFERROR(INDEX('ASIGNACIONES'!$M$4:$M$451,MATCH($O234&amp;"|"&amp;$S234&amp;"|"&amp;$AG234,'ASIGNACIONES'!$N$4:$N$451,0)),0)-$AI234)</f>
        <v/>
      </c>
      <c r="AK234" s="18">
        <f>IF($A234="","",IFERROR(INDEX('2_IMPORTAR_EJECUCION'!$F$9:$F$1208,MATCH($AT234,'2_IMPORTAR_EJECUCION'!$J$9:$J$1208,0)),0))</f>
        <v/>
      </c>
      <c r="AL234" s="18">
        <f>IF($A234="","",MAX(0,IFERROR(INDEX('2_IMPORTAR_EJECUCION'!$H$9:$H$1208,MATCH($AT234,'2_IMPORTAR_EJECUCION'!$J$9:$J$1208,0)),0)-$AK234))</f>
        <v/>
      </c>
      <c r="AM234" s="18">
        <f>IF($A234="","",$AK234+$AL234)</f>
        <v/>
      </c>
      <c r="AN234" s="5">
        <f>IF($A234="","",IF(OR((IFERROR(INDEX('CAT_ACTIVIDADES'!$D$4:$D$11,MATCH($H234,'CAT_ACTIVIDADES'!$A$4:$A$11,0)),""))=0,(IFERROR(INDEX('CAT_ACTIVIDADES'!$D$4:$D$11,MATCH($H234,'CAT_ACTIVIDADES'!$A$4:$A$11,0)),""))=""),"SIN CLASIFICAR",IFERROR(INDEX('CAT_ACTIVIDADES'!$D$4:$D$11,MATCH($H234,'CAT_ACTIVIDADES'!$A$4:$A$11,0)),"")))</f>
        <v/>
      </c>
      <c r="AO234" s="4" t="n"/>
      <c r="AP234" s="4" t="n"/>
      <c r="AQ234" s="4" t="n"/>
      <c r="AR234" s="5">
        <f>IF($AQ234="","",HYPERLINK(p_ruta_base_checklists&amp;$AQ234,"abrir"))</f>
        <v/>
      </c>
      <c r="AS234" s="4" t="n"/>
      <c r="AT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2" t="n"/>
      <c r="K235" s="5" t="n"/>
      <c r="L235" s="18" t="n"/>
      <c r="M235" s="5">
        <f>IF($A235="","",IFERROR(INDEX('AJUSTES'!$B$4:$B$303,MATCH($AT235,'AJUSTES'!$A$4:$A$303,0)),IF($K235="","",$K235)))</f>
        <v/>
      </c>
      <c r="N235" s="5">
        <f>IF($A235="","",IFERROR(INDEX('CAT_ESTADOS_ERP'!$B$4:$B$7,MATCH(IFERROR(INDEX('2_IMPORTAR_EJECUCION'!$C$9:$C$1208,MATCH($AT235,'2_IMPORTAR_EJECUCION'!$J$9:$J$1208,0)),""),'CAT_ESTADOS_ERP'!$A$4:$A$7,0)),"Pendiente"))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IF($J235="","",$P235&amp;"-"&amp;TEXT($Q235,"00"))</f>
        <v/>
      </c>
      <c r="S235" s="5">
        <f>IF($J235="","",INDEX(lista_dias,WEEKDAY($J235,2)))</f>
        <v/>
      </c>
      <c r="T235" s="5">
        <f>IF($J235="","",IFERROR(INDEX('CALENDARIO'!$C$15:$C$214,MATCH(TEXT($J235,"yyyy-mm-dd")&amp;"|"&amp;$X235&amp;"|"&amp;$Y235,'CALENDARIO'!$G$15:$G$214,0)),IFERROR(INDEX('CALENDARIO'!$C$15:$C$214,MATCH(TEXT($J235,"yyyy-mm-dd")&amp;"|"&amp;$X235&amp;"|",'CALENDARIO'!$G$15:$G$214,0)),IFERROR(INDEX('CALENDARIO'!$C$15:$C$214,MATCH(TEXT($J235,"yyyy-mm-dd")&amp;"||",'CALENDARIO'!$G$15:$G$214,0)),INDEX(patronHabil,WEEKDAY($J235,2))))))</f>
        <v/>
      </c>
      <c r="U235" s="5">
        <f>IF($I235="","",IFERROR(INDEX('CAT_TIPOS_OT'!$C$4:$C$8,MATCH($I235,'CAT_TIPOS_OT'!$A$4:$A$8,0)),"sin_clasificar"))</f>
        <v/>
      </c>
      <c r="V235" s="5">
        <f>IF($I235="","",IF(IFERROR(INDEX('CAT_TIPOS_OT'!$D$4:$D$8,MATCH($I235,'CAT_TIPOS_OT'!$A$4:$A$8,0)),"SIN CLASIFICAR")="","SIN CLASIFICAR",IFERROR(INDEX('CAT_TIPOS_OT'!$D$4:$D$8,MATCH($I235,'CAT_TIPOS_OT'!$A$4:$A$8,0)),"SIN CLASIFICAR")))</f>
        <v/>
      </c>
      <c r="W235" s="5">
        <f>IF($F235="","",IFERROR(INDEX('CAT_CENTROS_COSTO'!$F$4:$F$13,MATCH($F235,'CAT_CENTROS_COSTO'!$A$4:$A$13,0)),"(sin catálogo)"))</f>
        <v/>
      </c>
      <c r="X235" s="5">
        <f>IF($F235="","",IFERROR(INDEX('CAT_CENTROS_COSTO'!$D$4:$D$13,MATCH($F235,'CAT_CENTROS_COSTO'!$A$4:$A$13,0)),"(sin catálogo)"))</f>
        <v/>
      </c>
      <c r="Y235" s="5">
        <f>IF($F235="","",IF((IFERROR(INDEX('CAT_CENTROS_COSTO'!$E$4:$E$13,MATCH($F235,'CAT_CENTROS_COSTO'!$A$4:$A$13,0)),""))&lt;&gt;"",IFERROR(INDEX('CAT_CENTROS_COSTO'!$E$4:$E$13,MATCH($F235,'CAT_CENTROS_COSTO'!$A$4:$A$13,0)),""),$X235))</f>
        <v/>
      </c>
      <c r="Z235" s="5">
        <f>IF($F235="","",IFERROR(INDEX('CAT_CENTROS_COSTO'!$G$4:$G$13,MATCH($F235,'CAT_CENTROS_COSTO'!$A$4:$A$13,0)),"(sin catálogo)"))</f>
        <v/>
      </c>
      <c r="AA235" s="5">
        <f>IF($G235="","",IFERROR(INDEX('CAT_PUESTOS'!$B$4:$B$8,MATCH($G235,'CAT_PUESTOS'!$A$4:$A$8,0)),"(sin catálogo)"))</f>
        <v/>
      </c>
      <c r="AB235" s="5">
        <f>IF($H235="","",IFERROR(INDEX('CAT_ACTIVIDADES'!$B$4:$B$11,MATCH($H235,'CAT_ACTIVIDADES'!$A$4:$A$11,0)),"(sin catálogo)"))</f>
        <v/>
      </c>
      <c r="AC235" s="20">
        <f>IF($J235="","",TODAY()-$J235)</f>
        <v/>
      </c>
      <c r="AD235" s="20">
        <f>IF($J235="","",IF($J235&lt;=TODAY(),COUNTIFS(cal_fechas,"&gt;="&amp;$J235,cal_fechas,"&lt;"&amp;TODAY(),cal_habil,"sí"),-COUNTIFS(cal_fechas,"&gt;="&amp;TODAY(),cal_fechas,"&lt;"&amp;$J235,cal_habil,"sí")))</f>
        <v/>
      </c>
      <c r="AE235" s="5">
        <f>IF($AD235="","",IF($AD235&lt;0,"FUTURO",IF($AD235&gt;p_dias_backlog_max,"BACKLOG","MES CORRIENTE")))</f>
        <v/>
      </c>
      <c r="AF235" s="5">
        <f>IF($AD235="",FALSE,AND($AD235&gt;p_dias_backlog_min,$AD235&lt;=p_dias_backlog_max))</f>
        <v/>
      </c>
      <c r="AG235" s="4" t="n"/>
      <c r="AH235" s="5">
        <f>IF($AG235="","",IF((IFERROR(INDEX('ASIGNACIONES'!$J$4:$J$451,MATCH($O235&amp;"|"&amp;$S235&amp;"|"&amp;$AG235,'ASIGNACIONES'!$N$4:$N$451,0)),""))=0,"",IFERROR(INDEX('ASIGNACIONES'!$J$4:$J$451,MATCH($O235&amp;"|"&amp;$S235&amp;"|"&amp;$AG235,'ASIGNACIONES'!$N$4:$N$451,0)),"")))</f>
        <v/>
      </c>
      <c r="AI235" s="25">
        <f>IF($AG235="","",SUMIFS('ORDENES'!$M$4:$M$1203,'ORDENES'!$AG$4:$AG$1203,$AG235,'ORDENES'!$O$4:$O$1203,$O235,'ORDENES'!$S$4:$S$1203,$S235))</f>
        <v/>
      </c>
      <c r="AJ235" s="25">
        <f>IF($AI235="","",p_factor_productividad*IFERROR(INDEX('ASIGNACIONES'!$M$4:$M$451,MATCH($O235&amp;"|"&amp;$S235&amp;"|"&amp;$AG235,'ASIGNACIONES'!$N$4:$N$451,0)),0)-$AI235)</f>
        <v/>
      </c>
      <c r="AK235" s="18">
        <f>IF($A235="","",IFERROR(INDEX('2_IMPORTAR_EJECUCION'!$F$9:$F$1208,MATCH($AT235,'2_IMPORTAR_EJECUCION'!$J$9:$J$1208,0)),0))</f>
        <v/>
      </c>
      <c r="AL235" s="18">
        <f>IF($A235="","",MAX(0,IFERROR(INDEX('2_IMPORTAR_EJECUCION'!$H$9:$H$1208,MATCH($AT235,'2_IMPORTAR_EJECUCION'!$J$9:$J$1208,0)),0)-$AK235))</f>
        <v/>
      </c>
      <c r="AM235" s="18">
        <f>IF($A235="","",$AK235+$AL235)</f>
        <v/>
      </c>
      <c r="AN235" s="5">
        <f>IF($A235="","",IF(OR((IFERROR(INDEX('CAT_ACTIVIDADES'!$D$4:$D$11,MATCH($H235,'CAT_ACTIVIDADES'!$A$4:$A$11,0)),""))=0,(IFERROR(INDEX('CAT_ACTIVIDADES'!$D$4:$D$11,MATCH($H235,'CAT_ACTIVIDADES'!$A$4:$A$11,0)),""))=""),"SIN CLASIFICAR",IFERROR(INDEX('CAT_ACTIVIDADES'!$D$4:$D$11,MATCH($H235,'CAT_ACTIVIDADES'!$A$4:$A$11,0)),"")))</f>
        <v/>
      </c>
      <c r="AO235" s="4" t="n"/>
      <c r="AP235" s="4" t="n"/>
      <c r="AQ235" s="4" t="n"/>
      <c r="AR235" s="5">
        <f>IF($AQ235="","",HYPERLINK(p_ruta_base_checklists&amp;$AQ235,"abrir"))</f>
        <v/>
      </c>
      <c r="AS235" s="4" t="n"/>
      <c r="AT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2" t="n"/>
      <c r="K236" s="5" t="n"/>
      <c r="L236" s="18" t="n"/>
      <c r="M236" s="5">
        <f>IF($A236="","",IFERROR(INDEX('AJUSTES'!$B$4:$B$303,MATCH($AT236,'AJUSTES'!$A$4:$A$303,0)),IF($K236="","",$K236)))</f>
        <v/>
      </c>
      <c r="N236" s="5">
        <f>IF($A236="","",IFERROR(INDEX('CAT_ESTADOS_ERP'!$B$4:$B$7,MATCH(IFERROR(INDEX('2_IMPORTAR_EJECUCION'!$C$9:$C$1208,MATCH($AT236,'2_IMPORTAR_EJECUCION'!$J$9:$J$1208,0)),""),'CAT_ESTADOS_ERP'!$A$4:$A$7,0)),"Pendiente"))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IF($J236="","",$P236&amp;"-"&amp;TEXT($Q236,"00"))</f>
        <v/>
      </c>
      <c r="S236" s="5">
        <f>IF($J236="","",INDEX(lista_dias,WEEKDAY($J236,2)))</f>
        <v/>
      </c>
      <c r="T236" s="5">
        <f>IF($J236="","",IFERROR(INDEX('CALENDARIO'!$C$15:$C$214,MATCH(TEXT($J236,"yyyy-mm-dd")&amp;"|"&amp;$X236&amp;"|"&amp;$Y236,'CALENDARIO'!$G$15:$G$214,0)),IFERROR(INDEX('CALENDARIO'!$C$15:$C$214,MATCH(TEXT($J236,"yyyy-mm-dd")&amp;"|"&amp;$X236&amp;"|",'CALENDARIO'!$G$15:$G$214,0)),IFERROR(INDEX('CALENDARIO'!$C$15:$C$214,MATCH(TEXT($J236,"yyyy-mm-dd")&amp;"||",'CALENDARIO'!$G$15:$G$214,0)),INDEX(patronHabil,WEEKDAY($J236,2))))))</f>
        <v/>
      </c>
      <c r="U236" s="5">
        <f>IF($I236="","",IFERROR(INDEX('CAT_TIPOS_OT'!$C$4:$C$8,MATCH($I236,'CAT_TIPOS_OT'!$A$4:$A$8,0)),"sin_clasificar"))</f>
        <v/>
      </c>
      <c r="V236" s="5">
        <f>IF($I236="","",IF(IFERROR(INDEX('CAT_TIPOS_OT'!$D$4:$D$8,MATCH($I236,'CAT_TIPOS_OT'!$A$4:$A$8,0)),"SIN CLASIFICAR")="","SIN CLASIFICAR",IFERROR(INDEX('CAT_TIPOS_OT'!$D$4:$D$8,MATCH($I236,'CAT_TIPOS_OT'!$A$4:$A$8,0)),"SIN CLASIFICAR")))</f>
        <v/>
      </c>
      <c r="W236" s="5">
        <f>IF($F236="","",IFERROR(INDEX('CAT_CENTROS_COSTO'!$F$4:$F$13,MATCH($F236,'CAT_CENTROS_COSTO'!$A$4:$A$13,0)),"(sin catálogo)"))</f>
        <v/>
      </c>
      <c r="X236" s="5">
        <f>IF($F236="","",IFERROR(INDEX('CAT_CENTROS_COSTO'!$D$4:$D$13,MATCH($F236,'CAT_CENTROS_COSTO'!$A$4:$A$13,0)),"(sin catálogo)"))</f>
        <v/>
      </c>
      <c r="Y236" s="5">
        <f>IF($F236="","",IF((IFERROR(INDEX('CAT_CENTROS_COSTO'!$E$4:$E$13,MATCH($F236,'CAT_CENTROS_COSTO'!$A$4:$A$13,0)),""))&lt;&gt;"",IFERROR(INDEX('CAT_CENTROS_COSTO'!$E$4:$E$13,MATCH($F236,'CAT_CENTROS_COSTO'!$A$4:$A$13,0)),""),$X236))</f>
        <v/>
      </c>
      <c r="Z236" s="5">
        <f>IF($F236="","",IFERROR(INDEX('CAT_CENTROS_COSTO'!$G$4:$G$13,MATCH($F236,'CAT_CENTROS_COSTO'!$A$4:$A$13,0)),"(sin catálogo)"))</f>
        <v/>
      </c>
      <c r="AA236" s="5">
        <f>IF($G236="","",IFERROR(INDEX('CAT_PUESTOS'!$B$4:$B$8,MATCH($G236,'CAT_PUESTOS'!$A$4:$A$8,0)),"(sin catálogo)"))</f>
        <v/>
      </c>
      <c r="AB236" s="5">
        <f>IF($H236="","",IFERROR(INDEX('CAT_ACTIVIDADES'!$B$4:$B$11,MATCH($H236,'CAT_ACTIVIDADES'!$A$4:$A$11,0)),"(sin catálogo)"))</f>
        <v/>
      </c>
      <c r="AC236" s="20">
        <f>IF($J236="","",TODAY()-$J236)</f>
        <v/>
      </c>
      <c r="AD236" s="20">
        <f>IF($J236="","",IF($J236&lt;=TODAY(),COUNTIFS(cal_fechas,"&gt;="&amp;$J236,cal_fechas,"&lt;"&amp;TODAY(),cal_habil,"sí"),-COUNTIFS(cal_fechas,"&gt;="&amp;TODAY(),cal_fechas,"&lt;"&amp;$J236,cal_habil,"sí")))</f>
        <v/>
      </c>
      <c r="AE236" s="5">
        <f>IF($AD236="","",IF($AD236&lt;0,"FUTURO",IF($AD236&gt;p_dias_backlog_max,"BACKLOG","MES CORRIENTE")))</f>
        <v/>
      </c>
      <c r="AF236" s="5">
        <f>IF($AD236="",FALSE,AND($AD236&gt;p_dias_backlog_min,$AD236&lt;=p_dias_backlog_max))</f>
        <v/>
      </c>
      <c r="AG236" s="4" t="n"/>
      <c r="AH236" s="5">
        <f>IF($AG236="","",IF((IFERROR(INDEX('ASIGNACIONES'!$J$4:$J$451,MATCH($O236&amp;"|"&amp;$S236&amp;"|"&amp;$AG236,'ASIGNACIONES'!$N$4:$N$451,0)),""))=0,"",IFERROR(INDEX('ASIGNACIONES'!$J$4:$J$451,MATCH($O236&amp;"|"&amp;$S236&amp;"|"&amp;$AG236,'ASIGNACIONES'!$N$4:$N$451,0)),"")))</f>
        <v/>
      </c>
      <c r="AI236" s="25">
        <f>IF($AG236="","",SUMIFS('ORDENES'!$M$4:$M$1203,'ORDENES'!$AG$4:$AG$1203,$AG236,'ORDENES'!$O$4:$O$1203,$O236,'ORDENES'!$S$4:$S$1203,$S236))</f>
        <v/>
      </c>
      <c r="AJ236" s="25">
        <f>IF($AI236="","",p_factor_productividad*IFERROR(INDEX('ASIGNACIONES'!$M$4:$M$451,MATCH($O236&amp;"|"&amp;$S236&amp;"|"&amp;$AG236,'ASIGNACIONES'!$N$4:$N$451,0)),0)-$AI236)</f>
        <v/>
      </c>
      <c r="AK236" s="18">
        <f>IF($A236="","",IFERROR(INDEX('2_IMPORTAR_EJECUCION'!$F$9:$F$1208,MATCH($AT236,'2_IMPORTAR_EJECUCION'!$J$9:$J$1208,0)),0))</f>
        <v/>
      </c>
      <c r="AL236" s="18">
        <f>IF($A236="","",MAX(0,IFERROR(INDEX('2_IMPORTAR_EJECUCION'!$H$9:$H$1208,MATCH($AT236,'2_IMPORTAR_EJECUCION'!$J$9:$J$1208,0)),0)-$AK236))</f>
        <v/>
      </c>
      <c r="AM236" s="18">
        <f>IF($A236="","",$AK236+$AL236)</f>
        <v/>
      </c>
      <c r="AN236" s="5">
        <f>IF($A236="","",IF(OR((IFERROR(INDEX('CAT_ACTIVIDADES'!$D$4:$D$11,MATCH($H236,'CAT_ACTIVIDADES'!$A$4:$A$11,0)),""))=0,(IFERROR(INDEX('CAT_ACTIVIDADES'!$D$4:$D$11,MATCH($H236,'CAT_ACTIVIDADES'!$A$4:$A$11,0)),""))=""),"SIN CLASIFICAR",IFERROR(INDEX('CAT_ACTIVIDADES'!$D$4:$D$11,MATCH($H236,'CAT_ACTIVIDADES'!$A$4:$A$11,0)),"")))</f>
        <v/>
      </c>
      <c r="AO236" s="4" t="n"/>
      <c r="AP236" s="4" t="n"/>
      <c r="AQ236" s="4" t="n"/>
      <c r="AR236" s="5">
        <f>IF($AQ236="","",HYPERLINK(p_ruta_base_checklists&amp;$AQ236,"abrir"))</f>
        <v/>
      </c>
      <c r="AS236" s="4" t="n"/>
      <c r="AT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2" t="n"/>
      <c r="K237" s="5" t="n"/>
      <c r="L237" s="18" t="n"/>
      <c r="M237" s="5">
        <f>IF($A237="","",IFERROR(INDEX('AJUSTES'!$B$4:$B$303,MATCH($AT237,'AJUSTES'!$A$4:$A$303,0)),IF($K237="","",$K237)))</f>
        <v/>
      </c>
      <c r="N237" s="5">
        <f>IF($A237="","",IFERROR(INDEX('CAT_ESTADOS_ERP'!$B$4:$B$7,MATCH(IFERROR(INDEX('2_IMPORTAR_EJECUCION'!$C$9:$C$1208,MATCH($AT237,'2_IMPORTAR_EJECUCION'!$J$9:$J$1208,0)),""),'CAT_ESTADOS_ERP'!$A$4:$A$7,0)),"Pendiente"))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IF($J237="","",$P237&amp;"-"&amp;TEXT($Q237,"00"))</f>
        <v/>
      </c>
      <c r="S237" s="5">
        <f>IF($J237="","",INDEX(lista_dias,WEEKDAY($J237,2)))</f>
        <v/>
      </c>
      <c r="T237" s="5">
        <f>IF($J237="","",IFERROR(INDEX('CALENDARIO'!$C$15:$C$214,MATCH(TEXT($J237,"yyyy-mm-dd")&amp;"|"&amp;$X237&amp;"|"&amp;$Y237,'CALENDARIO'!$G$15:$G$214,0)),IFERROR(INDEX('CALENDARIO'!$C$15:$C$214,MATCH(TEXT($J237,"yyyy-mm-dd")&amp;"|"&amp;$X237&amp;"|",'CALENDARIO'!$G$15:$G$214,0)),IFERROR(INDEX('CALENDARIO'!$C$15:$C$214,MATCH(TEXT($J237,"yyyy-mm-dd")&amp;"||",'CALENDARIO'!$G$15:$G$214,0)),INDEX(patronHabil,WEEKDAY($J237,2))))))</f>
        <v/>
      </c>
      <c r="U237" s="5">
        <f>IF($I237="","",IFERROR(INDEX('CAT_TIPOS_OT'!$C$4:$C$8,MATCH($I237,'CAT_TIPOS_OT'!$A$4:$A$8,0)),"sin_clasificar"))</f>
        <v/>
      </c>
      <c r="V237" s="5">
        <f>IF($I237="","",IF(IFERROR(INDEX('CAT_TIPOS_OT'!$D$4:$D$8,MATCH($I237,'CAT_TIPOS_OT'!$A$4:$A$8,0)),"SIN CLASIFICAR")="","SIN CLASIFICAR",IFERROR(INDEX('CAT_TIPOS_OT'!$D$4:$D$8,MATCH($I237,'CAT_TIPOS_OT'!$A$4:$A$8,0)),"SIN CLASIFICAR")))</f>
        <v/>
      </c>
      <c r="W237" s="5">
        <f>IF($F237="","",IFERROR(INDEX('CAT_CENTROS_COSTO'!$F$4:$F$13,MATCH($F237,'CAT_CENTROS_COSTO'!$A$4:$A$13,0)),"(sin catálogo)"))</f>
        <v/>
      </c>
      <c r="X237" s="5">
        <f>IF($F237="","",IFERROR(INDEX('CAT_CENTROS_COSTO'!$D$4:$D$13,MATCH($F237,'CAT_CENTROS_COSTO'!$A$4:$A$13,0)),"(sin catálogo)"))</f>
        <v/>
      </c>
      <c r="Y237" s="5">
        <f>IF($F237="","",IF((IFERROR(INDEX('CAT_CENTROS_COSTO'!$E$4:$E$13,MATCH($F237,'CAT_CENTROS_COSTO'!$A$4:$A$13,0)),""))&lt;&gt;"",IFERROR(INDEX('CAT_CENTROS_COSTO'!$E$4:$E$13,MATCH($F237,'CAT_CENTROS_COSTO'!$A$4:$A$13,0)),""),$X237))</f>
        <v/>
      </c>
      <c r="Z237" s="5">
        <f>IF($F237="","",IFERROR(INDEX('CAT_CENTROS_COSTO'!$G$4:$G$13,MATCH($F237,'CAT_CENTROS_COSTO'!$A$4:$A$13,0)),"(sin catálogo)"))</f>
        <v/>
      </c>
      <c r="AA237" s="5">
        <f>IF($G237="","",IFERROR(INDEX('CAT_PUESTOS'!$B$4:$B$8,MATCH($G237,'CAT_PUESTOS'!$A$4:$A$8,0)),"(sin catálogo)"))</f>
        <v/>
      </c>
      <c r="AB237" s="5">
        <f>IF($H237="","",IFERROR(INDEX('CAT_ACTIVIDADES'!$B$4:$B$11,MATCH($H237,'CAT_ACTIVIDADES'!$A$4:$A$11,0)),"(sin catálogo)"))</f>
        <v/>
      </c>
      <c r="AC237" s="20">
        <f>IF($J237="","",TODAY()-$J237)</f>
        <v/>
      </c>
      <c r="AD237" s="20">
        <f>IF($J237="","",IF($J237&lt;=TODAY(),COUNTIFS(cal_fechas,"&gt;="&amp;$J237,cal_fechas,"&lt;"&amp;TODAY(),cal_habil,"sí"),-COUNTIFS(cal_fechas,"&gt;="&amp;TODAY(),cal_fechas,"&lt;"&amp;$J237,cal_habil,"sí")))</f>
        <v/>
      </c>
      <c r="AE237" s="5">
        <f>IF($AD237="","",IF($AD237&lt;0,"FUTURO",IF($AD237&gt;p_dias_backlog_max,"BACKLOG","MES CORRIENTE")))</f>
        <v/>
      </c>
      <c r="AF237" s="5">
        <f>IF($AD237="",FALSE,AND($AD237&gt;p_dias_backlog_min,$AD237&lt;=p_dias_backlog_max))</f>
        <v/>
      </c>
      <c r="AG237" s="4" t="n"/>
      <c r="AH237" s="5">
        <f>IF($AG237="","",IF((IFERROR(INDEX('ASIGNACIONES'!$J$4:$J$451,MATCH($O237&amp;"|"&amp;$S237&amp;"|"&amp;$AG237,'ASIGNACIONES'!$N$4:$N$451,0)),""))=0,"",IFERROR(INDEX('ASIGNACIONES'!$J$4:$J$451,MATCH($O237&amp;"|"&amp;$S237&amp;"|"&amp;$AG237,'ASIGNACIONES'!$N$4:$N$451,0)),"")))</f>
        <v/>
      </c>
      <c r="AI237" s="25">
        <f>IF($AG237="","",SUMIFS('ORDENES'!$M$4:$M$1203,'ORDENES'!$AG$4:$AG$1203,$AG237,'ORDENES'!$O$4:$O$1203,$O237,'ORDENES'!$S$4:$S$1203,$S237))</f>
        <v/>
      </c>
      <c r="AJ237" s="25">
        <f>IF($AI237="","",p_factor_productividad*IFERROR(INDEX('ASIGNACIONES'!$M$4:$M$451,MATCH($O237&amp;"|"&amp;$S237&amp;"|"&amp;$AG237,'ASIGNACIONES'!$N$4:$N$451,0)),0)-$AI237)</f>
        <v/>
      </c>
      <c r="AK237" s="18">
        <f>IF($A237="","",IFERROR(INDEX('2_IMPORTAR_EJECUCION'!$F$9:$F$1208,MATCH($AT237,'2_IMPORTAR_EJECUCION'!$J$9:$J$1208,0)),0))</f>
        <v/>
      </c>
      <c r="AL237" s="18">
        <f>IF($A237="","",MAX(0,IFERROR(INDEX('2_IMPORTAR_EJECUCION'!$H$9:$H$1208,MATCH($AT237,'2_IMPORTAR_EJECUCION'!$J$9:$J$1208,0)),0)-$AK237))</f>
        <v/>
      </c>
      <c r="AM237" s="18">
        <f>IF($A237="","",$AK237+$AL237)</f>
        <v/>
      </c>
      <c r="AN237" s="5">
        <f>IF($A237="","",IF(OR((IFERROR(INDEX('CAT_ACTIVIDADES'!$D$4:$D$11,MATCH($H237,'CAT_ACTIVIDADES'!$A$4:$A$11,0)),""))=0,(IFERROR(INDEX('CAT_ACTIVIDADES'!$D$4:$D$11,MATCH($H237,'CAT_ACTIVIDADES'!$A$4:$A$11,0)),""))=""),"SIN CLASIFICAR",IFERROR(INDEX('CAT_ACTIVIDADES'!$D$4:$D$11,MATCH($H237,'CAT_ACTIVIDADES'!$A$4:$A$11,0)),"")))</f>
        <v/>
      </c>
      <c r="AO237" s="4" t="n"/>
      <c r="AP237" s="4" t="n"/>
      <c r="AQ237" s="4" t="n"/>
      <c r="AR237" s="5">
        <f>IF($AQ237="","",HYPERLINK(p_ruta_base_checklists&amp;$AQ237,"abrir"))</f>
        <v/>
      </c>
      <c r="AS237" s="4" t="n"/>
      <c r="AT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2" t="n"/>
      <c r="K238" s="5" t="n"/>
      <c r="L238" s="18" t="n"/>
      <c r="M238" s="5">
        <f>IF($A238="","",IFERROR(INDEX('AJUSTES'!$B$4:$B$303,MATCH($AT238,'AJUSTES'!$A$4:$A$303,0)),IF($K238="","",$K238)))</f>
        <v/>
      </c>
      <c r="N238" s="5">
        <f>IF($A238="","",IFERROR(INDEX('CAT_ESTADOS_ERP'!$B$4:$B$7,MATCH(IFERROR(INDEX('2_IMPORTAR_EJECUCION'!$C$9:$C$1208,MATCH($AT238,'2_IMPORTAR_EJECUCION'!$J$9:$J$1208,0)),""),'CAT_ESTADOS_ERP'!$A$4:$A$7,0)),"Pendiente"))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IF($J238="","",$P238&amp;"-"&amp;TEXT($Q238,"00"))</f>
        <v/>
      </c>
      <c r="S238" s="5">
        <f>IF($J238="","",INDEX(lista_dias,WEEKDAY($J238,2)))</f>
        <v/>
      </c>
      <c r="T238" s="5">
        <f>IF($J238="","",IFERROR(INDEX('CALENDARIO'!$C$15:$C$214,MATCH(TEXT($J238,"yyyy-mm-dd")&amp;"|"&amp;$X238&amp;"|"&amp;$Y238,'CALENDARIO'!$G$15:$G$214,0)),IFERROR(INDEX('CALENDARIO'!$C$15:$C$214,MATCH(TEXT($J238,"yyyy-mm-dd")&amp;"|"&amp;$X238&amp;"|",'CALENDARIO'!$G$15:$G$214,0)),IFERROR(INDEX('CALENDARIO'!$C$15:$C$214,MATCH(TEXT($J238,"yyyy-mm-dd")&amp;"||",'CALENDARIO'!$G$15:$G$214,0)),INDEX(patronHabil,WEEKDAY($J238,2))))))</f>
        <v/>
      </c>
      <c r="U238" s="5">
        <f>IF($I238="","",IFERROR(INDEX('CAT_TIPOS_OT'!$C$4:$C$8,MATCH($I238,'CAT_TIPOS_OT'!$A$4:$A$8,0)),"sin_clasificar"))</f>
        <v/>
      </c>
      <c r="V238" s="5">
        <f>IF($I238="","",IF(IFERROR(INDEX('CAT_TIPOS_OT'!$D$4:$D$8,MATCH($I238,'CAT_TIPOS_OT'!$A$4:$A$8,0)),"SIN CLASIFICAR")="","SIN CLASIFICAR",IFERROR(INDEX('CAT_TIPOS_OT'!$D$4:$D$8,MATCH($I238,'CAT_TIPOS_OT'!$A$4:$A$8,0)),"SIN CLASIFICAR")))</f>
        <v/>
      </c>
      <c r="W238" s="5">
        <f>IF($F238="","",IFERROR(INDEX('CAT_CENTROS_COSTO'!$F$4:$F$13,MATCH($F238,'CAT_CENTROS_COSTO'!$A$4:$A$13,0)),"(sin catálogo)"))</f>
        <v/>
      </c>
      <c r="X238" s="5">
        <f>IF($F238="","",IFERROR(INDEX('CAT_CENTROS_COSTO'!$D$4:$D$13,MATCH($F238,'CAT_CENTROS_COSTO'!$A$4:$A$13,0)),"(sin catálogo)"))</f>
        <v/>
      </c>
      <c r="Y238" s="5">
        <f>IF($F238="","",IF((IFERROR(INDEX('CAT_CENTROS_COSTO'!$E$4:$E$13,MATCH($F238,'CAT_CENTROS_COSTO'!$A$4:$A$13,0)),""))&lt;&gt;"",IFERROR(INDEX('CAT_CENTROS_COSTO'!$E$4:$E$13,MATCH($F238,'CAT_CENTROS_COSTO'!$A$4:$A$13,0)),""),$X238))</f>
        <v/>
      </c>
      <c r="Z238" s="5">
        <f>IF($F238="","",IFERROR(INDEX('CAT_CENTROS_COSTO'!$G$4:$G$13,MATCH($F238,'CAT_CENTROS_COSTO'!$A$4:$A$13,0)),"(sin catálogo)"))</f>
        <v/>
      </c>
      <c r="AA238" s="5">
        <f>IF($G238="","",IFERROR(INDEX('CAT_PUESTOS'!$B$4:$B$8,MATCH($G238,'CAT_PUESTOS'!$A$4:$A$8,0)),"(sin catálogo)"))</f>
        <v/>
      </c>
      <c r="AB238" s="5">
        <f>IF($H238="","",IFERROR(INDEX('CAT_ACTIVIDADES'!$B$4:$B$11,MATCH($H238,'CAT_ACTIVIDADES'!$A$4:$A$11,0)),"(sin catálogo)"))</f>
        <v/>
      </c>
      <c r="AC238" s="20">
        <f>IF($J238="","",TODAY()-$J238)</f>
        <v/>
      </c>
      <c r="AD238" s="20">
        <f>IF($J238="","",IF($J238&lt;=TODAY(),COUNTIFS(cal_fechas,"&gt;="&amp;$J238,cal_fechas,"&lt;"&amp;TODAY(),cal_habil,"sí"),-COUNTIFS(cal_fechas,"&gt;="&amp;TODAY(),cal_fechas,"&lt;"&amp;$J238,cal_habil,"sí")))</f>
        <v/>
      </c>
      <c r="AE238" s="5">
        <f>IF($AD238="","",IF($AD238&lt;0,"FUTURO",IF($AD238&gt;p_dias_backlog_max,"BACKLOG","MES CORRIENTE")))</f>
        <v/>
      </c>
      <c r="AF238" s="5">
        <f>IF($AD238="",FALSE,AND($AD238&gt;p_dias_backlog_min,$AD238&lt;=p_dias_backlog_max))</f>
        <v/>
      </c>
      <c r="AG238" s="4" t="n"/>
      <c r="AH238" s="5">
        <f>IF($AG238="","",IF((IFERROR(INDEX('ASIGNACIONES'!$J$4:$J$451,MATCH($O238&amp;"|"&amp;$S238&amp;"|"&amp;$AG238,'ASIGNACIONES'!$N$4:$N$451,0)),""))=0,"",IFERROR(INDEX('ASIGNACIONES'!$J$4:$J$451,MATCH($O238&amp;"|"&amp;$S238&amp;"|"&amp;$AG238,'ASIGNACIONES'!$N$4:$N$451,0)),"")))</f>
        <v/>
      </c>
      <c r="AI238" s="25">
        <f>IF($AG238="","",SUMIFS('ORDENES'!$M$4:$M$1203,'ORDENES'!$AG$4:$AG$1203,$AG238,'ORDENES'!$O$4:$O$1203,$O238,'ORDENES'!$S$4:$S$1203,$S238))</f>
        <v/>
      </c>
      <c r="AJ238" s="25">
        <f>IF($AI238="","",p_factor_productividad*IFERROR(INDEX('ASIGNACIONES'!$M$4:$M$451,MATCH($O238&amp;"|"&amp;$S238&amp;"|"&amp;$AG238,'ASIGNACIONES'!$N$4:$N$451,0)),0)-$AI238)</f>
        <v/>
      </c>
      <c r="AK238" s="18">
        <f>IF($A238="","",IFERROR(INDEX('2_IMPORTAR_EJECUCION'!$F$9:$F$1208,MATCH($AT238,'2_IMPORTAR_EJECUCION'!$J$9:$J$1208,0)),0))</f>
        <v/>
      </c>
      <c r="AL238" s="18">
        <f>IF($A238="","",MAX(0,IFERROR(INDEX('2_IMPORTAR_EJECUCION'!$H$9:$H$1208,MATCH($AT238,'2_IMPORTAR_EJECUCION'!$J$9:$J$1208,0)),0)-$AK238))</f>
        <v/>
      </c>
      <c r="AM238" s="18">
        <f>IF($A238="","",$AK238+$AL238)</f>
        <v/>
      </c>
      <c r="AN238" s="5">
        <f>IF($A238="","",IF(OR((IFERROR(INDEX('CAT_ACTIVIDADES'!$D$4:$D$11,MATCH($H238,'CAT_ACTIVIDADES'!$A$4:$A$11,0)),""))=0,(IFERROR(INDEX('CAT_ACTIVIDADES'!$D$4:$D$11,MATCH($H238,'CAT_ACTIVIDADES'!$A$4:$A$11,0)),""))=""),"SIN CLASIFICAR",IFERROR(INDEX('CAT_ACTIVIDADES'!$D$4:$D$11,MATCH($H238,'CAT_ACTIVIDADES'!$A$4:$A$11,0)),"")))</f>
        <v/>
      </c>
      <c r="AO238" s="4" t="n"/>
      <c r="AP238" s="4" t="n"/>
      <c r="AQ238" s="4" t="n"/>
      <c r="AR238" s="5">
        <f>IF($AQ238="","",HYPERLINK(p_ruta_base_checklists&amp;$AQ238,"abrir"))</f>
        <v/>
      </c>
      <c r="AS238" s="4" t="n"/>
      <c r="AT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2" t="n"/>
      <c r="K239" s="5" t="n"/>
      <c r="L239" s="18" t="n"/>
      <c r="M239" s="5">
        <f>IF($A239="","",IFERROR(INDEX('AJUSTES'!$B$4:$B$303,MATCH($AT239,'AJUSTES'!$A$4:$A$303,0)),IF($K239="","",$K239)))</f>
        <v/>
      </c>
      <c r="N239" s="5">
        <f>IF($A239="","",IFERROR(INDEX('CAT_ESTADOS_ERP'!$B$4:$B$7,MATCH(IFERROR(INDEX('2_IMPORTAR_EJECUCION'!$C$9:$C$1208,MATCH($AT239,'2_IMPORTAR_EJECUCION'!$J$9:$J$1208,0)),""),'CAT_ESTADOS_ERP'!$A$4:$A$7,0)),"Pendiente"))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IF($J239="","",$P239&amp;"-"&amp;TEXT($Q239,"00"))</f>
        <v/>
      </c>
      <c r="S239" s="5">
        <f>IF($J239="","",INDEX(lista_dias,WEEKDAY($J239,2)))</f>
        <v/>
      </c>
      <c r="T239" s="5">
        <f>IF($J239="","",IFERROR(INDEX('CALENDARIO'!$C$15:$C$214,MATCH(TEXT($J239,"yyyy-mm-dd")&amp;"|"&amp;$X239&amp;"|"&amp;$Y239,'CALENDARIO'!$G$15:$G$214,0)),IFERROR(INDEX('CALENDARIO'!$C$15:$C$214,MATCH(TEXT($J239,"yyyy-mm-dd")&amp;"|"&amp;$X239&amp;"|",'CALENDARIO'!$G$15:$G$214,0)),IFERROR(INDEX('CALENDARIO'!$C$15:$C$214,MATCH(TEXT($J239,"yyyy-mm-dd")&amp;"||",'CALENDARIO'!$G$15:$G$214,0)),INDEX(patronHabil,WEEKDAY($J239,2))))))</f>
        <v/>
      </c>
      <c r="U239" s="5">
        <f>IF($I239="","",IFERROR(INDEX('CAT_TIPOS_OT'!$C$4:$C$8,MATCH($I239,'CAT_TIPOS_OT'!$A$4:$A$8,0)),"sin_clasificar"))</f>
        <v/>
      </c>
      <c r="V239" s="5">
        <f>IF($I239="","",IF(IFERROR(INDEX('CAT_TIPOS_OT'!$D$4:$D$8,MATCH($I239,'CAT_TIPOS_OT'!$A$4:$A$8,0)),"SIN CLASIFICAR")="","SIN CLASIFICAR",IFERROR(INDEX('CAT_TIPOS_OT'!$D$4:$D$8,MATCH($I239,'CAT_TIPOS_OT'!$A$4:$A$8,0)),"SIN CLASIFICAR")))</f>
        <v/>
      </c>
      <c r="W239" s="5">
        <f>IF($F239="","",IFERROR(INDEX('CAT_CENTROS_COSTO'!$F$4:$F$13,MATCH($F239,'CAT_CENTROS_COSTO'!$A$4:$A$13,0)),"(sin catálogo)"))</f>
        <v/>
      </c>
      <c r="X239" s="5">
        <f>IF($F239="","",IFERROR(INDEX('CAT_CENTROS_COSTO'!$D$4:$D$13,MATCH($F239,'CAT_CENTROS_COSTO'!$A$4:$A$13,0)),"(sin catálogo)"))</f>
        <v/>
      </c>
      <c r="Y239" s="5">
        <f>IF($F239="","",IF((IFERROR(INDEX('CAT_CENTROS_COSTO'!$E$4:$E$13,MATCH($F239,'CAT_CENTROS_COSTO'!$A$4:$A$13,0)),""))&lt;&gt;"",IFERROR(INDEX('CAT_CENTROS_COSTO'!$E$4:$E$13,MATCH($F239,'CAT_CENTROS_COSTO'!$A$4:$A$13,0)),""),$X239))</f>
        <v/>
      </c>
      <c r="Z239" s="5">
        <f>IF($F239="","",IFERROR(INDEX('CAT_CENTROS_COSTO'!$G$4:$G$13,MATCH($F239,'CAT_CENTROS_COSTO'!$A$4:$A$13,0)),"(sin catálogo)"))</f>
        <v/>
      </c>
      <c r="AA239" s="5">
        <f>IF($G239="","",IFERROR(INDEX('CAT_PUESTOS'!$B$4:$B$8,MATCH($G239,'CAT_PUESTOS'!$A$4:$A$8,0)),"(sin catálogo)"))</f>
        <v/>
      </c>
      <c r="AB239" s="5">
        <f>IF($H239="","",IFERROR(INDEX('CAT_ACTIVIDADES'!$B$4:$B$11,MATCH($H239,'CAT_ACTIVIDADES'!$A$4:$A$11,0)),"(sin catálogo)"))</f>
        <v/>
      </c>
      <c r="AC239" s="20">
        <f>IF($J239="","",TODAY()-$J239)</f>
        <v/>
      </c>
      <c r="AD239" s="20">
        <f>IF($J239="","",IF($J239&lt;=TODAY(),COUNTIFS(cal_fechas,"&gt;="&amp;$J239,cal_fechas,"&lt;"&amp;TODAY(),cal_habil,"sí"),-COUNTIFS(cal_fechas,"&gt;="&amp;TODAY(),cal_fechas,"&lt;"&amp;$J239,cal_habil,"sí")))</f>
        <v/>
      </c>
      <c r="AE239" s="5">
        <f>IF($AD239="","",IF($AD239&lt;0,"FUTURO",IF($AD239&gt;p_dias_backlog_max,"BACKLOG","MES CORRIENTE")))</f>
        <v/>
      </c>
      <c r="AF239" s="5">
        <f>IF($AD239="",FALSE,AND($AD239&gt;p_dias_backlog_min,$AD239&lt;=p_dias_backlog_max))</f>
        <v/>
      </c>
      <c r="AG239" s="4" t="n"/>
      <c r="AH239" s="5">
        <f>IF($AG239="","",IF((IFERROR(INDEX('ASIGNACIONES'!$J$4:$J$451,MATCH($O239&amp;"|"&amp;$S239&amp;"|"&amp;$AG239,'ASIGNACIONES'!$N$4:$N$451,0)),""))=0,"",IFERROR(INDEX('ASIGNACIONES'!$J$4:$J$451,MATCH($O239&amp;"|"&amp;$S239&amp;"|"&amp;$AG239,'ASIGNACIONES'!$N$4:$N$451,0)),"")))</f>
        <v/>
      </c>
      <c r="AI239" s="25">
        <f>IF($AG239="","",SUMIFS('ORDENES'!$M$4:$M$1203,'ORDENES'!$AG$4:$AG$1203,$AG239,'ORDENES'!$O$4:$O$1203,$O239,'ORDENES'!$S$4:$S$1203,$S239))</f>
        <v/>
      </c>
      <c r="AJ239" s="25">
        <f>IF($AI239="","",p_factor_productividad*IFERROR(INDEX('ASIGNACIONES'!$M$4:$M$451,MATCH($O239&amp;"|"&amp;$S239&amp;"|"&amp;$AG239,'ASIGNACIONES'!$N$4:$N$451,0)),0)-$AI239)</f>
        <v/>
      </c>
      <c r="AK239" s="18">
        <f>IF($A239="","",IFERROR(INDEX('2_IMPORTAR_EJECUCION'!$F$9:$F$1208,MATCH($AT239,'2_IMPORTAR_EJECUCION'!$J$9:$J$1208,0)),0))</f>
        <v/>
      </c>
      <c r="AL239" s="18">
        <f>IF($A239="","",MAX(0,IFERROR(INDEX('2_IMPORTAR_EJECUCION'!$H$9:$H$1208,MATCH($AT239,'2_IMPORTAR_EJECUCION'!$J$9:$J$1208,0)),0)-$AK239))</f>
        <v/>
      </c>
      <c r="AM239" s="18">
        <f>IF($A239="","",$AK239+$AL239)</f>
        <v/>
      </c>
      <c r="AN239" s="5">
        <f>IF($A239="","",IF(OR((IFERROR(INDEX('CAT_ACTIVIDADES'!$D$4:$D$11,MATCH($H239,'CAT_ACTIVIDADES'!$A$4:$A$11,0)),""))=0,(IFERROR(INDEX('CAT_ACTIVIDADES'!$D$4:$D$11,MATCH($H239,'CAT_ACTIVIDADES'!$A$4:$A$11,0)),""))=""),"SIN CLASIFICAR",IFERROR(INDEX('CAT_ACTIVIDADES'!$D$4:$D$11,MATCH($H239,'CAT_ACTIVIDADES'!$A$4:$A$11,0)),"")))</f>
        <v/>
      </c>
      <c r="AO239" s="4" t="n"/>
      <c r="AP239" s="4" t="n"/>
      <c r="AQ239" s="4" t="n"/>
      <c r="AR239" s="5">
        <f>IF($AQ239="","",HYPERLINK(p_ruta_base_checklists&amp;$AQ239,"abrir"))</f>
        <v/>
      </c>
      <c r="AS239" s="4" t="n"/>
      <c r="AT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2" t="n"/>
      <c r="K240" s="5" t="n"/>
      <c r="L240" s="18" t="n"/>
      <c r="M240" s="5">
        <f>IF($A240="","",IFERROR(INDEX('AJUSTES'!$B$4:$B$303,MATCH($AT240,'AJUSTES'!$A$4:$A$303,0)),IF($K240="","",$K240)))</f>
        <v/>
      </c>
      <c r="N240" s="5">
        <f>IF($A240="","",IFERROR(INDEX('CAT_ESTADOS_ERP'!$B$4:$B$7,MATCH(IFERROR(INDEX('2_IMPORTAR_EJECUCION'!$C$9:$C$1208,MATCH($AT240,'2_IMPORTAR_EJECUCION'!$J$9:$J$1208,0)),""),'CAT_ESTADOS_ERP'!$A$4:$A$7,0)),"Pendiente"))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IF($J240="","",$P240&amp;"-"&amp;TEXT($Q240,"00"))</f>
        <v/>
      </c>
      <c r="S240" s="5">
        <f>IF($J240="","",INDEX(lista_dias,WEEKDAY($J240,2)))</f>
        <v/>
      </c>
      <c r="T240" s="5">
        <f>IF($J240="","",IFERROR(INDEX('CALENDARIO'!$C$15:$C$214,MATCH(TEXT($J240,"yyyy-mm-dd")&amp;"|"&amp;$X240&amp;"|"&amp;$Y240,'CALENDARIO'!$G$15:$G$214,0)),IFERROR(INDEX('CALENDARIO'!$C$15:$C$214,MATCH(TEXT($J240,"yyyy-mm-dd")&amp;"|"&amp;$X240&amp;"|",'CALENDARIO'!$G$15:$G$214,0)),IFERROR(INDEX('CALENDARIO'!$C$15:$C$214,MATCH(TEXT($J240,"yyyy-mm-dd")&amp;"||",'CALENDARIO'!$G$15:$G$214,0)),INDEX(patronHabil,WEEKDAY($J240,2))))))</f>
        <v/>
      </c>
      <c r="U240" s="5">
        <f>IF($I240="","",IFERROR(INDEX('CAT_TIPOS_OT'!$C$4:$C$8,MATCH($I240,'CAT_TIPOS_OT'!$A$4:$A$8,0)),"sin_clasificar"))</f>
        <v/>
      </c>
      <c r="V240" s="5">
        <f>IF($I240="","",IF(IFERROR(INDEX('CAT_TIPOS_OT'!$D$4:$D$8,MATCH($I240,'CAT_TIPOS_OT'!$A$4:$A$8,0)),"SIN CLASIFICAR")="","SIN CLASIFICAR",IFERROR(INDEX('CAT_TIPOS_OT'!$D$4:$D$8,MATCH($I240,'CAT_TIPOS_OT'!$A$4:$A$8,0)),"SIN CLASIFICAR")))</f>
        <v/>
      </c>
      <c r="W240" s="5">
        <f>IF($F240="","",IFERROR(INDEX('CAT_CENTROS_COSTO'!$F$4:$F$13,MATCH($F240,'CAT_CENTROS_COSTO'!$A$4:$A$13,0)),"(sin catálogo)"))</f>
        <v/>
      </c>
      <c r="X240" s="5">
        <f>IF($F240="","",IFERROR(INDEX('CAT_CENTROS_COSTO'!$D$4:$D$13,MATCH($F240,'CAT_CENTROS_COSTO'!$A$4:$A$13,0)),"(sin catálogo)"))</f>
        <v/>
      </c>
      <c r="Y240" s="5">
        <f>IF($F240="","",IF((IFERROR(INDEX('CAT_CENTROS_COSTO'!$E$4:$E$13,MATCH($F240,'CAT_CENTROS_COSTO'!$A$4:$A$13,0)),""))&lt;&gt;"",IFERROR(INDEX('CAT_CENTROS_COSTO'!$E$4:$E$13,MATCH($F240,'CAT_CENTROS_COSTO'!$A$4:$A$13,0)),""),$X240))</f>
        <v/>
      </c>
      <c r="Z240" s="5">
        <f>IF($F240="","",IFERROR(INDEX('CAT_CENTROS_COSTO'!$G$4:$G$13,MATCH($F240,'CAT_CENTROS_COSTO'!$A$4:$A$13,0)),"(sin catálogo)"))</f>
        <v/>
      </c>
      <c r="AA240" s="5">
        <f>IF($G240="","",IFERROR(INDEX('CAT_PUESTOS'!$B$4:$B$8,MATCH($G240,'CAT_PUESTOS'!$A$4:$A$8,0)),"(sin catálogo)"))</f>
        <v/>
      </c>
      <c r="AB240" s="5">
        <f>IF($H240="","",IFERROR(INDEX('CAT_ACTIVIDADES'!$B$4:$B$11,MATCH($H240,'CAT_ACTIVIDADES'!$A$4:$A$11,0)),"(sin catálogo)"))</f>
        <v/>
      </c>
      <c r="AC240" s="20">
        <f>IF($J240="","",TODAY()-$J240)</f>
        <v/>
      </c>
      <c r="AD240" s="20">
        <f>IF($J240="","",IF($J240&lt;=TODAY(),COUNTIFS(cal_fechas,"&gt;="&amp;$J240,cal_fechas,"&lt;"&amp;TODAY(),cal_habil,"sí"),-COUNTIFS(cal_fechas,"&gt;="&amp;TODAY(),cal_fechas,"&lt;"&amp;$J240,cal_habil,"sí")))</f>
        <v/>
      </c>
      <c r="AE240" s="5">
        <f>IF($AD240="","",IF($AD240&lt;0,"FUTURO",IF($AD240&gt;p_dias_backlog_max,"BACKLOG","MES CORRIENTE")))</f>
        <v/>
      </c>
      <c r="AF240" s="5">
        <f>IF($AD240="",FALSE,AND($AD240&gt;p_dias_backlog_min,$AD240&lt;=p_dias_backlog_max))</f>
        <v/>
      </c>
      <c r="AG240" s="4" t="n"/>
      <c r="AH240" s="5">
        <f>IF($AG240="","",IF((IFERROR(INDEX('ASIGNACIONES'!$J$4:$J$451,MATCH($O240&amp;"|"&amp;$S240&amp;"|"&amp;$AG240,'ASIGNACIONES'!$N$4:$N$451,0)),""))=0,"",IFERROR(INDEX('ASIGNACIONES'!$J$4:$J$451,MATCH($O240&amp;"|"&amp;$S240&amp;"|"&amp;$AG240,'ASIGNACIONES'!$N$4:$N$451,0)),"")))</f>
        <v/>
      </c>
      <c r="AI240" s="25">
        <f>IF($AG240="","",SUMIFS('ORDENES'!$M$4:$M$1203,'ORDENES'!$AG$4:$AG$1203,$AG240,'ORDENES'!$O$4:$O$1203,$O240,'ORDENES'!$S$4:$S$1203,$S240))</f>
        <v/>
      </c>
      <c r="AJ240" s="25">
        <f>IF($AI240="","",p_factor_productividad*IFERROR(INDEX('ASIGNACIONES'!$M$4:$M$451,MATCH($O240&amp;"|"&amp;$S240&amp;"|"&amp;$AG240,'ASIGNACIONES'!$N$4:$N$451,0)),0)-$AI240)</f>
        <v/>
      </c>
      <c r="AK240" s="18">
        <f>IF($A240="","",IFERROR(INDEX('2_IMPORTAR_EJECUCION'!$F$9:$F$1208,MATCH($AT240,'2_IMPORTAR_EJECUCION'!$J$9:$J$1208,0)),0))</f>
        <v/>
      </c>
      <c r="AL240" s="18">
        <f>IF($A240="","",MAX(0,IFERROR(INDEX('2_IMPORTAR_EJECUCION'!$H$9:$H$1208,MATCH($AT240,'2_IMPORTAR_EJECUCION'!$J$9:$J$1208,0)),0)-$AK240))</f>
        <v/>
      </c>
      <c r="AM240" s="18">
        <f>IF($A240="","",$AK240+$AL240)</f>
        <v/>
      </c>
      <c r="AN240" s="5">
        <f>IF($A240="","",IF(OR((IFERROR(INDEX('CAT_ACTIVIDADES'!$D$4:$D$11,MATCH($H240,'CAT_ACTIVIDADES'!$A$4:$A$11,0)),""))=0,(IFERROR(INDEX('CAT_ACTIVIDADES'!$D$4:$D$11,MATCH($H240,'CAT_ACTIVIDADES'!$A$4:$A$11,0)),""))=""),"SIN CLASIFICAR",IFERROR(INDEX('CAT_ACTIVIDADES'!$D$4:$D$11,MATCH($H240,'CAT_ACTIVIDADES'!$A$4:$A$11,0)),"")))</f>
        <v/>
      </c>
      <c r="AO240" s="4" t="n"/>
      <c r="AP240" s="4" t="n"/>
      <c r="AQ240" s="4" t="n"/>
      <c r="AR240" s="5">
        <f>IF($AQ240="","",HYPERLINK(p_ruta_base_checklists&amp;$AQ240,"abrir"))</f>
        <v/>
      </c>
      <c r="AS240" s="4" t="n"/>
      <c r="AT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2" t="n"/>
      <c r="K241" s="5" t="n"/>
      <c r="L241" s="18" t="n"/>
      <c r="M241" s="5">
        <f>IF($A241="","",IFERROR(INDEX('AJUSTES'!$B$4:$B$303,MATCH($AT241,'AJUSTES'!$A$4:$A$303,0)),IF($K241="","",$K241)))</f>
        <v/>
      </c>
      <c r="N241" s="5">
        <f>IF($A241="","",IFERROR(INDEX('CAT_ESTADOS_ERP'!$B$4:$B$7,MATCH(IFERROR(INDEX('2_IMPORTAR_EJECUCION'!$C$9:$C$1208,MATCH($AT241,'2_IMPORTAR_EJECUCION'!$J$9:$J$1208,0)),""),'CAT_ESTADOS_ERP'!$A$4:$A$7,0)),"Pendiente"))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IF($J241="","",$P241&amp;"-"&amp;TEXT($Q241,"00"))</f>
        <v/>
      </c>
      <c r="S241" s="5">
        <f>IF($J241="","",INDEX(lista_dias,WEEKDAY($J241,2)))</f>
        <v/>
      </c>
      <c r="T241" s="5">
        <f>IF($J241="","",IFERROR(INDEX('CALENDARIO'!$C$15:$C$214,MATCH(TEXT($J241,"yyyy-mm-dd")&amp;"|"&amp;$X241&amp;"|"&amp;$Y241,'CALENDARIO'!$G$15:$G$214,0)),IFERROR(INDEX('CALENDARIO'!$C$15:$C$214,MATCH(TEXT($J241,"yyyy-mm-dd")&amp;"|"&amp;$X241&amp;"|",'CALENDARIO'!$G$15:$G$214,0)),IFERROR(INDEX('CALENDARIO'!$C$15:$C$214,MATCH(TEXT($J241,"yyyy-mm-dd")&amp;"||",'CALENDARIO'!$G$15:$G$214,0)),INDEX(patronHabil,WEEKDAY($J241,2))))))</f>
        <v/>
      </c>
      <c r="U241" s="5">
        <f>IF($I241="","",IFERROR(INDEX('CAT_TIPOS_OT'!$C$4:$C$8,MATCH($I241,'CAT_TIPOS_OT'!$A$4:$A$8,0)),"sin_clasificar"))</f>
        <v/>
      </c>
      <c r="V241" s="5">
        <f>IF($I241="","",IF(IFERROR(INDEX('CAT_TIPOS_OT'!$D$4:$D$8,MATCH($I241,'CAT_TIPOS_OT'!$A$4:$A$8,0)),"SIN CLASIFICAR")="","SIN CLASIFICAR",IFERROR(INDEX('CAT_TIPOS_OT'!$D$4:$D$8,MATCH($I241,'CAT_TIPOS_OT'!$A$4:$A$8,0)),"SIN CLASIFICAR")))</f>
        <v/>
      </c>
      <c r="W241" s="5">
        <f>IF($F241="","",IFERROR(INDEX('CAT_CENTROS_COSTO'!$F$4:$F$13,MATCH($F241,'CAT_CENTROS_COSTO'!$A$4:$A$13,0)),"(sin catálogo)"))</f>
        <v/>
      </c>
      <c r="X241" s="5">
        <f>IF($F241="","",IFERROR(INDEX('CAT_CENTROS_COSTO'!$D$4:$D$13,MATCH($F241,'CAT_CENTROS_COSTO'!$A$4:$A$13,0)),"(sin catálogo)"))</f>
        <v/>
      </c>
      <c r="Y241" s="5">
        <f>IF($F241="","",IF((IFERROR(INDEX('CAT_CENTROS_COSTO'!$E$4:$E$13,MATCH($F241,'CAT_CENTROS_COSTO'!$A$4:$A$13,0)),""))&lt;&gt;"",IFERROR(INDEX('CAT_CENTROS_COSTO'!$E$4:$E$13,MATCH($F241,'CAT_CENTROS_COSTO'!$A$4:$A$13,0)),""),$X241))</f>
        <v/>
      </c>
      <c r="Z241" s="5">
        <f>IF($F241="","",IFERROR(INDEX('CAT_CENTROS_COSTO'!$G$4:$G$13,MATCH($F241,'CAT_CENTROS_COSTO'!$A$4:$A$13,0)),"(sin catálogo)"))</f>
        <v/>
      </c>
      <c r="AA241" s="5">
        <f>IF($G241="","",IFERROR(INDEX('CAT_PUESTOS'!$B$4:$B$8,MATCH($G241,'CAT_PUESTOS'!$A$4:$A$8,0)),"(sin catálogo)"))</f>
        <v/>
      </c>
      <c r="AB241" s="5">
        <f>IF($H241="","",IFERROR(INDEX('CAT_ACTIVIDADES'!$B$4:$B$11,MATCH($H241,'CAT_ACTIVIDADES'!$A$4:$A$11,0)),"(sin catálogo)"))</f>
        <v/>
      </c>
      <c r="AC241" s="20">
        <f>IF($J241="","",TODAY()-$J241)</f>
        <v/>
      </c>
      <c r="AD241" s="20">
        <f>IF($J241="","",IF($J241&lt;=TODAY(),COUNTIFS(cal_fechas,"&gt;="&amp;$J241,cal_fechas,"&lt;"&amp;TODAY(),cal_habil,"sí"),-COUNTIFS(cal_fechas,"&gt;="&amp;TODAY(),cal_fechas,"&lt;"&amp;$J241,cal_habil,"sí")))</f>
        <v/>
      </c>
      <c r="AE241" s="5">
        <f>IF($AD241="","",IF($AD241&lt;0,"FUTURO",IF($AD241&gt;p_dias_backlog_max,"BACKLOG","MES CORRIENTE")))</f>
        <v/>
      </c>
      <c r="AF241" s="5">
        <f>IF($AD241="",FALSE,AND($AD241&gt;p_dias_backlog_min,$AD241&lt;=p_dias_backlog_max))</f>
        <v/>
      </c>
      <c r="AG241" s="4" t="n"/>
      <c r="AH241" s="5">
        <f>IF($AG241="","",IF((IFERROR(INDEX('ASIGNACIONES'!$J$4:$J$451,MATCH($O241&amp;"|"&amp;$S241&amp;"|"&amp;$AG241,'ASIGNACIONES'!$N$4:$N$451,0)),""))=0,"",IFERROR(INDEX('ASIGNACIONES'!$J$4:$J$451,MATCH($O241&amp;"|"&amp;$S241&amp;"|"&amp;$AG241,'ASIGNACIONES'!$N$4:$N$451,0)),"")))</f>
        <v/>
      </c>
      <c r="AI241" s="25">
        <f>IF($AG241="","",SUMIFS('ORDENES'!$M$4:$M$1203,'ORDENES'!$AG$4:$AG$1203,$AG241,'ORDENES'!$O$4:$O$1203,$O241,'ORDENES'!$S$4:$S$1203,$S241))</f>
        <v/>
      </c>
      <c r="AJ241" s="25">
        <f>IF($AI241="","",p_factor_productividad*IFERROR(INDEX('ASIGNACIONES'!$M$4:$M$451,MATCH($O241&amp;"|"&amp;$S241&amp;"|"&amp;$AG241,'ASIGNACIONES'!$N$4:$N$451,0)),0)-$AI241)</f>
        <v/>
      </c>
      <c r="AK241" s="18">
        <f>IF($A241="","",IFERROR(INDEX('2_IMPORTAR_EJECUCION'!$F$9:$F$1208,MATCH($AT241,'2_IMPORTAR_EJECUCION'!$J$9:$J$1208,0)),0))</f>
        <v/>
      </c>
      <c r="AL241" s="18">
        <f>IF($A241="","",MAX(0,IFERROR(INDEX('2_IMPORTAR_EJECUCION'!$H$9:$H$1208,MATCH($AT241,'2_IMPORTAR_EJECUCION'!$J$9:$J$1208,0)),0)-$AK241))</f>
        <v/>
      </c>
      <c r="AM241" s="18">
        <f>IF($A241="","",$AK241+$AL241)</f>
        <v/>
      </c>
      <c r="AN241" s="5">
        <f>IF($A241="","",IF(OR((IFERROR(INDEX('CAT_ACTIVIDADES'!$D$4:$D$11,MATCH($H241,'CAT_ACTIVIDADES'!$A$4:$A$11,0)),""))=0,(IFERROR(INDEX('CAT_ACTIVIDADES'!$D$4:$D$11,MATCH($H241,'CAT_ACTIVIDADES'!$A$4:$A$11,0)),""))=""),"SIN CLASIFICAR",IFERROR(INDEX('CAT_ACTIVIDADES'!$D$4:$D$11,MATCH($H241,'CAT_ACTIVIDADES'!$A$4:$A$11,0)),"")))</f>
        <v/>
      </c>
      <c r="AO241" s="4" t="n"/>
      <c r="AP241" s="4" t="n"/>
      <c r="AQ241" s="4" t="n"/>
      <c r="AR241" s="5">
        <f>IF($AQ241="","",HYPERLINK(p_ruta_base_checklists&amp;$AQ241,"abrir"))</f>
        <v/>
      </c>
      <c r="AS241" s="4" t="n"/>
      <c r="AT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2" t="n"/>
      <c r="K242" s="5" t="n"/>
      <c r="L242" s="18" t="n"/>
      <c r="M242" s="5">
        <f>IF($A242="","",IFERROR(INDEX('AJUSTES'!$B$4:$B$303,MATCH($AT242,'AJUSTES'!$A$4:$A$303,0)),IF($K242="","",$K242)))</f>
        <v/>
      </c>
      <c r="N242" s="5">
        <f>IF($A242="","",IFERROR(INDEX('CAT_ESTADOS_ERP'!$B$4:$B$7,MATCH(IFERROR(INDEX('2_IMPORTAR_EJECUCION'!$C$9:$C$1208,MATCH($AT242,'2_IMPORTAR_EJECUCION'!$J$9:$J$1208,0)),""),'CAT_ESTADOS_ERP'!$A$4:$A$7,0)),"Pendiente"))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IF($J242="","",$P242&amp;"-"&amp;TEXT($Q242,"00"))</f>
        <v/>
      </c>
      <c r="S242" s="5">
        <f>IF($J242="","",INDEX(lista_dias,WEEKDAY($J242,2)))</f>
        <v/>
      </c>
      <c r="T242" s="5">
        <f>IF($J242="","",IFERROR(INDEX('CALENDARIO'!$C$15:$C$214,MATCH(TEXT($J242,"yyyy-mm-dd")&amp;"|"&amp;$X242&amp;"|"&amp;$Y242,'CALENDARIO'!$G$15:$G$214,0)),IFERROR(INDEX('CALENDARIO'!$C$15:$C$214,MATCH(TEXT($J242,"yyyy-mm-dd")&amp;"|"&amp;$X242&amp;"|",'CALENDARIO'!$G$15:$G$214,0)),IFERROR(INDEX('CALENDARIO'!$C$15:$C$214,MATCH(TEXT($J242,"yyyy-mm-dd")&amp;"||",'CALENDARIO'!$G$15:$G$214,0)),INDEX(patronHabil,WEEKDAY($J242,2))))))</f>
        <v/>
      </c>
      <c r="U242" s="5">
        <f>IF($I242="","",IFERROR(INDEX('CAT_TIPOS_OT'!$C$4:$C$8,MATCH($I242,'CAT_TIPOS_OT'!$A$4:$A$8,0)),"sin_clasificar"))</f>
        <v/>
      </c>
      <c r="V242" s="5">
        <f>IF($I242="","",IF(IFERROR(INDEX('CAT_TIPOS_OT'!$D$4:$D$8,MATCH($I242,'CAT_TIPOS_OT'!$A$4:$A$8,0)),"SIN CLASIFICAR")="","SIN CLASIFICAR",IFERROR(INDEX('CAT_TIPOS_OT'!$D$4:$D$8,MATCH($I242,'CAT_TIPOS_OT'!$A$4:$A$8,0)),"SIN CLASIFICAR")))</f>
        <v/>
      </c>
      <c r="W242" s="5">
        <f>IF($F242="","",IFERROR(INDEX('CAT_CENTROS_COSTO'!$F$4:$F$13,MATCH($F242,'CAT_CENTROS_COSTO'!$A$4:$A$13,0)),"(sin catálogo)"))</f>
        <v/>
      </c>
      <c r="X242" s="5">
        <f>IF($F242="","",IFERROR(INDEX('CAT_CENTROS_COSTO'!$D$4:$D$13,MATCH($F242,'CAT_CENTROS_COSTO'!$A$4:$A$13,0)),"(sin catálogo)"))</f>
        <v/>
      </c>
      <c r="Y242" s="5">
        <f>IF($F242="","",IF((IFERROR(INDEX('CAT_CENTROS_COSTO'!$E$4:$E$13,MATCH($F242,'CAT_CENTROS_COSTO'!$A$4:$A$13,0)),""))&lt;&gt;"",IFERROR(INDEX('CAT_CENTROS_COSTO'!$E$4:$E$13,MATCH($F242,'CAT_CENTROS_COSTO'!$A$4:$A$13,0)),""),$X242))</f>
        <v/>
      </c>
      <c r="Z242" s="5">
        <f>IF($F242="","",IFERROR(INDEX('CAT_CENTROS_COSTO'!$G$4:$G$13,MATCH($F242,'CAT_CENTROS_COSTO'!$A$4:$A$13,0)),"(sin catálogo)"))</f>
        <v/>
      </c>
      <c r="AA242" s="5">
        <f>IF($G242="","",IFERROR(INDEX('CAT_PUESTOS'!$B$4:$B$8,MATCH($G242,'CAT_PUESTOS'!$A$4:$A$8,0)),"(sin catálogo)"))</f>
        <v/>
      </c>
      <c r="AB242" s="5">
        <f>IF($H242="","",IFERROR(INDEX('CAT_ACTIVIDADES'!$B$4:$B$11,MATCH($H242,'CAT_ACTIVIDADES'!$A$4:$A$11,0)),"(sin catálogo)"))</f>
        <v/>
      </c>
      <c r="AC242" s="20">
        <f>IF($J242="","",TODAY()-$J242)</f>
        <v/>
      </c>
      <c r="AD242" s="20">
        <f>IF($J242="","",IF($J242&lt;=TODAY(),COUNTIFS(cal_fechas,"&gt;="&amp;$J242,cal_fechas,"&lt;"&amp;TODAY(),cal_habil,"sí"),-COUNTIFS(cal_fechas,"&gt;="&amp;TODAY(),cal_fechas,"&lt;"&amp;$J242,cal_habil,"sí")))</f>
        <v/>
      </c>
      <c r="AE242" s="5">
        <f>IF($AD242="","",IF($AD242&lt;0,"FUTURO",IF($AD242&gt;p_dias_backlog_max,"BACKLOG","MES CORRIENTE")))</f>
        <v/>
      </c>
      <c r="AF242" s="5">
        <f>IF($AD242="",FALSE,AND($AD242&gt;p_dias_backlog_min,$AD242&lt;=p_dias_backlog_max))</f>
        <v/>
      </c>
      <c r="AG242" s="4" t="n"/>
      <c r="AH242" s="5">
        <f>IF($AG242="","",IF((IFERROR(INDEX('ASIGNACIONES'!$J$4:$J$451,MATCH($O242&amp;"|"&amp;$S242&amp;"|"&amp;$AG242,'ASIGNACIONES'!$N$4:$N$451,0)),""))=0,"",IFERROR(INDEX('ASIGNACIONES'!$J$4:$J$451,MATCH($O242&amp;"|"&amp;$S242&amp;"|"&amp;$AG242,'ASIGNACIONES'!$N$4:$N$451,0)),"")))</f>
        <v/>
      </c>
      <c r="AI242" s="25">
        <f>IF($AG242="","",SUMIFS('ORDENES'!$M$4:$M$1203,'ORDENES'!$AG$4:$AG$1203,$AG242,'ORDENES'!$O$4:$O$1203,$O242,'ORDENES'!$S$4:$S$1203,$S242))</f>
        <v/>
      </c>
      <c r="AJ242" s="25">
        <f>IF($AI242="","",p_factor_productividad*IFERROR(INDEX('ASIGNACIONES'!$M$4:$M$451,MATCH($O242&amp;"|"&amp;$S242&amp;"|"&amp;$AG242,'ASIGNACIONES'!$N$4:$N$451,0)),0)-$AI242)</f>
        <v/>
      </c>
      <c r="AK242" s="18">
        <f>IF($A242="","",IFERROR(INDEX('2_IMPORTAR_EJECUCION'!$F$9:$F$1208,MATCH($AT242,'2_IMPORTAR_EJECUCION'!$J$9:$J$1208,0)),0))</f>
        <v/>
      </c>
      <c r="AL242" s="18">
        <f>IF($A242="","",MAX(0,IFERROR(INDEX('2_IMPORTAR_EJECUCION'!$H$9:$H$1208,MATCH($AT242,'2_IMPORTAR_EJECUCION'!$J$9:$J$1208,0)),0)-$AK242))</f>
        <v/>
      </c>
      <c r="AM242" s="18">
        <f>IF($A242="","",$AK242+$AL242)</f>
        <v/>
      </c>
      <c r="AN242" s="5">
        <f>IF($A242="","",IF(OR((IFERROR(INDEX('CAT_ACTIVIDADES'!$D$4:$D$11,MATCH($H242,'CAT_ACTIVIDADES'!$A$4:$A$11,0)),""))=0,(IFERROR(INDEX('CAT_ACTIVIDADES'!$D$4:$D$11,MATCH($H242,'CAT_ACTIVIDADES'!$A$4:$A$11,0)),""))=""),"SIN CLASIFICAR",IFERROR(INDEX('CAT_ACTIVIDADES'!$D$4:$D$11,MATCH($H242,'CAT_ACTIVIDADES'!$A$4:$A$11,0)),"")))</f>
        <v/>
      </c>
      <c r="AO242" s="4" t="n"/>
      <c r="AP242" s="4" t="n"/>
      <c r="AQ242" s="4" t="n"/>
      <c r="AR242" s="5">
        <f>IF($AQ242="","",HYPERLINK(p_ruta_base_checklists&amp;$AQ242,"abrir"))</f>
        <v/>
      </c>
      <c r="AS242" s="4" t="n"/>
      <c r="AT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2" t="n"/>
      <c r="K243" s="5" t="n"/>
      <c r="L243" s="18" t="n"/>
      <c r="M243" s="5">
        <f>IF($A243="","",IFERROR(INDEX('AJUSTES'!$B$4:$B$303,MATCH($AT243,'AJUSTES'!$A$4:$A$303,0)),IF($K243="","",$K243)))</f>
        <v/>
      </c>
      <c r="N243" s="5">
        <f>IF($A243="","",IFERROR(INDEX('CAT_ESTADOS_ERP'!$B$4:$B$7,MATCH(IFERROR(INDEX('2_IMPORTAR_EJECUCION'!$C$9:$C$1208,MATCH($AT243,'2_IMPORTAR_EJECUCION'!$J$9:$J$1208,0)),""),'CAT_ESTADOS_ERP'!$A$4:$A$7,0)),"Pendiente"))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IF($J243="","",$P243&amp;"-"&amp;TEXT($Q243,"00"))</f>
        <v/>
      </c>
      <c r="S243" s="5">
        <f>IF($J243="","",INDEX(lista_dias,WEEKDAY($J243,2)))</f>
        <v/>
      </c>
      <c r="T243" s="5">
        <f>IF($J243="","",IFERROR(INDEX('CALENDARIO'!$C$15:$C$214,MATCH(TEXT($J243,"yyyy-mm-dd")&amp;"|"&amp;$X243&amp;"|"&amp;$Y243,'CALENDARIO'!$G$15:$G$214,0)),IFERROR(INDEX('CALENDARIO'!$C$15:$C$214,MATCH(TEXT($J243,"yyyy-mm-dd")&amp;"|"&amp;$X243&amp;"|",'CALENDARIO'!$G$15:$G$214,0)),IFERROR(INDEX('CALENDARIO'!$C$15:$C$214,MATCH(TEXT($J243,"yyyy-mm-dd")&amp;"||",'CALENDARIO'!$G$15:$G$214,0)),INDEX(patronHabil,WEEKDAY($J243,2))))))</f>
        <v/>
      </c>
      <c r="U243" s="5">
        <f>IF($I243="","",IFERROR(INDEX('CAT_TIPOS_OT'!$C$4:$C$8,MATCH($I243,'CAT_TIPOS_OT'!$A$4:$A$8,0)),"sin_clasificar"))</f>
        <v/>
      </c>
      <c r="V243" s="5">
        <f>IF($I243="","",IF(IFERROR(INDEX('CAT_TIPOS_OT'!$D$4:$D$8,MATCH($I243,'CAT_TIPOS_OT'!$A$4:$A$8,0)),"SIN CLASIFICAR")="","SIN CLASIFICAR",IFERROR(INDEX('CAT_TIPOS_OT'!$D$4:$D$8,MATCH($I243,'CAT_TIPOS_OT'!$A$4:$A$8,0)),"SIN CLASIFICAR")))</f>
        <v/>
      </c>
      <c r="W243" s="5">
        <f>IF($F243="","",IFERROR(INDEX('CAT_CENTROS_COSTO'!$F$4:$F$13,MATCH($F243,'CAT_CENTROS_COSTO'!$A$4:$A$13,0)),"(sin catálogo)"))</f>
        <v/>
      </c>
      <c r="X243" s="5">
        <f>IF($F243="","",IFERROR(INDEX('CAT_CENTROS_COSTO'!$D$4:$D$13,MATCH($F243,'CAT_CENTROS_COSTO'!$A$4:$A$13,0)),"(sin catálogo)"))</f>
        <v/>
      </c>
      <c r="Y243" s="5">
        <f>IF($F243="","",IF((IFERROR(INDEX('CAT_CENTROS_COSTO'!$E$4:$E$13,MATCH($F243,'CAT_CENTROS_COSTO'!$A$4:$A$13,0)),""))&lt;&gt;"",IFERROR(INDEX('CAT_CENTROS_COSTO'!$E$4:$E$13,MATCH($F243,'CAT_CENTROS_COSTO'!$A$4:$A$13,0)),""),$X243))</f>
        <v/>
      </c>
      <c r="Z243" s="5">
        <f>IF($F243="","",IFERROR(INDEX('CAT_CENTROS_COSTO'!$G$4:$G$13,MATCH($F243,'CAT_CENTROS_COSTO'!$A$4:$A$13,0)),"(sin catálogo)"))</f>
        <v/>
      </c>
      <c r="AA243" s="5">
        <f>IF($G243="","",IFERROR(INDEX('CAT_PUESTOS'!$B$4:$B$8,MATCH($G243,'CAT_PUESTOS'!$A$4:$A$8,0)),"(sin catálogo)"))</f>
        <v/>
      </c>
      <c r="AB243" s="5">
        <f>IF($H243="","",IFERROR(INDEX('CAT_ACTIVIDADES'!$B$4:$B$11,MATCH($H243,'CAT_ACTIVIDADES'!$A$4:$A$11,0)),"(sin catálogo)"))</f>
        <v/>
      </c>
      <c r="AC243" s="20">
        <f>IF($J243="","",TODAY()-$J243)</f>
        <v/>
      </c>
      <c r="AD243" s="20">
        <f>IF($J243="","",IF($J243&lt;=TODAY(),COUNTIFS(cal_fechas,"&gt;="&amp;$J243,cal_fechas,"&lt;"&amp;TODAY(),cal_habil,"sí"),-COUNTIFS(cal_fechas,"&gt;="&amp;TODAY(),cal_fechas,"&lt;"&amp;$J243,cal_habil,"sí")))</f>
        <v/>
      </c>
      <c r="AE243" s="5">
        <f>IF($AD243="","",IF($AD243&lt;0,"FUTURO",IF($AD243&gt;p_dias_backlog_max,"BACKLOG","MES CORRIENTE")))</f>
        <v/>
      </c>
      <c r="AF243" s="5">
        <f>IF($AD243="",FALSE,AND($AD243&gt;p_dias_backlog_min,$AD243&lt;=p_dias_backlog_max))</f>
        <v/>
      </c>
      <c r="AG243" s="4" t="n"/>
      <c r="AH243" s="5">
        <f>IF($AG243="","",IF((IFERROR(INDEX('ASIGNACIONES'!$J$4:$J$451,MATCH($O243&amp;"|"&amp;$S243&amp;"|"&amp;$AG243,'ASIGNACIONES'!$N$4:$N$451,0)),""))=0,"",IFERROR(INDEX('ASIGNACIONES'!$J$4:$J$451,MATCH($O243&amp;"|"&amp;$S243&amp;"|"&amp;$AG243,'ASIGNACIONES'!$N$4:$N$451,0)),"")))</f>
        <v/>
      </c>
      <c r="AI243" s="25">
        <f>IF($AG243="","",SUMIFS('ORDENES'!$M$4:$M$1203,'ORDENES'!$AG$4:$AG$1203,$AG243,'ORDENES'!$O$4:$O$1203,$O243,'ORDENES'!$S$4:$S$1203,$S243))</f>
        <v/>
      </c>
      <c r="AJ243" s="25">
        <f>IF($AI243="","",p_factor_productividad*IFERROR(INDEX('ASIGNACIONES'!$M$4:$M$451,MATCH($O243&amp;"|"&amp;$S243&amp;"|"&amp;$AG243,'ASIGNACIONES'!$N$4:$N$451,0)),0)-$AI243)</f>
        <v/>
      </c>
      <c r="AK243" s="18">
        <f>IF($A243="","",IFERROR(INDEX('2_IMPORTAR_EJECUCION'!$F$9:$F$1208,MATCH($AT243,'2_IMPORTAR_EJECUCION'!$J$9:$J$1208,0)),0))</f>
        <v/>
      </c>
      <c r="AL243" s="18">
        <f>IF($A243="","",MAX(0,IFERROR(INDEX('2_IMPORTAR_EJECUCION'!$H$9:$H$1208,MATCH($AT243,'2_IMPORTAR_EJECUCION'!$J$9:$J$1208,0)),0)-$AK243))</f>
        <v/>
      </c>
      <c r="AM243" s="18">
        <f>IF($A243="","",$AK243+$AL243)</f>
        <v/>
      </c>
      <c r="AN243" s="5">
        <f>IF($A243="","",IF(OR((IFERROR(INDEX('CAT_ACTIVIDADES'!$D$4:$D$11,MATCH($H243,'CAT_ACTIVIDADES'!$A$4:$A$11,0)),""))=0,(IFERROR(INDEX('CAT_ACTIVIDADES'!$D$4:$D$11,MATCH($H243,'CAT_ACTIVIDADES'!$A$4:$A$11,0)),""))=""),"SIN CLASIFICAR",IFERROR(INDEX('CAT_ACTIVIDADES'!$D$4:$D$11,MATCH($H243,'CAT_ACTIVIDADES'!$A$4:$A$11,0)),"")))</f>
        <v/>
      </c>
      <c r="AO243" s="4" t="n"/>
      <c r="AP243" s="4" t="n"/>
      <c r="AQ243" s="4" t="n"/>
      <c r="AR243" s="5">
        <f>IF($AQ243="","",HYPERLINK(p_ruta_base_checklists&amp;$AQ243,"abrir"))</f>
        <v/>
      </c>
      <c r="AS243" s="4" t="n"/>
      <c r="AT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2" t="n"/>
      <c r="K244" s="5" t="n"/>
      <c r="L244" s="18" t="n"/>
      <c r="M244" s="5">
        <f>IF($A244="","",IFERROR(INDEX('AJUSTES'!$B$4:$B$303,MATCH($AT244,'AJUSTES'!$A$4:$A$303,0)),IF($K244="","",$K244)))</f>
        <v/>
      </c>
      <c r="N244" s="5">
        <f>IF($A244="","",IFERROR(INDEX('CAT_ESTADOS_ERP'!$B$4:$B$7,MATCH(IFERROR(INDEX('2_IMPORTAR_EJECUCION'!$C$9:$C$1208,MATCH($AT244,'2_IMPORTAR_EJECUCION'!$J$9:$J$1208,0)),""),'CAT_ESTADOS_ERP'!$A$4:$A$7,0)),"Pendiente"))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IF($J244="","",$P244&amp;"-"&amp;TEXT($Q244,"00"))</f>
        <v/>
      </c>
      <c r="S244" s="5">
        <f>IF($J244="","",INDEX(lista_dias,WEEKDAY($J244,2)))</f>
        <v/>
      </c>
      <c r="T244" s="5">
        <f>IF($J244="","",IFERROR(INDEX('CALENDARIO'!$C$15:$C$214,MATCH(TEXT($J244,"yyyy-mm-dd")&amp;"|"&amp;$X244&amp;"|"&amp;$Y244,'CALENDARIO'!$G$15:$G$214,0)),IFERROR(INDEX('CALENDARIO'!$C$15:$C$214,MATCH(TEXT($J244,"yyyy-mm-dd")&amp;"|"&amp;$X244&amp;"|",'CALENDARIO'!$G$15:$G$214,0)),IFERROR(INDEX('CALENDARIO'!$C$15:$C$214,MATCH(TEXT($J244,"yyyy-mm-dd")&amp;"||",'CALENDARIO'!$G$15:$G$214,0)),INDEX(patronHabil,WEEKDAY($J244,2))))))</f>
        <v/>
      </c>
      <c r="U244" s="5">
        <f>IF($I244="","",IFERROR(INDEX('CAT_TIPOS_OT'!$C$4:$C$8,MATCH($I244,'CAT_TIPOS_OT'!$A$4:$A$8,0)),"sin_clasificar"))</f>
        <v/>
      </c>
      <c r="V244" s="5">
        <f>IF($I244="","",IF(IFERROR(INDEX('CAT_TIPOS_OT'!$D$4:$D$8,MATCH($I244,'CAT_TIPOS_OT'!$A$4:$A$8,0)),"SIN CLASIFICAR")="","SIN CLASIFICAR",IFERROR(INDEX('CAT_TIPOS_OT'!$D$4:$D$8,MATCH($I244,'CAT_TIPOS_OT'!$A$4:$A$8,0)),"SIN CLASIFICAR")))</f>
        <v/>
      </c>
      <c r="W244" s="5">
        <f>IF($F244="","",IFERROR(INDEX('CAT_CENTROS_COSTO'!$F$4:$F$13,MATCH($F244,'CAT_CENTROS_COSTO'!$A$4:$A$13,0)),"(sin catálogo)"))</f>
        <v/>
      </c>
      <c r="X244" s="5">
        <f>IF($F244="","",IFERROR(INDEX('CAT_CENTROS_COSTO'!$D$4:$D$13,MATCH($F244,'CAT_CENTROS_COSTO'!$A$4:$A$13,0)),"(sin catálogo)"))</f>
        <v/>
      </c>
      <c r="Y244" s="5">
        <f>IF($F244="","",IF((IFERROR(INDEX('CAT_CENTROS_COSTO'!$E$4:$E$13,MATCH($F244,'CAT_CENTROS_COSTO'!$A$4:$A$13,0)),""))&lt;&gt;"",IFERROR(INDEX('CAT_CENTROS_COSTO'!$E$4:$E$13,MATCH($F244,'CAT_CENTROS_COSTO'!$A$4:$A$13,0)),""),$X244))</f>
        <v/>
      </c>
      <c r="Z244" s="5">
        <f>IF($F244="","",IFERROR(INDEX('CAT_CENTROS_COSTO'!$G$4:$G$13,MATCH($F244,'CAT_CENTROS_COSTO'!$A$4:$A$13,0)),"(sin catálogo)"))</f>
        <v/>
      </c>
      <c r="AA244" s="5">
        <f>IF($G244="","",IFERROR(INDEX('CAT_PUESTOS'!$B$4:$B$8,MATCH($G244,'CAT_PUESTOS'!$A$4:$A$8,0)),"(sin catálogo)"))</f>
        <v/>
      </c>
      <c r="AB244" s="5">
        <f>IF($H244="","",IFERROR(INDEX('CAT_ACTIVIDADES'!$B$4:$B$11,MATCH($H244,'CAT_ACTIVIDADES'!$A$4:$A$11,0)),"(sin catálogo)"))</f>
        <v/>
      </c>
      <c r="AC244" s="20">
        <f>IF($J244="","",TODAY()-$J244)</f>
        <v/>
      </c>
      <c r="AD244" s="20">
        <f>IF($J244="","",IF($J244&lt;=TODAY(),COUNTIFS(cal_fechas,"&gt;="&amp;$J244,cal_fechas,"&lt;"&amp;TODAY(),cal_habil,"sí"),-COUNTIFS(cal_fechas,"&gt;="&amp;TODAY(),cal_fechas,"&lt;"&amp;$J244,cal_habil,"sí")))</f>
        <v/>
      </c>
      <c r="AE244" s="5">
        <f>IF($AD244="","",IF($AD244&lt;0,"FUTURO",IF($AD244&gt;p_dias_backlog_max,"BACKLOG","MES CORRIENTE")))</f>
        <v/>
      </c>
      <c r="AF244" s="5">
        <f>IF($AD244="",FALSE,AND($AD244&gt;p_dias_backlog_min,$AD244&lt;=p_dias_backlog_max))</f>
        <v/>
      </c>
      <c r="AG244" s="4" t="n"/>
      <c r="AH244" s="5">
        <f>IF($AG244="","",IF((IFERROR(INDEX('ASIGNACIONES'!$J$4:$J$451,MATCH($O244&amp;"|"&amp;$S244&amp;"|"&amp;$AG244,'ASIGNACIONES'!$N$4:$N$451,0)),""))=0,"",IFERROR(INDEX('ASIGNACIONES'!$J$4:$J$451,MATCH($O244&amp;"|"&amp;$S244&amp;"|"&amp;$AG244,'ASIGNACIONES'!$N$4:$N$451,0)),"")))</f>
        <v/>
      </c>
      <c r="AI244" s="25">
        <f>IF($AG244="","",SUMIFS('ORDENES'!$M$4:$M$1203,'ORDENES'!$AG$4:$AG$1203,$AG244,'ORDENES'!$O$4:$O$1203,$O244,'ORDENES'!$S$4:$S$1203,$S244))</f>
        <v/>
      </c>
      <c r="AJ244" s="25">
        <f>IF($AI244="","",p_factor_productividad*IFERROR(INDEX('ASIGNACIONES'!$M$4:$M$451,MATCH($O244&amp;"|"&amp;$S244&amp;"|"&amp;$AG244,'ASIGNACIONES'!$N$4:$N$451,0)),0)-$AI244)</f>
        <v/>
      </c>
      <c r="AK244" s="18">
        <f>IF($A244="","",IFERROR(INDEX('2_IMPORTAR_EJECUCION'!$F$9:$F$1208,MATCH($AT244,'2_IMPORTAR_EJECUCION'!$J$9:$J$1208,0)),0))</f>
        <v/>
      </c>
      <c r="AL244" s="18">
        <f>IF($A244="","",MAX(0,IFERROR(INDEX('2_IMPORTAR_EJECUCION'!$H$9:$H$1208,MATCH($AT244,'2_IMPORTAR_EJECUCION'!$J$9:$J$1208,0)),0)-$AK244))</f>
        <v/>
      </c>
      <c r="AM244" s="18">
        <f>IF($A244="","",$AK244+$AL244)</f>
        <v/>
      </c>
      <c r="AN244" s="5">
        <f>IF($A244="","",IF(OR((IFERROR(INDEX('CAT_ACTIVIDADES'!$D$4:$D$11,MATCH($H244,'CAT_ACTIVIDADES'!$A$4:$A$11,0)),""))=0,(IFERROR(INDEX('CAT_ACTIVIDADES'!$D$4:$D$11,MATCH($H244,'CAT_ACTIVIDADES'!$A$4:$A$11,0)),""))=""),"SIN CLASIFICAR",IFERROR(INDEX('CAT_ACTIVIDADES'!$D$4:$D$11,MATCH($H244,'CAT_ACTIVIDADES'!$A$4:$A$11,0)),"")))</f>
        <v/>
      </c>
      <c r="AO244" s="4" t="n"/>
      <c r="AP244" s="4" t="n"/>
      <c r="AQ244" s="4" t="n"/>
      <c r="AR244" s="5">
        <f>IF($AQ244="","",HYPERLINK(p_ruta_base_checklists&amp;$AQ244,"abrir"))</f>
        <v/>
      </c>
      <c r="AS244" s="4" t="n"/>
      <c r="AT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2" t="n"/>
      <c r="K245" s="5" t="n"/>
      <c r="L245" s="18" t="n"/>
      <c r="M245" s="5">
        <f>IF($A245="","",IFERROR(INDEX('AJUSTES'!$B$4:$B$303,MATCH($AT245,'AJUSTES'!$A$4:$A$303,0)),IF($K245="","",$K245)))</f>
        <v/>
      </c>
      <c r="N245" s="5">
        <f>IF($A245="","",IFERROR(INDEX('CAT_ESTADOS_ERP'!$B$4:$B$7,MATCH(IFERROR(INDEX('2_IMPORTAR_EJECUCION'!$C$9:$C$1208,MATCH($AT245,'2_IMPORTAR_EJECUCION'!$J$9:$J$1208,0)),""),'CAT_ESTADOS_ERP'!$A$4:$A$7,0)),"Pendiente"))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IF($J245="","",$P245&amp;"-"&amp;TEXT($Q245,"00"))</f>
        <v/>
      </c>
      <c r="S245" s="5">
        <f>IF($J245="","",INDEX(lista_dias,WEEKDAY($J245,2)))</f>
        <v/>
      </c>
      <c r="T245" s="5">
        <f>IF($J245="","",IFERROR(INDEX('CALENDARIO'!$C$15:$C$214,MATCH(TEXT($J245,"yyyy-mm-dd")&amp;"|"&amp;$X245&amp;"|"&amp;$Y245,'CALENDARIO'!$G$15:$G$214,0)),IFERROR(INDEX('CALENDARIO'!$C$15:$C$214,MATCH(TEXT($J245,"yyyy-mm-dd")&amp;"|"&amp;$X245&amp;"|",'CALENDARIO'!$G$15:$G$214,0)),IFERROR(INDEX('CALENDARIO'!$C$15:$C$214,MATCH(TEXT($J245,"yyyy-mm-dd")&amp;"||",'CALENDARIO'!$G$15:$G$214,0)),INDEX(patronHabil,WEEKDAY($J245,2))))))</f>
        <v/>
      </c>
      <c r="U245" s="5">
        <f>IF($I245="","",IFERROR(INDEX('CAT_TIPOS_OT'!$C$4:$C$8,MATCH($I245,'CAT_TIPOS_OT'!$A$4:$A$8,0)),"sin_clasificar"))</f>
        <v/>
      </c>
      <c r="V245" s="5">
        <f>IF($I245="","",IF(IFERROR(INDEX('CAT_TIPOS_OT'!$D$4:$D$8,MATCH($I245,'CAT_TIPOS_OT'!$A$4:$A$8,0)),"SIN CLASIFICAR")="","SIN CLASIFICAR",IFERROR(INDEX('CAT_TIPOS_OT'!$D$4:$D$8,MATCH($I245,'CAT_TIPOS_OT'!$A$4:$A$8,0)),"SIN CLASIFICAR")))</f>
        <v/>
      </c>
      <c r="W245" s="5">
        <f>IF($F245="","",IFERROR(INDEX('CAT_CENTROS_COSTO'!$F$4:$F$13,MATCH($F245,'CAT_CENTROS_COSTO'!$A$4:$A$13,0)),"(sin catálogo)"))</f>
        <v/>
      </c>
      <c r="X245" s="5">
        <f>IF($F245="","",IFERROR(INDEX('CAT_CENTROS_COSTO'!$D$4:$D$13,MATCH($F245,'CAT_CENTROS_COSTO'!$A$4:$A$13,0)),"(sin catálogo)"))</f>
        <v/>
      </c>
      <c r="Y245" s="5">
        <f>IF($F245="","",IF((IFERROR(INDEX('CAT_CENTROS_COSTO'!$E$4:$E$13,MATCH($F245,'CAT_CENTROS_COSTO'!$A$4:$A$13,0)),""))&lt;&gt;"",IFERROR(INDEX('CAT_CENTROS_COSTO'!$E$4:$E$13,MATCH($F245,'CAT_CENTROS_COSTO'!$A$4:$A$13,0)),""),$X245))</f>
        <v/>
      </c>
      <c r="Z245" s="5">
        <f>IF($F245="","",IFERROR(INDEX('CAT_CENTROS_COSTO'!$G$4:$G$13,MATCH($F245,'CAT_CENTROS_COSTO'!$A$4:$A$13,0)),"(sin catálogo)"))</f>
        <v/>
      </c>
      <c r="AA245" s="5">
        <f>IF($G245="","",IFERROR(INDEX('CAT_PUESTOS'!$B$4:$B$8,MATCH($G245,'CAT_PUESTOS'!$A$4:$A$8,0)),"(sin catálogo)"))</f>
        <v/>
      </c>
      <c r="AB245" s="5">
        <f>IF($H245="","",IFERROR(INDEX('CAT_ACTIVIDADES'!$B$4:$B$11,MATCH($H245,'CAT_ACTIVIDADES'!$A$4:$A$11,0)),"(sin catálogo)"))</f>
        <v/>
      </c>
      <c r="AC245" s="20">
        <f>IF($J245="","",TODAY()-$J245)</f>
        <v/>
      </c>
      <c r="AD245" s="20">
        <f>IF($J245="","",IF($J245&lt;=TODAY(),COUNTIFS(cal_fechas,"&gt;="&amp;$J245,cal_fechas,"&lt;"&amp;TODAY(),cal_habil,"sí"),-COUNTIFS(cal_fechas,"&gt;="&amp;TODAY(),cal_fechas,"&lt;"&amp;$J245,cal_habil,"sí")))</f>
        <v/>
      </c>
      <c r="AE245" s="5">
        <f>IF($AD245="","",IF($AD245&lt;0,"FUTURO",IF($AD245&gt;p_dias_backlog_max,"BACKLOG","MES CORRIENTE")))</f>
        <v/>
      </c>
      <c r="AF245" s="5">
        <f>IF($AD245="",FALSE,AND($AD245&gt;p_dias_backlog_min,$AD245&lt;=p_dias_backlog_max))</f>
        <v/>
      </c>
      <c r="AG245" s="4" t="n"/>
      <c r="AH245" s="5">
        <f>IF($AG245="","",IF((IFERROR(INDEX('ASIGNACIONES'!$J$4:$J$451,MATCH($O245&amp;"|"&amp;$S245&amp;"|"&amp;$AG245,'ASIGNACIONES'!$N$4:$N$451,0)),""))=0,"",IFERROR(INDEX('ASIGNACIONES'!$J$4:$J$451,MATCH($O245&amp;"|"&amp;$S245&amp;"|"&amp;$AG245,'ASIGNACIONES'!$N$4:$N$451,0)),"")))</f>
        <v/>
      </c>
      <c r="AI245" s="25">
        <f>IF($AG245="","",SUMIFS('ORDENES'!$M$4:$M$1203,'ORDENES'!$AG$4:$AG$1203,$AG245,'ORDENES'!$O$4:$O$1203,$O245,'ORDENES'!$S$4:$S$1203,$S245))</f>
        <v/>
      </c>
      <c r="AJ245" s="25">
        <f>IF($AI245="","",p_factor_productividad*IFERROR(INDEX('ASIGNACIONES'!$M$4:$M$451,MATCH($O245&amp;"|"&amp;$S245&amp;"|"&amp;$AG245,'ASIGNACIONES'!$N$4:$N$451,0)),0)-$AI245)</f>
        <v/>
      </c>
      <c r="AK245" s="18">
        <f>IF($A245="","",IFERROR(INDEX('2_IMPORTAR_EJECUCION'!$F$9:$F$1208,MATCH($AT245,'2_IMPORTAR_EJECUCION'!$J$9:$J$1208,0)),0))</f>
        <v/>
      </c>
      <c r="AL245" s="18">
        <f>IF($A245="","",MAX(0,IFERROR(INDEX('2_IMPORTAR_EJECUCION'!$H$9:$H$1208,MATCH($AT245,'2_IMPORTAR_EJECUCION'!$J$9:$J$1208,0)),0)-$AK245))</f>
        <v/>
      </c>
      <c r="AM245" s="18">
        <f>IF($A245="","",$AK245+$AL245)</f>
        <v/>
      </c>
      <c r="AN245" s="5">
        <f>IF($A245="","",IF(OR((IFERROR(INDEX('CAT_ACTIVIDADES'!$D$4:$D$11,MATCH($H245,'CAT_ACTIVIDADES'!$A$4:$A$11,0)),""))=0,(IFERROR(INDEX('CAT_ACTIVIDADES'!$D$4:$D$11,MATCH($H245,'CAT_ACTIVIDADES'!$A$4:$A$11,0)),""))=""),"SIN CLASIFICAR",IFERROR(INDEX('CAT_ACTIVIDADES'!$D$4:$D$11,MATCH($H245,'CAT_ACTIVIDADES'!$A$4:$A$11,0)),"")))</f>
        <v/>
      </c>
      <c r="AO245" s="4" t="n"/>
      <c r="AP245" s="4" t="n"/>
      <c r="AQ245" s="4" t="n"/>
      <c r="AR245" s="5">
        <f>IF($AQ245="","",HYPERLINK(p_ruta_base_checklists&amp;$AQ245,"abrir"))</f>
        <v/>
      </c>
      <c r="AS245" s="4" t="n"/>
      <c r="AT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2" t="n"/>
      <c r="K246" s="5" t="n"/>
      <c r="L246" s="18" t="n"/>
      <c r="M246" s="5">
        <f>IF($A246="","",IFERROR(INDEX('AJUSTES'!$B$4:$B$303,MATCH($AT246,'AJUSTES'!$A$4:$A$303,0)),IF($K246="","",$K246)))</f>
        <v/>
      </c>
      <c r="N246" s="5">
        <f>IF($A246="","",IFERROR(INDEX('CAT_ESTADOS_ERP'!$B$4:$B$7,MATCH(IFERROR(INDEX('2_IMPORTAR_EJECUCION'!$C$9:$C$1208,MATCH($AT246,'2_IMPORTAR_EJECUCION'!$J$9:$J$1208,0)),""),'CAT_ESTADOS_ERP'!$A$4:$A$7,0)),"Pendiente"))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IF($J246="","",$P246&amp;"-"&amp;TEXT($Q246,"00"))</f>
        <v/>
      </c>
      <c r="S246" s="5">
        <f>IF($J246="","",INDEX(lista_dias,WEEKDAY($J246,2)))</f>
        <v/>
      </c>
      <c r="T246" s="5">
        <f>IF($J246="","",IFERROR(INDEX('CALENDARIO'!$C$15:$C$214,MATCH(TEXT($J246,"yyyy-mm-dd")&amp;"|"&amp;$X246&amp;"|"&amp;$Y246,'CALENDARIO'!$G$15:$G$214,0)),IFERROR(INDEX('CALENDARIO'!$C$15:$C$214,MATCH(TEXT($J246,"yyyy-mm-dd")&amp;"|"&amp;$X246&amp;"|",'CALENDARIO'!$G$15:$G$214,0)),IFERROR(INDEX('CALENDARIO'!$C$15:$C$214,MATCH(TEXT($J246,"yyyy-mm-dd")&amp;"||",'CALENDARIO'!$G$15:$G$214,0)),INDEX(patronHabil,WEEKDAY($J246,2))))))</f>
        <v/>
      </c>
      <c r="U246" s="5">
        <f>IF($I246="","",IFERROR(INDEX('CAT_TIPOS_OT'!$C$4:$C$8,MATCH($I246,'CAT_TIPOS_OT'!$A$4:$A$8,0)),"sin_clasificar"))</f>
        <v/>
      </c>
      <c r="V246" s="5">
        <f>IF($I246="","",IF(IFERROR(INDEX('CAT_TIPOS_OT'!$D$4:$D$8,MATCH($I246,'CAT_TIPOS_OT'!$A$4:$A$8,0)),"SIN CLASIFICAR")="","SIN CLASIFICAR",IFERROR(INDEX('CAT_TIPOS_OT'!$D$4:$D$8,MATCH($I246,'CAT_TIPOS_OT'!$A$4:$A$8,0)),"SIN CLASIFICAR")))</f>
        <v/>
      </c>
      <c r="W246" s="5">
        <f>IF($F246="","",IFERROR(INDEX('CAT_CENTROS_COSTO'!$F$4:$F$13,MATCH($F246,'CAT_CENTROS_COSTO'!$A$4:$A$13,0)),"(sin catálogo)"))</f>
        <v/>
      </c>
      <c r="X246" s="5">
        <f>IF($F246="","",IFERROR(INDEX('CAT_CENTROS_COSTO'!$D$4:$D$13,MATCH($F246,'CAT_CENTROS_COSTO'!$A$4:$A$13,0)),"(sin catálogo)"))</f>
        <v/>
      </c>
      <c r="Y246" s="5">
        <f>IF($F246="","",IF((IFERROR(INDEX('CAT_CENTROS_COSTO'!$E$4:$E$13,MATCH($F246,'CAT_CENTROS_COSTO'!$A$4:$A$13,0)),""))&lt;&gt;"",IFERROR(INDEX('CAT_CENTROS_COSTO'!$E$4:$E$13,MATCH($F246,'CAT_CENTROS_COSTO'!$A$4:$A$13,0)),""),$X246))</f>
        <v/>
      </c>
      <c r="Z246" s="5">
        <f>IF($F246="","",IFERROR(INDEX('CAT_CENTROS_COSTO'!$G$4:$G$13,MATCH($F246,'CAT_CENTROS_COSTO'!$A$4:$A$13,0)),"(sin catálogo)"))</f>
        <v/>
      </c>
      <c r="AA246" s="5">
        <f>IF($G246="","",IFERROR(INDEX('CAT_PUESTOS'!$B$4:$B$8,MATCH($G246,'CAT_PUESTOS'!$A$4:$A$8,0)),"(sin catálogo)"))</f>
        <v/>
      </c>
      <c r="AB246" s="5">
        <f>IF($H246="","",IFERROR(INDEX('CAT_ACTIVIDADES'!$B$4:$B$11,MATCH($H246,'CAT_ACTIVIDADES'!$A$4:$A$11,0)),"(sin catálogo)"))</f>
        <v/>
      </c>
      <c r="AC246" s="20">
        <f>IF($J246="","",TODAY()-$J246)</f>
        <v/>
      </c>
      <c r="AD246" s="20">
        <f>IF($J246="","",IF($J246&lt;=TODAY(),COUNTIFS(cal_fechas,"&gt;="&amp;$J246,cal_fechas,"&lt;"&amp;TODAY(),cal_habil,"sí"),-COUNTIFS(cal_fechas,"&gt;="&amp;TODAY(),cal_fechas,"&lt;"&amp;$J246,cal_habil,"sí")))</f>
        <v/>
      </c>
      <c r="AE246" s="5">
        <f>IF($AD246="","",IF($AD246&lt;0,"FUTURO",IF($AD246&gt;p_dias_backlog_max,"BACKLOG","MES CORRIENTE")))</f>
        <v/>
      </c>
      <c r="AF246" s="5">
        <f>IF($AD246="",FALSE,AND($AD246&gt;p_dias_backlog_min,$AD246&lt;=p_dias_backlog_max))</f>
        <v/>
      </c>
      <c r="AG246" s="4" t="n"/>
      <c r="AH246" s="5">
        <f>IF($AG246="","",IF((IFERROR(INDEX('ASIGNACIONES'!$J$4:$J$451,MATCH($O246&amp;"|"&amp;$S246&amp;"|"&amp;$AG246,'ASIGNACIONES'!$N$4:$N$451,0)),""))=0,"",IFERROR(INDEX('ASIGNACIONES'!$J$4:$J$451,MATCH($O246&amp;"|"&amp;$S246&amp;"|"&amp;$AG246,'ASIGNACIONES'!$N$4:$N$451,0)),"")))</f>
        <v/>
      </c>
      <c r="AI246" s="25">
        <f>IF($AG246="","",SUMIFS('ORDENES'!$M$4:$M$1203,'ORDENES'!$AG$4:$AG$1203,$AG246,'ORDENES'!$O$4:$O$1203,$O246,'ORDENES'!$S$4:$S$1203,$S246))</f>
        <v/>
      </c>
      <c r="AJ246" s="25">
        <f>IF($AI246="","",p_factor_productividad*IFERROR(INDEX('ASIGNACIONES'!$M$4:$M$451,MATCH($O246&amp;"|"&amp;$S246&amp;"|"&amp;$AG246,'ASIGNACIONES'!$N$4:$N$451,0)),0)-$AI246)</f>
        <v/>
      </c>
      <c r="AK246" s="18">
        <f>IF($A246="","",IFERROR(INDEX('2_IMPORTAR_EJECUCION'!$F$9:$F$1208,MATCH($AT246,'2_IMPORTAR_EJECUCION'!$J$9:$J$1208,0)),0))</f>
        <v/>
      </c>
      <c r="AL246" s="18">
        <f>IF($A246="","",MAX(0,IFERROR(INDEX('2_IMPORTAR_EJECUCION'!$H$9:$H$1208,MATCH($AT246,'2_IMPORTAR_EJECUCION'!$J$9:$J$1208,0)),0)-$AK246))</f>
        <v/>
      </c>
      <c r="AM246" s="18">
        <f>IF($A246="","",$AK246+$AL246)</f>
        <v/>
      </c>
      <c r="AN246" s="5">
        <f>IF($A246="","",IF(OR((IFERROR(INDEX('CAT_ACTIVIDADES'!$D$4:$D$11,MATCH($H246,'CAT_ACTIVIDADES'!$A$4:$A$11,0)),""))=0,(IFERROR(INDEX('CAT_ACTIVIDADES'!$D$4:$D$11,MATCH($H246,'CAT_ACTIVIDADES'!$A$4:$A$11,0)),""))=""),"SIN CLASIFICAR",IFERROR(INDEX('CAT_ACTIVIDADES'!$D$4:$D$11,MATCH($H246,'CAT_ACTIVIDADES'!$A$4:$A$11,0)),"")))</f>
        <v/>
      </c>
      <c r="AO246" s="4" t="n"/>
      <c r="AP246" s="4" t="n"/>
      <c r="AQ246" s="4" t="n"/>
      <c r="AR246" s="5">
        <f>IF($AQ246="","",HYPERLINK(p_ruta_base_checklists&amp;$AQ246,"abrir"))</f>
        <v/>
      </c>
      <c r="AS246" s="4" t="n"/>
      <c r="AT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2" t="n"/>
      <c r="K247" s="5" t="n"/>
      <c r="L247" s="18" t="n"/>
      <c r="M247" s="5">
        <f>IF($A247="","",IFERROR(INDEX('AJUSTES'!$B$4:$B$303,MATCH($AT247,'AJUSTES'!$A$4:$A$303,0)),IF($K247="","",$K247)))</f>
        <v/>
      </c>
      <c r="N247" s="5">
        <f>IF($A247="","",IFERROR(INDEX('CAT_ESTADOS_ERP'!$B$4:$B$7,MATCH(IFERROR(INDEX('2_IMPORTAR_EJECUCION'!$C$9:$C$1208,MATCH($AT247,'2_IMPORTAR_EJECUCION'!$J$9:$J$1208,0)),""),'CAT_ESTADOS_ERP'!$A$4:$A$7,0)),"Pendiente"))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IF($J247="","",$P247&amp;"-"&amp;TEXT($Q247,"00"))</f>
        <v/>
      </c>
      <c r="S247" s="5">
        <f>IF($J247="","",INDEX(lista_dias,WEEKDAY($J247,2)))</f>
        <v/>
      </c>
      <c r="T247" s="5">
        <f>IF($J247="","",IFERROR(INDEX('CALENDARIO'!$C$15:$C$214,MATCH(TEXT($J247,"yyyy-mm-dd")&amp;"|"&amp;$X247&amp;"|"&amp;$Y247,'CALENDARIO'!$G$15:$G$214,0)),IFERROR(INDEX('CALENDARIO'!$C$15:$C$214,MATCH(TEXT($J247,"yyyy-mm-dd")&amp;"|"&amp;$X247&amp;"|",'CALENDARIO'!$G$15:$G$214,0)),IFERROR(INDEX('CALENDARIO'!$C$15:$C$214,MATCH(TEXT($J247,"yyyy-mm-dd")&amp;"||",'CALENDARIO'!$G$15:$G$214,0)),INDEX(patronHabil,WEEKDAY($J247,2))))))</f>
        <v/>
      </c>
      <c r="U247" s="5">
        <f>IF($I247="","",IFERROR(INDEX('CAT_TIPOS_OT'!$C$4:$C$8,MATCH($I247,'CAT_TIPOS_OT'!$A$4:$A$8,0)),"sin_clasificar"))</f>
        <v/>
      </c>
      <c r="V247" s="5">
        <f>IF($I247="","",IF(IFERROR(INDEX('CAT_TIPOS_OT'!$D$4:$D$8,MATCH($I247,'CAT_TIPOS_OT'!$A$4:$A$8,0)),"SIN CLASIFICAR")="","SIN CLASIFICAR",IFERROR(INDEX('CAT_TIPOS_OT'!$D$4:$D$8,MATCH($I247,'CAT_TIPOS_OT'!$A$4:$A$8,0)),"SIN CLASIFICAR")))</f>
        <v/>
      </c>
      <c r="W247" s="5">
        <f>IF($F247="","",IFERROR(INDEX('CAT_CENTROS_COSTO'!$F$4:$F$13,MATCH($F247,'CAT_CENTROS_COSTO'!$A$4:$A$13,0)),"(sin catálogo)"))</f>
        <v/>
      </c>
      <c r="X247" s="5">
        <f>IF($F247="","",IFERROR(INDEX('CAT_CENTROS_COSTO'!$D$4:$D$13,MATCH($F247,'CAT_CENTROS_COSTO'!$A$4:$A$13,0)),"(sin catálogo)"))</f>
        <v/>
      </c>
      <c r="Y247" s="5">
        <f>IF($F247="","",IF((IFERROR(INDEX('CAT_CENTROS_COSTO'!$E$4:$E$13,MATCH($F247,'CAT_CENTROS_COSTO'!$A$4:$A$13,0)),""))&lt;&gt;"",IFERROR(INDEX('CAT_CENTROS_COSTO'!$E$4:$E$13,MATCH($F247,'CAT_CENTROS_COSTO'!$A$4:$A$13,0)),""),$X247))</f>
        <v/>
      </c>
      <c r="Z247" s="5">
        <f>IF($F247="","",IFERROR(INDEX('CAT_CENTROS_COSTO'!$G$4:$G$13,MATCH($F247,'CAT_CENTROS_COSTO'!$A$4:$A$13,0)),"(sin catálogo)"))</f>
        <v/>
      </c>
      <c r="AA247" s="5">
        <f>IF($G247="","",IFERROR(INDEX('CAT_PUESTOS'!$B$4:$B$8,MATCH($G247,'CAT_PUESTOS'!$A$4:$A$8,0)),"(sin catálogo)"))</f>
        <v/>
      </c>
      <c r="AB247" s="5">
        <f>IF($H247="","",IFERROR(INDEX('CAT_ACTIVIDADES'!$B$4:$B$11,MATCH($H247,'CAT_ACTIVIDADES'!$A$4:$A$11,0)),"(sin catálogo)"))</f>
        <v/>
      </c>
      <c r="AC247" s="20">
        <f>IF($J247="","",TODAY()-$J247)</f>
        <v/>
      </c>
      <c r="AD247" s="20">
        <f>IF($J247="","",IF($J247&lt;=TODAY(),COUNTIFS(cal_fechas,"&gt;="&amp;$J247,cal_fechas,"&lt;"&amp;TODAY(),cal_habil,"sí"),-COUNTIFS(cal_fechas,"&gt;="&amp;TODAY(),cal_fechas,"&lt;"&amp;$J247,cal_habil,"sí")))</f>
        <v/>
      </c>
      <c r="AE247" s="5">
        <f>IF($AD247="","",IF($AD247&lt;0,"FUTURO",IF($AD247&gt;p_dias_backlog_max,"BACKLOG","MES CORRIENTE")))</f>
        <v/>
      </c>
      <c r="AF247" s="5">
        <f>IF($AD247="",FALSE,AND($AD247&gt;p_dias_backlog_min,$AD247&lt;=p_dias_backlog_max))</f>
        <v/>
      </c>
      <c r="AG247" s="4" t="n"/>
      <c r="AH247" s="5">
        <f>IF($AG247="","",IF((IFERROR(INDEX('ASIGNACIONES'!$J$4:$J$451,MATCH($O247&amp;"|"&amp;$S247&amp;"|"&amp;$AG247,'ASIGNACIONES'!$N$4:$N$451,0)),""))=0,"",IFERROR(INDEX('ASIGNACIONES'!$J$4:$J$451,MATCH($O247&amp;"|"&amp;$S247&amp;"|"&amp;$AG247,'ASIGNACIONES'!$N$4:$N$451,0)),"")))</f>
        <v/>
      </c>
      <c r="AI247" s="25">
        <f>IF($AG247="","",SUMIFS('ORDENES'!$M$4:$M$1203,'ORDENES'!$AG$4:$AG$1203,$AG247,'ORDENES'!$O$4:$O$1203,$O247,'ORDENES'!$S$4:$S$1203,$S247))</f>
        <v/>
      </c>
      <c r="AJ247" s="25">
        <f>IF($AI247="","",p_factor_productividad*IFERROR(INDEX('ASIGNACIONES'!$M$4:$M$451,MATCH($O247&amp;"|"&amp;$S247&amp;"|"&amp;$AG247,'ASIGNACIONES'!$N$4:$N$451,0)),0)-$AI247)</f>
        <v/>
      </c>
      <c r="AK247" s="18">
        <f>IF($A247="","",IFERROR(INDEX('2_IMPORTAR_EJECUCION'!$F$9:$F$1208,MATCH($AT247,'2_IMPORTAR_EJECUCION'!$J$9:$J$1208,0)),0))</f>
        <v/>
      </c>
      <c r="AL247" s="18">
        <f>IF($A247="","",MAX(0,IFERROR(INDEX('2_IMPORTAR_EJECUCION'!$H$9:$H$1208,MATCH($AT247,'2_IMPORTAR_EJECUCION'!$J$9:$J$1208,0)),0)-$AK247))</f>
        <v/>
      </c>
      <c r="AM247" s="18">
        <f>IF($A247="","",$AK247+$AL247)</f>
        <v/>
      </c>
      <c r="AN247" s="5">
        <f>IF($A247="","",IF(OR((IFERROR(INDEX('CAT_ACTIVIDADES'!$D$4:$D$11,MATCH($H247,'CAT_ACTIVIDADES'!$A$4:$A$11,0)),""))=0,(IFERROR(INDEX('CAT_ACTIVIDADES'!$D$4:$D$11,MATCH($H247,'CAT_ACTIVIDADES'!$A$4:$A$11,0)),""))=""),"SIN CLASIFICAR",IFERROR(INDEX('CAT_ACTIVIDADES'!$D$4:$D$11,MATCH($H247,'CAT_ACTIVIDADES'!$A$4:$A$11,0)),"")))</f>
        <v/>
      </c>
      <c r="AO247" s="4" t="n"/>
      <c r="AP247" s="4" t="n"/>
      <c r="AQ247" s="4" t="n"/>
      <c r="AR247" s="5">
        <f>IF($AQ247="","",HYPERLINK(p_ruta_base_checklists&amp;$AQ247,"abrir"))</f>
        <v/>
      </c>
      <c r="AS247" s="4" t="n"/>
      <c r="AT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2" t="n"/>
      <c r="K248" s="5" t="n"/>
      <c r="L248" s="18" t="n"/>
      <c r="M248" s="5">
        <f>IF($A248="","",IFERROR(INDEX('AJUSTES'!$B$4:$B$303,MATCH($AT248,'AJUSTES'!$A$4:$A$303,0)),IF($K248="","",$K248)))</f>
        <v/>
      </c>
      <c r="N248" s="5">
        <f>IF($A248="","",IFERROR(INDEX('CAT_ESTADOS_ERP'!$B$4:$B$7,MATCH(IFERROR(INDEX('2_IMPORTAR_EJECUCION'!$C$9:$C$1208,MATCH($AT248,'2_IMPORTAR_EJECUCION'!$J$9:$J$1208,0)),""),'CAT_ESTADOS_ERP'!$A$4:$A$7,0)),"Pendiente"))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IF($J248="","",$P248&amp;"-"&amp;TEXT($Q248,"00"))</f>
        <v/>
      </c>
      <c r="S248" s="5">
        <f>IF($J248="","",INDEX(lista_dias,WEEKDAY($J248,2)))</f>
        <v/>
      </c>
      <c r="T248" s="5">
        <f>IF($J248="","",IFERROR(INDEX('CALENDARIO'!$C$15:$C$214,MATCH(TEXT($J248,"yyyy-mm-dd")&amp;"|"&amp;$X248&amp;"|"&amp;$Y248,'CALENDARIO'!$G$15:$G$214,0)),IFERROR(INDEX('CALENDARIO'!$C$15:$C$214,MATCH(TEXT($J248,"yyyy-mm-dd")&amp;"|"&amp;$X248&amp;"|",'CALENDARIO'!$G$15:$G$214,0)),IFERROR(INDEX('CALENDARIO'!$C$15:$C$214,MATCH(TEXT($J248,"yyyy-mm-dd")&amp;"||",'CALENDARIO'!$G$15:$G$214,0)),INDEX(patronHabil,WEEKDAY($J248,2))))))</f>
        <v/>
      </c>
      <c r="U248" s="5">
        <f>IF($I248="","",IFERROR(INDEX('CAT_TIPOS_OT'!$C$4:$C$8,MATCH($I248,'CAT_TIPOS_OT'!$A$4:$A$8,0)),"sin_clasificar"))</f>
        <v/>
      </c>
      <c r="V248" s="5">
        <f>IF($I248="","",IF(IFERROR(INDEX('CAT_TIPOS_OT'!$D$4:$D$8,MATCH($I248,'CAT_TIPOS_OT'!$A$4:$A$8,0)),"SIN CLASIFICAR")="","SIN CLASIFICAR",IFERROR(INDEX('CAT_TIPOS_OT'!$D$4:$D$8,MATCH($I248,'CAT_TIPOS_OT'!$A$4:$A$8,0)),"SIN CLASIFICAR")))</f>
        <v/>
      </c>
      <c r="W248" s="5">
        <f>IF($F248="","",IFERROR(INDEX('CAT_CENTROS_COSTO'!$F$4:$F$13,MATCH($F248,'CAT_CENTROS_COSTO'!$A$4:$A$13,0)),"(sin catálogo)"))</f>
        <v/>
      </c>
      <c r="X248" s="5">
        <f>IF($F248="","",IFERROR(INDEX('CAT_CENTROS_COSTO'!$D$4:$D$13,MATCH($F248,'CAT_CENTROS_COSTO'!$A$4:$A$13,0)),"(sin catálogo)"))</f>
        <v/>
      </c>
      <c r="Y248" s="5">
        <f>IF($F248="","",IF((IFERROR(INDEX('CAT_CENTROS_COSTO'!$E$4:$E$13,MATCH($F248,'CAT_CENTROS_COSTO'!$A$4:$A$13,0)),""))&lt;&gt;"",IFERROR(INDEX('CAT_CENTROS_COSTO'!$E$4:$E$13,MATCH($F248,'CAT_CENTROS_COSTO'!$A$4:$A$13,0)),""),$X248))</f>
        <v/>
      </c>
      <c r="Z248" s="5">
        <f>IF($F248="","",IFERROR(INDEX('CAT_CENTROS_COSTO'!$G$4:$G$13,MATCH($F248,'CAT_CENTROS_COSTO'!$A$4:$A$13,0)),"(sin catálogo)"))</f>
        <v/>
      </c>
      <c r="AA248" s="5">
        <f>IF($G248="","",IFERROR(INDEX('CAT_PUESTOS'!$B$4:$B$8,MATCH($G248,'CAT_PUESTOS'!$A$4:$A$8,0)),"(sin catálogo)"))</f>
        <v/>
      </c>
      <c r="AB248" s="5">
        <f>IF($H248="","",IFERROR(INDEX('CAT_ACTIVIDADES'!$B$4:$B$11,MATCH($H248,'CAT_ACTIVIDADES'!$A$4:$A$11,0)),"(sin catálogo)"))</f>
        <v/>
      </c>
      <c r="AC248" s="20">
        <f>IF($J248="","",TODAY()-$J248)</f>
        <v/>
      </c>
      <c r="AD248" s="20">
        <f>IF($J248="","",IF($J248&lt;=TODAY(),COUNTIFS(cal_fechas,"&gt;="&amp;$J248,cal_fechas,"&lt;"&amp;TODAY(),cal_habil,"sí"),-COUNTIFS(cal_fechas,"&gt;="&amp;TODAY(),cal_fechas,"&lt;"&amp;$J248,cal_habil,"sí")))</f>
        <v/>
      </c>
      <c r="AE248" s="5">
        <f>IF($AD248="","",IF($AD248&lt;0,"FUTURO",IF($AD248&gt;p_dias_backlog_max,"BACKLOG","MES CORRIENTE")))</f>
        <v/>
      </c>
      <c r="AF248" s="5">
        <f>IF($AD248="",FALSE,AND($AD248&gt;p_dias_backlog_min,$AD248&lt;=p_dias_backlog_max))</f>
        <v/>
      </c>
      <c r="AG248" s="4" t="n"/>
      <c r="AH248" s="5">
        <f>IF($AG248="","",IF((IFERROR(INDEX('ASIGNACIONES'!$J$4:$J$451,MATCH($O248&amp;"|"&amp;$S248&amp;"|"&amp;$AG248,'ASIGNACIONES'!$N$4:$N$451,0)),""))=0,"",IFERROR(INDEX('ASIGNACIONES'!$J$4:$J$451,MATCH($O248&amp;"|"&amp;$S248&amp;"|"&amp;$AG248,'ASIGNACIONES'!$N$4:$N$451,0)),"")))</f>
        <v/>
      </c>
      <c r="AI248" s="25">
        <f>IF($AG248="","",SUMIFS('ORDENES'!$M$4:$M$1203,'ORDENES'!$AG$4:$AG$1203,$AG248,'ORDENES'!$O$4:$O$1203,$O248,'ORDENES'!$S$4:$S$1203,$S248))</f>
        <v/>
      </c>
      <c r="AJ248" s="25">
        <f>IF($AI248="","",p_factor_productividad*IFERROR(INDEX('ASIGNACIONES'!$M$4:$M$451,MATCH($O248&amp;"|"&amp;$S248&amp;"|"&amp;$AG248,'ASIGNACIONES'!$N$4:$N$451,0)),0)-$AI248)</f>
        <v/>
      </c>
      <c r="AK248" s="18">
        <f>IF($A248="","",IFERROR(INDEX('2_IMPORTAR_EJECUCION'!$F$9:$F$1208,MATCH($AT248,'2_IMPORTAR_EJECUCION'!$J$9:$J$1208,0)),0))</f>
        <v/>
      </c>
      <c r="AL248" s="18">
        <f>IF($A248="","",MAX(0,IFERROR(INDEX('2_IMPORTAR_EJECUCION'!$H$9:$H$1208,MATCH($AT248,'2_IMPORTAR_EJECUCION'!$J$9:$J$1208,0)),0)-$AK248))</f>
        <v/>
      </c>
      <c r="AM248" s="18">
        <f>IF($A248="","",$AK248+$AL248)</f>
        <v/>
      </c>
      <c r="AN248" s="5">
        <f>IF($A248="","",IF(OR((IFERROR(INDEX('CAT_ACTIVIDADES'!$D$4:$D$11,MATCH($H248,'CAT_ACTIVIDADES'!$A$4:$A$11,0)),""))=0,(IFERROR(INDEX('CAT_ACTIVIDADES'!$D$4:$D$11,MATCH($H248,'CAT_ACTIVIDADES'!$A$4:$A$11,0)),""))=""),"SIN CLASIFICAR",IFERROR(INDEX('CAT_ACTIVIDADES'!$D$4:$D$11,MATCH($H248,'CAT_ACTIVIDADES'!$A$4:$A$11,0)),"")))</f>
        <v/>
      </c>
      <c r="AO248" s="4" t="n"/>
      <c r="AP248" s="4" t="n"/>
      <c r="AQ248" s="4" t="n"/>
      <c r="AR248" s="5">
        <f>IF($AQ248="","",HYPERLINK(p_ruta_base_checklists&amp;$AQ248,"abrir"))</f>
        <v/>
      </c>
      <c r="AS248" s="4" t="n"/>
      <c r="AT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2" t="n"/>
      <c r="K249" s="5" t="n"/>
      <c r="L249" s="18" t="n"/>
      <c r="M249" s="5">
        <f>IF($A249="","",IFERROR(INDEX('AJUSTES'!$B$4:$B$303,MATCH($AT249,'AJUSTES'!$A$4:$A$303,0)),IF($K249="","",$K249)))</f>
        <v/>
      </c>
      <c r="N249" s="5">
        <f>IF($A249="","",IFERROR(INDEX('CAT_ESTADOS_ERP'!$B$4:$B$7,MATCH(IFERROR(INDEX('2_IMPORTAR_EJECUCION'!$C$9:$C$1208,MATCH($AT249,'2_IMPORTAR_EJECUCION'!$J$9:$J$1208,0)),""),'CAT_ESTADOS_ERP'!$A$4:$A$7,0)),"Pendiente"))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IF($J249="","",$P249&amp;"-"&amp;TEXT($Q249,"00"))</f>
        <v/>
      </c>
      <c r="S249" s="5">
        <f>IF($J249="","",INDEX(lista_dias,WEEKDAY($J249,2)))</f>
        <v/>
      </c>
      <c r="T249" s="5">
        <f>IF($J249="","",IFERROR(INDEX('CALENDARIO'!$C$15:$C$214,MATCH(TEXT($J249,"yyyy-mm-dd")&amp;"|"&amp;$X249&amp;"|"&amp;$Y249,'CALENDARIO'!$G$15:$G$214,0)),IFERROR(INDEX('CALENDARIO'!$C$15:$C$214,MATCH(TEXT($J249,"yyyy-mm-dd")&amp;"|"&amp;$X249&amp;"|",'CALENDARIO'!$G$15:$G$214,0)),IFERROR(INDEX('CALENDARIO'!$C$15:$C$214,MATCH(TEXT($J249,"yyyy-mm-dd")&amp;"||",'CALENDARIO'!$G$15:$G$214,0)),INDEX(patronHabil,WEEKDAY($J249,2))))))</f>
        <v/>
      </c>
      <c r="U249" s="5">
        <f>IF($I249="","",IFERROR(INDEX('CAT_TIPOS_OT'!$C$4:$C$8,MATCH($I249,'CAT_TIPOS_OT'!$A$4:$A$8,0)),"sin_clasificar"))</f>
        <v/>
      </c>
      <c r="V249" s="5">
        <f>IF($I249="","",IF(IFERROR(INDEX('CAT_TIPOS_OT'!$D$4:$D$8,MATCH($I249,'CAT_TIPOS_OT'!$A$4:$A$8,0)),"SIN CLASIFICAR")="","SIN CLASIFICAR",IFERROR(INDEX('CAT_TIPOS_OT'!$D$4:$D$8,MATCH($I249,'CAT_TIPOS_OT'!$A$4:$A$8,0)),"SIN CLASIFICAR")))</f>
        <v/>
      </c>
      <c r="W249" s="5">
        <f>IF($F249="","",IFERROR(INDEX('CAT_CENTROS_COSTO'!$F$4:$F$13,MATCH($F249,'CAT_CENTROS_COSTO'!$A$4:$A$13,0)),"(sin catálogo)"))</f>
        <v/>
      </c>
      <c r="X249" s="5">
        <f>IF($F249="","",IFERROR(INDEX('CAT_CENTROS_COSTO'!$D$4:$D$13,MATCH($F249,'CAT_CENTROS_COSTO'!$A$4:$A$13,0)),"(sin catálogo)"))</f>
        <v/>
      </c>
      <c r="Y249" s="5">
        <f>IF($F249="","",IF((IFERROR(INDEX('CAT_CENTROS_COSTO'!$E$4:$E$13,MATCH($F249,'CAT_CENTROS_COSTO'!$A$4:$A$13,0)),""))&lt;&gt;"",IFERROR(INDEX('CAT_CENTROS_COSTO'!$E$4:$E$13,MATCH($F249,'CAT_CENTROS_COSTO'!$A$4:$A$13,0)),""),$X249))</f>
        <v/>
      </c>
      <c r="Z249" s="5">
        <f>IF($F249="","",IFERROR(INDEX('CAT_CENTROS_COSTO'!$G$4:$G$13,MATCH($F249,'CAT_CENTROS_COSTO'!$A$4:$A$13,0)),"(sin catálogo)"))</f>
        <v/>
      </c>
      <c r="AA249" s="5">
        <f>IF($G249="","",IFERROR(INDEX('CAT_PUESTOS'!$B$4:$B$8,MATCH($G249,'CAT_PUESTOS'!$A$4:$A$8,0)),"(sin catálogo)"))</f>
        <v/>
      </c>
      <c r="AB249" s="5">
        <f>IF($H249="","",IFERROR(INDEX('CAT_ACTIVIDADES'!$B$4:$B$11,MATCH($H249,'CAT_ACTIVIDADES'!$A$4:$A$11,0)),"(sin catálogo)"))</f>
        <v/>
      </c>
      <c r="AC249" s="20">
        <f>IF($J249="","",TODAY()-$J249)</f>
        <v/>
      </c>
      <c r="AD249" s="20">
        <f>IF($J249="","",IF($J249&lt;=TODAY(),COUNTIFS(cal_fechas,"&gt;="&amp;$J249,cal_fechas,"&lt;"&amp;TODAY(),cal_habil,"sí"),-COUNTIFS(cal_fechas,"&gt;="&amp;TODAY(),cal_fechas,"&lt;"&amp;$J249,cal_habil,"sí")))</f>
        <v/>
      </c>
      <c r="AE249" s="5">
        <f>IF($AD249="","",IF($AD249&lt;0,"FUTURO",IF($AD249&gt;p_dias_backlog_max,"BACKLOG","MES CORRIENTE")))</f>
        <v/>
      </c>
      <c r="AF249" s="5">
        <f>IF($AD249="",FALSE,AND($AD249&gt;p_dias_backlog_min,$AD249&lt;=p_dias_backlog_max))</f>
        <v/>
      </c>
      <c r="AG249" s="4" t="n"/>
      <c r="AH249" s="5">
        <f>IF($AG249="","",IF((IFERROR(INDEX('ASIGNACIONES'!$J$4:$J$451,MATCH($O249&amp;"|"&amp;$S249&amp;"|"&amp;$AG249,'ASIGNACIONES'!$N$4:$N$451,0)),""))=0,"",IFERROR(INDEX('ASIGNACIONES'!$J$4:$J$451,MATCH($O249&amp;"|"&amp;$S249&amp;"|"&amp;$AG249,'ASIGNACIONES'!$N$4:$N$451,0)),"")))</f>
        <v/>
      </c>
      <c r="AI249" s="25">
        <f>IF($AG249="","",SUMIFS('ORDENES'!$M$4:$M$1203,'ORDENES'!$AG$4:$AG$1203,$AG249,'ORDENES'!$O$4:$O$1203,$O249,'ORDENES'!$S$4:$S$1203,$S249))</f>
        <v/>
      </c>
      <c r="AJ249" s="25">
        <f>IF($AI249="","",p_factor_productividad*IFERROR(INDEX('ASIGNACIONES'!$M$4:$M$451,MATCH($O249&amp;"|"&amp;$S249&amp;"|"&amp;$AG249,'ASIGNACIONES'!$N$4:$N$451,0)),0)-$AI249)</f>
        <v/>
      </c>
      <c r="AK249" s="18">
        <f>IF($A249="","",IFERROR(INDEX('2_IMPORTAR_EJECUCION'!$F$9:$F$1208,MATCH($AT249,'2_IMPORTAR_EJECUCION'!$J$9:$J$1208,0)),0))</f>
        <v/>
      </c>
      <c r="AL249" s="18">
        <f>IF($A249="","",MAX(0,IFERROR(INDEX('2_IMPORTAR_EJECUCION'!$H$9:$H$1208,MATCH($AT249,'2_IMPORTAR_EJECUCION'!$J$9:$J$1208,0)),0)-$AK249))</f>
        <v/>
      </c>
      <c r="AM249" s="18">
        <f>IF($A249="","",$AK249+$AL249)</f>
        <v/>
      </c>
      <c r="AN249" s="5">
        <f>IF($A249="","",IF(OR((IFERROR(INDEX('CAT_ACTIVIDADES'!$D$4:$D$11,MATCH($H249,'CAT_ACTIVIDADES'!$A$4:$A$11,0)),""))=0,(IFERROR(INDEX('CAT_ACTIVIDADES'!$D$4:$D$11,MATCH($H249,'CAT_ACTIVIDADES'!$A$4:$A$11,0)),""))=""),"SIN CLASIFICAR",IFERROR(INDEX('CAT_ACTIVIDADES'!$D$4:$D$11,MATCH($H249,'CAT_ACTIVIDADES'!$A$4:$A$11,0)),"")))</f>
        <v/>
      </c>
      <c r="AO249" s="4" t="n"/>
      <c r="AP249" s="4" t="n"/>
      <c r="AQ249" s="4" t="n"/>
      <c r="AR249" s="5">
        <f>IF($AQ249="","",HYPERLINK(p_ruta_base_checklists&amp;$AQ249,"abrir"))</f>
        <v/>
      </c>
      <c r="AS249" s="4" t="n"/>
      <c r="AT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2" t="n"/>
      <c r="K250" s="5" t="n"/>
      <c r="L250" s="18" t="n"/>
      <c r="M250" s="5">
        <f>IF($A250="","",IFERROR(INDEX('AJUSTES'!$B$4:$B$303,MATCH($AT250,'AJUSTES'!$A$4:$A$303,0)),IF($K250="","",$K250)))</f>
        <v/>
      </c>
      <c r="N250" s="5">
        <f>IF($A250="","",IFERROR(INDEX('CAT_ESTADOS_ERP'!$B$4:$B$7,MATCH(IFERROR(INDEX('2_IMPORTAR_EJECUCION'!$C$9:$C$1208,MATCH($AT250,'2_IMPORTAR_EJECUCION'!$J$9:$J$1208,0)),""),'CAT_ESTADOS_ERP'!$A$4:$A$7,0)),"Pendiente"))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IF($J250="","",$P250&amp;"-"&amp;TEXT($Q250,"00"))</f>
        <v/>
      </c>
      <c r="S250" s="5">
        <f>IF($J250="","",INDEX(lista_dias,WEEKDAY($J250,2)))</f>
        <v/>
      </c>
      <c r="T250" s="5">
        <f>IF($J250="","",IFERROR(INDEX('CALENDARIO'!$C$15:$C$214,MATCH(TEXT($J250,"yyyy-mm-dd")&amp;"|"&amp;$X250&amp;"|"&amp;$Y250,'CALENDARIO'!$G$15:$G$214,0)),IFERROR(INDEX('CALENDARIO'!$C$15:$C$214,MATCH(TEXT($J250,"yyyy-mm-dd")&amp;"|"&amp;$X250&amp;"|",'CALENDARIO'!$G$15:$G$214,0)),IFERROR(INDEX('CALENDARIO'!$C$15:$C$214,MATCH(TEXT($J250,"yyyy-mm-dd")&amp;"||",'CALENDARIO'!$G$15:$G$214,0)),INDEX(patronHabil,WEEKDAY($J250,2))))))</f>
        <v/>
      </c>
      <c r="U250" s="5">
        <f>IF($I250="","",IFERROR(INDEX('CAT_TIPOS_OT'!$C$4:$C$8,MATCH($I250,'CAT_TIPOS_OT'!$A$4:$A$8,0)),"sin_clasificar"))</f>
        <v/>
      </c>
      <c r="V250" s="5">
        <f>IF($I250="","",IF(IFERROR(INDEX('CAT_TIPOS_OT'!$D$4:$D$8,MATCH($I250,'CAT_TIPOS_OT'!$A$4:$A$8,0)),"SIN CLASIFICAR")="","SIN CLASIFICAR",IFERROR(INDEX('CAT_TIPOS_OT'!$D$4:$D$8,MATCH($I250,'CAT_TIPOS_OT'!$A$4:$A$8,0)),"SIN CLASIFICAR")))</f>
        <v/>
      </c>
      <c r="W250" s="5">
        <f>IF($F250="","",IFERROR(INDEX('CAT_CENTROS_COSTO'!$F$4:$F$13,MATCH($F250,'CAT_CENTROS_COSTO'!$A$4:$A$13,0)),"(sin catálogo)"))</f>
        <v/>
      </c>
      <c r="X250" s="5">
        <f>IF($F250="","",IFERROR(INDEX('CAT_CENTROS_COSTO'!$D$4:$D$13,MATCH($F250,'CAT_CENTROS_COSTO'!$A$4:$A$13,0)),"(sin catálogo)"))</f>
        <v/>
      </c>
      <c r="Y250" s="5">
        <f>IF($F250="","",IF((IFERROR(INDEX('CAT_CENTROS_COSTO'!$E$4:$E$13,MATCH($F250,'CAT_CENTROS_COSTO'!$A$4:$A$13,0)),""))&lt;&gt;"",IFERROR(INDEX('CAT_CENTROS_COSTO'!$E$4:$E$13,MATCH($F250,'CAT_CENTROS_COSTO'!$A$4:$A$13,0)),""),$X250))</f>
        <v/>
      </c>
      <c r="Z250" s="5">
        <f>IF($F250="","",IFERROR(INDEX('CAT_CENTROS_COSTO'!$G$4:$G$13,MATCH($F250,'CAT_CENTROS_COSTO'!$A$4:$A$13,0)),"(sin catálogo)"))</f>
        <v/>
      </c>
      <c r="AA250" s="5">
        <f>IF($G250="","",IFERROR(INDEX('CAT_PUESTOS'!$B$4:$B$8,MATCH($G250,'CAT_PUESTOS'!$A$4:$A$8,0)),"(sin catálogo)"))</f>
        <v/>
      </c>
      <c r="AB250" s="5">
        <f>IF($H250="","",IFERROR(INDEX('CAT_ACTIVIDADES'!$B$4:$B$11,MATCH($H250,'CAT_ACTIVIDADES'!$A$4:$A$11,0)),"(sin catálogo)"))</f>
        <v/>
      </c>
      <c r="AC250" s="20">
        <f>IF($J250="","",TODAY()-$J250)</f>
        <v/>
      </c>
      <c r="AD250" s="20">
        <f>IF($J250="","",IF($J250&lt;=TODAY(),COUNTIFS(cal_fechas,"&gt;="&amp;$J250,cal_fechas,"&lt;"&amp;TODAY(),cal_habil,"sí"),-COUNTIFS(cal_fechas,"&gt;="&amp;TODAY(),cal_fechas,"&lt;"&amp;$J250,cal_habil,"sí")))</f>
        <v/>
      </c>
      <c r="AE250" s="5">
        <f>IF($AD250="","",IF($AD250&lt;0,"FUTURO",IF($AD250&gt;p_dias_backlog_max,"BACKLOG","MES CORRIENTE")))</f>
        <v/>
      </c>
      <c r="AF250" s="5">
        <f>IF($AD250="",FALSE,AND($AD250&gt;p_dias_backlog_min,$AD250&lt;=p_dias_backlog_max))</f>
        <v/>
      </c>
      <c r="AG250" s="4" t="n"/>
      <c r="AH250" s="5">
        <f>IF($AG250="","",IF((IFERROR(INDEX('ASIGNACIONES'!$J$4:$J$451,MATCH($O250&amp;"|"&amp;$S250&amp;"|"&amp;$AG250,'ASIGNACIONES'!$N$4:$N$451,0)),""))=0,"",IFERROR(INDEX('ASIGNACIONES'!$J$4:$J$451,MATCH($O250&amp;"|"&amp;$S250&amp;"|"&amp;$AG250,'ASIGNACIONES'!$N$4:$N$451,0)),"")))</f>
        <v/>
      </c>
      <c r="AI250" s="25">
        <f>IF($AG250="","",SUMIFS('ORDENES'!$M$4:$M$1203,'ORDENES'!$AG$4:$AG$1203,$AG250,'ORDENES'!$O$4:$O$1203,$O250,'ORDENES'!$S$4:$S$1203,$S250))</f>
        <v/>
      </c>
      <c r="AJ250" s="25">
        <f>IF($AI250="","",p_factor_productividad*IFERROR(INDEX('ASIGNACIONES'!$M$4:$M$451,MATCH($O250&amp;"|"&amp;$S250&amp;"|"&amp;$AG250,'ASIGNACIONES'!$N$4:$N$451,0)),0)-$AI250)</f>
        <v/>
      </c>
      <c r="AK250" s="18">
        <f>IF($A250="","",IFERROR(INDEX('2_IMPORTAR_EJECUCION'!$F$9:$F$1208,MATCH($AT250,'2_IMPORTAR_EJECUCION'!$J$9:$J$1208,0)),0))</f>
        <v/>
      </c>
      <c r="AL250" s="18">
        <f>IF($A250="","",MAX(0,IFERROR(INDEX('2_IMPORTAR_EJECUCION'!$H$9:$H$1208,MATCH($AT250,'2_IMPORTAR_EJECUCION'!$J$9:$J$1208,0)),0)-$AK250))</f>
        <v/>
      </c>
      <c r="AM250" s="18">
        <f>IF($A250="","",$AK250+$AL250)</f>
        <v/>
      </c>
      <c r="AN250" s="5">
        <f>IF($A250="","",IF(OR((IFERROR(INDEX('CAT_ACTIVIDADES'!$D$4:$D$11,MATCH($H250,'CAT_ACTIVIDADES'!$A$4:$A$11,0)),""))=0,(IFERROR(INDEX('CAT_ACTIVIDADES'!$D$4:$D$11,MATCH($H250,'CAT_ACTIVIDADES'!$A$4:$A$11,0)),""))=""),"SIN CLASIFICAR",IFERROR(INDEX('CAT_ACTIVIDADES'!$D$4:$D$11,MATCH($H250,'CAT_ACTIVIDADES'!$A$4:$A$11,0)),"")))</f>
        <v/>
      </c>
      <c r="AO250" s="4" t="n"/>
      <c r="AP250" s="4" t="n"/>
      <c r="AQ250" s="4" t="n"/>
      <c r="AR250" s="5">
        <f>IF($AQ250="","",HYPERLINK(p_ruta_base_checklists&amp;$AQ250,"abrir"))</f>
        <v/>
      </c>
      <c r="AS250" s="4" t="n"/>
      <c r="AT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2" t="n"/>
      <c r="K251" s="5" t="n"/>
      <c r="L251" s="18" t="n"/>
      <c r="M251" s="5">
        <f>IF($A251="","",IFERROR(INDEX('AJUSTES'!$B$4:$B$303,MATCH($AT251,'AJUSTES'!$A$4:$A$303,0)),IF($K251="","",$K251)))</f>
        <v/>
      </c>
      <c r="N251" s="5">
        <f>IF($A251="","",IFERROR(INDEX('CAT_ESTADOS_ERP'!$B$4:$B$7,MATCH(IFERROR(INDEX('2_IMPORTAR_EJECUCION'!$C$9:$C$1208,MATCH($AT251,'2_IMPORTAR_EJECUCION'!$J$9:$J$1208,0)),""),'CAT_ESTADOS_ERP'!$A$4:$A$7,0)),"Pendiente"))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IF($J251="","",$P251&amp;"-"&amp;TEXT($Q251,"00"))</f>
        <v/>
      </c>
      <c r="S251" s="5">
        <f>IF($J251="","",INDEX(lista_dias,WEEKDAY($J251,2)))</f>
        <v/>
      </c>
      <c r="T251" s="5">
        <f>IF($J251="","",IFERROR(INDEX('CALENDARIO'!$C$15:$C$214,MATCH(TEXT($J251,"yyyy-mm-dd")&amp;"|"&amp;$X251&amp;"|"&amp;$Y251,'CALENDARIO'!$G$15:$G$214,0)),IFERROR(INDEX('CALENDARIO'!$C$15:$C$214,MATCH(TEXT($J251,"yyyy-mm-dd")&amp;"|"&amp;$X251&amp;"|",'CALENDARIO'!$G$15:$G$214,0)),IFERROR(INDEX('CALENDARIO'!$C$15:$C$214,MATCH(TEXT($J251,"yyyy-mm-dd")&amp;"||",'CALENDARIO'!$G$15:$G$214,0)),INDEX(patronHabil,WEEKDAY($J251,2))))))</f>
        <v/>
      </c>
      <c r="U251" s="5">
        <f>IF($I251="","",IFERROR(INDEX('CAT_TIPOS_OT'!$C$4:$C$8,MATCH($I251,'CAT_TIPOS_OT'!$A$4:$A$8,0)),"sin_clasificar"))</f>
        <v/>
      </c>
      <c r="V251" s="5">
        <f>IF($I251="","",IF(IFERROR(INDEX('CAT_TIPOS_OT'!$D$4:$D$8,MATCH($I251,'CAT_TIPOS_OT'!$A$4:$A$8,0)),"SIN CLASIFICAR")="","SIN CLASIFICAR",IFERROR(INDEX('CAT_TIPOS_OT'!$D$4:$D$8,MATCH($I251,'CAT_TIPOS_OT'!$A$4:$A$8,0)),"SIN CLASIFICAR")))</f>
        <v/>
      </c>
      <c r="W251" s="5">
        <f>IF($F251="","",IFERROR(INDEX('CAT_CENTROS_COSTO'!$F$4:$F$13,MATCH($F251,'CAT_CENTROS_COSTO'!$A$4:$A$13,0)),"(sin catálogo)"))</f>
        <v/>
      </c>
      <c r="X251" s="5">
        <f>IF($F251="","",IFERROR(INDEX('CAT_CENTROS_COSTO'!$D$4:$D$13,MATCH($F251,'CAT_CENTROS_COSTO'!$A$4:$A$13,0)),"(sin catálogo)"))</f>
        <v/>
      </c>
      <c r="Y251" s="5">
        <f>IF($F251="","",IF((IFERROR(INDEX('CAT_CENTROS_COSTO'!$E$4:$E$13,MATCH($F251,'CAT_CENTROS_COSTO'!$A$4:$A$13,0)),""))&lt;&gt;"",IFERROR(INDEX('CAT_CENTROS_COSTO'!$E$4:$E$13,MATCH($F251,'CAT_CENTROS_COSTO'!$A$4:$A$13,0)),""),$X251))</f>
        <v/>
      </c>
      <c r="Z251" s="5">
        <f>IF($F251="","",IFERROR(INDEX('CAT_CENTROS_COSTO'!$G$4:$G$13,MATCH($F251,'CAT_CENTROS_COSTO'!$A$4:$A$13,0)),"(sin catálogo)"))</f>
        <v/>
      </c>
      <c r="AA251" s="5">
        <f>IF($G251="","",IFERROR(INDEX('CAT_PUESTOS'!$B$4:$B$8,MATCH($G251,'CAT_PUESTOS'!$A$4:$A$8,0)),"(sin catálogo)"))</f>
        <v/>
      </c>
      <c r="AB251" s="5">
        <f>IF($H251="","",IFERROR(INDEX('CAT_ACTIVIDADES'!$B$4:$B$11,MATCH($H251,'CAT_ACTIVIDADES'!$A$4:$A$11,0)),"(sin catálogo)"))</f>
        <v/>
      </c>
      <c r="AC251" s="20">
        <f>IF($J251="","",TODAY()-$J251)</f>
        <v/>
      </c>
      <c r="AD251" s="20">
        <f>IF($J251="","",IF($J251&lt;=TODAY(),COUNTIFS(cal_fechas,"&gt;="&amp;$J251,cal_fechas,"&lt;"&amp;TODAY(),cal_habil,"sí"),-COUNTIFS(cal_fechas,"&gt;="&amp;TODAY(),cal_fechas,"&lt;"&amp;$J251,cal_habil,"sí")))</f>
        <v/>
      </c>
      <c r="AE251" s="5">
        <f>IF($AD251="","",IF($AD251&lt;0,"FUTURO",IF($AD251&gt;p_dias_backlog_max,"BACKLOG","MES CORRIENTE")))</f>
        <v/>
      </c>
      <c r="AF251" s="5">
        <f>IF($AD251="",FALSE,AND($AD251&gt;p_dias_backlog_min,$AD251&lt;=p_dias_backlog_max))</f>
        <v/>
      </c>
      <c r="AG251" s="4" t="n"/>
      <c r="AH251" s="5">
        <f>IF($AG251="","",IF((IFERROR(INDEX('ASIGNACIONES'!$J$4:$J$451,MATCH($O251&amp;"|"&amp;$S251&amp;"|"&amp;$AG251,'ASIGNACIONES'!$N$4:$N$451,0)),""))=0,"",IFERROR(INDEX('ASIGNACIONES'!$J$4:$J$451,MATCH($O251&amp;"|"&amp;$S251&amp;"|"&amp;$AG251,'ASIGNACIONES'!$N$4:$N$451,0)),"")))</f>
        <v/>
      </c>
      <c r="AI251" s="25">
        <f>IF($AG251="","",SUMIFS('ORDENES'!$M$4:$M$1203,'ORDENES'!$AG$4:$AG$1203,$AG251,'ORDENES'!$O$4:$O$1203,$O251,'ORDENES'!$S$4:$S$1203,$S251))</f>
        <v/>
      </c>
      <c r="AJ251" s="25">
        <f>IF($AI251="","",p_factor_productividad*IFERROR(INDEX('ASIGNACIONES'!$M$4:$M$451,MATCH($O251&amp;"|"&amp;$S251&amp;"|"&amp;$AG251,'ASIGNACIONES'!$N$4:$N$451,0)),0)-$AI251)</f>
        <v/>
      </c>
      <c r="AK251" s="18">
        <f>IF($A251="","",IFERROR(INDEX('2_IMPORTAR_EJECUCION'!$F$9:$F$1208,MATCH($AT251,'2_IMPORTAR_EJECUCION'!$J$9:$J$1208,0)),0))</f>
        <v/>
      </c>
      <c r="AL251" s="18">
        <f>IF($A251="","",MAX(0,IFERROR(INDEX('2_IMPORTAR_EJECUCION'!$H$9:$H$1208,MATCH($AT251,'2_IMPORTAR_EJECUCION'!$J$9:$J$1208,0)),0)-$AK251))</f>
        <v/>
      </c>
      <c r="AM251" s="18">
        <f>IF($A251="","",$AK251+$AL251)</f>
        <v/>
      </c>
      <c r="AN251" s="5">
        <f>IF($A251="","",IF(OR((IFERROR(INDEX('CAT_ACTIVIDADES'!$D$4:$D$11,MATCH($H251,'CAT_ACTIVIDADES'!$A$4:$A$11,0)),""))=0,(IFERROR(INDEX('CAT_ACTIVIDADES'!$D$4:$D$11,MATCH($H251,'CAT_ACTIVIDADES'!$A$4:$A$11,0)),""))=""),"SIN CLASIFICAR",IFERROR(INDEX('CAT_ACTIVIDADES'!$D$4:$D$11,MATCH($H251,'CAT_ACTIVIDADES'!$A$4:$A$11,0)),"")))</f>
        <v/>
      </c>
      <c r="AO251" s="4" t="n"/>
      <c r="AP251" s="4" t="n"/>
      <c r="AQ251" s="4" t="n"/>
      <c r="AR251" s="5">
        <f>IF($AQ251="","",HYPERLINK(p_ruta_base_checklists&amp;$AQ251,"abrir"))</f>
        <v/>
      </c>
      <c r="AS251" s="4" t="n"/>
      <c r="AT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2" t="n"/>
      <c r="K252" s="5" t="n"/>
      <c r="L252" s="18" t="n"/>
      <c r="M252" s="5">
        <f>IF($A252="","",IFERROR(INDEX('AJUSTES'!$B$4:$B$303,MATCH($AT252,'AJUSTES'!$A$4:$A$303,0)),IF($K252="","",$K252)))</f>
        <v/>
      </c>
      <c r="N252" s="5">
        <f>IF($A252="","",IFERROR(INDEX('CAT_ESTADOS_ERP'!$B$4:$B$7,MATCH(IFERROR(INDEX('2_IMPORTAR_EJECUCION'!$C$9:$C$1208,MATCH($AT252,'2_IMPORTAR_EJECUCION'!$J$9:$J$1208,0)),""),'CAT_ESTADOS_ERP'!$A$4:$A$7,0)),"Pendiente"))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IF($J252="","",$P252&amp;"-"&amp;TEXT($Q252,"00"))</f>
        <v/>
      </c>
      <c r="S252" s="5">
        <f>IF($J252="","",INDEX(lista_dias,WEEKDAY($J252,2)))</f>
        <v/>
      </c>
      <c r="T252" s="5">
        <f>IF($J252="","",IFERROR(INDEX('CALENDARIO'!$C$15:$C$214,MATCH(TEXT($J252,"yyyy-mm-dd")&amp;"|"&amp;$X252&amp;"|"&amp;$Y252,'CALENDARIO'!$G$15:$G$214,0)),IFERROR(INDEX('CALENDARIO'!$C$15:$C$214,MATCH(TEXT($J252,"yyyy-mm-dd")&amp;"|"&amp;$X252&amp;"|",'CALENDARIO'!$G$15:$G$214,0)),IFERROR(INDEX('CALENDARIO'!$C$15:$C$214,MATCH(TEXT($J252,"yyyy-mm-dd")&amp;"||",'CALENDARIO'!$G$15:$G$214,0)),INDEX(patronHabil,WEEKDAY($J252,2))))))</f>
        <v/>
      </c>
      <c r="U252" s="5">
        <f>IF($I252="","",IFERROR(INDEX('CAT_TIPOS_OT'!$C$4:$C$8,MATCH($I252,'CAT_TIPOS_OT'!$A$4:$A$8,0)),"sin_clasificar"))</f>
        <v/>
      </c>
      <c r="V252" s="5">
        <f>IF($I252="","",IF(IFERROR(INDEX('CAT_TIPOS_OT'!$D$4:$D$8,MATCH($I252,'CAT_TIPOS_OT'!$A$4:$A$8,0)),"SIN CLASIFICAR")="","SIN CLASIFICAR",IFERROR(INDEX('CAT_TIPOS_OT'!$D$4:$D$8,MATCH($I252,'CAT_TIPOS_OT'!$A$4:$A$8,0)),"SIN CLASIFICAR")))</f>
        <v/>
      </c>
      <c r="W252" s="5">
        <f>IF($F252="","",IFERROR(INDEX('CAT_CENTROS_COSTO'!$F$4:$F$13,MATCH($F252,'CAT_CENTROS_COSTO'!$A$4:$A$13,0)),"(sin catálogo)"))</f>
        <v/>
      </c>
      <c r="X252" s="5">
        <f>IF($F252="","",IFERROR(INDEX('CAT_CENTROS_COSTO'!$D$4:$D$13,MATCH($F252,'CAT_CENTROS_COSTO'!$A$4:$A$13,0)),"(sin catálogo)"))</f>
        <v/>
      </c>
      <c r="Y252" s="5">
        <f>IF($F252="","",IF((IFERROR(INDEX('CAT_CENTROS_COSTO'!$E$4:$E$13,MATCH($F252,'CAT_CENTROS_COSTO'!$A$4:$A$13,0)),""))&lt;&gt;"",IFERROR(INDEX('CAT_CENTROS_COSTO'!$E$4:$E$13,MATCH($F252,'CAT_CENTROS_COSTO'!$A$4:$A$13,0)),""),$X252))</f>
        <v/>
      </c>
      <c r="Z252" s="5">
        <f>IF($F252="","",IFERROR(INDEX('CAT_CENTROS_COSTO'!$G$4:$G$13,MATCH($F252,'CAT_CENTROS_COSTO'!$A$4:$A$13,0)),"(sin catálogo)"))</f>
        <v/>
      </c>
      <c r="AA252" s="5">
        <f>IF($G252="","",IFERROR(INDEX('CAT_PUESTOS'!$B$4:$B$8,MATCH($G252,'CAT_PUESTOS'!$A$4:$A$8,0)),"(sin catálogo)"))</f>
        <v/>
      </c>
      <c r="AB252" s="5">
        <f>IF($H252="","",IFERROR(INDEX('CAT_ACTIVIDADES'!$B$4:$B$11,MATCH($H252,'CAT_ACTIVIDADES'!$A$4:$A$11,0)),"(sin catálogo)"))</f>
        <v/>
      </c>
      <c r="AC252" s="20">
        <f>IF($J252="","",TODAY()-$J252)</f>
        <v/>
      </c>
      <c r="AD252" s="20">
        <f>IF($J252="","",IF($J252&lt;=TODAY(),COUNTIFS(cal_fechas,"&gt;="&amp;$J252,cal_fechas,"&lt;"&amp;TODAY(),cal_habil,"sí"),-COUNTIFS(cal_fechas,"&gt;="&amp;TODAY(),cal_fechas,"&lt;"&amp;$J252,cal_habil,"sí")))</f>
        <v/>
      </c>
      <c r="AE252" s="5">
        <f>IF($AD252="","",IF($AD252&lt;0,"FUTURO",IF($AD252&gt;p_dias_backlog_max,"BACKLOG","MES CORRIENTE")))</f>
        <v/>
      </c>
      <c r="AF252" s="5">
        <f>IF($AD252="",FALSE,AND($AD252&gt;p_dias_backlog_min,$AD252&lt;=p_dias_backlog_max))</f>
        <v/>
      </c>
      <c r="AG252" s="4" t="n"/>
      <c r="AH252" s="5">
        <f>IF($AG252="","",IF((IFERROR(INDEX('ASIGNACIONES'!$J$4:$J$451,MATCH($O252&amp;"|"&amp;$S252&amp;"|"&amp;$AG252,'ASIGNACIONES'!$N$4:$N$451,0)),""))=0,"",IFERROR(INDEX('ASIGNACIONES'!$J$4:$J$451,MATCH($O252&amp;"|"&amp;$S252&amp;"|"&amp;$AG252,'ASIGNACIONES'!$N$4:$N$451,0)),"")))</f>
        <v/>
      </c>
      <c r="AI252" s="25">
        <f>IF($AG252="","",SUMIFS('ORDENES'!$M$4:$M$1203,'ORDENES'!$AG$4:$AG$1203,$AG252,'ORDENES'!$O$4:$O$1203,$O252,'ORDENES'!$S$4:$S$1203,$S252))</f>
        <v/>
      </c>
      <c r="AJ252" s="25">
        <f>IF($AI252="","",p_factor_productividad*IFERROR(INDEX('ASIGNACIONES'!$M$4:$M$451,MATCH($O252&amp;"|"&amp;$S252&amp;"|"&amp;$AG252,'ASIGNACIONES'!$N$4:$N$451,0)),0)-$AI252)</f>
        <v/>
      </c>
      <c r="AK252" s="18">
        <f>IF($A252="","",IFERROR(INDEX('2_IMPORTAR_EJECUCION'!$F$9:$F$1208,MATCH($AT252,'2_IMPORTAR_EJECUCION'!$J$9:$J$1208,0)),0))</f>
        <v/>
      </c>
      <c r="AL252" s="18">
        <f>IF($A252="","",MAX(0,IFERROR(INDEX('2_IMPORTAR_EJECUCION'!$H$9:$H$1208,MATCH($AT252,'2_IMPORTAR_EJECUCION'!$J$9:$J$1208,0)),0)-$AK252))</f>
        <v/>
      </c>
      <c r="AM252" s="18">
        <f>IF($A252="","",$AK252+$AL252)</f>
        <v/>
      </c>
      <c r="AN252" s="5">
        <f>IF($A252="","",IF(OR((IFERROR(INDEX('CAT_ACTIVIDADES'!$D$4:$D$11,MATCH($H252,'CAT_ACTIVIDADES'!$A$4:$A$11,0)),""))=0,(IFERROR(INDEX('CAT_ACTIVIDADES'!$D$4:$D$11,MATCH($H252,'CAT_ACTIVIDADES'!$A$4:$A$11,0)),""))=""),"SIN CLASIFICAR",IFERROR(INDEX('CAT_ACTIVIDADES'!$D$4:$D$11,MATCH($H252,'CAT_ACTIVIDADES'!$A$4:$A$11,0)),"")))</f>
        <v/>
      </c>
      <c r="AO252" s="4" t="n"/>
      <c r="AP252" s="4" t="n"/>
      <c r="AQ252" s="4" t="n"/>
      <c r="AR252" s="5">
        <f>IF($AQ252="","",HYPERLINK(p_ruta_base_checklists&amp;$AQ252,"abrir"))</f>
        <v/>
      </c>
      <c r="AS252" s="4" t="n"/>
      <c r="AT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2" t="n"/>
      <c r="K253" s="5" t="n"/>
      <c r="L253" s="18" t="n"/>
      <c r="M253" s="5">
        <f>IF($A253="","",IFERROR(INDEX('AJUSTES'!$B$4:$B$303,MATCH($AT253,'AJUSTES'!$A$4:$A$303,0)),IF($K253="","",$K253)))</f>
        <v/>
      </c>
      <c r="N253" s="5">
        <f>IF($A253="","",IFERROR(INDEX('CAT_ESTADOS_ERP'!$B$4:$B$7,MATCH(IFERROR(INDEX('2_IMPORTAR_EJECUCION'!$C$9:$C$1208,MATCH($AT253,'2_IMPORTAR_EJECUCION'!$J$9:$J$1208,0)),""),'CAT_ESTADOS_ERP'!$A$4:$A$7,0)),"Pendiente"))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IF($J253="","",$P253&amp;"-"&amp;TEXT($Q253,"00"))</f>
        <v/>
      </c>
      <c r="S253" s="5">
        <f>IF($J253="","",INDEX(lista_dias,WEEKDAY($J253,2)))</f>
        <v/>
      </c>
      <c r="T253" s="5">
        <f>IF($J253="","",IFERROR(INDEX('CALENDARIO'!$C$15:$C$214,MATCH(TEXT($J253,"yyyy-mm-dd")&amp;"|"&amp;$X253&amp;"|"&amp;$Y253,'CALENDARIO'!$G$15:$G$214,0)),IFERROR(INDEX('CALENDARIO'!$C$15:$C$214,MATCH(TEXT($J253,"yyyy-mm-dd")&amp;"|"&amp;$X253&amp;"|",'CALENDARIO'!$G$15:$G$214,0)),IFERROR(INDEX('CALENDARIO'!$C$15:$C$214,MATCH(TEXT($J253,"yyyy-mm-dd")&amp;"||",'CALENDARIO'!$G$15:$G$214,0)),INDEX(patronHabil,WEEKDAY($J253,2))))))</f>
        <v/>
      </c>
      <c r="U253" s="5">
        <f>IF($I253="","",IFERROR(INDEX('CAT_TIPOS_OT'!$C$4:$C$8,MATCH($I253,'CAT_TIPOS_OT'!$A$4:$A$8,0)),"sin_clasificar"))</f>
        <v/>
      </c>
      <c r="V253" s="5">
        <f>IF($I253="","",IF(IFERROR(INDEX('CAT_TIPOS_OT'!$D$4:$D$8,MATCH($I253,'CAT_TIPOS_OT'!$A$4:$A$8,0)),"SIN CLASIFICAR")="","SIN CLASIFICAR",IFERROR(INDEX('CAT_TIPOS_OT'!$D$4:$D$8,MATCH($I253,'CAT_TIPOS_OT'!$A$4:$A$8,0)),"SIN CLASIFICAR")))</f>
        <v/>
      </c>
      <c r="W253" s="5">
        <f>IF($F253="","",IFERROR(INDEX('CAT_CENTROS_COSTO'!$F$4:$F$13,MATCH($F253,'CAT_CENTROS_COSTO'!$A$4:$A$13,0)),"(sin catálogo)"))</f>
        <v/>
      </c>
      <c r="X253" s="5">
        <f>IF($F253="","",IFERROR(INDEX('CAT_CENTROS_COSTO'!$D$4:$D$13,MATCH($F253,'CAT_CENTROS_COSTO'!$A$4:$A$13,0)),"(sin catálogo)"))</f>
        <v/>
      </c>
      <c r="Y253" s="5">
        <f>IF($F253="","",IF((IFERROR(INDEX('CAT_CENTROS_COSTO'!$E$4:$E$13,MATCH($F253,'CAT_CENTROS_COSTO'!$A$4:$A$13,0)),""))&lt;&gt;"",IFERROR(INDEX('CAT_CENTROS_COSTO'!$E$4:$E$13,MATCH($F253,'CAT_CENTROS_COSTO'!$A$4:$A$13,0)),""),$X253))</f>
        <v/>
      </c>
      <c r="Z253" s="5">
        <f>IF($F253="","",IFERROR(INDEX('CAT_CENTROS_COSTO'!$G$4:$G$13,MATCH($F253,'CAT_CENTROS_COSTO'!$A$4:$A$13,0)),"(sin catálogo)"))</f>
        <v/>
      </c>
      <c r="AA253" s="5">
        <f>IF($G253="","",IFERROR(INDEX('CAT_PUESTOS'!$B$4:$B$8,MATCH($G253,'CAT_PUESTOS'!$A$4:$A$8,0)),"(sin catálogo)"))</f>
        <v/>
      </c>
      <c r="AB253" s="5">
        <f>IF($H253="","",IFERROR(INDEX('CAT_ACTIVIDADES'!$B$4:$B$11,MATCH($H253,'CAT_ACTIVIDADES'!$A$4:$A$11,0)),"(sin catálogo)"))</f>
        <v/>
      </c>
      <c r="AC253" s="20">
        <f>IF($J253="","",TODAY()-$J253)</f>
        <v/>
      </c>
      <c r="AD253" s="20">
        <f>IF($J253="","",IF($J253&lt;=TODAY(),COUNTIFS(cal_fechas,"&gt;="&amp;$J253,cal_fechas,"&lt;"&amp;TODAY(),cal_habil,"sí"),-COUNTIFS(cal_fechas,"&gt;="&amp;TODAY(),cal_fechas,"&lt;"&amp;$J253,cal_habil,"sí")))</f>
        <v/>
      </c>
      <c r="AE253" s="5">
        <f>IF($AD253="","",IF($AD253&lt;0,"FUTURO",IF($AD253&gt;p_dias_backlog_max,"BACKLOG","MES CORRIENTE")))</f>
        <v/>
      </c>
      <c r="AF253" s="5">
        <f>IF($AD253="",FALSE,AND($AD253&gt;p_dias_backlog_min,$AD253&lt;=p_dias_backlog_max))</f>
        <v/>
      </c>
      <c r="AG253" s="4" t="n"/>
      <c r="AH253" s="5">
        <f>IF($AG253="","",IF((IFERROR(INDEX('ASIGNACIONES'!$J$4:$J$451,MATCH($O253&amp;"|"&amp;$S253&amp;"|"&amp;$AG253,'ASIGNACIONES'!$N$4:$N$451,0)),""))=0,"",IFERROR(INDEX('ASIGNACIONES'!$J$4:$J$451,MATCH($O253&amp;"|"&amp;$S253&amp;"|"&amp;$AG253,'ASIGNACIONES'!$N$4:$N$451,0)),"")))</f>
        <v/>
      </c>
      <c r="AI253" s="25">
        <f>IF($AG253="","",SUMIFS('ORDENES'!$M$4:$M$1203,'ORDENES'!$AG$4:$AG$1203,$AG253,'ORDENES'!$O$4:$O$1203,$O253,'ORDENES'!$S$4:$S$1203,$S253))</f>
        <v/>
      </c>
      <c r="AJ253" s="25">
        <f>IF($AI253="","",p_factor_productividad*IFERROR(INDEX('ASIGNACIONES'!$M$4:$M$451,MATCH($O253&amp;"|"&amp;$S253&amp;"|"&amp;$AG253,'ASIGNACIONES'!$N$4:$N$451,0)),0)-$AI253)</f>
        <v/>
      </c>
      <c r="AK253" s="18">
        <f>IF($A253="","",IFERROR(INDEX('2_IMPORTAR_EJECUCION'!$F$9:$F$1208,MATCH($AT253,'2_IMPORTAR_EJECUCION'!$J$9:$J$1208,0)),0))</f>
        <v/>
      </c>
      <c r="AL253" s="18">
        <f>IF($A253="","",MAX(0,IFERROR(INDEX('2_IMPORTAR_EJECUCION'!$H$9:$H$1208,MATCH($AT253,'2_IMPORTAR_EJECUCION'!$J$9:$J$1208,0)),0)-$AK253))</f>
        <v/>
      </c>
      <c r="AM253" s="18">
        <f>IF($A253="","",$AK253+$AL253)</f>
        <v/>
      </c>
      <c r="AN253" s="5">
        <f>IF($A253="","",IF(OR((IFERROR(INDEX('CAT_ACTIVIDADES'!$D$4:$D$11,MATCH($H253,'CAT_ACTIVIDADES'!$A$4:$A$11,0)),""))=0,(IFERROR(INDEX('CAT_ACTIVIDADES'!$D$4:$D$11,MATCH($H253,'CAT_ACTIVIDADES'!$A$4:$A$11,0)),""))=""),"SIN CLASIFICAR",IFERROR(INDEX('CAT_ACTIVIDADES'!$D$4:$D$11,MATCH($H253,'CAT_ACTIVIDADES'!$A$4:$A$11,0)),"")))</f>
        <v/>
      </c>
      <c r="AO253" s="4" t="n"/>
      <c r="AP253" s="4" t="n"/>
      <c r="AQ253" s="4" t="n"/>
      <c r="AR253" s="5">
        <f>IF($AQ253="","",HYPERLINK(p_ruta_base_checklists&amp;$AQ253,"abrir"))</f>
        <v/>
      </c>
      <c r="AS253" s="4" t="n"/>
      <c r="AT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2" t="n"/>
      <c r="K254" s="5" t="n"/>
      <c r="L254" s="18" t="n"/>
      <c r="M254" s="5">
        <f>IF($A254="","",IFERROR(INDEX('AJUSTES'!$B$4:$B$303,MATCH($AT254,'AJUSTES'!$A$4:$A$303,0)),IF($K254="","",$K254)))</f>
        <v/>
      </c>
      <c r="N254" s="5">
        <f>IF($A254="","",IFERROR(INDEX('CAT_ESTADOS_ERP'!$B$4:$B$7,MATCH(IFERROR(INDEX('2_IMPORTAR_EJECUCION'!$C$9:$C$1208,MATCH($AT254,'2_IMPORTAR_EJECUCION'!$J$9:$J$1208,0)),""),'CAT_ESTADOS_ERP'!$A$4:$A$7,0)),"Pendiente"))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IF($J254="","",$P254&amp;"-"&amp;TEXT($Q254,"00"))</f>
        <v/>
      </c>
      <c r="S254" s="5">
        <f>IF($J254="","",INDEX(lista_dias,WEEKDAY($J254,2)))</f>
        <v/>
      </c>
      <c r="T254" s="5">
        <f>IF($J254="","",IFERROR(INDEX('CALENDARIO'!$C$15:$C$214,MATCH(TEXT($J254,"yyyy-mm-dd")&amp;"|"&amp;$X254&amp;"|"&amp;$Y254,'CALENDARIO'!$G$15:$G$214,0)),IFERROR(INDEX('CALENDARIO'!$C$15:$C$214,MATCH(TEXT($J254,"yyyy-mm-dd")&amp;"|"&amp;$X254&amp;"|",'CALENDARIO'!$G$15:$G$214,0)),IFERROR(INDEX('CALENDARIO'!$C$15:$C$214,MATCH(TEXT($J254,"yyyy-mm-dd")&amp;"||",'CALENDARIO'!$G$15:$G$214,0)),INDEX(patronHabil,WEEKDAY($J254,2))))))</f>
        <v/>
      </c>
      <c r="U254" s="5">
        <f>IF($I254="","",IFERROR(INDEX('CAT_TIPOS_OT'!$C$4:$C$8,MATCH($I254,'CAT_TIPOS_OT'!$A$4:$A$8,0)),"sin_clasificar"))</f>
        <v/>
      </c>
      <c r="V254" s="5">
        <f>IF($I254="","",IF(IFERROR(INDEX('CAT_TIPOS_OT'!$D$4:$D$8,MATCH($I254,'CAT_TIPOS_OT'!$A$4:$A$8,0)),"SIN CLASIFICAR")="","SIN CLASIFICAR",IFERROR(INDEX('CAT_TIPOS_OT'!$D$4:$D$8,MATCH($I254,'CAT_TIPOS_OT'!$A$4:$A$8,0)),"SIN CLASIFICAR")))</f>
        <v/>
      </c>
      <c r="W254" s="5">
        <f>IF($F254="","",IFERROR(INDEX('CAT_CENTROS_COSTO'!$F$4:$F$13,MATCH($F254,'CAT_CENTROS_COSTO'!$A$4:$A$13,0)),"(sin catálogo)"))</f>
        <v/>
      </c>
      <c r="X254" s="5">
        <f>IF($F254="","",IFERROR(INDEX('CAT_CENTROS_COSTO'!$D$4:$D$13,MATCH($F254,'CAT_CENTROS_COSTO'!$A$4:$A$13,0)),"(sin catálogo)"))</f>
        <v/>
      </c>
      <c r="Y254" s="5">
        <f>IF($F254="","",IF((IFERROR(INDEX('CAT_CENTROS_COSTO'!$E$4:$E$13,MATCH($F254,'CAT_CENTROS_COSTO'!$A$4:$A$13,0)),""))&lt;&gt;"",IFERROR(INDEX('CAT_CENTROS_COSTO'!$E$4:$E$13,MATCH($F254,'CAT_CENTROS_COSTO'!$A$4:$A$13,0)),""),$X254))</f>
        <v/>
      </c>
      <c r="Z254" s="5">
        <f>IF($F254="","",IFERROR(INDEX('CAT_CENTROS_COSTO'!$G$4:$G$13,MATCH($F254,'CAT_CENTROS_COSTO'!$A$4:$A$13,0)),"(sin catálogo)"))</f>
        <v/>
      </c>
      <c r="AA254" s="5">
        <f>IF($G254="","",IFERROR(INDEX('CAT_PUESTOS'!$B$4:$B$8,MATCH($G254,'CAT_PUESTOS'!$A$4:$A$8,0)),"(sin catálogo)"))</f>
        <v/>
      </c>
      <c r="AB254" s="5">
        <f>IF($H254="","",IFERROR(INDEX('CAT_ACTIVIDADES'!$B$4:$B$11,MATCH($H254,'CAT_ACTIVIDADES'!$A$4:$A$11,0)),"(sin catálogo)"))</f>
        <v/>
      </c>
      <c r="AC254" s="20">
        <f>IF($J254="","",TODAY()-$J254)</f>
        <v/>
      </c>
      <c r="AD254" s="20">
        <f>IF($J254="","",IF($J254&lt;=TODAY(),COUNTIFS(cal_fechas,"&gt;="&amp;$J254,cal_fechas,"&lt;"&amp;TODAY(),cal_habil,"sí"),-COUNTIFS(cal_fechas,"&gt;="&amp;TODAY(),cal_fechas,"&lt;"&amp;$J254,cal_habil,"sí")))</f>
        <v/>
      </c>
      <c r="AE254" s="5">
        <f>IF($AD254="","",IF($AD254&lt;0,"FUTURO",IF($AD254&gt;p_dias_backlog_max,"BACKLOG","MES CORRIENTE")))</f>
        <v/>
      </c>
      <c r="AF254" s="5">
        <f>IF($AD254="",FALSE,AND($AD254&gt;p_dias_backlog_min,$AD254&lt;=p_dias_backlog_max))</f>
        <v/>
      </c>
      <c r="AG254" s="4" t="n"/>
      <c r="AH254" s="5">
        <f>IF($AG254="","",IF((IFERROR(INDEX('ASIGNACIONES'!$J$4:$J$451,MATCH($O254&amp;"|"&amp;$S254&amp;"|"&amp;$AG254,'ASIGNACIONES'!$N$4:$N$451,0)),""))=0,"",IFERROR(INDEX('ASIGNACIONES'!$J$4:$J$451,MATCH($O254&amp;"|"&amp;$S254&amp;"|"&amp;$AG254,'ASIGNACIONES'!$N$4:$N$451,0)),"")))</f>
        <v/>
      </c>
      <c r="AI254" s="25">
        <f>IF($AG254="","",SUMIFS('ORDENES'!$M$4:$M$1203,'ORDENES'!$AG$4:$AG$1203,$AG254,'ORDENES'!$O$4:$O$1203,$O254,'ORDENES'!$S$4:$S$1203,$S254))</f>
        <v/>
      </c>
      <c r="AJ254" s="25">
        <f>IF($AI254="","",p_factor_productividad*IFERROR(INDEX('ASIGNACIONES'!$M$4:$M$451,MATCH($O254&amp;"|"&amp;$S254&amp;"|"&amp;$AG254,'ASIGNACIONES'!$N$4:$N$451,0)),0)-$AI254)</f>
        <v/>
      </c>
      <c r="AK254" s="18">
        <f>IF($A254="","",IFERROR(INDEX('2_IMPORTAR_EJECUCION'!$F$9:$F$1208,MATCH($AT254,'2_IMPORTAR_EJECUCION'!$J$9:$J$1208,0)),0))</f>
        <v/>
      </c>
      <c r="AL254" s="18">
        <f>IF($A254="","",MAX(0,IFERROR(INDEX('2_IMPORTAR_EJECUCION'!$H$9:$H$1208,MATCH($AT254,'2_IMPORTAR_EJECUCION'!$J$9:$J$1208,0)),0)-$AK254))</f>
        <v/>
      </c>
      <c r="AM254" s="18">
        <f>IF($A254="","",$AK254+$AL254)</f>
        <v/>
      </c>
      <c r="AN254" s="5">
        <f>IF($A254="","",IF(OR((IFERROR(INDEX('CAT_ACTIVIDADES'!$D$4:$D$11,MATCH($H254,'CAT_ACTIVIDADES'!$A$4:$A$11,0)),""))=0,(IFERROR(INDEX('CAT_ACTIVIDADES'!$D$4:$D$11,MATCH($H254,'CAT_ACTIVIDADES'!$A$4:$A$11,0)),""))=""),"SIN CLASIFICAR",IFERROR(INDEX('CAT_ACTIVIDADES'!$D$4:$D$11,MATCH($H254,'CAT_ACTIVIDADES'!$A$4:$A$11,0)),"")))</f>
        <v/>
      </c>
      <c r="AO254" s="4" t="n"/>
      <c r="AP254" s="4" t="n"/>
      <c r="AQ254" s="4" t="n"/>
      <c r="AR254" s="5">
        <f>IF($AQ254="","",HYPERLINK(p_ruta_base_checklists&amp;$AQ254,"abrir"))</f>
        <v/>
      </c>
      <c r="AS254" s="4" t="n"/>
      <c r="AT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2" t="n"/>
      <c r="K255" s="5" t="n"/>
      <c r="L255" s="18" t="n"/>
      <c r="M255" s="5">
        <f>IF($A255="","",IFERROR(INDEX('AJUSTES'!$B$4:$B$303,MATCH($AT255,'AJUSTES'!$A$4:$A$303,0)),IF($K255="","",$K255)))</f>
        <v/>
      </c>
      <c r="N255" s="5">
        <f>IF($A255="","",IFERROR(INDEX('CAT_ESTADOS_ERP'!$B$4:$B$7,MATCH(IFERROR(INDEX('2_IMPORTAR_EJECUCION'!$C$9:$C$1208,MATCH($AT255,'2_IMPORTAR_EJECUCION'!$J$9:$J$1208,0)),""),'CAT_ESTADOS_ERP'!$A$4:$A$7,0)),"Pendiente"))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IF($J255="","",$P255&amp;"-"&amp;TEXT($Q255,"00"))</f>
        <v/>
      </c>
      <c r="S255" s="5">
        <f>IF($J255="","",INDEX(lista_dias,WEEKDAY($J255,2)))</f>
        <v/>
      </c>
      <c r="T255" s="5">
        <f>IF($J255="","",IFERROR(INDEX('CALENDARIO'!$C$15:$C$214,MATCH(TEXT($J255,"yyyy-mm-dd")&amp;"|"&amp;$X255&amp;"|"&amp;$Y255,'CALENDARIO'!$G$15:$G$214,0)),IFERROR(INDEX('CALENDARIO'!$C$15:$C$214,MATCH(TEXT($J255,"yyyy-mm-dd")&amp;"|"&amp;$X255&amp;"|",'CALENDARIO'!$G$15:$G$214,0)),IFERROR(INDEX('CALENDARIO'!$C$15:$C$214,MATCH(TEXT($J255,"yyyy-mm-dd")&amp;"||",'CALENDARIO'!$G$15:$G$214,0)),INDEX(patronHabil,WEEKDAY($J255,2))))))</f>
        <v/>
      </c>
      <c r="U255" s="5">
        <f>IF($I255="","",IFERROR(INDEX('CAT_TIPOS_OT'!$C$4:$C$8,MATCH($I255,'CAT_TIPOS_OT'!$A$4:$A$8,0)),"sin_clasificar"))</f>
        <v/>
      </c>
      <c r="V255" s="5">
        <f>IF($I255="","",IF(IFERROR(INDEX('CAT_TIPOS_OT'!$D$4:$D$8,MATCH($I255,'CAT_TIPOS_OT'!$A$4:$A$8,0)),"SIN CLASIFICAR")="","SIN CLASIFICAR",IFERROR(INDEX('CAT_TIPOS_OT'!$D$4:$D$8,MATCH($I255,'CAT_TIPOS_OT'!$A$4:$A$8,0)),"SIN CLASIFICAR")))</f>
        <v/>
      </c>
      <c r="W255" s="5">
        <f>IF($F255="","",IFERROR(INDEX('CAT_CENTROS_COSTO'!$F$4:$F$13,MATCH($F255,'CAT_CENTROS_COSTO'!$A$4:$A$13,0)),"(sin catálogo)"))</f>
        <v/>
      </c>
      <c r="X255" s="5">
        <f>IF($F255="","",IFERROR(INDEX('CAT_CENTROS_COSTO'!$D$4:$D$13,MATCH($F255,'CAT_CENTROS_COSTO'!$A$4:$A$13,0)),"(sin catálogo)"))</f>
        <v/>
      </c>
      <c r="Y255" s="5">
        <f>IF($F255="","",IF((IFERROR(INDEX('CAT_CENTROS_COSTO'!$E$4:$E$13,MATCH($F255,'CAT_CENTROS_COSTO'!$A$4:$A$13,0)),""))&lt;&gt;"",IFERROR(INDEX('CAT_CENTROS_COSTO'!$E$4:$E$13,MATCH($F255,'CAT_CENTROS_COSTO'!$A$4:$A$13,0)),""),$X255))</f>
        <v/>
      </c>
      <c r="Z255" s="5">
        <f>IF($F255="","",IFERROR(INDEX('CAT_CENTROS_COSTO'!$G$4:$G$13,MATCH($F255,'CAT_CENTROS_COSTO'!$A$4:$A$13,0)),"(sin catálogo)"))</f>
        <v/>
      </c>
      <c r="AA255" s="5">
        <f>IF($G255="","",IFERROR(INDEX('CAT_PUESTOS'!$B$4:$B$8,MATCH($G255,'CAT_PUESTOS'!$A$4:$A$8,0)),"(sin catálogo)"))</f>
        <v/>
      </c>
      <c r="AB255" s="5">
        <f>IF($H255="","",IFERROR(INDEX('CAT_ACTIVIDADES'!$B$4:$B$11,MATCH($H255,'CAT_ACTIVIDADES'!$A$4:$A$11,0)),"(sin catálogo)"))</f>
        <v/>
      </c>
      <c r="AC255" s="20">
        <f>IF($J255="","",TODAY()-$J255)</f>
        <v/>
      </c>
      <c r="AD255" s="20">
        <f>IF($J255="","",IF($J255&lt;=TODAY(),COUNTIFS(cal_fechas,"&gt;="&amp;$J255,cal_fechas,"&lt;"&amp;TODAY(),cal_habil,"sí"),-COUNTIFS(cal_fechas,"&gt;="&amp;TODAY(),cal_fechas,"&lt;"&amp;$J255,cal_habil,"sí")))</f>
        <v/>
      </c>
      <c r="AE255" s="5">
        <f>IF($AD255="","",IF($AD255&lt;0,"FUTURO",IF($AD255&gt;p_dias_backlog_max,"BACKLOG","MES CORRIENTE")))</f>
        <v/>
      </c>
      <c r="AF255" s="5">
        <f>IF($AD255="",FALSE,AND($AD255&gt;p_dias_backlog_min,$AD255&lt;=p_dias_backlog_max))</f>
        <v/>
      </c>
      <c r="AG255" s="4" t="n"/>
      <c r="AH255" s="5">
        <f>IF($AG255="","",IF((IFERROR(INDEX('ASIGNACIONES'!$J$4:$J$451,MATCH($O255&amp;"|"&amp;$S255&amp;"|"&amp;$AG255,'ASIGNACIONES'!$N$4:$N$451,0)),""))=0,"",IFERROR(INDEX('ASIGNACIONES'!$J$4:$J$451,MATCH($O255&amp;"|"&amp;$S255&amp;"|"&amp;$AG255,'ASIGNACIONES'!$N$4:$N$451,0)),"")))</f>
        <v/>
      </c>
      <c r="AI255" s="25">
        <f>IF($AG255="","",SUMIFS('ORDENES'!$M$4:$M$1203,'ORDENES'!$AG$4:$AG$1203,$AG255,'ORDENES'!$O$4:$O$1203,$O255,'ORDENES'!$S$4:$S$1203,$S255))</f>
        <v/>
      </c>
      <c r="AJ255" s="25">
        <f>IF($AI255="","",p_factor_productividad*IFERROR(INDEX('ASIGNACIONES'!$M$4:$M$451,MATCH($O255&amp;"|"&amp;$S255&amp;"|"&amp;$AG255,'ASIGNACIONES'!$N$4:$N$451,0)),0)-$AI255)</f>
        <v/>
      </c>
      <c r="AK255" s="18">
        <f>IF($A255="","",IFERROR(INDEX('2_IMPORTAR_EJECUCION'!$F$9:$F$1208,MATCH($AT255,'2_IMPORTAR_EJECUCION'!$J$9:$J$1208,0)),0))</f>
        <v/>
      </c>
      <c r="AL255" s="18">
        <f>IF($A255="","",MAX(0,IFERROR(INDEX('2_IMPORTAR_EJECUCION'!$H$9:$H$1208,MATCH($AT255,'2_IMPORTAR_EJECUCION'!$J$9:$J$1208,0)),0)-$AK255))</f>
        <v/>
      </c>
      <c r="AM255" s="18">
        <f>IF($A255="","",$AK255+$AL255)</f>
        <v/>
      </c>
      <c r="AN255" s="5">
        <f>IF($A255="","",IF(OR((IFERROR(INDEX('CAT_ACTIVIDADES'!$D$4:$D$11,MATCH($H255,'CAT_ACTIVIDADES'!$A$4:$A$11,0)),""))=0,(IFERROR(INDEX('CAT_ACTIVIDADES'!$D$4:$D$11,MATCH($H255,'CAT_ACTIVIDADES'!$A$4:$A$11,0)),""))=""),"SIN CLASIFICAR",IFERROR(INDEX('CAT_ACTIVIDADES'!$D$4:$D$11,MATCH($H255,'CAT_ACTIVIDADES'!$A$4:$A$11,0)),"")))</f>
        <v/>
      </c>
      <c r="AO255" s="4" t="n"/>
      <c r="AP255" s="4" t="n"/>
      <c r="AQ255" s="4" t="n"/>
      <c r="AR255" s="5">
        <f>IF($AQ255="","",HYPERLINK(p_ruta_base_checklists&amp;$AQ255,"abrir"))</f>
        <v/>
      </c>
      <c r="AS255" s="4" t="n"/>
      <c r="AT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2" t="n"/>
      <c r="K256" s="5" t="n"/>
      <c r="L256" s="18" t="n"/>
      <c r="M256" s="5">
        <f>IF($A256="","",IFERROR(INDEX('AJUSTES'!$B$4:$B$303,MATCH($AT256,'AJUSTES'!$A$4:$A$303,0)),IF($K256="","",$K256)))</f>
        <v/>
      </c>
      <c r="N256" s="5">
        <f>IF($A256="","",IFERROR(INDEX('CAT_ESTADOS_ERP'!$B$4:$B$7,MATCH(IFERROR(INDEX('2_IMPORTAR_EJECUCION'!$C$9:$C$1208,MATCH($AT256,'2_IMPORTAR_EJECUCION'!$J$9:$J$1208,0)),""),'CAT_ESTADOS_ERP'!$A$4:$A$7,0)),"Pendiente"))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IF($J256="","",$P256&amp;"-"&amp;TEXT($Q256,"00"))</f>
        <v/>
      </c>
      <c r="S256" s="5">
        <f>IF($J256="","",INDEX(lista_dias,WEEKDAY($J256,2)))</f>
        <v/>
      </c>
      <c r="T256" s="5">
        <f>IF($J256="","",IFERROR(INDEX('CALENDARIO'!$C$15:$C$214,MATCH(TEXT($J256,"yyyy-mm-dd")&amp;"|"&amp;$X256&amp;"|"&amp;$Y256,'CALENDARIO'!$G$15:$G$214,0)),IFERROR(INDEX('CALENDARIO'!$C$15:$C$214,MATCH(TEXT($J256,"yyyy-mm-dd")&amp;"|"&amp;$X256&amp;"|",'CALENDARIO'!$G$15:$G$214,0)),IFERROR(INDEX('CALENDARIO'!$C$15:$C$214,MATCH(TEXT($J256,"yyyy-mm-dd")&amp;"||",'CALENDARIO'!$G$15:$G$214,0)),INDEX(patronHabil,WEEKDAY($J256,2))))))</f>
        <v/>
      </c>
      <c r="U256" s="5">
        <f>IF($I256="","",IFERROR(INDEX('CAT_TIPOS_OT'!$C$4:$C$8,MATCH($I256,'CAT_TIPOS_OT'!$A$4:$A$8,0)),"sin_clasificar"))</f>
        <v/>
      </c>
      <c r="V256" s="5">
        <f>IF($I256="","",IF(IFERROR(INDEX('CAT_TIPOS_OT'!$D$4:$D$8,MATCH($I256,'CAT_TIPOS_OT'!$A$4:$A$8,0)),"SIN CLASIFICAR")="","SIN CLASIFICAR",IFERROR(INDEX('CAT_TIPOS_OT'!$D$4:$D$8,MATCH($I256,'CAT_TIPOS_OT'!$A$4:$A$8,0)),"SIN CLASIFICAR")))</f>
        <v/>
      </c>
      <c r="W256" s="5">
        <f>IF($F256="","",IFERROR(INDEX('CAT_CENTROS_COSTO'!$F$4:$F$13,MATCH($F256,'CAT_CENTROS_COSTO'!$A$4:$A$13,0)),"(sin catálogo)"))</f>
        <v/>
      </c>
      <c r="X256" s="5">
        <f>IF($F256="","",IFERROR(INDEX('CAT_CENTROS_COSTO'!$D$4:$D$13,MATCH($F256,'CAT_CENTROS_COSTO'!$A$4:$A$13,0)),"(sin catálogo)"))</f>
        <v/>
      </c>
      <c r="Y256" s="5">
        <f>IF($F256="","",IF((IFERROR(INDEX('CAT_CENTROS_COSTO'!$E$4:$E$13,MATCH($F256,'CAT_CENTROS_COSTO'!$A$4:$A$13,0)),""))&lt;&gt;"",IFERROR(INDEX('CAT_CENTROS_COSTO'!$E$4:$E$13,MATCH($F256,'CAT_CENTROS_COSTO'!$A$4:$A$13,0)),""),$X256))</f>
        <v/>
      </c>
      <c r="Z256" s="5">
        <f>IF($F256="","",IFERROR(INDEX('CAT_CENTROS_COSTO'!$G$4:$G$13,MATCH($F256,'CAT_CENTROS_COSTO'!$A$4:$A$13,0)),"(sin catálogo)"))</f>
        <v/>
      </c>
      <c r="AA256" s="5">
        <f>IF($G256="","",IFERROR(INDEX('CAT_PUESTOS'!$B$4:$B$8,MATCH($G256,'CAT_PUESTOS'!$A$4:$A$8,0)),"(sin catálogo)"))</f>
        <v/>
      </c>
      <c r="AB256" s="5">
        <f>IF($H256="","",IFERROR(INDEX('CAT_ACTIVIDADES'!$B$4:$B$11,MATCH($H256,'CAT_ACTIVIDADES'!$A$4:$A$11,0)),"(sin catálogo)"))</f>
        <v/>
      </c>
      <c r="AC256" s="20">
        <f>IF($J256="","",TODAY()-$J256)</f>
        <v/>
      </c>
      <c r="AD256" s="20">
        <f>IF($J256="","",IF($J256&lt;=TODAY(),COUNTIFS(cal_fechas,"&gt;="&amp;$J256,cal_fechas,"&lt;"&amp;TODAY(),cal_habil,"sí"),-COUNTIFS(cal_fechas,"&gt;="&amp;TODAY(),cal_fechas,"&lt;"&amp;$J256,cal_habil,"sí")))</f>
        <v/>
      </c>
      <c r="AE256" s="5">
        <f>IF($AD256="","",IF($AD256&lt;0,"FUTURO",IF($AD256&gt;p_dias_backlog_max,"BACKLOG","MES CORRIENTE")))</f>
        <v/>
      </c>
      <c r="AF256" s="5">
        <f>IF($AD256="",FALSE,AND($AD256&gt;p_dias_backlog_min,$AD256&lt;=p_dias_backlog_max))</f>
        <v/>
      </c>
      <c r="AG256" s="4" t="n"/>
      <c r="AH256" s="5">
        <f>IF($AG256="","",IF((IFERROR(INDEX('ASIGNACIONES'!$J$4:$J$451,MATCH($O256&amp;"|"&amp;$S256&amp;"|"&amp;$AG256,'ASIGNACIONES'!$N$4:$N$451,0)),""))=0,"",IFERROR(INDEX('ASIGNACIONES'!$J$4:$J$451,MATCH($O256&amp;"|"&amp;$S256&amp;"|"&amp;$AG256,'ASIGNACIONES'!$N$4:$N$451,0)),"")))</f>
        <v/>
      </c>
      <c r="AI256" s="25">
        <f>IF($AG256="","",SUMIFS('ORDENES'!$M$4:$M$1203,'ORDENES'!$AG$4:$AG$1203,$AG256,'ORDENES'!$O$4:$O$1203,$O256,'ORDENES'!$S$4:$S$1203,$S256))</f>
        <v/>
      </c>
      <c r="AJ256" s="25">
        <f>IF($AI256="","",p_factor_productividad*IFERROR(INDEX('ASIGNACIONES'!$M$4:$M$451,MATCH($O256&amp;"|"&amp;$S256&amp;"|"&amp;$AG256,'ASIGNACIONES'!$N$4:$N$451,0)),0)-$AI256)</f>
        <v/>
      </c>
      <c r="AK256" s="18">
        <f>IF($A256="","",IFERROR(INDEX('2_IMPORTAR_EJECUCION'!$F$9:$F$1208,MATCH($AT256,'2_IMPORTAR_EJECUCION'!$J$9:$J$1208,0)),0))</f>
        <v/>
      </c>
      <c r="AL256" s="18">
        <f>IF($A256="","",MAX(0,IFERROR(INDEX('2_IMPORTAR_EJECUCION'!$H$9:$H$1208,MATCH($AT256,'2_IMPORTAR_EJECUCION'!$J$9:$J$1208,0)),0)-$AK256))</f>
        <v/>
      </c>
      <c r="AM256" s="18">
        <f>IF($A256="","",$AK256+$AL256)</f>
        <v/>
      </c>
      <c r="AN256" s="5">
        <f>IF($A256="","",IF(OR((IFERROR(INDEX('CAT_ACTIVIDADES'!$D$4:$D$11,MATCH($H256,'CAT_ACTIVIDADES'!$A$4:$A$11,0)),""))=0,(IFERROR(INDEX('CAT_ACTIVIDADES'!$D$4:$D$11,MATCH($H256,'CAT_ACTIVIDADES'!$A$4:$A$11,0)),""))=""),"SIN CLASIFICAR",IFERROR(INDEX('CAT_ACTIVIDADES'!$D$4:$D$11,MATCH($H256,'CAT_ACTIVIDADES'!$A$4:$A$11,0)),"")))</f>
        <v/>
      </c>
      <c r="AO256" s="4" t="n"/>
      <c r="AP256" s="4" t="n"/>
      <c r="AQ256" s="4" t="n"/>
      <c r="AR256" s="5">
        <f>IF($AQ256="","",HYPERLINK(p_ruta_base_checklists&amp;$AQ256,"abrir"))</f>
        <v/>
      </c>
      <c r="AS256" s="4" t="n"/>
      <c r="AT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2" t="n"/>
      <c r="K257" s="5" t="n"/>
      <c r="L257" s="18" t="n"/>
      <c r="M257" s="5">
        <f>IF($A257="","",IFERROR(INDEX('AJUSTES'!$B$4:$B$303,MATCH($AT257,'AJUSTES'!$A$4:$A$303,0)),IF($K257="","",$K257)))</f>
        <v/>
      </c>
      <c r="N257" s="5">
        <f>IF($A257="","",IFERROR(INDEX('CAT_ESTADOS_ERP'!$B$4:$B$7,MATCH(IFERROR(INDEX('2_IMPORTAR_EJECUCION'!$C$9:$C$1208,MATCH($AT257,'2_IMPORTAR_EJECUCION'!$J$9:$J$1208,0)),""),'CAT_ESTADOS_ERP'!$A$4:$A$7,0)),"Pendiente"))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IF($J257="","",$P257&amp;"-"&amp;TEXT($Q257,"00"))</f>
        <v/>
      </c>
      <c r="S257" s="5">
        <f>IF($J257="","",INDEX(lista_dias,WEEKDAY($J257,2)))</f>
        <v/>
      </c>
      <c r="T257" s="5">
        <f>IF($J257="","",IFERROR(INDEX('CALENDARIO'!$C$15:$C$214,MATCH(TEXT($J257,"yyyy-mm-dd")&amp;"|"&amp;$X257&amp;"|"&amp;$Y257,'CALENDARIO'!$G$15:$G$214,0)),IFERROR(INDEX('CALENDARIO'!$C$15:$C$214,MATCH(TEXT($J257,"yyyy-mm-dd")&amp;"|"&amp;$X257&amp;"|",'CALENDARIO'!$G$15:$G$214,0)),IFERROR(INDEX('CALENDARIO'!$C$15:$C$214,MATCH(TEXT($J257,"yyyy-mm-dd")&amp;"||",'CALENDARIO'!$G$15:$G$214,0)),INDEX(patronHabil,WEEKDAY($J257,2))))))</f>
        <v/>
      </c>
      <c r="U257" s="5">
        <f>IF($I257="","",IFERROR(INDEX('CAT_TIPOS_OT'!$C$4:$C$8,MATCH($I257,'CAT_TIPOS_OT'!$A$4:$A$8,0)),"sin_clasificar"))</f>
        <v/>
      </c>
      <c r="V257" s="5">
        <f>IF($I257="","",IF(IFERROR(INDEX('CAT_TIPOS_OT'!$D$4:$D$8,MATCH($I257,'CAT_TIPOS_OT'!$A$4:$A$8,0)),"SIN CLASIFICAR")="","SIN CLASIFICAR",IFERROR(INDEX('CAT_TIPOS_OT'!$D$4:$D$8,MATCH($I257,'CAT_TIPOS_OT'!$A$4:$A$8,0)),"SIN CLASIFICAR")))</f>
        <v/>
      </c>
      <c r="W257" s="5">
        <f>IF($F257="","",IFERROR(INDEX('CAT_CENTROS_COSTO'!$F$4:$F$13,MATCH($F257,'CAT_CENTROS_COSTO'!$A$4:$A$13,0)),"(sin catálogo)"))</f>
        <v/>
      </c>
      <c r="X257" s="5">
        <f>IF($F257="","",IFERROR(INDEX('CAT_CENTROS_COSTO'!$D$4:$D$13,MATCH($F257,'CAT_CENTROS_COSTO'!$A$4:$A$13,0)),"(sin catálogo)"))</f>
        <v/>
      </c>
      <c r="Y257" s="5">
        <f>IF($F257="","",IF((IFERROR(INDEX('CAT_CENTROS_COSTO'!$E$4:$E$13,MATCH($F257,'CAT_CENTROS_COSTO'!$A$4:$A$13,0)),""))&lt;&gt;"",IFERROR(INDEX('CAT_CENTROS_COSTO'!$E$4:$E$13,MATCH($F257,'CAT_CENTROS_COSTO'!$A$4:$A$13,0)),""),$X257))</f>
        <v/>
      </c>
      <c r="Z257" s="5">
        <f>IF($F257="","",IFERROR(INDEX('CAT_CENTROS_COSTO'!$G$4:$G$13,MATCH($F257,'CAT_CENTROS_COSTO'!$A$4:$A$13,0)),"(sin catálogo)"))</f>
        <v/>
      </c>
      <c r="AA257" s="5">
        <f>IF($G257="","",IFERROR(INDEX('CAT_PUESTOS'!$B$4:$B$8,MATCH($G257,'CAT_PUESTOS'!$A$4:$A$8,0)),"(sin catálogo)"))</f>
        <v/>
      </c>
      <c r="AB257" s="5">
        <f>IF($H257="","",IFERROR(INDEX('CAT_ACTIVIDADES'!$B$4:$B$11,MATCH($H257,'CAT_ACTIVIDADES'!$A$4:$A$11,0)),"(sin catálogo)"))</f>
        <v/>
      </c>
      <c r="AC257" s="20">
        <f>IF($J257="","",TODAY()-$J257)</f>
        <v/>
      </c>
      <c r="AD257" s="20">
        <f>IF($J257="","",IF($J257&lt;=TODAY(),COUNTIFS(cal_fechas,"&gt;="&amp;$J257,cal_fechas,"&lt;"&amp;TODAY(),cal_habil,"sí"),-COUNTIFS(cal_fechas,"&gt;="&amp;TODAY(),cal_fechas,"&lt;"&amp;$J257,cal_habil,"sí")))</f>
        <v/>
      </c>
      <c r="AE257" s="5">
        <f>IF($AD257="","",IF($AD257&lt;0,"FUTURO",IF($AD257&gt;p_dias_backlog_max,"BACKLOG","MES CORRIENTE")))</f>
        <v/>
      </c>
      <c r="AF257" s="5">
        <f>IF($AD257="",FALSE,AND($AD257&gt;p_dias_backlog_min,$AD257&lt;=p_dias_backlog_max))</f>
        <v/>
      </c>
      <c r="AG257" s="4" t="n"/>
      <c r="AH257" s="5">
        <f>IF($AG257="","",IF((IFERROR(INDEX('ASIGNACIONES'!$J$4:$J$451,MATCH($O257&amp;"|"&amp;$S257&amp;"|"&amp;$AG257,'ASIGNACIONES'!$N$4:$N$451,0)),""))=0,"",IFERROR(INDEX('ASIGNACIONES'!$J$4:$J$451,MATCH($O257&amp;"|"&amp;$S257&amp;"|"&amp;$AG257,'ASIGNACIONES'!$N$4:$N$451,0)),"")))</f>
        <v/>
      </c>
      <c r="AI257" s="25">
        <f>IF($AG257="","",SUMIFS('ORDENES'!$M$4:$M$1203,'ORDENES'!$AG$4:$AG$1203,$AG257,'ORDENES'!$O$4:$O$1203,$O257,'ORDENES'!$S$4:$S$1203,$S257))</f>
        <v/>
      </c>
      <c r="AJ257" s="25">
        <f>IF($AI257="","",p_factor_productividad*IFERROR(INDEX('ASIGNACIONES'!$M$4:$M$451,MATCH($O257&amp;"|"&amp;$S257&amp;"|"&amp;$AG257,'ASIGNACIONES'!$N$4:$N$451,0)),0)-$AI257)</f>
        <v/>
      </c>
      <c r="AK257" s="18">
        <f>IF($A257="","",IFERROR(INDEX('2_IMPORTAR_EJECUCION'!$F$9:$F$1208,MATCH($AT257,'2_IMPORTAR_EJECUCION'!$J$9:$J$1208,0)),0))</f>
        <v/>
      </c>
      <c r="AL257" s="18">
        <f>IF($A257="","",MAX(0,IFERROR(INDEX('2_IMPORTAR_EJECUCION'!$H$9:$H$1208,MATCH($AT257,'2_IMPORTAR_EJECUCION'!$J$9:$J$1208,0)),0)-$AK257))</f>
        <v/>
      </c>
      <c r="AM257" s="18">
        <f>IF($A257="","",$AK257+$AL257)</f>
        <v/>
      </c>
      <c r="AN257" s="5">
        <f>IF($A257="","",IF(OR((IFERROR(INDEX('CAT_ACTIVIDADES'!$D$4:$D$11,MATCH($H257,'CAT_ACTIVIDADES'!$A$4:$A$11,0)),""))=0,(IFERROR(INDEX('CAT_ACTIVIDADES'!$D$4:$D$11,MATCH($H257,'CAT_ACTIVIDADES'!$A$4:$A$11,0)),""))=""),"SIN CLASIFICAR",IFERROR(INDEX('CAT_ACTIVIDADES'!$D$4:$D$11,MATCH($H257,'CAT_ACTIVIDADES'!$A$4:$A$11,0)),"")))</f>
        <v/>
      </c>
      <c r="AO257" s="4" t="n"/>
      <c r="AP257" s="4" t="n"/>
      <c r="AQ257" s="4" t="n"/>
      <c r="AR257" s="5">
        <f>IF($AQ257="","",HYPERLINK(p_ruta_base_checklists&amp;$AQ257,"abrir"))</f>
        <v/>
      </c>
      <c r="AS257" s="4" t="n"/>
      <c r="AT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2" t="n"/>
      <c r="K258" s="5" t="n"/>
      <c r="L258" s="18" t="n"/>
      <c r="M258" s="5">
        <f>IF($A258="","",IFERROR(INDEX('AJUSTES'!$B$4:$B$303,MATCH($AT258,'AJUSTES'!$A$4:$A$303,0)),IF($K258="","",$K258)))</f>
        <v/>
      </c>
      <c r="N258" s="5">
        <f>IF($A258="","",IFERROR(INDEX('CAT_ESTADOS_ERP'!$B$4:$B$7,MATCH(IFERROR(INDEX('2_IMPORTAR_EJECUCION'!$C$9:$C$1208,MATCH($AT258,'2_IMPORTAR_EJECUCION'!$J$9:$J$1208,0)),""),'CAT_ESTADOS_ERP'!$A$4:$A$7,0)),"Pendiente"))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IF($J258="","",$P258&amp;"-"&amp;TEXT($Q258,"00"))</f>
        <v/>
      </c>
      <c r="S258" s="5">
        <f>IF($J258="","",INDEX(lista_dias,WEEKDAY($J258,2)))</f>
        <v/>
      </c>
      <c r="T258" s="5">
        <f>IF($J258="","",IFERROR(INDEX('CALENDARIO'!$C$15:$C$214,MATCH(TEXT($J258,"yyyy-mm-dd")&amp;"|"&amp;$X258&amp;"|"&amp;$Y258,'CALENDARIO'!$G$15:$G$214,0)),IFERROR(INDEX('CALENDARIO'!$C$15:$C$214,MATCH(TEXT($J258,"yyyy-mm-dd")&amp;"|"&amp;$X258&amp;"|",'CALENDARIO'!$G$15:$G$214,0)),IFERROR(INDEX('CALENDARIO'!$C$15:$C$214,MATCH(TEXT($J258,"yyyy-mm-dd")&amp;"||",'CALENDARIO'!$G$15:$G$214,0)),INDEX(patronHabil,WEEKDAY($J258,2))))))</f>
        <v/>
      </c>
      <c r="U258" s="5">
        <f>IF($I258="","",IFERROR(INDEX('CAT_TIPOS_OT'!$C$4:$C$8,MATCH($I258,'CAT_TIPOS_OT'!$A$4:$A$8,0)),"sin_clasificar"))</f>
        <v/>
      </c>
      <c r="V258" s="5">
        <f>IF($I258="","",IF(IFERROR(INDEX('CAT_TIPOS_OT'!$D$4:$D$8,MATCH($I258,'CAT_TIPOS_OT'!$A$4:$A$8,0)),"SIN CLASIFICAR")="","SIN CLASIFICAR",IFERROR(INDEX('CAT_TIPOS_OT'!$D$4:$D$8,MATCH($I258,'CAT_TIPOS_OT'!$A$4:$A$8,0)),"SIN CLASIFICAR")))</f>
        <v/>
      </c>
      <c r="W258" s="5">
        <f>IF($F258="","",IFERROR(INDEX('CAT_CENTROS_COSTO'!$F$4:$F$13,MATCH($F258,'CAT_CENTROS_COSTO'!$A$4:$A$13,0)),"(sin catálogo)"))</f>
        <v/>
      </c>
      <c r="X258" s="5">
        <f>IF($F258="","",IFERROR(INDEX('CAT_CENTROS_COSTO'!$D$4:$D$13,MATCH($F258,'CAT_CENTROS_COSTO'!$A$4:$A$13,0)),"(sin catálogo)"))</f>
        <v/>
      </c>
      <c r="Y258" s="5">
        <f>IF($F258="","",IF((IFERROR(INDEX('CAT_CENTROS_COSTO'!$E$4:$E$13,MATCH($F258,'CAT_CENTROS_COSTO'!$A$4:$A$13,0)),""))&lt;&gt;"",IFERROR(INDEX('CAT_CENTROS_COSTO'!$E$4:$E$13,MATCH($F258,'CAT_CENTROS_COSTO'!$A$4:$A$13,0)),""),$X258))</f>
        <v/>
      </c>
      <c r="Z258" s="5">
        <f>IF($F258="","",IFERROR(INDEX('CAT_CENTROS_COSTO'!$G$4:$G$13,MATCH($F258,'CAT_CENTROS_COSTO'!$A$4:$A$13,0)),"(sin catálogo)"))</f>
        <v/>
      </c>
      <c r="AA258" s="5">
        <f>IF($G258="","",IFERROR(INDEX('CAT_PUESTOS'!$B$4:$B$8,MATCH($G258,'CAT_PUESTOS'!$A$4:$A$8,0)),"(sin catálogo)"))</f>
        <v/>
      </c>
      <c r="AB258" s="5">
        <f>IF($H258="","",IFERROR(INDEX('CAT_ACTIVIDADES'!$B$4:$B$11,MATCH($H258,'CAT_ACTIVIDADES'!$A$4:$A$11,0)),"(sin catálogo)"))</f>
        <v/>
      </c>
      <c r="AC258" s="20">
        <f>IF($J258="","",TODAY()-$J258)</f>
        <v/>
      </c>
      <c r="AD258" s="20">
        <f>IF($J258="","",IF($J258&lt;=TODAY(),COUNTIFS(cal_fechas,"&gt;="&amp;$J258,cal_fechas,"&lt;"&amp;TODAY(),cal_habil,"sí"),-COUNTIFS(cal_fechas,"&gt;="&amp;TODAY(),cal_fechas,"&lt;"&amp;$J258,cal_habil,"sí")))</f>
        <v/>
      </c>
      <c r="AE258" s="5">
        <f>IF($AD258="","",IF($AD258&lt;0,"FUTURO",IF($AD258&gt;p_dias_backlog_max,"BACKLOG","MES CORRIENTE")))</f>
        <v/>
      </c>
      <c r="AF258" s="5">
        <f>IF($AD258="",FALSE,AND($AD258&gt;p_dias_backlog_min,$AD258&lt;=p_dias_backlog_max))</f>
        <v/>
      </c>
      <c r="AG258" s="4" t="n"/>
      <c r="AH258" s="5">
        <f>IF($AG258="","",IF((IFERROR(INDEX('ASIGNACIONES'!$J$4:$J$451,MATCH($O258&amp;"|"&amp;$S258&amp;"|"&amp;$AG258,'ASIGNACIONES'!$N$4:$N$451,0)),""))=0,"",IFERROR(INDEX('ASIGNACIONES'!$J$4:$J$451,MATCH($O258&amp;"|"&amp;$S258&amp;"|"&amp;$AG258,'ASIGNACIONES'!$N$4:$N$451,0)),"")))</f>
        <v/>
      </c>
      <c r="AI258" s="25">
        <f>IF($AG258="","",SUMIFS('ORDENES'!$M$4:$M$1203,'ORDENES'!$AG$4:$AG$1203,$AG258,'ORDENES'!$O$4:$O$1203,$O258,'ORDENES'!$S$4:$S$1203,$S258))</f>
        <v/>
      </c>
      <c r="AJ258" s="25">
        <f>IF($AI258="","",p_factor_productividad*IFERROR(INDEX('ASIGNACIONES'!$M$4:$M$451,MATCH($O258&amp;"|"&amp;$S258&amp;"|"&amp;$AG258,'ASIGNACIONES'!$N$4:$N$451,0)),0)-$AI258)</f>
        <v/>
      </c>
      <c r="AK258" s="18">
        <f>IF($A258="","",IFERROR(INDEX('2_IMPORTAR_EJECUCION'!$F$9:$F$1208,MATCH($AT258,'2_IMPORTAR_EJECUCION'!$J$9:$J$1208,0)),0))</f>
        <v/>
      </c>
      <c r="AL258" s="18">
        <f>IF($A258="","",MAX(0,IFERROR(INDEX('2_IMPORTAR_EJECUCION'!$H$9:$H$1208,MATCH($AT258,'2_IMPORTAR_EJECUCION'!$J$9:$J$1208,0)),0)-$AK258))</f>
        <v/>
      </c>
      <c r="AM258" s="18">
        <f>IF($A258="","",$AK258+$AL258)</f>
        <v/>
      </c>
      <c r="AN258" s="5">
        <f>IF($A258="","",IF(OR((IFERROR(INDEX('CAT_ACTIVIDADES'!$D$4:$D$11,MATCH($H258,'CAT_ACTIVIDADES'!$A$4:$A$11,0)),""))=0,(IFERROR(INDEX('CAT_ACTIVIDADES'!$D$4:$D$11,MATCH($H258,'CAT_ACTIVIDADES'!$A$4:$A$11,0)),""))=""),"SIN CLASIFICAR",IFERROR(INDEX('CAT_ACTIVIDADES'!$D$4:$D$11,MATCH($H258,'CAT_ACTIVIDADES'!$A$4:$A$11,0)),"")))</f>
        <v/>
      </c>
      <c r="AO258" s="4" t="n"/>
      <c r="AP258" s="4" t="n"/>
      <c r="AQ258" s="4" t="n"/>
      <c r="AR258" s="5">
        <f>IF($AQ258="","",HYPERLINK(p_ruta_base_checklists&amp;$AQ258,"abrir"))</f>
        <v/>
      </c>
      <c r="AS258" s="4" t="n"/>
      <c r="AT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2" t="n"/>
      <c r="K259" s="5" t="n"/>
      <c r="L259" s="18" t="n"/>
      <c r="M259" s="5">
        <f>IF($A259="","",IFERROR(INDEX('AJUSTES'!$B$4:$B$303,MATCH($AT259,'AJUSTES'!$A$4:$A$303,0)),IF($K259="","",$K259)))</f>
        <v/>
      </c>
      <c r="N259" s="5">
        <f>IF($A259="","",IFERROR(INDEX('CAT_ESTADOS_ERP'!$B$4:$B$7,MATCH(IFERROR(INDEX('2_IMPORTAR_EJECUCION'!$C$9:$C$1208,MATCH($AT259,'2_IMPORTAR_EJECUCION'!$J$9:$J$1208,0)),""),'CAT_ESTADOS_ERP'!$A$4:$A$7,0)),"Pendiente"))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IF($J259="","",$P259&amp;"-"&amp;TEXT($Q259,"00"))</f>
        <v/>
      </c>
      <c r="S259" s="5">
        <f>IF($J259="","",INDEX(lista_dias,WEEKDAY($J259,2)))</f>
        <v/>
      </c>
      <c r="T259" s="5">
        <f>IF($J259="","",IFERROR(INDEX('CALENDARIO'!$C$15:$C$214,MATCH(TEXT($J259,"yyyy-mm-dd")&amp;"|"&amp;$X259&amp;"|"&amp;$Y259,'CALENDARIO'!$G$15:$G$214,0)),IFERROR(INDEX('CALENDARIO'!$C$15:$C$214,MATCH(TEXT($J259,"yyyy-mm-dd")&amp;"|"&amp;$X259&amp;"|",'CALENDARIO'!$G$15:$G$214,0)),IFERROR(INDEX('CALENDARIO'!$C$15:$C$214,MATCH(TEXT($J259,"yyyy-mm-dd")&amp;"||",'CALENDARIO'!$G$15:$G$214,0)),INDEX(patronHabil,WEEKDAY($J259,2))))))</f>
        <v/>
      </c>
      <c r="U259" s="5">
        <f>IF($I259="","",IFERROR(INDEX('CAT_TIPOS_OT'!$C$4:$C$8,MATCH($I259,'CAT_TIPOS_OT'!$A$4:$A$8,0)),"sin_clasificar"))</f>
        <v/>
      </c>
      <c r="V259" s="5">
        <f>IF($I259="","",IF(IFERROR(INDEX('CAT_TIPOS_OT'!$D$4:$D$8,MATCH($I259,'CAT_TIPOS_OT'!$A$4:$A$8,0)),"SIN CLASIFICAR")="","SIN CLASIFICAR",IFERROR(INDEX('CAT_TIPOS_OT'!$D$4:$D$8,MATCH($I259,'CAT_TIPOS_OT'!$A$4:$A$8,0)),"SIN CLASIFICAR")))</f>
        <v/>
      </c>
      <c r="W259" s="5">
        <f>IF($F259="","",IFERROR(INDEX('CAT_CENTROS_COSTO'!$F$4:$F$13,MATCH($F259,'CAT_CENTROS_COSTO'!$A$4:$A$13,0)),"(sin catálogo)"))</f>
        <v/>
      </c>
      <c r="X259" s="5">
        <f>IF($F259="","",IFERROR(INDEX('CAT_CENTROS_COSTO'!$D$4:$D$13,MATCH($F259,'CAT_CENTROS_COSTO'!$A$4:$A$13,0)),"(sin catálogo)"))</f>
        <v/>
      </c>
      <c r="Y259" s="5">
        <f>IF($F259="","",IF((IFERROR(INDEX('CAT_CENTROS_COSTO'!$E$4:$E$13,MATCH($F259,'CAT_CENTROS_COSTO'!$A$4:$A$13,0)),""))&lt;&gt;"",IFERROR(INDEX('CAT_CENTROS_COSTO'!$E$4:$E$13,MATCH($F259,'CAT_CENTROS_COSTO'!$A$4:$A$13,0)),""),$X259))</f>
        <v/>
      </c>
      <c r="Z259" s="5">
        <f>IF($F259="","",IFERROR(INDEX('CAT_CENTROS_COSTO'!$G$4:$G$13,MATCH($F259,'CAT_CENTROS_COSTO'!$A$4:$A$13,0)),"(sin catálogo)"))</f>
        <v/>
      </c>
      <c r="AA259" s="5">
        <f>IF($G259="","",IFERROR(INDEX('CAT_PUESTOS'!$B$4:$B$8,MATCH($G259,'CAT_PUESTOS'!$A$4:$A$8,0)),"(sin catálogo)"))</f>
        <v/>
      </c>
      <c r="AB259" s="5">
        <f>IF($H259="","",IFERROR(INDEX('CAT_ACTIVIDADES'!$B$4:$B$11,MATCH($H259,'CAT_ACTIVIDADES'!$A$4:$A$11,0)),"(sin catálogo)"))</f>
        <v/>
      </c>
      <c r="AC259" s="20">
        <f>IF($J259="","",TODAY()-$J259)</f>
        <v/>
      </c>
      <c r="AD259" s="20">
        <f>IF($J259="","",IF($J259&lt;=TODAY(),COUNTIFS(cal_fechas,"&gt;="&amp;$J259,cal_fechas,"&lt;"&amp;TODAY(),cal_habil,"sí"),-COUNTIFS(cal_fechas,"&gt;="&amp;TODAY(),cal_fechas,"&lt;"&amp;$J259,cal_habil,"sí")))</f>
        <v/>
      </c>
      <c r="AE259" s="5">
        <f>IF($AD259="","",IF($AD259&lt;0,"FUTURO",IF($AD259&gt;p_dias_backlog_max,"BACKLOG","MES CORRIENTE")))</f>
        <v/>
      </c>
      <c r="AF259" s="5">
        <f>IF($AD259="",FALSE,AND($AD259&gt;p_dias_backlog_min,$AD259&lt;=p_dias_backlog_max))</f>
        <v/>
      </c>
      <c r="AG259" s="4" t="n"/>
      <c r="AH259" s="5">
        <f>IF($AG259="","",IF((IFERROR(INDEX('ASIGNACIONES'!$J$4:$J$451,MATCH($O259&amp;"|"&amp;$S259&amp;"|"&amp;$AG259,'ASIGNACIONES'!$N$4:$N$451,0)),""))=0,"",IFERROR(INDEX('ASIGNACIONES'!$J$4:$J$451,MATCH($O259&amp;"|"&amp;$S259&amp;"|"&amp;$AG259,'ASIGNACIONES'!$N$4:$N$451,0)),"")))</f>
        <v/>
      </c>
      <c r="AI259" s="25">
        <f>IF($AG259="","",SUMIFS('ORDENES'!$M$4:$M$1203,'ORDENES'!$AG$4:$AG$1203,$AG259,'ORDENES'!$O$4:$O$1203,$O259,'ORDENES'!$S$4:$S$1203,$S259))</f>
        <v/>
      </c>
      <c r="AJ259" s="25">
        <f>IF($AI259="","",p_factor_productividad*IFERROR(INDEX('ASIGNACIONES'!$M$4:$M$451,MATCH($O259&amp;"|"&amp;$S259&amp;"|"&amp;$AG259,'ASIGNACIONES'!$N$4:$N$451,0)),0)-$AI259)</f>
        <v/>
      </c>
      <c r="AK259" s="18">
        <f>IF($A259="","",IFERROR(INDEX('2_IMPORTAR_EJECUCION'!$F$9:$F$1208,MATCH($AT259,'2_IMPORTAR_EJECUCION'!$J$9:$J$1208,0)),0))</f>
        <v/>
      </c>
      <c r="AL259" s="18">
        <f>IF($A259="","",MAX(0,IFERROR(INDEX('2_IMPORTAR_EJECUCION'!$H$9:$H$1208,MATCH($AT259,'2_IMPORTAR_EJECUCION'!$J$9:$J$1208,0)),0)-$AK259))</f>
        <v/>
      </c>
      <c r="AM259" s="18">
        <f>IF($A259="","",$AK259+$AL259)</f>
        <v/>
      </c>
      <c r="AN259" s="5">
        <f>IF($A259="","",IF(OR((IFERROR(INDEX('CAT_ACTIVIDADES'!$D$4:$D$11,MATCH($H259,'CAT_ACTIVIDADES'!$A$4:$A$11,0)),""))=0,(IFERROR(INDEX('CAT_ACTIVIDADES'!$D$4:$D$11,MATCH($H259,'CAT_ACTIVIDADES'!$A$4:$A$11,0)),""))=""),"SIN CLASIFICAR",IFERROR(INDEX('CAT_ACTIVIDADES'!$D$4:$D$11,MATCH($H259,'CAT_ACTIVIDADES'!$A$4:$A$11,0)),"")))</f>
        <v/>
      </c>
      <c r="AO259" s="4" t="n"/>
      <c r="AP259" s="4" t="n"/>
      <c r="AQ259" s="4" t="n"/>
      <c r="AR259" s="5">
        <f>IF($AQ259="","",HYPERLINK(p_ruta_base_checklists&amp;$AQ259,"abrir"))</f>
        <v/>
      </c>
      <c r="AS259" s="4" t="n"/>
      <c r="AT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2" t="n"/>
      <c r="K260" s="5" t="n"/>
      <c r="L260" s="18" t="n"/>
      <c r="M260" s="5">
        <f>IF($A260="","",IFERROR(INDEX('AJUSTES'!$B$4:$B$303,MATCH($AT260,'AJUSTES'!$A$4:$A$303,0)),IF($K260="","",$K260)))</f>
        <v/>
      </c>
      <c r="N260" s="5">
        <f>IF($A260="","",IFERROR(INDEX('CAT_ESTADOS_ERP'!$B$4:$B$7,MATCH(IFERROR(INDEX('2_IMPORTAR_EJECUCION'!$C$9:$C$1208,MATCH($AT260,'2_IMPORTAR_EJECUCION'!$J$9:$J$1208,0)),""),'CAT_ESTADOS_ERP'!$A$4:$A$7,0)),"Pendiente"))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IF($J260="","",$P260&amp;"-"&amp;TEXT($Q260,"00"))</f>
        <v/>
      </c>
      <c r="S260" s="5">
        <f>IF($J260="","",INDEX(lista_dias,WEEKDAY($J260,2)))</f>
        <v/>
      </c>
      <c r="T260" s="5">
        <f>IF($J260="","",IFERROR(INDEX('CALENDARIO'!$C$15:$C$214,MATCH(TEXT($J260,"yyyy-mm-dd")&amp;"|"&amp;$X260&amp;"|"&amp;$Y260,'CALENDARIO'!$G$15:$G$214,0)),IFERROR(INDEX('CALENDARIO'!$C$15:$C$214,MATCH(TEXT($J260,"yyyy-mm-dd")&amp;"|"&amp;$X260&amp;"|",'CALENDARIO'!$G$15:$G$214,0)),IFERROR(INDEX('CALENDARIO'!$C$15:$C$214,MATCH(TEXT($J260,"yyyy-mm-dd")&amp;"||",'CALENDARIO'!$G$15:$G$214,0)),INDEX(patronHabil,WEEKDAY($J260,2))))))</f>
        <v/>
      </c>
      <c r="U260" s="5">
        <f>IF($I260="","",IFERROR(INDEX('CAT_TIPOS_OT'!$C$4:$C$8,MATCH($I260,'CAT_TIPOS_OT'!$A$4:$A$8,0)),"sin_clasificar"))</f>
        <v/>
      </c>
      <c r="V260" s="5">
        <f>IF($I260="","",IF(IFERROR(INDEX('CAT_TIPOS_OT'!$D$4:$D$8,MATCH($I260,'CAT_TIPOS_OT'!$A$4:$A$8,0)),"SIN CLASIFICAR")="","SIN CLASIFICAR",IFERROR(INDEX('CAT_TIPOS_OT'!$D$4:$D$8,MATCH($I260,'CAT_TIPOS_OT'!$A$4:$A$8,0)),"SIN CLASIFICAR")))</f>
        <v/>
      </c>
      <c r="W260" s="5">
        <f>IF($F260="","",IFERROR(INDEX('CAT_CENTROS_COSTO'!$F$4:$F$13,MATCH($F260,'CAT_CENTROS_COSTO'!$A$4:$A$13,0)),"(sin catálogo)"))</f>
        <v/>
      </c>
      <c r="X260" s="5">
        <f>IF($F260="","",IFERROR(INDEX('CAT_CENTROS_COSTO'!$D$4:$D$13,MATCH($F260,'CAT_CENTROS_COSTO'!$A$4:$A$13,0)),"(sin catálogo)"))</f>
        <v/>
      </c>
      <c r="Y260" s="5">
        <f>IF($F260="","",IF((IFERROR(INDEX('CAT_CENTROS_COSTO'!$E$4:$E$13,MATCH($F260,'CAT_CENTROS_COSTO'!$A$4:$A$13,0)),""))&lt;&gt;"",IFERROR(INDEX('CAT_CENTROS_COSTO'!$E$4:$E$13,MATCH($F260,'CAT_CENTROS_COSTO'!$A$4:$A$13,0)),""),$X260))</f>
        <v/>
      </c>
      <c r="Z260" s="5">
        <f>IF($F260="","",IFERROR(INDEX('CAT_CENTROS_COSTO'!$G$4:$G$13,MATCH($F260,'CAT_CENTROS_COSTO'!$A$4:$A$13,0)),"(sin catálogo)"))</f>
        <v/>
      </c>
      <c r="AA260" s="5">
        <f>IF($G260="","",IFERROR(INDEX('CAT_PUESTOS'!$B$4:$B$8,MATCH($G260,'CAT_PUESTOS'!$A$4:$A$8,0)),"(sin catálogo)"))</f>
        <v/>
      </c>
      <c r="AB260" s="5">
        <f>IF($H260="","",IFERROR(INDEX('CAT_ACTIVIDADES'!$B$4:$B$11,MATCH($H260,'CAT_ACTIVIDADES'!$A$4:$A$11,0)),"(sin catálogo)"))</f>
        <v/>
      </c>
      <c r="AC260" s="20">
        <f>IF($J260="","",TODAY()-$J260)</f>
        <v/>
      </c>
      <c r="AD260" s="20">
        <f>IF($J260="","",IF($J260&lt;=TODAY(),COUNTIFS(cal_fechas,"&gt;="&amp;$J260,cal_fechas,"&lt;"&amp;TODAY(),cal_habil,"sí"),-COUNTIFS(cal_fechas,"&gt;="&amp;TODAY(),cal_fechas,"&lt;"&amp;$J260,cal_habil,"sí")))</f>
        <v/>
      </c>
      <c r="AE260" s="5">
        <f>IF($AD260="","",IF($AD260&lt;0,"FUTURO",IF($AD260&gt;p_dias_backlog_max,"BACKLOG","MES CORRIENTE")))</f>
        <v/>
      </c>
      <c r="AF260" s="5">
        <f>IF($AD260="",FALSE,AND($AD260&gt;p_dias_backlog_min,$AD260&lt;=p_dias_backlog_max))</f>
        <v/>
      </c>
      <c r="AG260" s="4" t="n"/>
      <c r="AH260" s="5">
        <f>IF($AG260="","",IF((IFERROR(INDEX('ASIGNACIONES'!$J$4:$J$451,MATCH($O260&amp;"|"&amp;$S260&amp;"|"&amp;$AG260,'ASIGNACIONES'!$N$4:$N$451,0)),""))=0,"",IFERROR(INDEX('ASIGNACIONES'!$J$4:$J$451,MATCH($O260&amp;"|"&amp;$S260&amp;"|"&amp;$AG260,'ASIGNACIONES'!$N$4:$N$451,0)),"")))</f>
        <v/>
      </c>
      <c r="AI260" s="25">
        <f>IF($AG260="","",SUMIFS('ORDENES'!$M$4:$M$1203,'ORDENES'!$AG$4:$AG$1203,$AG260,'ORDENES'!$O$4:$O$1203,$O260,'ORDENES'!$S$4:$S$1203,$S260))</f>
        <v/>
      </c>
      <c r="AJ260" s="25">
        <f>IF($AI260="","",p_factor_productividad*IFERROR(INDEX('ASIGNACIONES'!$M$4:$M$451,MATCH($O260&amp;"|"&amp;$S260&amp;"|"&amp;$AG260,'ASIGNACIONES'!$N$4:$N$451,0)),0)-$AI260)</f>
        <v/>
      </c>
      <c r="AK260" s="18">
        <f>IF($A260="","",IFERROR(INDEX('2_IMPORTAR_EJECUCION'!$F$9:$F$1208,MATCH($AT260,'2_IMPORTAR_EJECUCION'!$J$9:$J$1208,0)),0))</f>
        <v/>
      </c>
      <c r="AL260" s="18">
        <f>IF($A260="","",MAX(0,IFERROR(INDEX('2_IMPORTAR_EJECUCION'!$H$9:$H$1208,MATCH($AT260,'2_IMPORTAR_EJECUCION'!$J$9:$J$1208,0)),0)-$AK260))</f>
        <v/>
      </c>
      <c r="AM260" s="18">
        <f>IF($A260="","",$AK260+$AL260)</f>
        <v/>
      </c>
      <c r="AN260" s="5">
        <f>IF($A260="","",IF(OR((IFERROR(INDEX('CAT_ACTIVIDADES'!$D$4:$D$11,MATCH($H260,'CAT_ACTIVIDADES'!$A$4:$A$11,0)),""))=0,(IFERROR(INDEX('CAT_ACTIVIDADES'!$D$4:$D$11,MATCH($H260,'CAT_ACTIVIDADES'!$A$4:$A$11,0)),""))=""),"SIN CLASIFICAR",IFERROR(INDEX('CAT_ACTIVIDADES'!$D$4:$D$11,MATCH($H260,'CAT_ACTIVIDADES'!$A$4:$A$11,0)),"")))</f>
        <v/>
      </c>
      <c r="AO260" s="4" t="n"/>
      <c r="AP260" s="4" t="n"/>
      <c r="AQ260" s="4" t="n"/>
      <c r="AR260" s="5">
        <f>IF($AQ260="","",HYPERLINK(p_ruta_base_checklists&amp;$AQ260,"abrir"))</f>
        <v/>
      </c>
      <c r="AS260" s="4" t="n"/>
      <c r="AT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2" t="n"/>
      <c r="K261" s="5" t="n"/>
      <c r="L261" s="18" t="n"/>
      <c r="M261" s="5">
        <f>IF($A261="","",IFERROR(INDEX('AJUSTES'!$B$4:$B$303,MATCH($AT261,'AJUSTES'!$A$4:$A$303,0)),IF($K261="","",$K261)))</f>
        <v/>
      </c>
      <c r="N261" s="5">
        <f>IF($A261="","",IFERROR(INDEX('CAT_ESTADOS_ERP'!$B$4:$B$7,MATCH(IFERROR(INDEX('2_IMPORTAR_EJECUCION'!$C$9:$C$1208,MATCH($AT261,'2_IMPORTAR_EJECUCION'!$J$9:$J$1208,0)),""),'CAT_ESTADOS_ERP'!$A$4:$A$7,0)),"Pendiente"))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IF($J261="","",$P261&amp;"-"&amp;TEXT($Q261,"00"))</f>
        <v/>
      </c>
      <c r="S261" s="5">
        <f>IF($J261="","",INDEX(lista_dias,WEEKDAY($J261,2)))</f>
        <v/>
      </c>
      <c r="T261" s="5">
        <f>IF($J261="","",IFERROR(INDEX('CALENDARIO'!$C$15:$C$214,MATCH(TEXT($J261,"yyyy-mm-dd")&amp;"|"&amp;$X261&amp;"|"&amp;$Y261,'CALENDARIO'!$G$15:$G$214,0)),IFERROR(INDEX('CALENDARIO'!$C$15:$C$214,MATCH(TEXT($J261,"yyyy-mm-dd")&amp;"|"&amp;$X261&amp;"|",'CALENDARIO'!$G$15:$G$214,0)),IFERROR(INDEX('CALENDARIO'!$C$15:$C$214,MATCH(TEXT($J261,"yyyy-mm-dd")&amp;"||",'CALENDARIO'!$G$15:$G$214,0)),INDEX(patronHabil,WEEKDAY($J261,2))))))</f>
        <v/>
      </c>
      <c r="U261" s="5">
        <f>IF($I261="","",IFERROR(INDEX('CAT_TIPOS_OT'!$C$4:$C$8,MATCH($I261,'CAT_TIPOS_OT'!$A$4:$A$8,0)),"sin_clasificar"))</f>
        <v/>
      </c>
      <c r="V261" s="5">
        <f>IF($I261="","",IF(IFERROR(INDEX('CAT_TIPOS_OT'!$D$4:$D$8,MATCH($I261,'CAT_TIPOS_OT'!$A$4:$A$8,0)),"SIN CLASIFICAR")="","SIN CLASIFICAR",IFERROR(INDEX('CAT_TIPOS_OT'!$D$4:$D$8,MATCH($I261,'CAT_TIPOS_OT'!$A$4:$A$8,0)),"SIN CLASIFICAR")))</f>
        <v/>
      </c>
      <c r="W261" s="5">
        <f>IF($F261="","",IFERROR(INDEX('CAT_CENTROS_COSTO'!$F$4:$F$13,MATCH($F261,'CAT_CENTROS_COSTO'!$A$4:$A$13,0)),"(sin catálogo)"))</f>
        <v/>
      </c>
      <c r="X261" s="5">
        <f>IF($F261="","",IFERROR(INDEX('CAT_CENTROS_COSTO'!$D$4:$D$13,MATCH($F261,'CAT_CENTROS_COSTO'!$A$4:$A$13,0)),"(sin catálogo)"))</f>
        <v/>
      </c>
      <c r="Y261" s="5">
        <f>IF($F261="","",IF((IFERROR(INDEX('CAT_CENTROS_COSTO'!$E$4:$E$13,MATCH($F261,'CAT_CENTROS_COSTO'!$A$4:$A$13,0)),""))&lt;&gt;"",IFERROR(INDEX('CAT_CENTROS_COSTO'!$E$4:$E$13,MATCH($F261,'CAT_CENTROS_COSTO'!$A$4:$A$13,0)),""),$X261))</f>
        <v/>
      </c>
      <c r="Z261" s="5">
        <f>IF($F261="","",IFERROR(INDEX('CAT_CENTROS_COSTO'!$G$4:$G$13,MATCH($F261,'CAT_CENTROS_COSTO'!$A$4:$A$13,0)),"(sin catálogo)"))</f>
        <v/>
      </c>
      <c r="AA261" s="5">
        <f>IF($G261="","",IFERROR(INDEX('CAT_PUESTOS'!$B$4:$B$8,MATCH($G261,'CAT_PUESTOS'!$A$4:$A$8,0)),"(sin catálogo)"))</f>
        <v/>
      </c>
      <c r="AB261" s="5">
        <f>IF($H261="","",IFERROR(INDEX('CAT_ACTIVIDADES'!$B$4:$B$11,MATCH($H261,'CAT_ACTIVIDADES'!$A$4:$A$11,0)),"(sin catálogo)"))</f>
        <v/>
      </c>
      <c r="AC261" s="20">
        <f>IF($J261="","",TODAY()-$J261)</f>
        <v/>
      </c>
      <c r="AD261" s="20">
        <f>IF($J261="","",IF($J261&lt;=TODAY(),COUNTIFS(cal_fechas,"&gt;="&amp;$J261,cal_fechas,"&lt;"&amp;TODAY(),cal_habil,"sí"),-COUNTIFS(cal_fechas,"&gt;="&amp;TODAY(),cal_fechas,"&lt;"&amp;$J261,cal_habil,"sí")))</f>
        <v/>
      </c>
      <c r="AE261" s="5">
        <f>IF($AD261="","",IF($AD261&lt;0,"FUTURO",IF($AD261&gt;p_dias_backlog_max,"BACKLOG","MES CORRIENTE")))</f>
        <v/>
      </c>
      <c r="AF261" s="5">
        <f>IF($AD261="",FALSE,AND($AD261&gt;p_dias_backlog_min,$AD261&lt;=p_dias_backlog_max))</f>
        <v/>
      </c>
      <c r="AG261" s="4" t="n"/>
      <c r="AH261" s="5">
        <f>IF($AG261="","",IF((IFERROR(INDEX('ASIGNACIONES'!$J$4:$J$451,MATCH($O261&amp;"|"&amp;$S261&amp;"|"&amp;$AG261,'ASIGNACIONES'!$N$4:$N$451,0)),""))=0,"",IFERROR(INDEX('ASIGNACIONES'!$J$4:$J$451,MATCH($O261&amp;"|"&amp;$S261&amp;"|"&amp;$AG261,'ASIGNACIONES'!$N$4:$N$451,0)),"")))</f>
        <v/>
      </c>
      <c r="AI261" s="25">
        <f>IF($AG261="","",SUMIFS('ORDENES'!$M$4:$M$1203,'ORDENES'!$AG$4:$AG$1203,$AG261,'ORDENES'!$O$4:$O$1203,$O261,'ORDENES'!$S$4:$S$1203,$S261))</f>
        <v/>
      </c>
      <c r="AJ261" s="25">
        <f>IF($AI261="","",p_factor_productividad*IFERROR(INDEX('ASIGNACIONES'!$M$4:$M$451,MATCH($O261&amp;"|"&amp;$S261&amp;"|"&amp;$AG261,'ASIGNACIONES'!$N$4:$N$451,0)),0)-$AI261)</f>
        <v/>
      </c>
      <c r="AK261" s="18">
        <f>IF($A261="","",IFERROR(INDEX('2_IMPORTAR_EJECUCION'!$F$9:$F$1208,MATCH($AT261,'2_IMPORTAR_EJECUCION'!$J$9:$J$1208,0)),0))</f>
        <v/>
      </c>
      <c r="AL261" s="18">
        <f>IF($A261="","",MAX(0,IFERROR(INDEX('2_IMPORTAR_EJECUCION'!$H$9:$H$1208,MATCH($AT261,'2_IMPORTAR_EJECUCION'!$J$9:$J$1208,0)),0)-$AK261))</f>
        <v/>
      </c>
      <c r="AM261" s="18">
        <f>IF($A261="","",$AK261+$AL261)</f>
        <v/>
      </c>
      <c r="AN261" s="5">
        <f>IF($A261="","",IF(OR((IFERROR(INDEX('CAT_ACTIVIDADES'!$D$4:$D$11,MATCH($H261,'CAT_ACTIVIDADES'!$A$4:$A$11,0)),""))=0,(IFERROR(INDEX('CAT_ACTIVIDADES'!$D$4:$D$11,MATCH($H261,'CAT_ACTIVIDADES'!$A$4:$A$11,0)),""))=""),"SIN CLASIFICAR",IFERROR(INDEX('CAT_ACTIVIDADES'!$D$4:$D$11,MATCH($H261,'CAT_ACTIVIDADES'!$A$4:$A$11,0)),"")))</f>
        <v/>
      </c>
      <c r="AO261" s="4" t="n"/>
      <c r="AP261" s="4" t="n"/>
      <c r="AQ261" s="4" t="n"/>
      <c r="AR261" s="5">
        <f>IF($AQ261="","",HYPERLINK(p_ruta_base_checklists&amp;$AQ261,"abrir"))</f>
        <v/>
      </c>
      <c r="AS261" s="4" t="n"/>
      <c r="AT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2" t="n"/>
      <c r="K262" s="5" t="n"/>
      <c r="L262" s="18" t="n"/>
      <c r="M262" s="5">
        <f>IF($A262="","",IFERROR(INDEX('AJUSTES'!$B$4:$B$303,MATCH($AT262,'AJUSTES'!$A$4:$A$303,0)),IF($K262="","",$K262)))</f>
        <v/>
      </c>
      <c r="N262" s="5">
        <f>IF($A262="","",IFERROR(INDEX('CAT_ESTADOS_ERP'!$B$4:$B$7,MATCH(IFERROR(INDEX('2_IMPORTAR_EJECUCION'!$C$9:$C$1208,MATCH($AT262,'2_IMPORTAR_EJECUCION'!$J$9:$J$1208,0)),""),'CAT_ESTADOS_ERP'!$A$4:$A$7,0)),"Pendiente"))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IF($J262="","",$P262&amp;"-"&amp;TEXT($Q262,"00"))</f>
        <v/>
      </c>
      <c r="S262" s="5">
        <f>IF($J262="","",INDEX(lista_dias,WEEKDAY($J262,2)))</f>
        <v/>
      </c>
      <c r="T262" s="5">
        <f>IF($J262="","",IFERROR(INDEX('CALENDARIO'!$C$15:$C$214,MATCH(TEXT($J262,"yyyy-mm-dd")&amp;"|"&amp;$X262&amp;"|"&amp;$Y262,'CALENDARIO'!$G$15:$G$214,0)),IFERROR(INDEX('CALENDARIO'!$C$15:$C$214,MATCH(TEXT($J262,"yyyy-mm-dd")&amp;"|"&amp;$X262&amp;"|",'CALENDARIO'!$G$15:$G$214,0)),IFERROR(INDEX('CALENDARIO'!$C$15:$C$214,MATCH(TEXT($J262,"yyyy-mm-dd")&amp;"||",'CALENDARIO'!$G$15:$G$214,0)),INDEX(patronHabil,WEEKDAY($J262,2))))))</f>
        <v/>
      </c>
      <c r="U262" s="5">
        <f>IF($I262="","",IFERROR(INDEX('CAT_TIPOS_OT'!$C$4:$C$8,MATCH($I262,'CAT_TIPOS_OT'!$A$4:$A$8,0)),"sin_clasificar"))</f>
        <v/>
      </c>
      <c r="V262" s="5">
        <f>IF($I262="","",IF(IFERROR(INDEX('CAT_TIPOS_OT'!$D$4:$D$8,MATCH($I262,'CAT_TIPOS_OT'!$A$4:$A$8,0)),"SIN CLASIFICAR")="","SIN CLASIFICAR",IFERROR(INDEX('CAT_TIPOS_OT'!$D$4:$D$8,MATCH($I262,'CAT_TIPOS_OT'!$A$4:$A$8,0)),"SIN CLASIFICAR")))</f>
        <v/>
      </c>
      <c r="W262" s="5">
        <f>IF($F262="","",IFERROR(INDEX('CAT_CENTROS_COSTO'!$F$4:$F$13,MATCH($F262,'CAT_CENTROS_COSTO'!$A$4:$A$13,0)),"(sin catálogo)"))</f>
        <v/>
      </c>
      <c r="X262" s="5">
        <f>IF($F262="","",IFERROR(INDEX('CAT_CENTROS_COSTO'!$D$4:$D$13,MATCH($F262,'CAT_CENTROS_COSTO'!$A$4:$A$13,0)),"(sin catálogo)"))</f>
        <v/>
      </c>
      <c r="Y262" s="5">
        <f>IF($F262="","",IF((IFERROR(INDEX('CAT_CENTROS_COSTO'!$E$4:$E$13,MATCH($F262,'CAT_CENTROS_COSTO'!$A$4:$A$13,0)),""))&lt;&gt;"",IFERROR(INDEX('CAT_CENTROS_COSTO'!$E$4:$E$13,MATCH($F262,'CAT_CENTROS_COSTO'!$A$4:$A$13,0)),""),$X262))</f>
        <v/>
      </c>
      <c r="Z262" s="5">
        <f>IF($F262="","",IFERROR(INDEX('CAT_CENTROS_COSTO'!$G$4:$G$13,MATCH($F262,'CAT_CENTROS_COSTO'!$A$4:$A$13,0)),"(sin catálogo)"))</f>
        <v/>
      </c>
      <c r="AA262" s="5">
        <f>IF($G262="","",IFERROR(INDEX('CAT_PUESTOS'!$B$4:$B$8,MATCH($G262,'CAT_PUESTOS'!$A$4:$A$8,0)),"(sin catálogo)"))</f>
        <v/>
      </c>
      <c r="AB262" s="5">
        <f>IF($H262="","",IFERROR(INDEX('CAT_ACTIVIDADES'!$B$4:$B$11,MATCH($H262,'CAT_ACTIVIDADES'!$A$4:$A$11,0)),"(sin catálogo)"))</f>
        <v/>
      </c>
      <c r="AC262" s="20">
        <f>IF($J262="","",TODAY()-$J262)</f>
        <v/>
      </c>
      <c r="AD262" s="20">
        <f>IF($J262="","",IF($J262&lt;=TODAY(),COUNTIFS(cal_fechas,"&gt;="&amp;$J262,cal_fechas,"&lt;"&amp;TODAY(),cal_habil,"sí"),-COUNTIFS(cal_fechas,"&gt;="&amp;TODAY(),cal_fechas,"&lt;"&amp;$J262,cal_habil,"sí")))</f>
        <v/>
      </c>
      <c r="AE262" s="5">
        <f>IF($AD262="","",IF($AD262&lt;0,"FUTURO",IF($AD262&gt;p_dias_backlog_max,"BACKLOG","MES CORRIENTE")))</f>
        <v/>
      </c>
      <c r="AF262" s="5">
        <f>IF($AD262="",FALSE,AND($AD262&gt;p_dias_backlog_min,$AD262&lt;=p_dias_backlog_max))</f>
        <v/>
      </c>
      <c r="AG262" s="4" t="n"/>
      <c r="AH262" s="5">
        <f>IF($AG262="","",IF((IFERROR(INDEX('ASIGNACIONES'!$J$4:$J$451,MATCH($O262&amp;"|"&amp;$S262&amp;"|"&amp;$AG262,'ASIGNACIONES'!$N$4:$N$451,0)),""))=0,"",IFERROR(INDEX('ASIGNACIONES'!$J$4:$J$451,MATCH($O262&amp;"|"&amp;$S262&amp;"|"&amp;$AG262,'ASIGNACIONES'!$N$4:$N$451,0)),"")))</f>
        <v/>
      </c>
      <c r="AI262" s="25">
        <f>IF($AG262="","",SUMIFS('ORDENES'!$M$4:$M$1203,'ORDENES'!$AG$4:$AG$1203,$AG262,'ORDENES'!$O$4:$O$1203,$O262,'ORDENES'!$S$4:$S$1203,$S262))</f>
        <v/>
      </c>
      <c r="AJ262" s="25">
        <f>IF($AI262="","",p_factor_productividad*IFERROR(INDEX('ASIGNACIONES'!$M$4:$M$451,MATCH($O262&amp;"|"&amp;$S262&amp;"|"&amp;$AG262,'ASIGNACIONES'!$N$4:$N$451,0)),0)-$AI262)</f>
        <v/>
      </c>
      <c r="AK262" s="18">
        <f>IF($A262="","",IFERROR(INDEX('2_IMPORTAR_EJECUCION'!$F$9:$F$1208,MATCH($AT262,'2_IMPORTAR_EJECUCION'!$J$9:$J$1208,0)),0))</f>
        <v/>
      </c>
      <c r="AL262" s="18">
        <f>IF($A262="","",MAX(0,IFERROR(INDEX('2_IMPORTAR_EJECUCION'!$H$9:$H$1208,MATCH($AT262,'2_IMPORTAR_EJECUCION'!$J$9:$J$1208,0)),0)-$AK262))</f>
        <v/>
      </c>
      <c r="AM262" s="18">
        <f>IF($A262="","",$AK262+$AL262)</f>
        <v/>
      </c>
      <c r="AN262" s="5">
        <f>IF($A262="","",IF(OR((IFERROR(INDEX('CAT_ACTIVIDADES'!$D$4:$D$11,MATCH($H262,'CAT_ACTIVIDADES'!$A$4:$A$11,0)),""))=0,(IFERROR(INDEX('CAT_ACTIVIDADES'!$D$4:$D$11,MATCH($H262,'CAT_ACTIVIDADES'!$A$4:$A$11,0)),""))=""),"SIN CLASIFICAR",IFERROR(INDEX('CAT_ACTIVIDADES'!$D$4:$D$11,MATCH($H262,'CAT_ACTIVIDADES'!$A$4:$A$11,0)),"")))</f>
        <v/>
      </c>
      <c r="AO262" s="4" t="n"/>
      <c r="AP262" s="4" t="n"/>
      <c r="AQ262" s="4" t="n"/>
      <c r="AR262" s="5">
        <f>IF($AQ262="","",HYPERLINK(p_ruta_base_checklists&amp;$AQ262,"abrir"))</f>
        <v/>
      </c>
      <c r="AS262" s="4" t="n"/>
      <c r="AT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2" t="n"/>
      <c r="K263" s="5" t="n"/>
      <c r="L263" s="18" t="n"/>
      <c r="M263" s="5">
        <f>IF($A263="","",IFERROR(INDEX('AJUSTES'!$B$4:$B$303,MATCH($AT263,'AJUSTES'!$A$4:$A$303,0)),IF($K263="","",$K263)))</f>
        <v/>
      </c>
      <c r="N263" s="5">
        <f>IF($A263="","",IFERROR(INDEX('CAT_ESTADOS_ERP'!$B$4:$B$7,MATCH(IFERROR(INDEX('2_IMPORTAR_EJECUCION'!$C$9:$C$1208,MATCH($AT263,'2_IMPORTAR_EJECUCION'!$J$9:$J$1208,0)),""),'CAT_ESTADOS_ERP'!$A$4:$A$7,0)),"Pendiente"))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IF($J263="","",$P263&amp;"-"&amp;TEXT($Q263,"00"))</f>
        <v/>
      </c>
      <c r="S263" s="5">
        <f>IF($J263="","",INDEX(lista_dias,WEEKDAY($J263,2)))</f>
        <v/>
      </c>
      <c r="T263" s="5">
        <f>IF($J263="","",IFERROR(INDEX('CALENDARIO'!$C$15:$C$214,MATCH(TEXT($J263,"yyyy-mm-dd")&amp;"|"&amp;$X263&amp;"|"&amp;$Y263,'CALENDARIO'!$G$15:$G$214,0)),IFERROR(INDEX('CALENDARIO'!$C$15:$C$214,MATCH(TEXT($J263,"yyyy-mm-dd")&amp;"|"&amp;$X263&amp;"|",'CALENDARIO'!$G$15:$G$214,0)),IFERROR(INDEX('CALENDARIO'!$C$15:$C$214,MATCH(TEXT($J263,"yyyy-mm-dd")&amp;"||",'CALENDARIO'!$G$15:$G$214,0)),INDEX(patronHabil,WEEKDAY($J263,2))))))</f>
        <v/>
      </c>
      <c r="U263" s="5">
        <f>IF($I263="","",IFERROR(INDEX('CAT_TIPOS_OT'!$C$4:$C$8,MATCH($I263,'CAT_TIPOS_OT'!$A$4:$A$8,0)),"sin_clasificar"))</f>
        <v/>
      </c>
      <c r="V263" s="5">
        <f>IF($I263="","",IF(IFERROR(INDEX('CAT_TIPOS_OT'!$D$4:$D$8,MATCH($I263,'CAT_TIPOS_OT'!$A$4:$A$8,0)),"SIN CLASIFICAR")="","SIN CLASIFICAR",IFERROR(INDEX('CAT_TIPOS_OT'!$D$4:$D$8,MATCH($I263,'CAT_TIPOS_OT'!$A$4:$A$8,0)),"SIN CLASIFICAR")))</f>
        <v/>
      </c>
      <c r="W263" s="5">
        <f>IF($F263="","",IFERROR(INDEX('CAT_CENTROS_COSTO'!$F$4:$F$13,MATCH($F263,'CAT_CENTROS_COSTO'!$A$4:$A$13,0)),"(sin catálogo)"))</f>
        <v/>
      </c>
      <c r="X263" s="5">
        <f>IF($F263="","",IFERROR(INDEX('CAT_CENTROS_COSTO'!$D$4:$D$13,MATCH($F263,'CAT_CENTROS_COSTO'!$A$4:$A$13,0)),"(sin catálogo)"))</f>
        <v/>
      </c>
      <c r="Y263" s="5">
        <f>IF($F263="","",IF((IFERROR(INDEX('CAT_CENTROS_COSTO'!$E$4:$E$13,MATCH($F263,'CAT_CENTROS_COSTO'!$A$4:$A$13,0)),""))&lt;&gt;"",IFERROR(INDEX('CAT_CENTROS_COSTO'!$E$4:$E$13,MATCH($F263,'CAT_CENTROS_COSTO'!$A$4:$A$13,0)),""),$X263))</f>
        <v/>
      </c>
      <c r="Z263" s="5">
        <f>IF($F263="","",IFERROR(INDEX('CAT_CENTROS_COSTO'!$G$4:$G$13,MATCH($F263,'CAT_CENTROS_COSTO'!$A$4:$A$13,0)),"(sin catálogo)"))</f>
        <v/>
      </c>
      <c r="AA263" s="5">
        <f>IF($G263="","",IFERROR(INDEX('CAT_PUESTOS'!$B$4:$B$8,MATCH($G263,'CAT_PUESTOS'!$A$4:$A$8,0)),"(sin catálogo)"))</f>
        <v/>
      </c>
      <c r="AB263" s="5">
        <f>IF($H263="","",IFERROR(INDEX('CAT_ACTIVIDADES'!$B$4:$B$11,MATCH($H263,'CAT_ACTIVIDADES'!$A$4:$A$11,0)),"(sin catálogo)"))</f>
        <v/>
      </c>
      <c r="AC263" s="20">
        <f>IF($J263="","",TODAY()-$J263)</f>
        <v/>
      </c>
      <c r="AD263" s="20">
        <f>IF($J263="","",IF($J263&lt;=TODAY(),COUNTIFS(cal_fechas,"&gt;="&amp;$J263,cal_fechas,"&lt;"&amp;TODAY(),cal_habil,"sí"),-COUNTIFS(cal_fechas,"&gt;="&amp;TODAY(),cal_fechas,"&lt;"&amp;$J263,cal_habil,"sí")))</f>
        <v/>
      </c>
      <c r="AE263" s="5">
        <f>IF($AD263="","",IF($AD263&lt;0,"FUTURO",IF($AD263&gt;p_dias_backlog_max,"BACKLOG","MES CORRIENTE")))</f>
        <v/>
      </c>
      <c r="AF263" s="5">
        <f>IF($AD263="",FALSE,AND($AD263&gt;p_dias_backlog_min,$AD263&lt;=p_dias_backlog_max))</f>
        <v/>
      </c>
      <c r="AG263" s="4" t="n"/>
      <c r="AH263" s="5">
        <f>IF($AG263="","",IF((IFERROR(INDEX('ASIGNACIONES'!$J$4:$J$451,MATCH($O263&amp;"|"&amp;$S263&amp;"|"&amp;$AG263,'ASIGNACIONES'!$N$4:$N$451,0)),""))=0,"",IFERROR(INDEX('ASIGNACIONES'!$J$4:$J$451,MATCH($O263&amp;"|"&amp;$S263&amp;"|"&amp;$AG263,'ASIGNACIONES'!$N$4:$N$451,0)),"")))</f>
        <v/>
      </c>
      <c r="AI263" s="25">
        <f>IF($AG263="","",SUMIFS('ORDENES'!$M$4:$M$1203,'ORDENES'!$AG$4:$AG$1203,$AG263,'ORDENES'!$O$4:$O$1203,$O263,'ORDENES'!$S$4:$S$1203,$S263))</f>
        <v/>
      </c>
      <c r="AJ263" s="25">
        <f>IF($AI263="","",p_factor_productividad*IFERROR(INDEX('ASIGNACIONES'!$M$4:$M$451,MATCH($O263&amp;"|"&amp;$S263&amp;"|"&amp;$AG263,'ASIGNACIONES'!$N$4:$N$451,0)),0)-$AI263)</f>
        <v/>
      </c>
      <c r="AK263" s="18">
        <f>IF($A263="","",IFERROR(INDEX('2_IMPORTAR_EJECUCION'!$F$9:$F$1208,MATCH($AT263,'2_IMPORTAR_EJECUCION'!$J$9:$J$1208,0)),0))</f>
        <v/>
      </c>
      <c r="AL263" s="18">
        <f>IF($A263="","",MAX(0,IFERROR(INDEX('2_IMPORTAR_EJECUCION'!$H$9:$H$1208,MATCH($AT263,'2_IMPORTAR_EJECUCION'!$J$9:$J$1208,0)),0)-$AK263))</f>
        <v/>
      </c>
      <c r="AM263" s="18">
        <f>IF($A263="","",$AK263+$AL263)</f>
        <v/>
      </c>
      <c r="AN263" s="5">
        <f>IF($A263="","",IF(OR((IFERROR(INDEX('CAT_ACTIVIDADES'!$D$4:$D$11,MATCH($H263,'CAT_ACTIVIDADES'!$A$4:$A$11,0)),""))=0,(IFERROR(INDEX('CAT_ACTIVIDADES'!$D$4:$D$11,MATCH($H263,'CAT_ACTIVIDADES'!$A$4:$A$11,0)),""))=""),"SIN CLASIFICAR",IFERROR(INDEX('CAT_ACTIVIDADES'!$D$4:$D$11,MATCH($H263,'CAT_ACTIVIDADES'!$A$4:$A$11,0)),"")))</f>
        <v/>
      </c>
      <c r="AO263" s="4" t="n"/>
      <c r="AP263" s="4" t="n"/>
      <c r="AQ263" s="4" t="n"/>
      <c r="AR263" s="5">
        <f>IF($AQ263="","",HYPERLINK(p_ruta_base_checklists&amp;$AQ263,"abrir"))</f>
        <v/>
      </c>
      <c r="AS263" s="4" t="n"/>
      <c r="AT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2" t="n"/>
      <c r="K264" s="5" t="n"/>
      <c r="L264" s="18" t="n"/>
      <c r="M264" s="5">
        <f>IF($A264="","",IFERROR(INDEX('AJUSTES'!$B$4:$B$303,MATCH($AT264,'AJUSTES'!$A$4:$A$303,0)),IF($K264="","",$K264)))</f>
        <v/>
      </c>
      <c r="N264" s="5">
        <f>IF($A264="","",IFERROR(INDEX('CAT_ESTADOS_ERP'!$B$4:$B$7,MATCH(IFERROR(INDEX('2_IMPORTAR_EJECUCION'!$C$9:$C$1208,MATCH($AT264,'2_IMPORTAR_EJECUCION'!$J$9:$J$1208,0)),""),'CAT_ESTADOS_ERP'!$A$4:$A$7,0)),"Pendiente"))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IF($J264="","",$P264&amp;"-"&amp;TEXT($Q264,"00"))</f>
        <v/>
      </c>
      <c r="S264" s="5">
        <f>IF($J264="","",INDEX(lista_dias,WEEKDAY($J264,2)))</f>
        <v/>
      </c>
      <c r="T264" s="5">
        <f>IF($J264="","",IFERROR(INDEX('CALENDARIO'!$C$15:$C$214,MATCH(TEXT($J264,"yyyy-mm-dd")&amp;"|"&amp;$X264&amp;"|"&amp;$Y264,'CALENDARIO'!$G$15:$G$214,0)),IFERROR(INDEX('CALENDARIO'!$C$15:$C$214,MATCH(TEXT($J264,"yyyy-mm-dd")&amp;"|"&amp;$X264&amp;"|",'CALENDARIO'!$G$15:$G$214,0)),IFERROR(INDEX('CALENDARIO'!$C$15:$C$214,MATCH(TEXT($J264,"yyyy-mm-dd")&amp;"||",'CALENDARIO'!$G$15:$G$214,0)),INDEX(patronHabil,WEEKDAY($J264,2))))))</f>
        <v/>
      </c>
      <c r="U264" s="5">
        <f>IF($I264="","",IFERROR(INDEX('CAT_TIPOS_OT'!$C$4:$C$8,MATCH($I264,'CAT_TIPOS_OT'!$A$4:$A$8,0)),"sin_clasificar"))</f>
        <v/>
      </c>
      <c r="V264" s="5">
        <f>IF($I264="","",IF(IFERROR(INDEX('CAT_TIPOS_OT'!$D$4:$D$8,MATCH($I264,'CAT_TIPOS_OT'!$A$4:$A$8,0)),"SIN CLASIFICAR")="","SIN CLASIFICAR",IFERROR(INDEX('CAT_TIPOS_OT'!$D$4:$D$8,MATCH($I264,'CAT_TIPOS_OT'!$A$4:$A$8,0)),"SIN CLASIFICAR")))</f>
        <v/>
      </c>
      <c r="W264" s="5">
        <f>IF($F264="","",IFERROR(INDEX('CAT_CENTROS_COSTO'!$F$4:$F$13,MATCH($F264,'CAT_CENTROS_COSTO'!$A$4:$A$13,0)),"(sin catálogo)"))</f>
        <v/>
      </c>
      <c r="X264" s="5">
        <f>IF($F264="","",IFERROR(INDEX('CAT_CENTROS_COSTO'!$D$4:$D$13,MATCH($F264,'CAT_CENTROS_COSTO'!$A$4:$A$13,0)),"(sin catálogo)"))</f>
        <v/>
      </c>
      <c r="Y264" s="5">
        <f>IF($F264="","",IF((IFERROR(INDEX('CAT_CENTROS_COSTO'!$E$4:$E$13,MATCH($F264,'CAT_CENTROS_COSTO'!$A$4:$A$13,0)),""))&lt;&gt;"",IFERROR(INDEX('CAT_CENTROS_COSTO'!$E$4:$E$13,MATCH($F264,'CAT_CENTROS_COSTO'!$A$4:$A$13,0)),""),$X264))</f>
        <v/>
      </c>
      <c r="Z264" s="5">
        <f>IF($F264="","",IFERROR(INDEX('CAT_CENTROS_COSTO'!$G$4:$G$13,MATCH($F264,'CAT_CENTROS_COSTO'!$A$4:$A$13,0)),"(sin catálogo)"))</f>
        <v/>
      </c>
      <c r="AA264" s="5">
        <f>IF($G264="","",IFERROR(INDEX('CAT_PUESTOS'!$B$4:$B$8,MATCH($G264,'CAT_PUESTOS'!$A$4:$A$8,0)),"(sin catálogo)"))</f>
        <v/>
      </c>
      <c r="AB264" s="5">
        <f>IF($H264="","",IFERROR(INDEX('CAT_ACTIVIDADES'!$B$4:$B$11,MATCH($H264,'CAT_ACTIVIDADES'!$A$4:$A$11,0)),"(sin catálogo)"))</f>
        <v/>
      </c>
      <c r="AC264" s="20">
        <f>IF($J264="","",TODAY()-$J264)</f>
        <v/>
      </c>
      <c r="AD264" s="20">
        <f>IF($J264="","",IF($J264&lt;=TODAY(),COUNTIFS(cal_fechas,"&gt;="&amp;$J264,cal_fechas,"&lt;"&amp;TODAY(),cal_habil,"sí"),-COUNTIFS(cal_fechas,"&gt;="&amp;TODAY(),cal_fechas,"&lt;"&amp;$J264,cal_habil,"sí")))</f>
        <v/>
      </c>
      <c r="AE264" s="5">
        <f>IF($AD264="","",IF($AD264&lt;0,"FUTURO",IF($AD264&gt;p_dias_backlog_max,"BACKLOG","MES CORRIENTE")))</f>
        <v/>
      </c>
      <c r="AF264" s="5">
        <f>IF($AD264="",FALSE,AND($AD264&gt;p_dias_backlog_min,$AD264&lt;=p_dias_backlog_max))</f>
        <v/>
      </c>
      <c r="AG264" s="4" t="n"/>
      <c r="AH264" s="5">
        <f>IF($AG264="","",IF((IFERROR(INDEX('ASIGNACIONES'!$J$4:$J$451,MATCH($O264&amp;"|"&amp;$S264&amp;"|"&amp;$AG264,'ASIGNACIONES'!$N$4:$N$451,0)),""))=0,"",IFERROR(INDEX('ASIGNACIONES'!$J$4:$J$451,MATCH($O264&amp;"|"&amp;$S264&amp;"|"&amp;$AG264,'ASIGNACIONES'!$N$4:$N$451,0)),"")))</f>
        <v/>
      </c>
      <c r="AI264" s="25">
        <f>IF($AG264="","",SUMIFS('ORDENES'!$M$4:$M$1203,'ORDENES'!$AG$4:$AG$1203,$AG264,'ORDENES'!$O$4:$O$1203,$O264,'ORDENES'!$S$4:$S$1203,$S264))</f>
        <v/>
      </c>
      <c r="AJ264" s="25">
        <f>IF($AI264="","",p_factor_productividad*IFERROR(INDEX('ASIGNACIONES'!$M$4:$M$451,MATCH($O264&amp;"|"&amp;$S264&amp;"|"&amp;$AG264,'ASIGNACIONES'!$N$4:$N$451,0)),0)-$AI264)</f>
        <v/>
      </c>
      <c r="AK264" s="18">
        <f>IF($A264="","",IFERROR(INDEX('2_IMPORTAR_EJECUCION'!$F$9:$F$1208,MATCH($AT264,'2_IMPORTAR_EJECUCION'!$J$9:$J$1208,0)),0))</f>
        <v/>
      </c>
      <c r="AL264" s="18">
        <f>IF($A264="","",MAX(0,IFERROR(INDEX('2_IMPORTAR_EJECUCION'!$H$9:$H$1208,MATCH($AT264,'2_IMPORTAR_EJECUCION'!$J$9:$J$1208,0)),0)-$AK264))</f>
        <v/>
      </c>
      <c r="AM264" s="18">
        <f>IF($A264="","",$AK264+$AL264)</f>
        <v/>
      </c>
      <c r="AN264" s="5">
        <f>IF($A264="","",IF(OR((IFERROR(INDEX('CAT_ACTIVIDADES'!$D$4:$D$11,MATCH($H264,'CAT_ACTIVIDADES'!$A$4:$A$11,0)),""))=0,(IFERROR(INDEX('CAT_ACTIVIDADES'!$D$4:$D$11,MATCH($H264,'CAT_ACTIVIDADES'!$A$4:$A$11,0)),""))=""),"SIN CLASIFICAR",IFERROR(INDEX('CAT_ACTIVIDADES'!$D$4:$D$11,MATCH($H264,'CAT_ACTIVIDADES'!$A$4:$A$11,0)),"")))</f>
        <v/>
      </c>
      <c r="AO264" s="4" t="n"/>
      <c r="AP264" s="4" t="n"/>
      <c r="AQ264" s="4" t="n"/>
      <c r="AR264" s="5">
        <f>IF($AQ264="","",HYPERLINK(p_ruta_base_checklists&amp;$AQ264,"abrir"))</f>
        <v/>
      </c>
      <c r="AS264" s="4" t="n"/>
      <c r="AT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2" t="n"/>
      <c r="K265" s="5" t="n"/>
      <c r="L265" s="18" t="n"/>
      <c r="M265" s="5">
        <f>IF($A265="","",IFERROR(INDEX('AJUSTES'!$B$4:$B$303,MATCH($AT265,'AJUSTES'!$A$4:$A$303,0)),IF($K265="","",$K265)))</f>
        <v/>
      </c>
      <c r="N265" s="5">
        <f>IF($A265="","",IFERROR(INDEX('CAT_ESTADOS_ERP'!$B$4:$B$7,MATCH(IFERROR(INDEX('2_IMPORTAR_EJECUCION'!$C$9:$C$1208,MATCH($AT265,'2_IMPORTAR_EJECUCION'!$J$9:$J$1208,0)),""),'CAT_ESTADOS_ERP'!$A$4:$A$7,0)),"Pendiente"))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IF($J265="","",$P265&amp;"-"&amp;TEXT($Q265,"00"))</f>
        <v/>
      </c>
      <c r="S265" s="5">
        <f>IF($J265="","",INDEX(lista_dias,WEEKDAY($J265,2)))</f>
        <v/>
      </c>
      <c r="T265" s="5">
        <f>IF($J265="","",IFERROR(INDEX('CALENDARIO'!$C$15:$C$214,MATCH(TEXT($J265,"yyyy-mm-dd")&amp;"|"&amp;$X265&amp;"|"&amp;$Y265,'CALENDARIO'!$G$15:$G$214,0)),IFERROR(INDEX('CALENDARIO'!$C$15:$C$214,MATCH(TEXT($J265,"yyyy-mm-dd")&amp;"|"&amp;$X265&amp;"|",'CALENDARIO'!$G$15:$G$214,0)),IFERROR(INDEX('CALENDARIO'!$C$15:$C$214,MATCH(TEXT($J265,"yyyy-mm-dd")&amp;"||",'CALENDARIO'!$G$15:$G$214,0)),INDEX(patronHabil,WEEKDAY($J265,2))))))</f>
        <v/>
      </c>
      <c r="U265" s="5">
        <f>IF($I265="","",IFERROR(INDEX('CAT_TIPOS_OT'!$C$4:$C$8,MATCH($I265,'CAT_TIPOS_OT'!$A$4:$A$8,0)),"sin_clasificar"))</f>
        <v/>
      </c>
      <c r="V265" s="5">
        <f>IF($I265="","",IF(IFERROR(INDEX('CAT_TIPOS_OT'!$D$4:$D$8,MATCH($I265,'CAT_TIPOS_OT'!$A$4:$A$8,0)),"SIN CLASIFICAR")="","SIN CLASIFICAR",IFERROR(INDEX('CAT_TIPOS_OT'!$D$4:$D$8,MATCH($I265,'CAT_TIPOS_OT'!$A$4:$A$8,0)),"SIN CLASIFICAR")))</f>
        <v/>
      </c>
      <c r="W265" s="5">
        <f>IF($F265="","",IFERROR(INDEX('CAT_CENTROS_COSTO'!$F$4:$F$13,MATCH($F265,'CAT_CENTROS_COSTO'!$A$4:$A$13,0)),"(sin catálogo)"))</f>
        <v/>
      </c>
      <c r="X265" s="5">
        <f>IF($F265="","",IFERROR(INDEX('CAT_CENTROS_COSTO'!$D$4:$D$13,MATCH($F265,'CAT_CENTROS_COSTO'!$A$4:$A$13,0)),"(sin catálogo)"))</f>
        <v/>
      </c>
      <c r="Y265" s="5">
        <f>IF($F265="","",IF((IFERROR(INDEX('CAT_CENTROS_COSTO'!$E$4:$E$13,MATCH($F265,'CAT_CENTROS_COSTO'!$A$4:$A$13,0)),""))&lt;&gt;"",IFERROR(INDEX('CAT_CENTROS_COSTO'!$E$4:$E$13,MATCH($F265,'CAT_CENTROS_COSTO'!$A$4:$A$13,0)),""),$X265))</f>
        <v/>
      </c>
      <c r="Z265" s="5">
        <f>IF($F265="","",IFERROR(INDEX('CAT_CENTROS_COSTO'!$G$4:$G$13,MATCH($F265,'CAT_CENTROS_COSTO'!$A$4:$A$13,0)),"(sin catálogo)"))</f>
        <v/>
      </c>
      <c r="AA265" s="5">
        <f>IF($G265="","",IFERROR(INDEX('CAT_PUESTOS'!$B$4:$B$8,MATCH($G265,'CAT_PUESTOS'!$A$4:$A$8,0)),"(sin catálogo)"))</f>
        <v/>
      </c>
      <c r="AB265" s="5">
        <f>IF($H265="","",IFERROR(INDEX('CAT_ACTIVIDADES'!$B$4:$B$11,MATCH($H265,'CAT_ACTIVIDADES'!$A$4:$A$11,0)),"(sin catálogo)"))</f>
        <v/>
      </c>
      <c r="AC265" s="20">
        <f>IF($J265="","",TODAY()-$J265)</f>
        <v/>
      </c>
      <c r="AD265" s="20">
        <f>IF($J265="","",IF($J265&lt;=TODAY(),COUNTIFS(cal_fechas,"&gt;="&amp;$J265,cal_fechas,"&lt;"&amp;TODAY(),cal_habil,"sí"),-COUNTIFS(cal_fechas,"&gt;="&amp;TODAY(),cal_fechas,"&lt;"&amp;$J265,cal_habil,"sí")))</f>
        <v/>
      </c>
      <c r="AE265" s="5">
        <f>IF($AD265="","",IF($AD265&lt;0,"FUTURO",IF($AD265&gt;p_dias_backlog_max,"BACKLOG","MES CORRIENTE")))</f>
        <v/>
      </c>
      <c r="AF265" s="5">
        <f>IF($AD265="",FALSE,AND($AD265&gt;p_dias_backlog_min,$AD265&lt;=p_dias_backlog_max))</f>
        <v/>
      </c>
      <c r="AG265" s="4" t="n"/>
      <c r="AH265" s="5">
        <f>IF($AG265="","",IF((IFERROR(INDEX('ASIGNACIONES'!$J$4:$J$451,MATCH($O265&amp;"|"&amp;$S265&amp;"|"&amp;$AG265,'ASIGNACIONES'!$N$4:$N$451,0)),""))=0,"",IFERROR(INDEX('ASIGNACIONES'!$J$4:$J$451,MATCH($O265&amp;"|"&amp;$S265&amp;"|"&amp;$AG265,'ASIGNACIONES'!$N$4:$N$451,0)),"")))</f>
        <v/>
      </c>
      <c r="AI265" s="25">
        <f>IF($AG265="","",SUMIFS('ORDENES'!$M$4:$M$1203,'ORDENES'!$AG$4:$AG$1203,$AG265,'ORDENES'!$O$4:$O$1203,$O265,'ORDENES'!$S$4:$S$1203,$S265))</f>
        <v/>
      </c>
      <c r="AJ265" s="25">
        <f>IF($AI265="","",p_factor_productividad*IFERROR(INDEX('ASIGNACIONES'!$M$4:$M$451,MATCH($O265&amp;"|"&amp;$S265&amp;"|"&amp;$AG265,'ASIGNACIONES'!$N$4:$N$451,0)),0)-$AI265)</f>
        <v/>
      </c>
      <c r="AK265" s="18">
        <f>IF($A265="","",IFERROR(INDEX('2_IMPORTAR_EJECUCION'!$F$9:$F$1208,MATCH($AT265,'2_IMPORTAR_EJECUCION'!$J$9:$J$1208,0)),0))</f>
        <v/>
      </c>
      <c r="AL265" s="18">
        <f>IF($A265="","",MAX(0,IFERROR(INDEX('2_IMPORTAR_EJECUCION'!$H$9:$H$1208,MATCH($AT265,'2_IMPORTAR_EJECUCION'!$J$9:$J$1208,0)),0)-$AK265))</f>
        <v/>
      </c>
      <c r="AM265" s="18">
        <f>IF($A265="","",$AK265+$AL265)</f>
        <v/>
      </c>
      <c r="AN265" s="5">
        <f>IF($A265="","",IF(OR((IFERROR(INDEX('CAT_ACTIVIDADES'!$D$4:$D$11,MATCH($H265,'CAT_ACTIVIDADES'!$A$4:$A$11,0)),""))=0,(IFERROR(INDEX('CAT_ACTIVIDADES'!$D$4:$D$11,MATCH($H265,'CAT_ACTIVIDADES'!$A$4:$A$11,0)),""))=""),"SIN CLASIFICAR",IFERROR(INDEX('CAT_ACTIVIDADES'!$D$4:$D$11,MATCH($H265,'CAT_ACTIVIDADES'!$A$4:$A$11,0)),"")))</f>
        <v/>
      </c>
      <c r="AO265" s="4" t="n"/>
      <c r="AP265" s="4" t="n"/>
      <c r="AQ265" s="4" t="n"/>
      <c r="AR265" s="5">
        <f>IF($AQ265="","",HYPERLINK(p_ruta_base_checklists&amp;$AQ265,"abrir"))</f>
        <v/>
      </c>
      <c r="AS265" s="4" t="n"/>
      <c r="AT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2" t="n"/>
      <c r="K266" s="5" t="n"/>
      <c r="L266" s="18" t="n"/>
      <c r="M266" s="5">
        <f>IF($A266="","",IFERROR(INDEX('AJUSTES'!$B$4:$B$303,MATCH($AT266,'AJUSTES'!$A$4:$A$303,0)),IF($K266="","",$K266)))</f>
        <v/>
      </c>
      <c r="N266" s="5">
        <f>IF($A266="","",IFERROR(INDEX('CAT_ESTADOS_ERP'!$B$4:$B$7,MATCH(IFERROR(INDEX('2_IMPORTAR_EJECUCION'!$C$9:$C$1208,MATCH($AT266,'2_IMPORTAR_EJECUCION'!$J$9:$J$1208,0)),""),'CAT_ESTADOS_ERP'!$A$4:$A$7,0)),"Pendiente"))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IF($J266="","",$P266&amp;"-"&amp;TEXT($Q266,"00"))</f>
        <v/>
      </c>
      <c r="S266" s="5">
        <f>IF($J266="","",INDEX(lista_dias,WEEKDAY($J266,2)))</f>
        <v/>
      </c>
      <c r="T266" s="5">
        <f>IF($J266="","",IFERROR(INDEX('CALENDARIO'!$C$15:$C$214,MATCH(TEXT($J266,"yyyy-mm-dd")&amp;"|"&amp;$X266&amp;"|"&amp;$Y266,'CALENDARIO'!$G$15:$G$214,0)),IFERROR(INDEX('CALENDARIO'!$C$15:$C$214,MATCH(TEXT($J266,"yyyy-mm-dd")&amp;"|"&amp;$X266&amp;"|",'CALENDARIO'!$G$15:$G$214,0)),IFERROR(INDEX('CALENDARIO'!$C$15:$C$214,MATCH(TEXT($J266,"yyyy-mm-dd")&amp;"||",'CALENDARIO'!$G$15:$G$214,0)),INDEX(patronHabil,WEEKDAY($J266,2))))))</f>
        <v/>
      </c>
      <c r="U266" s="5">
        <f>IF($I266="","",IFERROR(INDEX('CAT_TIPOS_OT'!$C$4:$C$8,MATCH($I266,'CAT_TIPOS_OT'!$A$4:$A$8,0)),"sin_clasificar"))</f>
        <v/>
      </c>
      <c r="V266" s="5">
        <f>IF($I266="","",IF(IFERROR(INDEX('CAT_TIPOS_OT'!$D$4:$D$8,MATCH($I266,'CAT_TIPOS_OT'!$A$4:$A$8,0)),"SIN CLASIFICAR")="","SIN CLASIFICAR",IFERROR(INDEX('CAT_TIPOS_OT'!$D$4:$D$8,MATCH($I266,'CAT_TIPOS_OT'!$A$4:$A$8,0)),"SIN CLASIFICAR")))</f>
        <v/>
      </c>
      <c r="W266" s="5">
        <f>IF($F266="","",IFERROR(INDEX('CAT_CENTROS_COSTO'!$F$4:$F$13,MATCH($F266,'CAT_CENTROS_COSTO'!$A$4:$A$13,0)),"(sin catálogo)"))</f>
        <v/>
      </c>
      <c r="X266" s="5">
        <f>IF($F266="","",IFERROR(INDEX('CAT_CENTROS_COSTO'!$D$4:$D$13,MATCH($F266,'CAT_CENTROS_COSTO'!$A$4:$A$13,0)),"(sin catálogo)"))</f>
        <v/>
      </c>
      <c r="Y266" s="5">
        <f>IF($F266="","",IF((IFERROR(INDEX('CAT_CENTROS_COSTO'!$E$4:$E$13,MATCH($F266,'CAT_CENTROS_COSTO'!$A$4:$A$13,0)),""))&lt;&gt;"",IFERROR(INDEX('CAT_CENTROS_COSTO'!$E$4:$E$13,MATCH($F266,'CAT_CENTROS_COSTO'!$A$4:$A$13,0)),""),$X266))</f>
        <v/>
      </c>
      <c r="Z266" s="5">
        <f>IF($F266="","",IFERROR(INDEX('CAT_CENTROS_COSTO'!$G$4:$G$13,MATCH($F266,'CAT_CENTROS_COSTO'!$A$4:$A$13,0)),"(sin catálogo)"))</f>
        <v/>
      </c>
      <c r="AA266" s="5">
        <f>IF($G266="","",IFERROR(INDEX('CAT_PUESTOS'!$B$4:$B$8,MATCH($G266,'CAT_PUESTOS'!$A$4:$A$8,0)),"(sin catálogo)"))</f>
        <v/>
      </c>
      <c r="AB266" s="5">
        <f>IF($H266="","",IFERROR(INDEX('CAT_ACTIVIDADES'!$B$4:$B$11,MATCH($H266,'CAT_ACTIVIDADES'!$A$4:$A$11,0)),"(sin catálogo)"))</f>
        <v/>
      </c>
      <c r="AC266" s="20">
        <f>IF($J266="","",TODAY()-$J266)</f>
        <v/>
      </c>
      <c r="AD266" s="20">
        <f>IF($J266="","",IF($J266&lt;=TODAY(),COUNTIFS(cal_fechas,"&gt;="&amp;$J266,cal_fechas,"&lt;"&amp;TODAY(),cal_habil,"sí"),-COUNTIFS(cal_fechas,"&gt;="&amp;TODAY(),cal_fechas,"&lt;"&amp;$J266,cal_habil,"sí")))</f>
        <v/>
      </c>
      <c r="AE266" s="5">
        <f>IF($AD266="","",IF($AD266&lt;0,"FUTURO",IF($AD266&gt;p_dias_backlog_max,"BACKLOG","MES CORRIENTE")))</f>
        <v/>
      </c>
      <c r="AF266" s="5">
        <f>IF($AD266="",FALSE,AND($AD266&gt;p_dias_backlog_min,$AD266&lt;=p_dias_backlog_max))</f>
        <v/>
      </c>
      <c r="AG266" s="4" t="n"/>
      <c r="AH266" s="5">
        <f>IF($AG266="","",IF((IFERROR(INDEX('ASIGNACIONES'!$J$4:$J$451,MATCH($O266&amp;"|"&amp;$S266&amp;"|"&amp;$AG266,'ASIGNACIONES'!$N$4:$N$451,0)),""))=0,"",IFERROR(INDEX('ASIGNACIONES'!$J$4:$J$451,MATCH($O266&amp;"|"&amp;$S266&amp;"|"&amp;$AG266,'ASIGNACIONES'!$N$4:$N$451,0)),"")))</f>
        <v/>
      </c>
      <c r="AI266" s="25">
        <f>IF($AG266="","",SUMIFS('ORDENES'!$M$4:$M$1203,'ORDENES'!$AG$4:$AG$1203,$AG266,'ORDENES'!$O$4:$O$1203,$O266,'ORDENES'!$S$4:$S$1203,$S266))</f>
        <v/>
      </c>
      <c r="AJ266" s="25">
        <f>IF($AI266="","",p_factor_productividad*IFERROR(INDEX('ASIGNACIONES'!$M$4:$M$451,MATCH($O266&amp;"|"&amp;$S266&amp;"|"&amp;$AG266,'ASIGNACIONES'!$N$4:$N$451,0)),0)-$AI266)</f>
        <v/>
      </c>
      <c r="AK266" s="18">
        <f>IF($A266="","",IFERROR(INDEX('2_IMPORTAR_EJECUCION'!$F$9:$F$1208,MATCH($AT266,'2_IMPORTAR_EJECUCION'!$J$9:$J$1208,0)),0))</f>
        <v/>
      </c>
      <c r="AL266" s="18">
        <f>IF($A266="","",MAX(0,IFERROR(INDEX('2_IMPORTAR_EJECUCION'!$H$9:$H$1208,MATCH($AT266,'2_IMPORTAR_EJECUCION'!$J$9:$J$1208,0)),0)-$AK266))</f>
        <v/>
      </c>
      <c r="AM266" s="18">
        <f>IF($A266="","",$AK266+$AL266)</f>
        <v/>
      </c>
      <c r="AN266" s="5">
        <f>IF($A266="","",IF(OR((IFERROR(INDEX('CAT_ACTIVIDADES'!$D$4:$D$11,MATCH($H266,'CAT_ACTIVIDADES'!$A$4:$A$11,0)),""))=0,(IFERROR(INDEX('CAT_ACTIVIDADES'!$D$4:$D$11,MATCH($H266,'CAT_ACTIVIDADES'!$A$4:$A$11,0)),""))=""),"SIN CLASIFICAR",IFERROR(INDEX('CAT_ACTIVIDADES'!$D$4:$D$11,MATCH($H266,'CAT_ACTIVIDADES'!$A$4:$A$11,0)),"")))</f>
        <v/>
      </c>
      <c r="AO266" s="4" t="n"/>
      <c r="AP266" s="4" t="n"/>
      <c r="AQ266" s="4" t="n"/>
      <c r="AR266" s="5">
        <f>IF($AQ266="","",HYPERLINK(p_ruta_base_checklists&amp;$AQ266,"abrir"))</f>
        <v/>
      </c>
      <c r="AS266" s="4" t="n"/>
      <c r="AT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2" t="n"/>
      <c r="K267" s="5" t="n"/>
      <c r="L267" s="18" t="n"/>
      <c r="M267" s="5">
        <f>IF($A267="","",IFERROR(INDEX('AJUSTES'!$B$4:$B$303,MATCH($AT267,'AJUSTES'!$A$4:$A$303,0)),IF($K267="","",$K267)))</f>
        <v/>
      </c>
      <c r="N267" s="5">
        <f>IF($A267="","",IFERROR(INDEX('CAT_ESTADOS_ERP'!$B$4:$B$7,MATCH(IFERROR(INDEX('2_IMPORTAR_EJECUCION'!$C$9:$C$1208,MATCH($AT267,'2_IMPORTAR_EJECUCION'!$J$9:$J$1208,0)),""),'CAT_ESTADOS_ERP'!$A$4:$A$7,0)),"Pendiente"))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IF($J267="","",$P267&amp;"-"&amp;TEXT($Q267,"00"))</f>
        <v/>
      </c>
      <c r="S267" s="5">
        <f>IF($J267="","",INDEX(lista_dias,WEEKDAY($J267,2)))</f>
        <v/>
      </c>
      <c r="T267" s="5">
        <f>IF($J267="","",IFERROR(INDEX('CALENDARIO'!$C$15:$C$214,MATCH(TEXT($J267,"yyyy-mm-dd")&amp;"|"&amp;$X267&amp;"|"&amp;$Y267,'CALENDARIO'!$G$15:$G$214,0)),IFERROR(INDEX('CALENDARIO'!$C$15:$C$214,MATCH(TEXT($J267,"yyyy-mm-dd")&amp;"|"&amp;$X267&amp;"|",'CALENDARIO'!$G$15:$G$214,0)),IFERROR(INDEX('CALENDARIO'!$C$15:$C$214,MATCH(TEXT($J267,"yyyy-mm-dd")&amp;"||",'CALENDARIO'!$G$15:$G$214,0)),INDEX(patronHabil,WEEKDAY($J267,2))))))</f>
        <v/>
      </c>
      <c r="U267" s="5">
        <f>IF($I267="","",IFERROR(INDEX('CAT_TIPOS_OT'!$C$4:$C$8,MATCH($I267,'CAT_TIPOS_OT'!$A$4:$A$8,0)),"sin_clasificar"))</f>
        <v/>
      </c>
      <c r="V267" s="5">
        <f>IF($I267="","",IF(IFERROR(INDEX('CAT_TIPOS_OT'!$D$4:$D$8,MATCH($I267,'CAT_TIPOS_OT'!$A$4:$A$8,0)),"SIN CLASIFICAR")="","SIN CLASIFICAR",IFERROR(INDEX('CAT_TIPOS_OT'!$D$4:$D$8,MATCH($I267,'CAT_TIPOS_OT'!$A$4:$A$8,0)),"SIN CLASIFICAR")))</f>
        <v/>
      </c>
      <c r="W267" s="5">
        <f>IF($F267="","",IFERROR(INDEX('CAT_CENTROS_COSTO'!$F$4:$F$13,MATCH($F267,'CAT_CENTROS_COSTO'!$A$4:$A$13,0)),"(sin catálogo)"))</f>
        <v/>
      </c>
      <c r="X267" s="5">
        <f>IF($F267="","",IFERROR(INDEX('CAT_CENTROS_COSTO'!$D$4:$D$13,MATCH($F267,'CAT_CENTROS_COSTO'!$A$4:$A$13,0)),"(sin catálogo)"))</f>
        <v/>
      </c>
      <c r="Y267" s="5">
        <f>IF($F267="","",IF((IFERROR(INDEX('CAT_CENTROS_COSTO'!$E$4:$E$13,MATCH($F267,'CAT_CENTROS_COSTO'!$A$4:$A$13,0)),""))&lt;&gt;"",IFERROR(INDEX('CAT_CENTROS_COSTO'!$E$4:$E$13,MATCH($F267,'CAT_CENTROS_COSTO'!$A$4:$A$13,0)),""),$X267))</f>
        <v/>
      </c>
      <c r="Z267" s="5">
        <f>IF($F267="","",IFERROR(INDEX('CAT_CENTROS_COSTO'!$G$4:$G$13,MATCH($F267,'CAT_CENTROS_COSTO'!$A$4:$A$13,0)),"(sin catálogo)"))</f>
        <v/>
      </c>
      <c r="AA267" s="5">
        <f>IF($G267="","",IFERROR(INDEX('CAT_PUESTOS'!$B$4:$B$8,MATCH($G267,'CAT_PUESTOS'!$A$4:$A$8,0)),"(sin catálogo)"))</f>
        <v/>
      </c>
      <c r="AB267" s="5">
        <f>IF($H267="","",IFERROR(INDEX('CAT_ACTIVIDADES'!$B$4:$B$11,MATCH($H267,'CAT_ACTIVIDADES'!$A$4:$A$11,0)),"(sin catálogo)"))</f>
        <v/>
      </c>
      <c r="AC267" s="20">
        <f>IF($J267="","",TODAY()-$J267)</f>
        <v/>
      </c>
      <c r="AD267" s="20">
        <f>IF($J267="","",IF($J267&lt;=TODAY(),COUNTIFS(cal_fechas,"&gt;="&amp;$J267,cal_fechas,"&lt;"&amp;TODAY(),cal_habil,"sí"),-COUNTIFS(cal_fechas,"&gt;="&amp;TODAY(),cal_fechas,"&lt;"&amp;$J267,cal_habil,"sí")))</f>
        <v/>
      </c>
      <c r="AE267" s="5">
        <f>IF($AD267="","",IF($AD267&lt;0,"FUTURO",IF($AD267&gt;p_dias_backlog_max,"BACKLOG","MES CORRIENTE")))</f>
        <v/>
      </c>
      <c r="AF267" s="5">
        <f>IF($AD267="",FALSE,AND($AD267&gt;p_dias_backlog_min,$AD267&lt;=p_dias_backlog_max))</f>
        <v/>
      </c>
      <c r="AG267" s="4" t="n"/>
      <c r="AH267" s="5">
        <f>IF($AG267="","",IF((IFERROR(INDEX('ASIGNACIONES'!$J$4:$J$451,MATCH($O267&amp;"|"&amp;$S267&amp;"|"&amp;$AG267,'ASIGNACIONES'!$N$4:$N$451,0)),""))=0,"",IFERROR(INDEX('ASIGNACIONES'!$J$4:$J$451,MATCH($O267&amp;"|"&amp;$S267&amp;"|"&amp;$AG267,'ASIGNACIONES'!$N$4:$N$451,0)),"")))</f>
        <v/>
      </c>
      <c r="AI267" s="25">
        <f>IF($AG267="","",SUMIFS('ORDENES'!$M$4:$M$1203,'ORDENES'!$AG$4:$AG$1203,$AG267,'ORDENES'!$O$4:$O$1203,$O267,'ORDENES'!$S$4:$S$1203,$S267))</f>
        <v/>
      </c>
      <c r="AJ267" s="25">
        <f>IF($AI267="","",p_factor_productividad*IFERROR(INDEX('ASIGNACIONES'!$M$4:$M$451,MATCH($O267&amp;"|"&amp;$S267&amp;"|"&amp;$AG267,'ASIGNACIONES'!$N$4:$N$451,0)),0)-$AI267)</f>
        <v/>
      </c>
      <c r="AK267" s="18">
        <f>IF($A267="","",IFERROR(INDEX('2_IMPORTAR_EJECUCION'!$F$9:$F$1208,MATCH($AT267,'2_IMPORTAR_EJECUCION'!$J$9:$J$1208,0)),0))</f>
        <v/>
      </c>
      <c r="AL267" s="18">
        <f>IF($A267="","",MAX(0,IFERROR(INDEX('2_IMPORTAR_EJECUCION'!$H$9:$H$1208,MATCH($AT267,'2_IMPORTAR_EJECUCION'!$J$9:$J$1208,0)),0)-$AK267))</f>
        <v/>
      </c>
      <c r="AM267" s="18">
        <f>IF($A267="","",$AK267+$AL267)</f>
        <v/>
      </c>
      <c r="AN267" s="5">
        <f>IF($A267="","",IF(OR((IFERROR(INDEX('CAT_ACTIVIDADES'!$D$4:$D$11,MATCH($H267,'CAT_ACTIVIDADES'!$A$4:$A$11,0)),""))=0,(IFERROR(INDEX('CAT_ACTIVIDADES'!$D$4:$D$11,MATCH($H267,'CAT_ACTIVIDADES'!$A$4:$A$11,0)),""))=""),"SIN CLASIFICAR",IFERROR(INDEX('CAT_ACTIVIDADES'!$D$4:$D$11,MATCH($H267,'CAT_ACTIVIDADES'!$A$4:$A$11,0)),"")))</f>
        <v/>
      </c>
      <c r="AO267" s="4" t="n"/>
      <c r="AP267" s="4" t="n"/>
      <c r="AQ267" s="4" t="n"/>
      <c r="AR267" s="5">
        <f>IF($AQ267="","",HYPERLINK(p_ruta_base_checklists&amp;$AQ267,"abrir"))</f>
        <v/>
      </c>
      <c r="AS267" s="4" t="n"/>
      <c r="AT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2" t="n"/>
      <c r="K268" s="5" t="n"/>
      <c r="L268" s="18" t="n"/>
      <c r="M268" s="5">
        <f>IF($A268="","",IFERROR(INDEX('AJUSTES'!$B$4:$B$303,MATCH($AT268,'AJUSTES'!$A$4:$A$303,0)),IF($K268="","",$K268)))</f>
        <v/>
      </c>
      <c r="N268" s="5">
        <f>IF($A268="","",IFERROR(INDEX('CAT_ESTADOS_ERP'!$B$4:$B$7,MATCH(IFERROR(INDEX('2_IMPORTAR_EJECUCION'!$C$9:$C$1208,MATCH($AT268,'2_IMPORTAR_EJECUCION'!$J$9:$J$1208,0)),""),'CAT_ESTADOS_ERP'!$A$4:$A$7,0)),"Pendiente"))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IF($J268="","",$P268&amp;"-"&amp;TEXT($Q268,"00"))</f>
        <v/>
      </c>
      <c r="S268" s="5">
        <f>IF($J268="","",INDEX(lista_dias,WEEKDAY($J268,2)))</f>
        <v/>
      </c>
      <c r="T268" s="5">
        <f>IF($J268="","",IFERROR(INDEX('CALENDARIO'!$C$15:$C$214,MATCH(TEXT($J268,"yyyy-mm-dd")&amp;"|"&amp;$X268&amp;"|"&amp;$Y268,'CALENDARIO'!$G$15:$G$214,0)),IFERROR(INDEX('CALENDARIO'!$C$15:$C$214,MATCH(TEXT($J268,"yyyy-mm-dd")&amp;"|"&amp;$X268&amp;"|",'CALENDARIO'!$G$15:$G$214,0)),IFERROR(INDEX('CALENDARIO'!$C$15:$C$214,MATCH(TEXT($J268,"yyyy-mm-dd")&amp;"||",'CALENDARIO'!$G$15:$G$214,0)),INDEX(patronHabil,WEEKDAY($J268,2))))))</f>
        <v/>
      </c>
      <c r="U268" s="5">
        <f>IF($I268="","",IFERROR(INDEX('CAT_TIPOS_OT'!$C$4:$C$8,MATCH($I268,'CAT_TIPOS_OT'!$A$4:$A$8,0)),"sin_clasificar"))</f>
        <v/>
      </c>
      <c r="V268" s="5">
        <f>IF($I268="","",IF(IFERROR(INDEX('CAT_TIPOS_OT'!$D$4:$D$8,MATCH($I268,'CAT_TIPOS_OT'!$A$4:$A$8,0)),"SIN CLASIFICAR")="","SIN CLASIFICAR",IFERROR(INDEX('CAT_TIPOS_OT'!$D$4:$D$8,MATCH($I268,'CAT_TIPOS_OT'!$A$4:$A$8,0)),"SIN CLASIFICAR")))</f>
        <v/>
      </c>
      <c r="W268" s="5">
        <f>IF($F268="","",IFERROR(INDEX('CAT_CENTROS_COSTO'!$F$4:$F$13,MATCH($F268,'CAT_CENTROS_COSTO'!$A$4:$A$13,0)),"(sin catálogo)"))</f>
        <v/>
      </c>
      <c r="X268" s="5">
        <f>IF($F268="","",IFERROR(INDEX('CAT_CENTROS_COSTO'!$D$4:$D$13,MATCH($F268,'CAT_CENTROS_COSTO'!$A$4:$A$13,0)),"(sin catálogo)"))</f>
        <v/>
      </c>
      <c r="Y268" s="5">
        <f>IF($F268="","",IF((IFERROR(INDEX('CAT_CENTROS_COSTO'!$E$4:$E$13,MATCH($F268,'CAT_CENTROS_COSTO'!$A$4:$A$13,0)),""))&lt;&gt;"",IFERROR(INDEX('CAT_CENTROS_COSTO'!$E$4:$E$13,MATCH($F268,'CAT_CENTROS_COSTO'!$A$4:$A$13,0)),""),$X268))</f>
        <v/>
      </c>
      <c r="Z268" s="5">
        <f>IF($F268="","",IFERROR(INDEX('CAT_CENTROS_COSTO'!$G$4:$G$13,MATCH($F268,'CAT_CENTROS_COSTO'!$A$4:$A$13,0)),"(sin catálogo)"))</f>
        <v/>
      </c>
      <c r="AA268" s="5">
        <f>IF($G268="","",IFERROR(INDEX('CAT_PUESTOS'!$B$4:$B$8,MATCH($G268,'CAT_PUESTOS'!$A$4:$A$8,0)),"(sin catálogo)"))</f>
        <v/>
      </c>
      <c r="AB268" s="5">
        <f>IF($H268="","",IFERROR(INDEX('CAT_ACTIVIDADES'!$B$4:$B$11,MATCH($H268,'CAT_ACTIVIDADES'!$A$4:$A$11,0)),"(sin catálogo)"))</f>
        <v/>
      </c>
      <c r="AC268" s="20">
        <f>IF($J268="","",TODAY()-$J268)</f>
        <v/>
      </c>
      <c r="AD268" s="20">
        <f>IF($J268="","",IF($J268&lt;=TODAY(),COUNTIFS(cal_fechas,"&gt;="&amp;$J268,cal_fechas,"&lt;"&amp;TODAY(),cal_habil,"sí"),-COUNTIFS(cal_fechas,"&gt;="&amp;TODAY(),cal_fechas,"&lt;"&amp;$J268,cal_habil,"sí")))</f>
        <v/>
      </c>
      <c r="AE268" s="5">
        <f>IF($AD268="","",IF($AD268&lt;0,"FUTURO",IF($AD268&gt;p_dias_backlog_max,"BACKLOG","MES CORRIENTE")))</f>
        <v/>
      </c>
      <c r="AF268" s="5">
        <f>IF($AD268="",FALSE,AND($AD268&gt;p_dias_backlog_min,$AD268&lt;=p_dias_backlog_max))</f>
        <v/>
      </c>
      <c r="AG268" s="4" t="n"/>
      <c r="AH268" s="5">
        <f>IF($AG268="","",IF((IFERROR(INDEX('ASIGNACIONES'!$J$4:$J$451,MATCH($O268&amp;"|"&amp;$S268&amp;"|"&amp;$AG268,'ASIGNACIONES'!$N$4:$N$451,0)),""))=0,"",IFERROR(INDEX('ASIGNACIONES'!$J$4:$J$451,MATCH($O268&amp;"|"&amp;$S268&amp;"|"&amp;$AG268,'ASIGNACIONES'!$N$4:$N$451,0)),"")))</f>
        <v/>
      </c>
      <c r="AI268" s="25">
        <f>IF($AG268="","",SUMIFS('ORDENES'!$M$4:$M$1203,'ORDENES'!$AG$4:$AG$1203,$AG268,'ORDENES'!$O$4:$O$1203,$O268,'ORDENES'!$S$4:$S$1203,$S268))</f>
        <v/>
      </c>
      <c r="AJ268" s="25">
        <f>IF($AI268="","",p_factor_productividad*IFERROR(INDEX('ASIGNACIONES'!$M$4:$M$451,MATCH($O268&amp;"|"&amp;$S268&amp;"|"&amp;$AG268,'ASIGNACIONES'!$N$4:$N$451,0)),0)-$AI268)</f>
        <v/>
      </c>
      <c r="AK268" s="18">
        <f>IF($A268="","",IFERROR(INDEX('2_IMPORTAR_EJECUCION'!$F$9:$F$1208,MATCH($AT268,'2_IMPORTAR_EJECUCION'!$J$9:$J$1208,0)),0))</f>
        <v/>
      </c>
      <c r="AL268" s="18">
        <f>IF($A268="","",MAX(0,IFERROR(INDEX('2_IMPORTAR_EJECUCION'!$H$9:$H$1208,MATCH($AT268,'2_IMPORTAR_EJECUCION'!$J$9:$J$1208,0)),0)-$AK268))</f>
        <v/>
      </c>
      <c r="AM268" s="18">
        <f>IF($A268="","",$AK268+$AL268)</f>
        <v/>
      </c>
      <c r="AN268" s="5">
        <f>IF($A268="","",IF(OR((IFERROR(INDEX('CAT_ACTIVIDADES'!$D$4:$D$11,MATCH($H268,'CAT_ACTIVIDADES'!$A$4:$A$11,0)),""))=0,(IFERROR(INDEX('CAT_ACTIVIDADES'!$D$4:$D$11,MATCH($H268,'CAT_ACTIVIDADES'!$A$4:$A$11,0)),""))=""),"SIN CLASIFICAR",IFERROR(INDEX('CAT_ACTIVIDADES'!$D$4:$D$11,MATCH($H268,'CAT_ACTIVIDADES'!$A$4:$A$11,0)),"")))</f>
        <v/>
      </c>
      <c r="AO268" s="4" t="n"/>
      <c r="AP268" s="4" t="n"/>
      <c r="AQ268" s="4" t="n"/>
      <c r="AR268" s="5">
        <f>IF($AQ268="","",HYPERLINK(p_ruta_base_checklists&amp;$AQ268,"abrir"))</f>
        <v/>
      </c>
      <c r="AS268" s="4" t="n"/>
      <c r="AT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2" t="n"/>
      <c r="K269" s="5" t="n"/>
      <c r="L269" s="18" t="n"/>
      <c r="M269" s="5">
        <f>IF($A269="","",IFERROR(INDEX('AJUSTES'!$B$4:$B$303,MATCH($AT269,'AJUSTES'!$A$4:$A$303,0)),IF($K269="","",$K269)))</f>
        <v/>
      </c>
      <c r="N269" s="5">
        <f>IF($A269="","",IFERROR(INDEX('CAT_ESTADOS_ERP'!$B$4:$B$7,MATCH(IFERROR(INDEX('2_IMPORTAR_EJECUCION'!$C$9:$C$1208,MATCH($AT269,'2_IMPORTAR_EJECUCION'!$J$9:$J$1208,0)),""),'CAT_ESTADOS_ERP'!$A$4:$A$7,0)),"Pendiente"))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IF($J269="","",$P269&amp;"-"&amp;TEXT($Q269,"00"))</f>
        <v/>
      </c>
      <c r="S269" s="5">
        <f>IF($J269="","",INDEX(lista_dias,WEEKDAY($J269,2)))</f>
        <v/>
      </c>
      <c r="T269" s="5">
        <f>IF($J269="","",IFERROR(INDEX('CALENDARIO'!$C$15:$C$214,MATCH(TEXT($J269,"yyyy-mm-dd")&amp;"|"&amp;$X269&amp;"|"&amp;$Y269,'CALENDARIO'!$G$15:$G$214,0)),IFERROR(INDEX('CALENDARIO'!$C$15:$C$214,MATCH(TEXT($J269,"yyyy-mm-dd")&amp;"|"&amp;$X269&amp;"|",'CALENDARIO'!$G$15:$G$214,0)),IFERROR(INDEX('CALENDARIO'!$C$15:$C$214,MATCH(TEXT($J269,"yyyy-mm-dd")&amp;"||",'CALENDARIO'!$G$15:$G$214,0)),INDEX(patronHabil,WEEKDAY($J269,2))))))</f>
        <v/>
      </c>
      <c r="U269" s="5">
        <f>IF($I269="","",IFERROR(INDEX('CAT_TIPOS_OT'!$C$4:$C$8,MATCH($I269,'CAT_TIPOS_OT'!$A$4:$A$8,0)),"sin_clasificar"))</f>
        <v/>
      </c>
      <c r="V269" s="5">
        <f>IF($I269="","",IF(IFERROR(INDEX('CAT_TIPOS_OT'!$D$4:$D$8,MATCH($I269,'CAT_TIPOS_OT'!$A$4:$A$8,0)),"SIN CLASIFICAR")="","SIN CLASIFICAR",IFERROR(INDEX('CAT_TIPOS_OT'!$D$4:$D$8,MATCH($I269,'CAT_TIPOS_OT'!$A$4:$A$8,0)),"SIN CLASIFICAR")))</f>
        <v/>
      </c>
      <c r="W269" s="5">
        <f>IF($F269="","",IFERROR(INDEX('CAT_CENTROS_COSTO'!$F$4:$F$13,MATCH($F269,'CAT_CENTROS_COSTO'!$A$4:$A$13,0)),"(sin catálogo)"))</f>
        <v/>
      </c>
      <c r="X269" s="5">
        <f>IF($F269="","",IFERROR(INDEX('CAT_CENTROS_COSTO'!$D$4:$D$13,MATCH($F269,'CAT_CENTROS_COSTO'!$A$4:$A$13,0)),"(sin catálogo)"))</f>
        <v/>
      </c>
      <c r="Y269" s="5">
        <f>IF($F269="","",IF((IFERROR(INDEX('CAT_CENTROS_COSTO'!$E$4:$E$13,MATCH($F269,'CAT_CENTROS_COSTO'!$A$4:$A$13,0)),""))&lt;&gt;"",IFERROR(INDEX('CAT_CENTROS_COSTO'!$E$4:$E$13,MATCH($F269,'CAT_CENTROS_COSTO'!$A$4:$A$13,0)),""),$X269))</f>
        <v/>
      </c>
      <c r="Z269" s="5">
        <f>IF($F269="","",IFERROR(INDEX('CAT_CENTROS_COSTO'!$G$4:$G$13,MATCH($F269,'CAT_CENTROS_COSTO'!$A$4:$A$13,0)),"(sin catálogo)"))</f>
        <v/>
      </c>
      <c r="AA269" s="5">
        <f>IF($G269="","",IFERROR(INDEX('CAT_PUESTOS'!$B$4:$B$8,MATCH($G269,'CAT_PUESTOS'!$A$4:$A$8,0)),"(sin catálogo)"))</f>
        <v/>
      </c>
      <c r="AB269" s="5">
        <f>IF($H269="","",IFERROR(INDEX('CAT_ACTIVIDADES'!$B$4:$B$11,MATCH($H269,'CAT_ACTIVIDADES'!$A$4:$A$11,0)),"(sin catálogo)"))</f>
        <v/>
      </c>
      <c r="AC269" s="20">
        <f>IF($J269="","",TODAY()-$J269)</f>
        <v/>
      </c>
      <c r="AD269" s="20">
        <f>IF($J269="","",IF($J269&lt;=TODAY(),COUNTIFS(cal_fechas,"&gt;="&amp;$J269,cal_fechas,"&lt;"&amp;TODAY(),cal_habil,"sí"),-COUNTIFS(cal_fechas,"&gt;="&amp;TODAY(),cal_fechas,"&lt;"&amp;$J269,cal_habil,"sí")))</f>
        <v/>
      </c>
      <c r="AE269" s="5">
        <f>IF($AD269="","",IF($AD269&lt;0,"FUTURO",IF($AD269&gt;p_dias_backlog_max,"BACKLOG","MES CORRIENTE")))</f>
        <v/>
      </c>
      <c r="AF269" s="5">
        <f>IF($AD269="",FALSE,AND($AD269&gt;p_dias_backlog_min,$AD269&lt;=p_dias_backlog_max))</f>
        <v/>
      </c>
      <c r="AG269" s="4" t="n"/>
      <c r="AH269" s="5">
        <f>IF($AG269="","",IF((IFERROR(INDEX('ASIGNACIONES'!$J$4:$J$451,MATCH($O269&amp;"|"&amp;$S269&amp;"|"&amp;$AG269,'ASIGNACIONES'!$N$4:$N$451,0)),""))=0,"",IFERROR(INDEX('ASIGNACIONES'!$J$4:$J$451,MATCH($O269&amp;"|"&amp;$S269&amp;"|"&amp;$AG269,'ASIGNACIONES'!$N$4:$N$451,0)),"")))</f>
        <v/>
      </c>
      <c r="AI269" s="25">
        <f>IF($AG269="","",SUMIFS('ORDENES'!$M$4:$M$1203,'ORDENES'!$AG$4:$AG$1203,$AG269,'ORDENES'!$O$4:$O$1203,$O269,'ORDENES'!$S$4:$S$1203,$S269))</f>
        <v/>
      </c>
      <c r="AJ269" s="25">
        <f>IF($AI269="","",p_factor_productividad*IFERROR(INDEX('ASIGNACIONES'!$M$4:$M$451,MATCH($O269&amp;"|"&amp;$S269&amp;"|"&amp;$AG269,'ASIGNACIONES'!$N$4:$N$451,0)),0)-$AI269)</f>
        <v/>
      </c>
      <c r="AK269" s="18">
        <f>IF($A269="","",IFERROR(INDEX('2_IMPORTAR_EJECUCION'!$F$9:$F$1208,MATCH($AT269,'2_IMPORTAR_EJECUCION'!$J$9:$J$1208,0)),0))</f>
        <v/>
      </c>
      <c r="AL269" s="18">
        <f>IF($A269="","",MAX(0,IFERROR(INDEX('2_IMPORTAR_EJECUCION'!$H$9:$H$1208,MATCH($AT269,'2_IMPORTAR_EJECUCION'!$J$9:$J$1208,0)),0)-$AK269))</f>
        <v/>
      </c>
      <c r="AM269" s="18">
        <f>IF($A269="","",$AK269+$AL269)</f>
        <v/>
      </c>
      <c r="AN269" s="5">
        <f>IF($A269="","",IF(OR((IFERROR(INDEX('CAT_ACTIVIDADES'!$D$4:$D$11,MATCH($H269,'CAT_ACTIVIDADES'!$A$4:$A$11,0)),""))=0,(IFERROR(INDEX('CAT_ACTIVIDADES'!$D$4:$D$11,MATCH($H269,'CAT_ACTIVIDADES'!$A$4:$A$11,0)),""))=""),"SIN CLASIFICAR",IFERROR(INDEX('CAT_ACTIVIDADES'!$D$4:$D$11,MATCH($H269,'CAT_ACTIVIDADES'!$A$4:$A$11,0)),"")))</f>
        <v/>
      </c>
      <c r="AO269" s="4" t="n"/>
      <c r="AP269" s="4" t="n"/>
      <c r="AQ269" s="4" t="n"/>
      <c r="AR269" s="5">
        <f>IF($AQ269="","",HYPERLINK(p_ruta_base_checklists&amp;$AQ269,"abrir"))</f>
        <v/>
      </c>
      <c r="AS269" s="4" t="n"/>
      <c r="AT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2" t="n"/>
      <c r="K270" s="5" t="n"/>
      <c r="L270" s="18" t="n"/>
      <c r="M270" s="5">
        <f>IF($A270="","",IFERROR(INDEX('AJUSTES'!$B$4:$B$303,MATCH($AT270,'AJUSTES'!$A$4:$A$303,0)),IF($K270="","",$K270)))</f>
        <v/>
      </c>
      <c r="N270" s="5">
        <f>IF($A270="","",IFERROR(INDEX('CAT_ESTADOS_ERP'!$B$4:$B$7,MATCH(IFERROR(INDEX('2_IMPORTAR_EJECUCION'!$C$9:$C$1208,MATCH($AT270,'2_IMPORTAR_EJECUCION'!$J$9:$J$1208,0)),""),'CAT_ESTADOS_ERP'!$A$4:$A$7,0)),"Pendiente"))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IF($J270="","",$P270&amp;"-"&amp;TEXT($Q270,"00"))</f>
        <v/>
      </c>
      <c r="S270" s="5">
        <f>IF($J270="","",INDEX(lista_dias,WEEKDAY($J270,2)))</f>
        <v/>
      </c>
      <c r="T270" s="5">
        <f>IF($J270="","",IFERROR(INDEX('CALENDARIO'!$C$15:$C$214,MATCH(TEXT($J270,"yyyy-mm-dd")&amp;"|"&amp;$X270&amp;"|"&amp;$Y270,'CALENDARIO'!$G$15:$G$214,0)),IFERROR(INDEX('CALENDARIO'!$C$15:$C$214,MATCH(TEXT($J270,"yyyy-mm-dd")&amp;"|"&amp;$X270&amp;"|",'CALENDARIO'!$G$15:$G$214,0)),IFERROR(INDEX('CALENDARIO'!$C$15:$C$214,MATCH(TEXT($J270,"yyyy-mm-dd")&amp;"||",'CALENDARIO'!$G$15:$G$214,0)),INDEX(patronHabil,WEEKDAY($J270,2))))))</f>
        <v/>
      </c>
      <c r="U270" s="5">
        <f>IF($I270="","",IFERROR(INDEX('CAT_TIPOS_OT'!$C$4:$C$8,MATCH($I270,'CAT_TIPOS_OT'!$A$4:$A$8,0)),"sin_clasificar"))</f>
        <v/>
      </c>
      <c r="V270" s="5">
        <f>IF($I270="","",IF(IFERROR(INDEX('CAT_TIPOS_OT'!$D$4:$D$8,MATCH($I270,'CAT_TIPOS_OT'!$A$4:$A$8,0)),"SIN CLASIFICAR")="","SIN CLASIFICAR",IFERROR(INDEX('CAT_TIPOS_OT'!$D$4:$D$8,MATCH($I270,'CAT_TIPOS_OT'!$A$4:$A$8,0)),"SIN CLASIFICAR")))</f>
        <v/>
      </c>
      <c r="W270" s="5">
        <f>IF($F270="","",IFERROR(INDEX('CAT_CENTROS_COSTO'!$F$4:$F$13,MATCH($F270,'CAT_CENTROS_COSTO'!$A$4:$A$13,0)),"(sin catálogo)"))</f>
        <v/>
      </c>
      <c r="X270" s="5">
        <f>IF($F270="","",IFERROR(INDEX('CAT_CENTROS_COSTO'!$D$4:$D$13,MATCH($F270,'CAT_CENTROS_COSTO'!$A$4:$A$13,0)),"(sin catálogo)"))</f>
        <v/>
      </c>
      <c r="Y270" s="5">
        <f>IF($F270="","",IF((IFERROR(INDEX('CAT_CENTROS_COSTO'!$E$4:$E$13,MATCH($F270,'CAT_CENTROS_COSTO'!$A$4:$A$13,0)),""))&lt;&gt;"",IFERROR(INDEX('CAT_CENTROS_COSTO'!$E$4:$E$13,MATCH($F270,'CAT_CENTROS_COSTO'!$A$4:$A$13,0)),""),$X270))</f>
        <v/>
      </c>
      <c r="Z270" s="5">
        <f>IF($F270="","",IFERROR(INDEX('CAT_CENTROS_COSTO'!$G$4:$G$13,MATCH($F270,'CAT_CENTROS_COSTO'!$A$4:$A$13,0)),"(sin catálogo)"))</f>
        <v/>
      </c>
      <c r="AA270" s="5">
        <f>IF($G270="","",IFERROR(INDEX('CAT_PUESTOS'!$B$4:$B$8,MATCH($G270,'CAT_PUESTOS'!$A$4:$A$8,0)),"(sin catálogo)"))</f>
        <v/>
      </c>
      <c r="AB270" s="5">
        <f>IF($H270="","",IFERROR(INDEX('CAT_ACTIVIDADES'!$B$4:$B$11,MATCH($H270,'CAT_ACTIVIDADES'!$A$4:$A$11,0)),"(sin catálogo)"))</f>
        <v/>
      </c>
      <c r="AC270" s="20">
        <f>IF($J270="","",TODAY()-$J270)</f>
        <v/>
      </c>
      <c r="AD270" s="20">
        <f>IF($J270="","",IF($J270&lt;=TODAY(),COUNTIFS(cal_fechas,"&gt;="&amp;$J270,cal_fechas,"&lt;"&amp;TODAY(),cal_habil,"sí"),-COUNTIFS(cal_fechas,"&gt;="&amp;TODAY(),cal_fechas,"&lt;"&amp;$J270,cal_habil,"sí")))</f>
        <v/>
      </c>
      <c r="AE270" s="5">
        <f>IF($AD270="","",IF($AD270&lt;0,"FUTURO",IF($AD270&gt;p_dias_backlog_max,"BACKLOG","MES CORRIENTE")))</f>
        <v/>
      </c>
      <c r="AF270" s="5">
        <f>IF($AD270="",FALSE,AND($AD270&gt;p_dias_backlog_min,$AD270&lt;=p_dias_backlog_max))</f>
        <v/>
      </c>
      <c r="AG270" s="4" t="n"/>
      <c r="AH270" s="5">
        <f>IF($AG270="","",IF((IFERROR(INDEX('ASIGNACIONES'!$J$4:$J$451,MATCH($O270&amp;"|"&amp;$S270&amp;"|"&amp;$AG270,'ASIGNACIONES'!$N$4:$N$451,0)),""))=0,"",IFERROR(INDEX('ASIGNACIONES'!$J$4:$J$451,MATCH($O270&amp;"|"&amp;$S270&amp;"|"&amp;$AG270,'ASIGNACIONES'!$N$4:$N$451,0)),"")))</f>
        <v/>
      </c>
      <c r="AI270" s="25">
        <f>IF($AG270="","",SUMIFS('ORDENES'!$M$4:$M$1203,'ORDENES'!$AG$4:$AG$1203,$AG270,'ORDENES'!$O$4:$O$1203,$O270,'ORDENES'!$S$4:$S$1203,$S270))</f>
        <v/>
      </c>
      <c r="AJ270" s="25">
        <f>IF($AI270="","",p_factor_productividad*IFERROR(INDEX('ASIGNACIONES'!$M$4:$M$451,MATCH($O270&amp;"|"&amp;$S270&amp;"|"&amp;$AG270,'ASIGNACIONES'!$N$4:$N$451,0)),0)-$AI270)</f>
        <v/>
      </c>
      <c r="AK270" s="18">
        <f>IF($A270="","",IFERROR(INDEX('2_IMPORTAR_EJECUCION'!$F$9:$F$1208,MATCH($AT270,'2_IMPORTAR_EJECUCION'!$J$9:$J$1208,0)),0))</f>
        <v/>
      </c>
      <c r="AL270" s="18">
        <f>IF($A270="","",MAX(0,IFERROR(INDEX('2_IMPORTAR_EJECUCION'!$H$9:$H$1208,MATCH($AT270,'2_IMPORTAR_EJECUCION'!$J$9:$J$1208,0)),0)-$AK270))</f>
        <v/>
      </c>
      <c r="AM270" s="18">
        <f>IF($A270="","",$AK270+$AL270)</f>
        <v/>
      </c>
      <c r="AN270" s="5">
        <f>IF($A270="","",IF(OR((IFERROR(INDEX('CAT_ACTIVIDADES'!$D$4:$D$11,MATCH($H270,'CAT_ACTIVIDADES'!$A$4:$A$11,0)),""))=0,(IFERROR(INDEX('CAT_ACTIVIDADES'!$D$4:$D$11,MATCH($H270,'CAT_ACTIVIDADES'!$A$4:$A$11,0)),""))=""),"SIN CLASIFICAR",IFERROR(INDEX('CAT_ACTIVIDADES'!$D$4:$D$11,MATCH($H270,'CAT_ACTIVIDADES'!$A$4:$A$11,0)),"")))</f>
        <v/>
      </c>
      <c r="AO270" s="4" t="n"/>
      <c r="AP270" s="4" t="n"/>
      <c r="AQ270" s="4" t="n"/>
      <c r="AR270" s="5">
        <f>IF($AQ270="","",HYPERLINK(p_ruta_base_checklists&amp;$AQ270,"abrir"))</f>
        <v/>
      </c>
      <c r="AS270" s="4" t="n"/>
      <c r="AT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2" t="n"/>
      <c r="K271" s="5" t="n"/>
      <c r="L271" s="18" t="n"/>
      <c r="M271" s="5">
        <f>IF($A271="","",IFERROR(INDEX('AJUSTES'!$B$4:$B$303,MATCH($AT271,'AJUSTES'!$A$4:$A$303,0)),IF($K271="","",$K271)))</f>
        <v/>
      </c>
      <c r="N271" s="5">
        <f>IF($A271="","",IFERROR(INDEX('CAT_ESTADOS_ERP'!$B$4:$B$7,MATCH(IFERROR(INDEX('2_IMPORTAR_EJECUCION'!$C$9:$C$1208,MATCH($AT271,'2_IMPORTAR_EJECUCION'!$J$9:$J$1208,0)),""),'CAT_ESTADOS_ERP'!$A$4:$A$7,0)),"Pendiente"))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IF($J271="","",$P271&amp;"-"&amp;TEXT($Q271,"00"))</f>
        <v/>
      </c>
      <c r="S271" s="5">
        <f>IF($J271="","",INDEX(lista_dias,WEEKDAY($J271,2)))</f>
        <v/>
      </c>
      <c r="T271" s="5">
        <f>IF($J271="","",IFERROR(INDEX('CALENDARIO'!$C$15:$C$214,MATCH(TEXT($J271,"yyyy-mm-dd")&amp;"|"&amp;$X271&amp;"|"&amp;$Y271,'CALENDARIO'!$G$15:$G$214,0)),IFERROR(INDEX('CALENDARIO'!$C$15:$C$214,MATCH(TEXT($J271,"yyyy-mm-dd")&amp;"|"&amp;$X271&amp;"|",'CALENDARIO'!$G$15:$G$214,0)),IFERROR(INDEX('CALENDARIO'!$C$15:$C$214,MATCH(TEXT($J271,"yyyy-mm-dd")&amp;"||",'CALENDARIO'!$G$15:$G$214,0)),INDEX(patronHabil,WEEKDAY($J271,2))))))</f>
        <v/>
      </c>
      <c r="U271" s="5">
        <f>IF($I271="","",IFERROR(INDEX('CAT_TIPOS_OT'!$C$4:$C$8,MATCH($I271,'CAT_TIPOS_OT'!$A$4:$A$8,0)),"sin_clasificar"))</f>
        <v/>
      </c>
      <c r="V271" s="5">
        <f>IF($I271="","",IF(IFERROR(INDEX('CAT_TIPOS_OT'!$D$4:$D$8,MATCH($I271,'CAT_TIPOS_OT'!$A$4:$A$8,0)),"SIN CLASIFICAR")="","SIN CLASIFICAR",IFERROR(INDEX('CAT_TIPOS_OT'!$D$4:$D$8,MATCH($I271,'CAT_TIPOS_OT'!$A$4:$A$8,0)),"SIN CLASIFICAR")))</f>
        <v/>
      </c>
      <c r="W271" s="5">
        <f>IF($F271="","",IFERROR(INDEX('CAT_CENTROS_COSTO'!$F$4:$F$13,MATCH($F271,'CAT_CENTROS_COSTO'!$A$4:$A$13,0)),"(sin catálogo)"))</f>
        <v/>
      </c>
      <c r="X271" s="5">
        <f>IF($F271="","",IFERROR(INDEX('CAT_CENTROS_COSTO'!$D$4:$D$13,MATCH($F271,'CAT_CENTROS_COSTO'!$A$4:$A$13,0)),"(sin catálogo)"))</f>
        <v/>
      </c>
      <c r="Y271" s="5">
        <f>IF($F271="","",IF((IFERROR(INDEX('CAT_CENTROS_COSTO'!$E$4:$E$13,MATCH($F271,'CAT_CENTROS_COSTO'!$A$4:$A$13,0)),""))&lt;&gt;"",IFERROR(INDEX('CAT_CENTROS_COSTO'!$E$4:$E$13,MATCH($F271,'CAT_CENTROS_COSTO'!$A$4:$A$13,0)),""),$X271))</f>
        <v/>
      </c>
      <c r="Z271" s="5">
        <f>IF($F271="","",IFERROR(INDEX('CAT_CENTROS_COSTO'!$G$4:$G$13,MATCH($F271,'CAT_CENTROS_COSTO'!$A$4:$A$13,0)),"(sin catálogo)"))</f>
        <v/>
      </c>
      <c r="AA271" s="5">
        <f>IF($G271="","",IFERROR(INDEX('CAT_PUESTOS'!$B$4:$B$8,MATCH($G271,'CAT_PUESTOS'!$A$4:$A$8,0)),"(sin catálogo)"))</f>
        <v/>
      </c>
      <c r="AB271" s="5">
        <f>IF($H271="","",IFERROR(INDEX('CAT_ACTIVIDADES'!$B$4:$B$11,MATCH($H271,'CAT_ACTIVIDADES'!$A$4:$A$11,0)),"(sin catálogo)"))</f>
        <v/>
      </c>
      <c r="AC271" s="20">
        <f>IF($J271="","",TODAY()-$J271)</f>
        <v/>
      </c>
      <c r="AD271" s="20">
        <f>IF($J271="","",IF($J271&lt;=TODAY(),COUNTIFS(cal_fechas,"&gt;="&amp;$J271,cal_fechas,"&lt;"&amp;TODAY(),cal_habil,"sí"),-COUNTIFS(cal_fechas,"&gt;="&amp;TODAY(),cal_fechas,"&lt;"&amp;$J271,cal_habil,"sí")))</f>
        <v/>
      </c>
      <c r="AE271" s="5">
        <f>IF($AD271="","",IF($AD271&lt;0,"FUTURO",IF($AD271&gt;p_dias_backlog_max,"BACKLOG","MES CORRIENTE")))</f>
        <v/>
      </c>
      <c r="AF271" s="5">
        <f>IF($AD271="",FALSE,AND($AD271&gt;p_dias_backlog_min,$AD271&lt;=p_dias_backlog_max))</f>
        <v/>
      </c>
      <c r="AG271" s="4" t="n"/>
      <c r="AH271" s="5">
        <f>IF($AG271="","",IF((IFERROR(INDEX('ASIGNACIONES'!$J$4:$J$451,MATCH($O271&amp;"|"&amp;$S271&amp;"|"&amp;$AG271,'ASIGNACIONES'!$N$4:$N$451,0)),""))=0,"",IFERROR(INDEX('ASIGNACIONES'!$J$4:$J$451,MATCH($O271&amp;"|"&amp;$S271&amp;"|"&amp;$AG271,'ASIGNACIONES'!$N$4:$N$451,0)),"")))</f>
        <v/>
      </c>
      <c r="AI271" s="25">
        <f>IF($AG271="","",SUMIFS('ORDENES'!$M$4:$M$1203,'ORDENES'!$AG$4:$AG$1203,$AG271,'ORDENES'!$O$4:$O$1203,$O271,'ORDENES'!$S$4:$S$1203,$S271))</f>
        <v/>
      </c>
      <c r="AJ271" s="25">
        <f>IF($AI271="","",p_factor_productividad*IFERROR(INDEX('ASIGNACIONES'!$M$4:$M$451,MATCH($O271&amp;"|"&amp;$S271&amp;"|"&amp;$AG271,'ASIGNACIONES'!$N$4:$N$451,0)),0)-$AI271)</f>
        <v/>
      </c>
      <c r="AK271" s="18">
        <f>IF($A271="","",IFERROR(INDEX('2_IMPORTAR_EJECUCION'!$F$9:$F$1208,MATCH($AT271,'2_IMPORTAR_EJECUCION'!$J$9:$J$1208,0)),0))</f>
        <v/>
      </c>
      <c r="AL271" s="18">
        <f>IF($A271="","",MAX(0,IFERROR(INDEX('2_IMPORTAR_EJECUCION'!$H$9:$H$1208,MATCH($AT271,'2_IMPORTAR_EJECUCION'!$J$9:$J$1208,0)),0)-$AK271))</f>
        <v/>
      </c>
      <c r="AM271" s="18">
        <f>IF($A271="","",$AK271+$AL271)</f>
        <v/>
      </c>
      <c r="AN271" s="5">
        <f>IF($A271="","",IF(OR((IFERROR(INDEX('CAT_ACTIVIDADES'!$D$4:$D$11,MATCH($H271,'CAT_ACTIVIDADES'!$A$4:$A$11,0)),""))=0,(IFERROR(INDEX('CAT_ACTIVIDADES'!$D$4:$D$11,MATCH($H271,'CAT_ACTIVIDADES'!$A$4:$A$11,0)),""))=""),"SIN CLASIFICAR",IFERROR(INDEX('CAT_ACTIVIDADES'!$D$4:$D$11,MATCH($H271,'CAT_ACTIVIDADES'!$A$4:$A$11,0)),"")))</f>
        <v/>
      </c>
      <c r="AO271" s="4" t="n"/>
      <c r="AP271" s="4" t="n"/>
      <c r="AQ271" s="4" t="n"/>
      <c r="AR271" s="5">
        <f>IF($AQ271="","",HYPERLINK(p_ruta_base_checklists&amp;$AQ271,"abrir"))</f>
        <v/>
      </c>
      <c r="AS271" s="4" t="n"/>
      <c r="AT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2" t="n"/>
      <c r="K272" s="5" t="n"/>
      <c r="L272" s="18" t="n"/>
      <c r="M272" s="5">
        <f>IF($A272="","",IFERROR(INDEX('AJUSTES'!$B$4:$B$303,MATCH($AT272,'AJUSTES'!$A$4:$A$303,0)),IF($K272="","",$K272)))</f>
        <v/>
      </c>
      <c r="N272" s="5">
        <f>IF($A272="","",IFERROR(INDEX('CAT_ESTADOS_ERP'!$B$4:$B$7,MATCH(IFERROR(INDEX('2_IMPORTAR_EJECUCION'!$C$9:$C$1208,MATCH($AT272,'2_IMPORTAR_EJECUCION'!$J$9:$J$1208,0)),""),'CAT_ESTADOS_ERP'!$A$4:$A$7,0)),"Pendiente"))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IF($J272="","",$P272&amp;"-"&amp;TEXT($Q272,"00"))</f>
        <v/>
      </c>
      <c r="S272" s="5">
        <f>IF($J272="","",INDEX(lista_dias,WEEKDAY($J272,2)))</f>
        <v/>
      </c>
      <c r="T272" s="5">
        <f>IF($J272="","",IFERROR(INDEX('CALENDARIO'!$C$15:$C$214,MATCH(TEXT($J272,"yyyy-mm-dd")&amp;"|"&amp;$X272&amp;"|"&amp;$Y272,'CALENDARIO'!$G$15:$G$214,0)),IFERROR(INDEX('CALENDARIO'!$C$15:$C$214,MATCH(TEXT($J272,"yyyy-mm-dd")&amp;"|"&amp;$X272&amp;"|",'CALENDARIO'!$G$15:$G$214,0)),IFERROR(INDEX('CALENDARIO'!$C$15:$C$214,MATCH(TEXT($J272,"yyyy-mm-dd")&amp;"||",'CALENDARIO'!$G$15:$G$214,0)),INDEX(patronHabil,WEEKDAY($J272,2))))))</f>
        <v/>
      </c>
      <c r="U272" s="5">
        <f>IF($I272="","",IFERROR(INDEX('CAT_TIPOS_OT'!$C$4:$C$8,MATCH($I272,'CAT_TIPOS_OT'!$A$4:$A$8,0)),"sin_clasificar"))</f>
        <v/>
      </c>
      <c r="V272" s="5">
        <f>IF($I272="","",IF(IFERROR(INDEX('CAT_TIPOS_OT'!$D$4:$D$8,MATCH($I272,'CAT_TIPOS_OT'!$A$4:$A$8,0)),"SIN CLASIFICAR")="","SIN CLASIFICAR",IFERROR(INDEX('CAT_TIPOS_OT'!$D$4:$D$8,MATCH($I272,'CAT_TIPOS_OT'!$A$4:$A$8,0)),"SIN CLASIFICAR")))</f>
        <v/>
      </c>
      <c r="W272" s="5">
        <f>IF($F272="","",IFERROR(INDEX('CAT_CENTROS_COSTO'!$F$4:$F$13,MATCH($F272,'CAT_CENTROS_COSTO'!$A$4:$A$13,0)),"(sin catálogo)"))</f>
        <v/>
      </c>
      <c r="X272" s="5">
        <f>IF($F272="","",IFERROR(INDEX('CAT_CENTROS_COSTO'!$D$4:$D$13,MATCH($F272,'CAT_CENTROS_COSTO'!$A$4:$A$13,0)),"(sin catálogo)"))</f>
        <v/>
      </c>
      <c r="Y272" s="5">
        <f>IF($F272="","",IF((IFERROR(INDEX('CAT_CENTROS_COSTO'!$E$4:$E$13,MATCH($F272,'CAT_CENTROS_COSTO'!$A$4:$A$13,0)),""))&lt;&gt;"",IFERROR(INDEX('CAT_CENTROS_COSTO'!$E$4:$E$13,MATCH($F272,'CAT_CENTROS_COSTO'!$A$4:$A$13,0)),""),$X272))</f>
        <v/>
      </c>
      <c r="Z272" s="5">
        <f>IF($F272="","",IFERROR(INDEX('CAT_CENTROS_COSTO'!$G$4:$G$13,MATCH($F272,'CAT_CENTROS_COSTO'!$A$4:$A$13,0)),"(sin catálogo)"))</f>
        <v/>
      </c>
      <c r="AA272" s="5">
        <f>IF($G272="","",IFERROR(INDEX('CAT_PUESTOS'!$B$4:$B$8,MATCH($G272,'CAT_PUESTOS'!$A$4:$A$8,0)),"(sin catálogo)"))</f>
        <v/>
      </c>
      <c r="AB272" s="5">
        <f>IF($H272="","",IFERROR(INDEX('CAT_ACTIVIDADES'!$B$4:$B$11,MATCH($H272,'CAT_ACTIVIDADES'!$A$4:$A$11,0)),"(sin catálogo)"))</f>
        <v/>
      </c>
      <c r="AC272" s="20">
        <f>IF($J272="","",TODAY()-$J272)</f>
        <v/>
      </c>
      <c r="AD272" s="20">
        <f>IF($J272="","",IF($J272&lt;=TODAY(),COUNTIFS(cal_fechas,"&gt;="&amp;$J272,cal_fechas,"&lt;"&amp;TODAY(),cal_habil,"sí"),-COUNTIFS(cal_fechas,"&gt;="&amp;TODAY(),cal_fechas,"&lt;"&amp;$J272,cal_habil,"sí")))</f>
        <v/>
      </c>
      <c r="AE272" s="5">
        <f>IF($AD272="","",IF($AD272&lt;0,"FUTURO",IF($AD272&gt;p_dias_backlog_max,"BACKLOG","MES CORRIENTE")))</f>
        <v/>
      </c>
      <c r="AF272" s="5">
        <f>IF($AD272="",FALSE,AND($AD272&gt;p_dias_backlog_min,$AD272&lt;=p_dias_backlog_max))</f>
        <v/>
      </c>
      <c r="AG272" s="4" t="n"/>
      <c r="AH272" s="5">
        <f>IF($AG272="","",IF((IFERROR(INDEX('ASIGNACIONES'!$J$4:$J$451,MATCH($O272&amp;"|"&amp;$S272&amp;"|"&amp;$AG272,'ASIGNACIONES'!$N$4:$N$451,0)),""))=0,"",IFERROR(INDEX('ASIGNACIONES'!$J$4:$J$451,MATCH($O272&amp;"|"&amp;$S272&amp;"|"&amp;$AG272,'ASIGNACIONES'!$N$4:$N$451,0)),"")))</f>
        <v/>
      </c>
      <c r="AI272" s="25">
        <f>IF($AG272="","",SUMIFS('ORDENES'!$M$4:$M$1203,'ORDENES'!$AG$4:$AG$1203,$AG272,'ORDENES'!$O$4:$O$1203,$O272,'ORDENES'!$S$4:$S$1203,$S272))</f>
        <v/>
      </c>
      <c r="AJ272" s="25">
        <f>IF($AI272="","",p_factor_productividad*IFERROR(INDEX('ASIGNACIONES'!$M$4:$M$451,MATCH($O272&amp;"|"&amp;$S272&amp;"|"&amp;$AG272,'ASIGNACIONES'!$N$4:$N$451,0)),0)-$AI272)</f>
        <v/>
      </c>
      <c r="AK272" s="18">
        <f>IF($A272="","",IFERROR(INDEX('2_IMPORTAR_EJECUCION'!$F$9:$F$1208,MATCH($AT272,'2_IMPORTAR_EJECUCION'!$J$9:$J$1208,0)),0))</f>
        <v/>
      </c>
      <c r="AL272" s="18">
        <f>IF($A272="","",MAX(0,IFERROR(INDEX('2_IMPORTAR_EJECUCION'!$H$9:$H$1208,MATCH($AT272,'2_IMPORTAR_EJECUCION'!$J$9:$J$1208,0)),0)-$AK272))</f>
        <v/>
      </c>
      <c r="AM272" s="18">
        <f>IF($A272="","",$AK272+$AL272)</f>
        <v/>
      </c>
      <c r="AN272" s="5">
        <f>IF($A272="","",IF(OR((IFERROR(INDEX('CAT_ACTIVIDADES'!$D$4:$D$11,MATCH($H272,'CAT_ACTIVIDADES'!$A$4:$A$11,0)),""))=0,(IFERROR(INDEX('CAT_ACTIVIDADES'!$D$4:$D$11,MATCH($H272,'CAT_ACTIVIDADES'!$A$4:$A$11,0)),""))=""),"SIN CLASIFICAR",IFERROR(INDEX('CAT_ACTIVIDADES'!$D$4:$D$11,MATCH($H272,'CAT_ACTIVIDADES'!$A$4:$A$11,0)),"")))</f>
        <v/>
      </c>
      <c r="AO272" s="4" t="n"/>
      <c r="AP272" s="4" t="n"/>
      <c r="AQ272" s="4" t="n"/>
      <c r="AR272" s="5">
        <f>IF($AQ272="","",HYPERLINK(p_ruta_base_checklists&amp;$AQ272,"abrir"))</f>
        <v/>
      </c>
      <c r="AS272" s="4" t="n"/>
      <c r="AT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2" t="n"/>
      <c r="K273" s="5" t="n"/>
      <c r="L273" s="18" t="n"/>
      <c r="M273" s="5">
        <f>IF($A273="","",IFERROR(INDEX('AJUSTES'!$B$4:$B$303,MATCH($AT273,'AJUSTES'!$A$4:$A$303,0)),IF($K273="","",$K273)))</f>
        <v/>
      </c>
      <c r="N273" s="5">
        <f>IF($A273="","",IFERROR(INDEX('CAT_ESTADOS_ERP'!$B$4:$B$7,MATCH(IFERROR(INDEX('2_IMPORTAR_EJECUCION'!$C$9:$C$1208,MATCH($AT273,'2_IMPORTAR_EJECUCION'!$J$9:$J$1208,0)),""),'CAT_ESTADOS_ERP'!$A$4:$A$7,0)),"Pendiente"))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IF($J273="","",$P273&amp;"-"&amp;TEXT($Q273,"00"))</f>
        <v/>
      </c>
      <c r="S273" s="5">
        <f>IF($J273="","",INDEX(lista_dias,WEEKDAY($J273,2)))</f>
        <v/>
      </c>
      <c r="T273" s="5">
        <f>IF($J273="","",IFERROR(INDEX('CALENDARIO'!$C$15:$C$214,MATCH(TEXT($J273,"yyyy-mm-dd")&amp;"|"&amp;$X273&amp;"|"&amp;$Y273,'CALENDARIO'!$G$15:$G$214,0)),IFERROR(INDEX('CALENDARIO'!$C$15:$C$214,MATCH(TEXT($J273,"yyyy-mm-dd")&amp;"|"&amp;$X273&amp;"|",'CALENDARIO'!$G$15:$G$214,0)),IFERROR(INDEX('CALENDARIO'!$C$15:$C$214,MATCH(TEXT($J273,"yyyy-mm-dd")&amp;"||",'CALENDARIO'!$G$15:$G$214,0)),INDEX(patronHabil,WEEKDAY($J273,2))))))</f>
        <v/>
      </c>
      <c r="U273" s="5">
        <f>IF($I273="","",IFERROR(INDEX('CAT_TIPOS_OT'!$C$4:$C$8,MATCH($I273,'CAT_TIPOS_OT'!$A$4:$A$8,0)),"sin_clasificar"))</f>
        <v/>
      </c>
      <c r="V273" s="5">
        <f>IF($I273="","",IF(IFERROR(INDEX('CAT_TIPOS_OT'!$D$4:$D$8,MATCH($I273,'CAT_TIPOS_OT'!$A$4:$A$8,0)),"SIN CLASIFICAR")="","SIN CLASIFICAR",IFERROR(INDEX('CAT_TIPOS_OT'!$D$4:$D$8,MATCH($I273,'CAT_TIPOS_OT'!$A$4:$A$8,0)),"SIN CLASIFICAR")))</f>
        <v/>
      </c>
      <c r="W273" s="5">
        <f>IF($F273="","",IFERROR(INDEX('CAT_CENTROS_COSTO'!$F$4:$F$13,MATCH($F273,'CAT_CENTROS_COSTO'!$A$4:$A$13,0)),"(sin catálogo)"))</f>
        <v/>
      </c>
      <c r="X273" s="5">
        <f>IF($F273="","",IFERROR(INDEX('CAT_CENTROS_COSTO'!$D$4:$D$13,MATCH($F273,'CAT_CENTROS_COSTO'!$A$4:$A$13,0)),"(sin catálogo)"))</f>
        <v/>
      </c>
      <c r="Y273" s="5">
        <f>IF($F273="","",IF((IFERROR(INDEX('CAT_CENTROS_COSTO'!$E$4:$E$13,MATCH($F273,'CAT_CENTROS_COSTO'!$A$4:$A$13,0)),""))&lt;&gt;"",IFERROR(INDEX('CAT_CENTROS_COSTO'!$E$4:$E$13,MATCH($F273,'CAT_CENTROS_COSTO'!$A$4:$A$13,0)),""),$X273))</f>
        <v/>
      </c>
      <c r="Z273" s="5">
        <f>IF($F273="","",IFERROR(INDEX('CAT_CENTROS_COSTO'!$G$4:$G$13,MATCH($F273,'CAT_CENTROS_COSTO'!$A$4:$A$13,0)),"(sin catálogo)"))</f>
        <v/>
      </c>
      <c r="AA273" s="5">
        <f>IF($G273="","",IFERROR(INDEX('CAT_PUESTOS'!$B$4:$B$8,MATCH($G273,'CAT_PUESTOS'!$A$4:$A$8,0)),"(sin catálogo)"))</f>
        <v/>
      </c>
      <c r="AB273" s="5">
        <f>IF($H273="","",IFERROR(INDEX('CAT_ACTIVIDADES'!$B$4:$B$11,MATCH($H273,'CAT_ACTIVIDADES'!$A$4:$A$11,0)),"(sin catálogo)"))</f>
        <v/>
      </c>
      <c r="AC273" s="20">
        <f>IF($J273="","",TODAY()-$J273)</f>
        <v/>
      </c>
      <c r="AD273" s="20">
        <f>IF($J273="","",IF($J273&lt;=TODAY(),COUNTIFS(cal_fechas,"&gt;="&amp;$J273,cal_fechas,"&lt;"&amp;TODAY(),cal_habil,"sí"),-COUNTIFS(cal_fechas,"&gt;="&amp;TODAY(),cal_fechas,"&lt;"&amp;$J273,cal_habil,"sí")))</f>
        <v/>
      </c>
      <c r="AE273" s="5">
        <f>IF($AD273="","",IF($AD273&lt;0,"FUTURO",IF($AD273&gt;p_dias_backlog_max,"BACKLOG","MES CORRIENTE")))</f>
        <v/>
      </c>
      <c r="AF273" s="5">
        <f>IF($AD273="",FALSE,AND($AD273&gt;p_dias_backlog_min,$AD273&lt;=p_dias_backlog_max))</f>
        <v/>
      </c>
      <c r="AG273" s="4" t="n"/>
      <c r="AH273" s="5">
        <f>IF($AG273="","",IF((IFERROR(INDEX('ASIGNACIONES'!$J$4:$J$451,MATCH($O273&amp;"|"&amp;$S273&amp;"|"&amp;$AG273,'ASIGNACIONES'!$N$4:$N$451,0)),""))=0,"",IFERROR(INDEX('ASIGNACIONES'!$J$4:$J$451,MATCH($O273&amp;"|"&amp;$S273&amp;"|"&amp;$AG273,'ASIGNACIONES'!$N$4:$N$451,0)),"")))</f>
        <v/>
      </c>
      <c r="AI273" s="25">
        <f>IF($AG273="","",SUMIFS('ORDENES'!$M$4:$M$1203,'ORDENES'!$AG$4:$AG$1203,$AG273,'ORDENES'!$O$4:$O$1203,$O273,'ORDENES'!$S$4:$S$1203,$S273))</f>
        <v/>
      </c>
      <c r="AJ273" s="25">
        <f>IF($AI273="","",p_factor_productividad*IFERROR(INDEX('ASIGNACIONES'!$M$4:$M$451,MATCH($O273&amp;"|"&amp;$S273&amp;"|"&amp;$AG273,'ASIGNACIONES'!$N$4:$N$451,0)),0)-$AI273)</f>
        <v/>
      </c>
      <c r="AK273" s="18">
        <f>IF($A273="","",IFERROR(INDEX('2_IMPORTAR_EJECUCION'!$F$9:$F$1208,MATCH($AT273,'2_IMPORTAR_EJECUCION'!$J$9:$J$1208,0)),0))</f>
        <v/>
      </c>
      <c r="AL273" s="18">
        <f>IF($A273="","",MAX(0,IFERROR(INDEX('2_IMPORTAR_EJECUCION'!$H$9:$H$1208,MATCH($AT273,'2_IMPORTAR_EJECUCION'!$J$9:$J$1208,0)),0)-$AK273))</f>
        <v/>
      </c>
      <c r="AM273" s="18">
        <f>IF($A273="","",$AK273+$AL273)</f>
        <v/>
      </c>
      <c r="AN273" s="5">
        <f>IF($A273="","",IF(OR((IFERROR(INDEX('CAT_ACTIVIDADES'!$D$4:$D$11,MATCH($H273,'CAT_ACTIVIDADES'!$A$4:$A$11,0)),""))=0,(IFERROR(INDEX('CAT_ACTIVIDADES'!$D$4:$D$11,MATCH($H273,'CAT_ACTIVIDADES'!$A$4:$A$11,0)),""))=""),"SIN CLASIFICAR",IFERROR(INDEX('CAT_ACTIVIDADES'!$D$4:$D$11,MATCH($H273,'CAT_ACTIVIDADES'!$A$4:$A$11,0)),"")))</f>
        <v/>
      </c>
      <c r="AO273" s="4" t="n"/>
      <c r="AP273" s="4" t="n"/>
      <c r="AQ273" s="4" t="n"/>
      <c r="AR273" s="5">
        <f>IF($AQ273="","",HYPERLINK(p_ruta_base_checklists&amp;$AQ273,"abrir"))</f>
        <v/>
      </c>
      <c r="AS273" s="4" t="n"/>
      <c r="AT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2" t="n"/>
      <c r="K274" s="5" t="n"/>
      <c r="L274" s="18" t="n"/>
      <c r="M274" s="5">
        <f>IF($A274="","",IFERROR(INDEX('AJUSTES'!$B$4:$B$303,MATCH($AT274,'AJUSTES'!$A$4:$A$303,0)),IF($K274="","",$K274)))</f>
        <v/>
      </c>
      <c r="N274" s="5">
        <f>IF($A274="","",IFERROR(INDEX('CAT_ESTADOS_ERP'!$B$4:$B$7,MATCH(IFERROR(INDEX('2_IMPORTAR_EJECUCION'!$C$9:$C$1208,MATCH($AT274,'2_IMPORTAR_EJECUCION'!$J$9:$J$1208,0)),""),'CAT_ESTADOS_ERP'!$A$4:$A$7,0)),"Pendiente"))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IF($J274="","",$P274&amp;"-"&amp;TEXT($Q274,"00"))</f>
        <v/>
      </c>
      <c r="S274" s="5">
        <f>IF($J274="","",INDEX(lista_dias,WEEKDAY($J274,2)))</f>
        <v/>
      </c>
      <c r="T274" s="5">
        <f>IF($J274="","",IFERROR(INDEX('CALENDARIO'!$C$15:$C$214,MATCH(TEXT($J274,"yyyy-mm-dd")&amp;"|"&amp;$X274&amp;"|"&amp;$Y274,'CALENDARIO'!$G$15:$G$214,0)),IFERROR(INDEX('CALENDARIO'!$C$15:$C$214,MATCH(TEXT($J274,"yyyy-mm-dd")&amp;"|"&amp;$X274&amp;"|",'CALENDARIO'!$G$15:$G$214,0)),IFERROR(INDEX('CALENDARIO'!$C$15:$C$214,MATCH(TEXT($J274,"yyyy-mm-dd")&amp;"||",'CALENDARIO'!$G$15:$G$214,0)),INDEX(patronHabil,WEEKDAY($J274,2))))))</f>
        <v/>
      </c>
      <c r="U274" s="5">
        <f>IF($I274="","",IFERROR(INDEX('CAT_TIPOS_OT'!$C$4:$C$8,MATCH($I274,'CAT_TIPOS_OT'!$A$4:$A$8,0)),"sin_clasificar"))</f>
        <v/>
      </c>
      <c r="V274" s="5">
        <f>IF($I274="","",IF(IFERROR(INDEX('CAT_TIPOS_OT'!$D$4:$D$8,MATCH($I274,'CAT_TIPOS_OT'!$A$4:$A$8,0)),"SIN CLASIFICAR")="","SIN CLASIFICAR",IFERROR(INDEX('CAT_TIPOS_OT'!$D$4:$D$8,MATCH($I274,'CAT_TIPOS_OT'!$A$4:$A$8,0)),"SIN CLASIFICAR")))</f>
        <v/>
      </c>
      <c r="W274" s="5">
        <f>IF($F274="","",IFERROR(INDEX('CAT_CENTROS_COSTO'!$F$4:$F$13,MATCH($F274,'CAT_CENTROS_COSTO'!$A$4:$A$13,0)),"(sin catálogo)"))</f>
        <v/>
      </c>
      <c r="X274" s="5">
        <f>IF($F274="","",IFERROR(INDEX('CAT_CENTROS_COSTO'!$D$4:$D$13,MATCH($F274,'CAT_CENTROS_COSTO'!$A$4:$A$13,0)),"(sin catálogo)"))</f>
        <v/>
      </c>
      <c r="Y274" s="5">
        <f>IF($F274="","",IF((IFERROR(INDEX('CAT_CENTROS_COSTO'!$E$4:$E$13,MATCH($F274,'CAT_CENTROS_COSTO'!$A$4:$A$13,0)),""))&lt;&gt;"",IFERROR(INDEX('CAT_CENTROS_COSTO'!$E$4:$E$13,MATCH($F274,'CAT_CENTROS_COSTO'!$A$4:$A$13,0)),""),$X274))</f>
        <v/>
      </c>
      <c r="Z274" s="5">
        <f>IF($F274="","",IFERROR(INDEX('CAT_CENTROS_COSTO'!$G$4:$G$13,MATCH($F274,'CAT_CENTROS_COSTO'!$A$4:$A$13,0)),"(sin catálogo)"))</f>
        <v/>
      </c>
      <c r="AA274" s="5">
        <f>IF($G274="","",IFERROR(INDEX('CAT_PUESTOS'!$B$4:$B$8,MATCH($G274,'CAT_PUESTOS'!$A$4:$A$8,0)),"(sin catálogo)"))</f>
        <v/>
      </c>
      <c r="AB274" s="5">
        <f>IF($H274="","",IFERROR(INDEX('CAT_ACTIVIDADES'!$B$4:$B$11,MATCH($H274,'CAT_ACTIVIDADES'!$A$4:$A$11,0)),"(sin catálogo)"))</f>
        <v/>
      </c>
      <c r="AC274" s="20">
        <f>IF($J274="","",TODAY()-$J274)</f>
        <v/>
      </c>
      <c r="AD274" s="20">
        <f>IF($J274="","",IF($J274&lt;=TODAY(),COUNTIFS(cal_fechas,"&gt;="&amp;$J274,cal_fechas,"&lt;"&amp;TODAY(),cal_habil,"sí"),-COUNTIFS(cal_fechas,"&gt;="&amp;TODAY(),cal_fechas,"&lt;"&amp;$J274,cal_habil,"sí")))</f>
        <v/>
      </c>
      <c r="AE274" s="5">
        <f>IF($AD274="","",IF($AD274&lt;0,"FUTURO",IF($AD274&gt;p_dias_backlog_max,"BACKLOG","MES CORRIENTE")))</f>
        <v/>
      </c>
      <c r="AF274" s="5">
        <f>IF($AD274="",FALSE,AND($AD274&gt;p_dias_backlog_min,$AD274&lt;=p_dias_backlog_max))</f>
        <v/>
      </c>
      <c r="AG274" s="4" t="n"/>
      <c r="AH274" s="5">
        <f>IF($AG274="","",IF((IFERROR(INDEX('ASIGNACIONES'!$J$4:$J$451,MATCH($O274&amp;"|"&amp;$S274&amp;"|"&amp;$AG274,'ASIGNACIONES'!$N$4:$N$451,0)),""))=0,"",IFERROR(INDEX('ASIGNACIONES'!$J$4:$J$451,MATCH($O274&amp;"|"&amp;$S274&amp;"|"&amp;$AG274,'ASIGNACIONES'!$N$4:$N$451,0)),"")))</f>
        <v/>
      </c>
      <c r="AI274" s="25">
        <f>IF($AG274="","",SUMIFS('ORDENES'!$M$4:$M$1203,'ORDENES'!$AG$4:$AG$1203,$AG274,'ORDENES'!$O$4:$O$1203,$O274,'ORDENES'!$S$4:$S$1203,$S274))</f>
        <v/>
      </c>
      <c r="AJ274" s="25">
        <f>IF($AI274="","",p_factor_productividad*IFERROR(INDEX('ASIGNACIONES'!$M$4:$M$451,MATCH($O274&amp;"|"&amp;$S274&amp;"|"&amp;$AG274,'ASIGNACIONES'!$N$4:$N$451,0)),0)-$AI274)</f>
        <v/>
      </c>
      <c r="AK274" s="18">
        <f>IF($A274="","",IFERROR(INDEX('2_IMPORTAR_EJECUCION'!$F$9:$F$1208,MATCH($AT274,'2_IMPORTAR_EJECUCION'!$J$9:$J$1208,0)),0))</f>
        <v/>
      </c>
      <c r="AL274" s="18">
        <f>IF($A274="","",MAX(0,IFERROR(INDEX('2_IMPORTAR_EJECUCION'!$H$9:$H$1208,MATCH($AT274,'2_IMPORTAR_EJECUCION'!$J$9:$J$1208,0)),0)-$AK274))</f>
        <v/>
      </c>
      <c r="AM274" s="18">
        <f>IF($A274="","",$AK274+$AL274)</f>
        <v/>
      </c>
      <c r="AN274" s="5">
        <f>IF($A274="","",IF(OR((IFERROR(INDEX('CAT_ACTIVIDADES'!$D$4:$D$11,MATCH($H274,'CAT_ACTIVIDADES'!$A$4:$A$11,0)),""))=0,(IFERROR(INDEX('CAT_ACTIVIDADES'!$D$4:$D$11,MATCH($H274,'CAT_ACTIVIDADES'!$A$4:$A$11,0)),""))=""),"SIN CLASIFICAR",IFERROR(INDEX('CAT_ACTIVIDADES'!$D$4:$D$11,MATCH($H274,'CAT_ACTIVIDADES'!$A$4:$A$11,0)),"")))</f>
        <v/>
      </c>
      <c r="AO274" s="4" t="n"/>
      <c r="AP274" s="4" t="n"/>
      <c r="AQ274" s="4" t="n"/>
      <c r="AR274" s="5">
        <f>IF($AQ274="","",HYPERLINK(p_ruta_base_checklists&amp;$AQ274,"abrir"))</f>
        <v/>
      </c>
      <c r="AS274" s="4" t="n"/>
      <c r="AT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2" t="n"/>
      <c r="K275" s="5" t="n"/>
      <c r="L275" s="18" t="n"/>
      <c r="M275" s="5">
        <f>IF($A275="","",IFERROR(INDEX('AJUSTES'!$B$4:$B$303,MATCH($AT275,'AJUSTES'!$A$4:$A$303,0)),IF($K275="","",$K275)))</f>
        <v/>
      </c>
      <c r="N275" s="5">
        <f>IF($A275="","",IFERROR(INDEX('CAT_ESTADOS_ERP'!$B$4:$B$7,MATCH(IFERROR(INDEX('2_IMPORTAR_EJECUCION'!$C$9:$C$1208,MATCH($AT275,'2_IMPORTAR_EJECUCION'!$J$9:$J$1208,0)),""),'CAT_ESTADOS_ERP'!$A$4:$A$7,0)),"Pendiente"))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IF($J275="","",$P275&amp;"-"&amp;TEXT($Q275,"00"))</f>
        <v/>
      </c>
      <c r="S275" s="5">
        <f>IF($J275="","",INDEX(lista_dias,WEEKDAY($J275,2)))</f>
        <v/>
      </c>
      <c r="T275" s="5">
        <f>IF($J275="","",IFERROR(INDEX('CALENDARIO'!$C$15:$C$214,MATCH(TEXT($J275,"yyyy-mm-dd")&amp;"|"&amp;$X275&amp;"|"&amp;$Y275,'CALENDARIO'!$G$15:$G$214,0)),IFERROR(INDEX('CALENDARIO'!$C$15:$C$214,MATCH(TEXT($J275,"yyyy-mm-dd")&amp;"|"&amp;$X275&amp;"|",'CALENDARIO'!$G$15:$G$214,0)),IFERROR(INDEX('CALENDARIO'!$C$15:$C$214,MATCH(TEXT($J275,"yyyy-mm-dd")&amp;"||",'CALENDARIO'!$G$15:$G$214,0)),INDEX(patronHabil,WEEKDAY($J275,2))))))</f>
        <v/>
      </c>
      <c r="U275" s="5">
        <f>IF($I275="","",IFERROR(INDEX('CAT_TIPOS_OT'!$C$4:$C$8,MATCH($I275,'CAT_TIPOS_OT'!$A$4:$A$8,0)),"sin_clasificar"))</f>
        <v/>
      </c>
      <c r="V275" s="5">
        <f>IF($I275="","",IF(IFERROR(INDEX('CAT_TIPOS_OT'!$D$4:$D$8,MATCH($I275,'CAT_TIPOS_OT'!$A$4:$A$8,0)),"SIN CLASIFICAR")="","SIN CLASIFICAR",IFERROR(INDEX('CAT_TIPOS_OT'!$D$4:$D$8,MATCH($I275,'CAT_TIPOS_OT'!$A$4:$A$8,0)),"SIN CLASIFICAR")))</f>
        <v/>
      </c>
      <c r="W275" s="5">
        <f>IF($F275="","",IFERROR(INDEX('CAT_CENTROS_COSTO'!$F$4:$F$13,MATCH($F275,'CAT_CENTROS_COSTO'!$A$4:$A$13,0)),"(sin catálogo)"))</f>
        <v/>
      </c>
      <c r="X275" s="5">
        <f>IF($F275="","",IFERROR(INDEX('CAT_CENTROS_COSTO'!$D$4:$D$13,MATCH($F275,'CAT_CENTROS_COSTO'!$A$4:$A$13,0)),"(sin catálogo)"))</f>
        <v/>
      </c>
      <c r="Y275" s="5">
        <f>IF($F275="","",IF((IFERROR(INDEX('CAT_CENTROS_COSTO'!$E$4:$E$13,MATCH($F275,'CAT_CENTROS_COSTO'!$A$4:$A$13,0)),""))&lt;&gt;"",IFERROR(INDEX('CAT_CENTROS_COSTO'!$E$4:$E$13,MATCH($F275,'CAT_CENTROS_COSTO'!$A$4:$A$13,0)),""),$X275))</f>
        <v/>
      </c>
      <c r="Z275" s="5">
        <f>IF($F275="","",IFERROR(INDEX('CAT_CENTROS_COSTO'!$G$4:$G$13,MATCH($F275,'CAT_CENTROS_COSTO'!$A$4:$A$13,0)),"(sin catálogo)"))</f>
        <v/>
      </c>
      <c r="AA275" s="5">
        <f>IF($G275="","",IFERROR(INDEX('CAT_PUESTOS'!$B$4:$B$8,MATCH($G275,'CAT_PUESTOS'!$A$4:$A$8,0)),"(sin catálogo)"))</f>
        <v/>
      </c>
      <c r="AB275" s="5">
        <f>IF($H275="","",IFERROR(INDEX('CAT_ACTIVIDADES'!$B$4:$B$11,MATCH($H275,'CAT_ACTIVIDADES'!$A$4:$A$11,0)),"(sin catálogo)"))</f>
        <v/>
      </c>
      <c r="AC275" s="20">
        <f>IF($J275="","",TODAY()-$J275)</f>
        <v/>
      </c>
      <c r="AD275" s="20">
        <f>IF($J275="","",IF($J275&lt;=TODAY(),COUNTIFS(cal_fechas,"&gt;="&amp;$J275,cal_fechas,"&lt;"&amp;TODAY(),cal_habil,"sí"),-COUNTIFS(cal_fechas,"&gt;="&amp;TODAY(),cal_fechas,"&lt;"&amp;$J275,cal_habil,"sí")))</f>
        <v/>
      </c>
      <c r="AE275" s="5">
        <f>IF($AD275="","",IF($AD275&lt;0,"FUTURO",IF($AD275&gt;p_dias_backlog_max,"BACKLOG","MES CORRIENTE")))</f>
        <v/>
      </c>
      <c r="AF275" s="5">
        <f>IF($AD275="",FALSE,AND($AD275&gt;p_dias_backlog_min,$AD275&lt;=p_dias_backlog_max))</f>
        <v/>
      </c>
      <c r="AG275" s="4" t="n"/>
      <c r="AH275" s="5">
        <f>IF($AG275="","",IF((IFERROR(INDEX('ASIGNACIONES'!$J$4:$J$451,MATCH($O275&amp;"|"&amp;$S275&amp;"|"&amp;$AG275,'ASIGNACIONES'!$N$4:$N$451,0)),""))=0,"",IFERROR(INDEX('ASIGNACIONES'!$J$4:$J$451,MATCH($O275&amp;"|"&amp;$S275&amp;"|"&amp;$AG275,'ASIGNACIONES'!$N$4:$N$451,0)),"")))</f>
        <v/>
      </c>
      <c r="AI275" s="25">
        <f>IF($AG275="","",SUMIFS('ORDENES'!$M$4:$M$1203,'ORDENES'!$AG$4:$AG$1203,$AG275,'ORDENES'!$O$4:$O$1203,$O275,'ORDENES'!$S$4:$S$1203,$S275))</f>
        <v/>
      </c>
      <c r="AJ275" s="25">
        <f>IF($AI275="","",p_factor_productividad*IFERROR(INDEX('ASIGNACIONES'!$M$4:$M$451,MATCH($O275&amp;"|"&amp;$S275&amp;"|"&amp;$AG275,'ASIGNACIONES'!$N$4:$N$451,0)),0)-$AI275)</f>
        <v/>
      </c>
      <c r="AK275" s="18">
        <f>IF($A275="","",IFERROR(INDEX('2_IMPORTAR_EJECUCION'!$F$9:$F$1208,MATCH($AT275,'2_IMPORTAR_EJECUCION'!$J$9:$J$1208,0)),0))</f>
        <v/>
      </c>
      <c r="AL275" s="18">
        <f>IF($A275="","",MAX(0,IFERROR(INDEX('2_IMPORTAR_EJECUCION'!$H$9:$H$1208,MATCH($AT275,'2_IMPORTAR_EJECUCION'!$J$9:$J$1208,0)),0)-$AK275))</f>
        <v/>
      </c>
      <c r="AM275" s="18">
        <f>IF($A275="","",$AK275+$AL275)</f>
        <v/>
      </c>
      <c r="AN275" s="5">
        <f>IF($A275="","",IF(OR((IFERROR(INDEX('CAT_ACTIVIDADES'!$D$4:$D$11,MATCH($H275,'CAT_ACTIVIDADES'!$A$4:$A$11,0)),""))=0,(IFERROR(INDEX('CAT_ACTIVIDADES'!$D$4:$D$11,MATCH($H275,'CAT_ACTIVIDADES'!$A$4:$A$11,0)),""))=""),"SIN CLASIFICAR",IFERROR(INDEX('CAT_ACTIVIDADES'!$D$4:$D$11,MATCH($H275,'CAT_ACTIVIDADES'!$A$4:$A$11,0)),"")))</f>
        <v/>
      </c>
      <c r="AO275" s="4" t="n"/>
      <c r="AP275" s="4" t="n"/>
      <c r="AQ275" s="4" t="n"/>
      <c r="AR275" s="5">
        <f>IF($AQ275="","",HYPERLINK(p_ruta_base_checklists&amp;$AQ275,"abrir"))</f>
        <v/>
      </c>
      <c r="AS275" s="4" t="n"/>
      <c r="AT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2" t="n"/>
      <c r="K276" s="5" t="n"/>
      <c r="L276" s="18" t="n"/>
      <c r="M276" s="5">
        <f>IF($A276="","",IFERROR(INDEX('AJUSTES'!$B$4:$B$303,MATCH($AT276,'AJUSTES'!$A$4:$A$303,0)),IF($K276="","",$K276)))</f>
        <v/>
      </c>
      <c r="N276" s="5">
        <f>IF($A276="","",IFERROR(INDEX('CAT_ESTADOS_ERP'!$B$4:$B$7,MATCH(IFERROR(INDEX('2_IMPORTAR_EJECUCION'!$C$9:$C$1208,MATCH($AT276,'2_IMPORTAR_EJECUCION'!$J$9:$J$1208,0)),""),'CAT_ESTADOS_ERP'!$A$4:$A$7,0)),"Pendiente"))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IF($J276="","",$P276&amp;"-"&amp;TEXT($Q276,"00"))</f>
        <v/>
      </c>
      <c r="S276" s="5">
        <f>IF($J276="","",INDEX(lista_dias,WEEKDAY($J276,2)))</f>
        <v/>
      </c>
      <c r="T276" s="5">
        <f>IF($J276="","",IFERROR(INDEX('CALENDARIO'!$C$15:$C$214,MATCH(TEXT($J276,"yyyy-mm-dd")&amp;"|"&amp;$X276&amp;"|"&amp;$Y276,'CALENDARIO'!$G$15:$G$214,0)),IFERROR(INDEX('CALENDARIO'!$C$15:$C$214,MATCH(TEXT($J276,"yyyy-mm-dd")&amp;"|"&amp;$X276&amp;"|",'CALENDARIO'!$G$15:$G$214,0)),IFERROR(INDEX('CALENDARIO'!$C$15:$C$214,MATCH(TEXT($J276,"yyyy-mm-dd")&amp;"||",'CALENDARIO'!$G$15:$G$214,0)),INDEX(patronHabil,WEEKDAY($J276,2))))))</f>
        <v/>
      </c>
      <c r="U276" s="5">
        <f>IF($I276="","",IFERROR(INDEX('CAT_TIPOS_OT'!$C$4:$C$8,MATCH($I276,'CAT_TIPOS_OT'!$A$4:$A$8,0)),"sin_clasificar"))</f>
        <v/>
      </c>
      <c r="V276" s="5">
        <f>IF($I276="","",IF(IFERROR(INDEX('CAT_TIPOS_OT'!$D$4:$D$8,MATCH($I276,'CAT_TIPOS_OT'!$A$4:$A$8,0)),"SIN CLASIFICAR")="","SIN CLASIFICAR",IFERROR(INDEX('CAT_TIPOS_OT'!$D$4:$D$8,MATCH($I276,'CAT_TIPOS_OT'!$A$4:$A$8,0)),"SIN CLASIFICAR")))</f>
        <v/>
      </c>
      <c r="W276" s="5">
        <f>IF($F276="","",IFERROR(INDEX('CAT_CENTROS_COSTO'!$F$4:$F$13,MATCH($F276,'CAT_CENTROS_COSTO'!$A$4:$A$13,0)),"(sin catálogo)"))</f>
        <v/>
      </c>
      <c r="X276" s="5">
        <f>IF($F276="","",IFERROR(INDEX('CAT_CENTROS_COSTO'!$D$4:$D$13,MATCH($F276,'CAT_CENTROS_COSTO'!$A$4:$A$13,0)),"(sin catálogo)"))</f>
        <v/>
      </c>
      <c r="Y276" s="5">
        <f>IF($F276="","",IF((IFERROR(INDEX('CAT_CENTROS_COSTO'!$E$4:$E$13,MATCH($F276,'CAT_CENTROS_COSTO'!$A$4:$A$13,0)),""))&lt;&gt;"",IFERROR(INDEX('CAT_CENTROS_COSTO'!$E$4:$E$13,MATCH($F276,'CAT_CENTROS_COSTO'!$A$4:$A$13,0)),""),$X276))</f>
        <v/>
      </c>
      <c r="Z276" s="5">
        <f>IF($F276="","",IFERROR(INDEX('CAT_CENTROS_COSTO'!$G$4:$G$13,MATCH($F276,'CAT_CENTROS_COSTO'!$A$4:$A$13,0)),"(sin catálogo)"))</f>
        <v/>
      </c>
      <c r="AA276" s="5">
        <f>IF($G276="","",IFERROR(INDEX('CAT_PUESTOS'!$B$4:$B$8,MATCH($G276,'CAT_PUESTOS'!$A$4:$A$8,0)),"(sin catálogo)"))</f>
        <v/>
      </c>
      <c r="AB276" s="5">
        <f>IF($H276="","",IFERROR(INDEX('CAT_ACTIVIDADES'!$B$4:$B$11,MATCH($H276,'CAT_ACTIVIDADES'!$A$4:$A$11,0)),"(sin catálogo)"))</f>
        <v/>
      </c>
      <c r="AC276" s="20">
        <f>IF($J276="","",TODAY()-$J276)</f>
        <v/>
      </c>
      <c r="AD276" s="20">
        <f>IF($J276="","",IF($J276&lt;=TODAY(),COUNTIFS(cal_fechas,"&gt;="&amp;$J276,cal_fechas,"&lt;"&amp;TODAY(),cal_habil,"sí"),-COUNTIFS(cal_fechas,"&gt;="&amp;TODAY(),cal_fechas,"&lt;"&amp;$J276,cal_habil,"sí")))</f>
        <v/>
      </c>
      <c r="AE276" s="5">
        <f>IF($AD276="","",IF($AD276&lt;0,"FUTURO",IF($AD276&gt;p_dias_backlog_max,"BACKLOG","MES CORRIENTE")))</f>
        <v/>
      </c>
      <c r="AF276" s="5">
        <f>IF($AD276="",FALSE,AND($AD276&gt;p_dias_backlog_min,$AD276&lt;=p_dias_backlog_max))</f>
        <v/>
      </c>
      <c r="AG276" s="4" t="n"/>
      <c r="AH276" s="5">
        <f>IF($AG276="","",IF((IFERROR(INDEX('ASIGNACIONES'!$J$4:$J$451,MATCH($O276&amp;"|"&amp;$S276&amp;"|"&amp;$AG276,'ASIGNACIONES'!$N$4:$N$451,0)),""))=0,"",IFERROR(INDEX('ASIGNACIONES'!$J$4:$J$451,MATCH($O276&amp;"|"&amp;$S276&amp;"|"&amp;$AG276,'ASIGNACIONES'!$N$4:$N$451,0)),"")))</f>
        <v/>
      </c>
      <c r="AI276" s="25">
        <f>IF($AG276="","",SUMIFS('ORDENES'!$M$4:$M$1203,'ORDENES'!$AG$4:$AG$1203,$AG276,'ORDENES'!$O$4:$O$1203,$O276,'ORDENES'!$S$4:$S$1203,$S276))</f>
        <v/>
      </c>
      <c r="AJ276" s="25">
        <f>IF($AI276="","",p_factor_productividad*IFERROR(INDEX('ASIGNACIONES'!$M$4:$M$451,MATCH($O276&amp;"|"&amp;$S276&amp;"|"&amp;$AG276,'ASIGNACIONES'!$N$4:$N$451,0)),0)-$AI276)</f>
        <v/>
      </c>
      <c r="AK276" s="18">
        <f>IF($A276="","",IFERROR(INDEX('2_IMPORTAR_EJECUCION'!$F$9:$F$1208,MATCH($AT276,'2_IMPORTAR_EJECUCION'!$J$9:$J$1208,0)),0))</f>
        <v/>
      </c>
      <c r="AL276" s="18">
        <f>IF($A276="","",MAX(0,IFERROR(INDEX('2_IMPORTAR_EJECUCION'!$H$9:$H$1208,MATCH($AT276,'2_IMPORTAR_EJECUCION'!$J$9:$J$1208,0)),0)-$AK276))</f>
        <v/>
      </c>
      <c r="AM276" s="18">
        <f>IF($A276="","",$AK276+$AL276)</f>
        <v/>
      </c>
      <c r="AN276" s="5">
        <f>IF($A276="","",IF(OR((IFERROR(INDEX('CAT_ACTIVIDADES'!$D$4:$D$11,MATCH($H276,'CAT_ACTIVIDADES'!$A$4:$A$11,0)),""))=0,(IFERROR(INDEX('CAT_ACTIVIDADES'!$D$4:$D$11,MATCH($H276,'CAT_ACTIVIDADES'!$A$4:$A$11,0)),""))=""),"SIN CLASIFICAR",IFERROR(INDEX('CAT_ACTIVIDADES'!$D$4:$D$11,MATCH($H276,'CAT_ACTIVIDADES'!$A$4:$A$11,0)),"")))</f>
        <v/>
      </c>
      <c r="AO276" s="4" t="n"/>
      <c r="AP276" s="4" t="n"/>
      <c r="AQ276" s="4" t="n"/>
      <c r="AR276" s="5">
        <f>IF($AQ276="","",HYPERLINK(p_ruta_base_checklists&amp;$AQ276,"abrir"))</f>
        <v/>
      </c>
      <c r="AS276" s="4" t="n"/>
      <c r="AT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2" t="n"/>
      <c r="K277" s="5" t="n"/>
      <c r="L277" s="18" t="n"/>
      <c r="M277" s="5">
        <f>IF($A277="","",IFERROR(INDEX('AJUSTES'!$B$4:$B$303,MATCH($AT277,'AJUSTES'!$A$4:$A$303,0)),IF($K277="","",$K277)))</f>
        <v/>
      </c>
      <c r="N277" s="5">
        <f>IF($A277="","",IFERROR(INDEX('CAT_ESTADOS_ERP'!$B$4:$B$7,MATCH(IFERROR(INDEX('2_IMPORTAR_EJECUCION'!$C$9:$C$1208,MATCH($AT277,'2_IMPORTAR_EJECUCION'!$J$9:$J$1208,0)),""),'CAT_ESTADOS_ERP'!$A$4:$A$7,0)),"Pendiente"))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IF($J277="","",$P277&amp;"-"&amp;TEXT($Q277,"00"))</f>
        <v/>
      </c>
      <c r="S277" s="5">
        <f>IF($J277="","",INDEX(lista_dias,WEEKDAY($J277,2)))</f>
        <v/>
      </c>
      <c r="T277" s="5">
        <f>IF($J277="","",IFERROR(INDEX('CALENDARIO'!$C$15:$C$214,MATCH(TEXT($J277,"yyyy-mm-dd")&amp;"|"&amp;$X277&amp;"|"&amp;$Y277,'CALENDARIO'!$G$15:$G$214,0)),IFERROR(INDEX('CALENDARIO'!$C$15:$C$214,MATCH(TEXT($J277,"yyyy-mm-dd")&amp;"|"&amp;$X277&amp;"|",'CALENDARIO'!$G$15:$G$214,0)),IFERROR(INDEX('CALENDARIO'!$C$15:$C$214,MATCH(TEXT($J277,"yyyy-mm-dd")&amp;"||",'CALENDARIO'!$G$15:$G$214,0)),INDEX(patronHabil,WEEKDAY($J277,2))))))</f>
        <v/>
      </c>
      <c r="U277" s="5">
        <f>IF($I277="","",IFERROR(INDEX('CAT_TIPOS_OT'!$C$4:$C$8,MATCH($I277,'CAT_TIPOS_OT'!$A$4:$A$8,0)),"sin_clasificar"))</f>
        <v/>
      </c>
      <c r="V277" s="5">
        <f>IF($I277="","",IF(IFERROR(INDEX('CAT_TIPOS_OT'!$D$4:$D$8,MATCH($I277,'CAT_TIPOS_OT'!$A$4:$A$8,0)),"SIN CLASIFICAR")="","SIN CLASIFICAR",IFERROR(INDEX('CAT_TIPOS_OT'!$D$4:$D$8,MATCH($I277,'CAT_TIPOS_OT'!$A$4:$A$8,0)),"SIN CLASIFICAR")))</f>
        <v/>
      </c>
      <c r="W277" s="5">
        <f>IF($F277="","",IFERROR(INDEX('CAT_CENTROS_COSTO'!$F$4:$F$13,MATCH($F277,'CAT_CENTROS_COSTO'!$A$4:$A$13,0)),"(sin catálogo)"))</f>
        <v/>
      </c>
      <c r="X277" s="5">
        <f>IF($F277="","",IFERROR(INDEX('CAT_CENTROS_COSTO'!$D$4:$D$13,MATCH($F277,'CAT_CENTROS_COSTO'!$A$4:$A$13,0)),"(sin catálogo)"))</f>
        <v/>
      </c>
      <c r="Y277" s="5">
        <f>IF($F277="","",IF((IFERROR(INDEX('CAT_CENTROS_COSTO'!$E$4:$E$13,MATCH($F277,'CAT_CENTROS_COSTO'!$A$4:$A$13,0)),""))&lt;&gt;"",IFERROR(INDEX('CAT_CENTROS_COSTO'!$E$4:$E$13,MATCH($F277,'CAT_CENTROS_COSTO'!$A$4:$A$13,0)),""),$X277))</f>
        <v/>
      </c>
      <c r="Z277" s="5">
        <f>IF($F277="","",IFERROR(INDEX('CAT_CENTROS_COSTO'!$G$4:$G$13,MATCH($F277,'CAT_CENTROS_COSTO'!$A$4:$A$13,0)),"(sin catálogo)"))</f>
        <v/>
      </c>
      <c r="AA277" s="5">
        <f>IF($G277="","",IFERROR(INDEX('CAT_PUESTOS'!$B$4:$B$8,MATCH($G277,'CAT_PUESTOS'!$A$4:$A$8,0)),"(sin catálogo)"))</f>
        <v/>
      </c>
      <c r="AB277" s="5">
        <f>IF($H277="","",IFERROR(INDEX('CAT_ACTIVIDADES'!$B$4:$B$11,MATCH($H277,'CAT_ACTIVIDADES'!$A$4:$A$11,0)),"(sin catálogo)"))</f>
        <v/>
      </c>
      <c r="AC277" s="20">
        <f>IF($J277="","",TODAY()-$J277)</f>
        <v/>
      </c>
      <c r="AD277" s="20">
        <f>IF($J277="","",IF($J277&lt;=TODAY(),COUNTIFS(cal_fechas,"&gt;="&amp;$J277,cal_fechas,"&lt;"&amp;TODAY(),cal_habil,"sí"),-COUNTIFS(cal_fechas,"&gt;="&amp;TODAY(),cal_fechas,"&lt;"&amp;$J277,cal_habil,"sí")))</f>
        <v/>
      </c>
      <c r="AE277" s="5">
        <f>IF($AD277="","",IF($AD277&lt;0,"FUTURO",IF($AD277&gt;p_dias_backlog_max,"BACKLOG","MES CORRIENTE")))</f>
        <v/>
      </c>
      <c r="AF277" s="5">
        <f>IF($AD277="",FALSE,AND($AD277&gt;p_dias_backlog_min,$AD277&lt;=p_dias_backlog_max))</f>
        <v/>
      </c>
      <c r="AG277" s="4" t="n"/>
      <c r="AH277" s="5">
        <f>IF($AG277="","",IF((IFERROR(INDEX('ASIGNACIONES'!$J$4:$J$451,MATCH($O277&amp;"|"&amp;$S277&amp;"|"&amp;$AG277,'ASIGNACIONES'!$N$4:$N$451,0)),""))=0,"",IFERROR(INDEX('ASIGNACIONES'!$J$4:$J$451,MATCH($O277&amp;"|"&amp;$S277&amp;"|"&amp;$AG277,'ASIGNACIONES'!$N$4:$N$451,0)),"")))</f>
        <v/>
      </c>
      <c r="AI277" s="25">
        <f>IF($AG277="","",SUMIFS('ORDENES'!$M$4:$M$1203,'ORDENES'!$AG$4:$AG$1203,$AG277,'ORDENES'!$O$4:$O$1203,$O277,'ORDENES'!$S$4:$S$1203,$S277))</f>
        <v/>
      </c>
      <c r="AJ277" s="25">
        <f>IF($AI277="","",p_factor_productividad*IFERROR(INDEX('ASIGNACIONES'!$M$4:$M$451,MATCH($O277&amp;"|"&amp;$S277&amp;"|"&amp;$AG277,'ASIGNACIONES'!$N$4:$N$451,0)),0)-$AI277)</f>
        <v/>
      </c>
      <c r="AK277" s="18">
        <f>IF($A277="","",IFERROR(INDEX('2_IMPORTAR_EJECUCION'!$F$9:$F$1208,MATCH($AT277,'2_IMPORTAR_EJECUCION'!$J$9:$J$1208,0)),0))</f>
        <v/>
      </c>
      <c r="AL277" s="18">
        <f>IF($A277="","",MAX(0,IFERROR(INDEX('2_IMPORTAR_EJECUCION'!$H$9:$H$1208,MATCH($AT277,'2_IMPORTAR_EJECUCION'!$J$9:$J$1208,0)),0)-$AK277))</f>
        <v/>
      </c>
      <c r="AM277" s="18">
        <f>IF($A277="","",$AK277+$AL277)</f>
        <v/>
      </c>
      <c r="AN277" s="5">
        <f>IF($A277="","",IF(OR((IFERROR(INDEX('CAT_ACTIVIDADES'!$D$4:$D$11,MATCH($H277,'CAT_ACTIVIDADES'!$A$4:$A$11,0)),""))=0,(IFERROR(INDEX('CAT_ACTIVIDADES'!$D$4:$D$11,MATCH($H277,'CAT_ACTIVIDADES'!$A$4:$A$11,0)),""))=""),"SIN CLASIFICAR",IFERROR(INDEX('CAT_ACTIVIDADES'!$D$4:$D$11,MATCH($H277,'CAT_ACTIVIDADES'!$A$4:$A$11,0)),"")))</f>
        <v/>
      </c>
      <c r="AO277" s="4" t="n"/>
      <c r="AP277" s="4" t="n"/>
      <c r="AQ277" s="4" t="n"/>
      <c r="AR277" s="5">
        <f>IF($AQ277="","",HYPERLINK(p_ruta_base_checklists&amp;$AQ277,"abrir"))</f>
        <v/>
      </c>
      <c r="AS277" s="4" t="n"/>
      <c r="AT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2" t="n"/>
      <c r="K278" s="5" t="n"/>
      <c r="L278" s="18" t="n"/>
      <c r="M278" s="5">
        <f>IF($A278="","",IFERROR(INDEX('AJUSTES'!$B$4:$B$303,MATCH($AT278,'AJUSTES'!$A$4:$A$303,0)),IF($K278="","",$K278)))</f>
        <v/>
      </c>
      <c r="N278" s="5">
        <f>IF($A278="","",IFERROR(INDEX('CAT_ESTADOS_ERP'!$B$4:$B$7,MATCH(IFERROR(INDEX('2_IMPORTAR_EJECUCION'!$C$9:$C$1208,MATCH($AT278,'2_IMPORTAR_EJECUCION'!$J$9:$J$1208,0)),""),'CAT_ESTADOS_ERP'!$A$4:$A$7,0)),"Pendiente"))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IF($J278="","",$P278&amp;"-"&amp;TEXT($Q278,"00"))</f>
        <v/>
      </c>
      <c r="S278" s="5">
        <f>IF($J278="","",INDEX(lista_dias,WEEKDAY($J278,2)))</f>
        <v/>
      </c>
      <c r="T278" s="5">
        <f>IF($J278="","",IFERROR(INDEX('CALENDARIO'!$C$15:$C$214,MATCH(TEXT($J278,"yyyy-mm-dd")&amp;"|"&amp;$X278&amp;"|"&amp;$Y278,'CALENDARIO'!$G$15:$G$214,0)),IFERROR(INDEX('CALENDARIO'!$C$15:$C$214,MATCH(TEXT($J278,"yyyy-mm-dd")&amp;"|"&amp;$X278&amp;"|",'CALENDARIO'!$G$15:$G$214,0)),IFERROR(INDEX('CALENDARIO'!$C$15:$C$214,MATCH(TEXT($J278,"yyyy-mm-dd")&amp;"||",'CALENDARIO'!$G$15:$G$214,0)),INDEX(patronHabil,WEEKDAY($J278,2))))))</f>
        <v/>
      </c>
      <c r="U278" s="5">
        <f>IF($I278="","",IFERROR(INDEX('CAT_TIPOS_OT'!$C$4:$C$8,MATCH($I278,'CAT_TIPOS_OT'!$A$4:$A$8,0)),"sin_clasificar"))</f>
        <v/>
      </c>
      <c r="V278" s="5">
        <f>IF($I278="","",IF(IFERROR(INDEX('CAT_TIPOS_OT'!$D$4:$D$8,MATCH($I278,'CAT_TIPOS_OT'!$A$4:$A$8,0)),"SIN CLASIFICAR")="","SIN CLASIFICAR",IFERROR(INDEX('CAT_TIPOS_OT'!$D$4:$D$8,MATCH($I278,'CAT_TIPOS_OT'!$A$4:$A$8,0)),"SIN CLASIFICAR")))</f>
        <v/>
      </c>
      <c r="W278" s="5">
        <f>IF($F278="","",IFERROR(INDEX('CAT_CENTROS_COSTO'!$F$4:$F$13,MATCH($F278,'CAT_CENTROS_COSTO'!$A$4:$A$13,0)),"(sin catálogo)"))</f>
        <v/>
      </c>
      <c r="X278" s="5">
        <f>IF($F278="","",IFERROR(INDEX('CAT_CENTROS_COSTO'!$D$4:$D$13,MATCH($F278,'CAT_CENTROS_COSTO'!$A$4:$A$13,0)),"(sin catálogo)"))</f>
        <v/>
      </c>
      <c r="Y278" s="5">
        <f>IF($F278="","",IF((IFERROR(INDEX('CAT_CENTROS_COSTO'!$E$4:$E$13,MATCH($F278,'CAT_CENTROS_COSTO'!$A$4:$A$13,0)),""))&lt;&gt;"",IFERROR(INDEX('CAT_CENTROS_COSTO'!$E$4:$E$13,MATCH($F278,'CAT_CENTROS_COSTO'!$A$4:$A$13,0)),""),$X278))</f>
        <v/>
      </c>
      <c r="Z278" s="5">
        <f>IF($F278="","",IFERROR(INDEX('CAT_CENTROS_COSTO'!$G$4:$G$13,MATCH($F278,'CAT_CENTROS_COSTO'!$A$4:$A$13,0)),"(sin catálogo)"))</f>
        <v/>
      </c>
      <c r="AA278" s="5">
        <f>IF($G278="","",IFERROR(INDEX('CAT_PUESTOS'!$B$4:$B$8,MATCH($G278,'CAT_PUESTOS'!$A$4:$A$8,0)),"(sin catálogo)"))</f>
        <v/>
      </c>
      <c r="AB278" s="5">
        <f>IF($H278="","",IFERROR(INDEX('CAT_ACTIVIDADES'!$B$4:$B$11,MATCH($H278,'CAT_ACTIVIDADES'!$A$4:$A$11,0)),"(sin catálogo)"))</f>
        <v/>
      </c>
      <c r="AC278" s="20">
        <f>IF($J278="","",TODAY()-$J278)</f>
        <v/>
      </c>
      <c r="AD278" s="20">
        <f>IF($J278="","",IF($J278&lt;=TODAY(),COUNTIFS(cal_fechas,"&gt;="&amp;$J278,cal_fechas,"&lt;"&amp;TODAY(),cal_habil,"sí"),-COUNTIFS(cal_fechas,"&gt;="&amp;TODAY(),cal_fechas,"&lt;"&amp;$J278,cal_habil,"sí")))</f>
        <v/>
      </c>
      <c r="AE278" s="5">
        <f>IF($AD278="","",IF($AD278&lt;0,"FUTURO",IF($AD278&gt;p_dias_backlog_max,"BACKLOG","MES CORRIENTE")))</f>
        <v/>
      </c>
      <c r="AF278" s="5">
        <f>IF($AD278="",FALSE,AND($AD278&gt;p_dias_backlog_min,$AD278&lt;=p_dias_backlog_max))</f>
        <v/>
      </c>
      <c r="AG278" s="4" t="n"/>
      <c r="AH278" s="5">
        <f>IF($AG278="","",IF((IFERROR(INDEX('ASIGNACIONES'!$J$4:$J$451,MATCH($O278&amp;"|"&amp;$S278&amp;"|"&amp;$AG278,'ASIGNACIONES'!$N$4:$N$451,0)),""))=0,"",IFERROR(INDEX('ASIGNACIONES'!$J$4:$J$451,MATCH($O278&amp;"|"&amp;$S278&amp;"|"&amp;$AG278,'ASIGNACIONES'!$N$4:$N$451,0)),"")))</f>
        <v/>
      </c>
      <c r="AI278" s="25">
        <f>IF($AG278="","",SUMIFS('ORDENES'!$M$4:$M$1203,'ORDENES'!$AG$4:$AG$1203,$AG278,'ORDENES'!$O$4:$O$1203,$O278,'ORDENES'!$S$4:$S$1203,$S278))</f>
        <v/>
      </c>
      <c r="AJ278" s="25">
        <f>IF($AI278="","",p_factor_productividad*IFERROR(INDEX('ASIGNACIONES'!$M$4:$M$451,MATCH($O278&amp;"|"&amp;$S278&amp;"|"&amp;$AG278,'ASIGNACIONES'!$N$4:$N$451,0)),0)-$AI278)</f>
        <v/>
      </c>
      <c r="AK278" s="18">
        <f>IF($A278="","",IFERROR(INDEX('2_IMPORTAR_EJECUCION'!$F$9:$F$1208,MATCH($AT278,'2_IMPORTAR_EJECUCION'!$J$9:$J$1208,0)),0))</f>
        <v/>
      </c>
      <c r="AL278" s="18">
        <f>IF($A278="","",MAX(0,IFERROR(INDEX('2_IMPORTAR_EJECUCION'!$H$9:$H$1208,MATCH($AT278,'2_IMPORTAR_EJECUCION'!$J$9:$J$1208,0)),0)-$AK278))</f>
        <v/>
      </c>
      <c r="AM278" s="18">
        <f>IF($A278="","",$AK278+$AL278)</f>
        <v/>
      </c>
      <c r="AN278" s="5">
        <f>IF($A278="","",IF(OR((IFERROR(INDEX('CAT_ACTIVIDADES'!$D$4:$D$11,MATCH($H278,'CAT_ACTIVIDADES'!$A$4:$A$11,0)),""))=0,(IFERROR(INDEX('CAT_ACTIVIDADES'!$D$4:$D$11,MATCH($H278,'CAT_ACTIVIDADES'!$A$4:$A$11,0)),""))=""),"SIN CLASIFICAR",IFERROR(INDEX('CAT_ACTIVIDADES'!$D$4:$D$11,MATCH($H278,'CAT_ACTIVIDADES'!$A$4:$A$11,0)),"")))</f>
        <v/>
      </c>
      <c r="AO278" s="4" t="n"/>
      <c r="AP278" s="4" t="n"/>
      <c r="AQ278" s="4" t="n"/>
      <c r="AR278" s="5">
        <f>IF($AQ278="","",HYPERLINK(p_ruta_base_checklists&amp;$AQ278,"abrir"))</f>
        <v/>
      </c>
      <c r="AS278" s="4" t="n"/>
      <c r="AT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2" t="n"/>
      <c r="K279" s="5" t="n"/>
      <c r="L279" s="18" t="n"/>
      <c r="M279" s="5">
        <f>IF($A279="","",IFERROR(INDEX('AJUSTES'!$B$4:$B$303,MATCH($AT279,'AJUSTES'!$A$4:$A$303,0)),IF($K279="","",$K279)))</f>
        <v/>
      </c>
      <c r="N279" s="5">
        <f>IF($A279="","",IFERROR(INDEX('CAT_ESTADOS_ERP'!$B$4:$B$7,MATCH(IFERROR(INDEX('2_IMPORTAR_EJECUCION'!$C$9:$C$1208,MATCH($AT279,'2_IMPORTAR_EJECUCION'!$J$9:$J$1208,0)),""),'CAT_ESTADOS_ERP'!$A$4:$A$7,0)),"Pendiente"))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IF($J279="","",$P279&amp;"-"&amp;TEXT($Q279,"00"))</f>
        <v/>
      </c>
      <c r="S279" s="5">
        <f>IF($J279="","",INDEX(lista_dias,WEEKDAY($J279,2)))</f>
        <v/>
      </c>
      <c r="T279" s="5">
        <f>IF($J279="","",IFERROR(INDEX('CALENDARIO'!$C$15:$C$214,MATCH(TEXT($J279,"yyyy-mm-dd")&amp;"|"&amp;$X279&amp;"|"&amp;$Y279,'CALENDARIO'!$G$15:$G$214,0)),IFERROR(INDEX('CALENDARIO'!$C$15:$C$214,MATCH(TEXT($J279,"yyyy-mm-dd")&amp;"|"&amp;$X279&amp;"|",'CALENDARIO'!$G$15:$G$214,0)),IFERROR(INDEX('CALENDARIO'!$C$15:$C$214,MATCH(TEXT($J279,"yyyy-mm-dd")&amp;"||",'CALENDARIO'!$G$15:$G$214,0)),INDEX(patronHabil,WEEKDAY($J279,2))))))</f>
        <v/>
      </c>
      <c r="U279" s="5">
        <f>IF($I279="","",IFERROR(INDEX('CAT_TIPOS_OT'!$C$4:$C$8,MATCH($I279,'CAT_TIPOS_OT'!$A$4:$A$8,0)),"sin_clasificar"))</f>
        <v/>
      </c>
      <c r="V279" s="5">
        <f>IF($I279="","",IF(IFERROR(INDEX('CAT_TIPOS_OT'!$D$4:$D$8,MATCH($I279,'CAT_TIPOS_OT'!$A$4:$A$8,0)),"SIN CLASIFICAR")="","SIN CLASIFICAR",IFERROR(INDEX('CAT_TIPOS_OT'!$D$4:$D$8,MATCH($I279,'CAT_TIPOS_OT'!$A$4:$A$8,0)),"SIN CLASIFICAR")))</f>
        <v/>
      </c>
      <c r="W279" s="5">
        <f>IF($F279="","",IFERROR(INDEX('CAT_CENTROS_COSTO'!$F$4:$F$13,MATCH($F279,'CAT_CENTROS_COSTO'!$A$4:$A$13,0)),"(sin catálogo)"))</f>
        <v/>
      </c>
      <c r="X279" s="5">
        <f>IF($F279="","",IFERROR(INDEX('CAT_CENTROS_COSTO'!$D$4:$D$13,MATCH($F279,'CAT_CENTROS_COSTO'!$A$4:$A$13,0)),"(sin catálogo)"))</f>
        <v/>
      </c>
      <c r="Y279" s="5">
        <f>IF($F279="","",IF((IFERROR(INDEX('CAT_CENTROS_COSTO'!$E$4:$E$13,MATCH($F279,'CAT_CENTROS_COSTO'!$A$4:$A$13,0)),""))&lt;&gt;"",IFERROR(INDEX('CAT_CENTROS_COSTO'!$E$4:$E$13,MATCH($F279,'CAT_CENTROS_COSTO'!$A$4:$A$13,0)),""),$X279))</f>
        <v/>
      </c>
      <c r="Z279" s="5">
        <f>IF($F279="","",IFERROR(INDEX('CAT_CENTROS_COSTO'!$G$4:$G$13,MATCH($F279,'CAT_CENTROS_COSTO'!$A$4:$A$13,0)),"(sin catálogo)"))</f>
        <v/>
      </c>
      <c r="AA279" s="5">
        <f>IF($G279="","",IFERROR(INDEX('CAT_PUESTOS'!$B$4:$B$8,MATCH($G279,'CAT_PUESTOS'!$A$4:$A$8,0)),"(sin catálogo)"))</f>
        <v/>
      </c>
      <c r="AB279" s="5">
        <f>IF($H279="","",IFERROR(INDEX('CAT_ACTIVIDADES'!$B$4:$B$11,MATCH($H279,'CAT_ACTIVIDADES'!$A$4:$A$11,0)),"(sin catálogo)"))</f>
        <v/>
      </c>
      <c r="AC279" s="20">
        <f>IF($J279="","",TODAY()-$J279)</f>
        <v/>
      </c>
      <c r="AD279" s="20">
        <f>IF($J279="","",IF($J279&lt;=TODAY(),COUNTIFS(cal_fechas,"&gt;="&amp;$J279,cal_fechas,"&lt;"&amp;TODAY(),cal_habil,"sí"),-COUNTIFS(cal_fechas,"&gt;="&amp;TODAY(),cal_fechas,"&lt;"&amp;$J279,cal_habil,"sí")))</f>
        <v/>
      </c>
      <c r="AE279" s="5">
        <f>IF($AD279="","",IF($AD279&lt;0,"FUTURO",IF($AD279&gt;p_dias_backlog_max,"BACKLOG","MES CORRIENTE")))</f>
        <v/>
      </c>
      <c r="AF279" s="5">
        <f>IF($AD279="",FALSE,AND($AD279&gt;p_dias_backlog_min,$AD279&lt;=p_dias_backlog_max))</f>
        <v/>
      </c>
      <c r="AG279" s="4" t="n"/>
      <c r="AH279" s="5">
        <f>IF($AG279="","",IF((IFERROR(INDEX('ASIGNACIONES'!$J$4:$J$451,MATCH($O279&amp;"|"&amp;$S279&amp;"|"&amp;$AG279,'ASIGNACIONES'!$N$4:$N$451,0)),""))=0,"",IFERROR(INDEX('ASIGNACIONES'!$J$4:$J$451,MATCH($O279&amp;"|"&amp;$S279&amp;"|"&amp;$AG279,'ASIGNACIONES'!$N$4:$N$451,0)),"")))</f>
        <v/>
      </c>
      <c r="AI279" s="25">
        <f>IF($AG279="","",SUMIFS('ORDENES'!$M$4:$M$1203,'ORDENES'!$AG$4:$AG$1203,$AG279,'ORDENES'!$O$4:$O$1203,$O279,'ORDENES'!$S$4:$S$1203,$S279))</f>
        <v/>
      </c>
      <c r="AJ279" s="25">
        <f>IF($AI279="","",p_factor_productividad*IFERROR(INDEX('ASIGNACIONES'!$M$4:$M$451,MATCH($O279&amp;"|"&amp;$S279&amp;"|"&amp;$AG279,'ASIGNACIONES'!$N$4:$N$451,0)),0)-$AI279)</f>
        <v/>
      </c>
      <c r="AK279" s="18">
        <f>IF($A279="","",IFERROR(INDEX('2_IMPORTAR_EJECUCION'!$F$9:$F$1208,MATCH($AT279,'2_IMPORTAR_EJECUCION'!$J$9:$J$1208,0)),0))</f>
        <v/>
      </c>
      <c r="AL279" s="18">
        <f>IF($A279="","",MAX(0,IFERROR(INDEX('2_IMPORTAR_EJECUCION'!$H$9:$H$1208,MATCH($AT279,'2_IMPORTAR_EJECUCION'!$J$9:$J$1208,0)),0)-$AK279))</f>
        <v/>
      </c>
      <c r="AM279" s="18">
        <f>IF($A279="","",$AK279+$AL279)</f>
        <v/>
      </c>
      <c r="AN279" s="5">
        <f>IF($A279="","",IF(OR((IFERROR(INDEX('CAT_ACTIVIDADES'!$D$4:$D$11,MATCH($H279,'CAT_ACTIVIDADES'!$A$4:$A$11,0)),""))=0,(IFERROR(INDEX('CAT_ACTIVIDADES'!$D$4:$D$11,MATCH($H279,'CAT_ACTIVIDADES'!$A$4:$A$11,0)),""))=""),"SIN CLASIFICAR",IFERROR(INDEX('CAT_ACTIVIDADES'!$D$4:$D$11,MATCH($H279,'CAT_ACTIVIDADES'!$A$4:$A$11,0)),"")))</f>
        <v/>
      </c>
      <c r="AO279" s="4" t="n"/>
      <c r="AP279" s="4" t="n"/>
      <c r="AQ279" s="4" t="n"/>
      <c r="AR279" s="5">
        <f>IF($AQ279="","",HYPERLINK(p_ruta_base_checklists&amp;$AQ279,"abrir"))</f>
        <v/>
      </c>
      <c r="AS279" s="4" t="n"/>
      <c r="AT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2" t="n"/>
      <c r="K280" s="5" t="n"/>
      <c r="L280" s="18" t="n"/>
      <c r="M280" s="5">
        <f>IF($A280="","",IFERROR(INDEX('AJUSTES'!$B$4:$B$303,MATCH($AT280,'AJUSTES'!$A$4:$A$303,0)),IF($K280="","",$K280)))</f>
        <v/>
      </c>
      <c r="N280" s="5">
        <f>IF($A280="","",IFERROR(INDEX('CAT_ESTADOS_ERP'!$B$4:$B$7,MATCH(IFERROR(INDEX('2_IMPORTAR_EJECUCION'!$C$9:$C$1208,MATCH($AT280,'2_IMPORTAR_EJECUCION'!$J$9:$J$1208,0)),""),'CAT_ESTADOS_ERP'!$A$4:$A$7,0)),"Pendiente"))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IF($J280="","",$P280&amp;"-"&amp;TEXT($Q280,"00"))</f>
        <v/>
      </c>
      <c r="S280" s="5">
        <f>IF($J280="","",INDEX(lista_dias,WEEKDAY($J280,2)))</f>
        <v/>
      </c>
      <c r="T280" s="5">
        <f>IF($J280="","",IFERROR(INDEX('CALENDARIO'!$C$15:$C$214,MATCH(TEXT($J280,"yyyy-mm-dd")&amp;"|"&amp;$X280&amp;"|"&amp;$Y280,'CALENDARIO'!$G$15:$G$214,0)),IFERROR(INDEX('CALENDARIO'!$C$15:$C$214,MATCH(TEXT($J280,"yyyy-mm-dd")&amp;"|"&amp;$X280&amp;"|",'CALENDARIO'!$G$15:$G$214,0)),IFERROR(INDEX('CALENDARIO'!$C$15:$C$214,MATCH(TEXT($J280,"yyyy-mm-dd")&amp;"||",'CALENDARIO'!$G$15:$G$214,0)),INDEX(patronHabil,WEEKDAY($J280,2))))))</f>
        <v/>
      </c>
      <c r="U280" s="5">
        <f>IF($I280="","",IFERROR(INDEX('CAT_TIPOS_OT'!$C$4:$C$8,MATCH($I280,'CAT_TIPOS_OT'!$A$4:$A$8,0)),"sin_clasificar"))</f>
        <v/>
      </c>
      <c r="V280" s="5">
        <f>IF($I280="","",IF(IFERROR(INDEX('CAT_TIPOS_OT'!$D$4:$D$8,MATCH($I280,'CAT_TIPOS_OT'!$A$4:$A$8,0)),"SIN CLASIFICAR")="","SIN CLASIFICAR",IFERROR(INDEX('CAT_TIPOS_OT'!$D$4:$D$8,MATCH($I280,'CAT_TIPOS_OT'!$A$4:$A$8,0)),"SIN CLASIFICAR")))</f>
        <v/>
      </c>
      <c r="W280" s="5">
        <f>IF($F280="","",IFERROR(INDEX('CAT_CENTROS_COSTO'!$F$4:$F$13,MATCH($F280,'CAT_CENTROS_COSTO'!$A$4:$A$13,0)),"(sin catálogo)"))</f>
        <v/>
      </c>
      <c r="X280" s="5">
        <f>IF($F280="","",IFERROR(INDEX('CAT_CENTROS_COSTO'!$D$4:$D$13,MATCH($F280,'CAT_CENTROS_COSTO'!$A$4:$A$13,0)),"(sin catálogo)"))</f>
        <v/>
      </c>
      <c r="Y280" s="5">
        <f>IF($F280="","",IF((IFERROR(INDEX('CAT_CENTROS_COSTO'!$E$4:$E$13,MATCH($F280,'CAT_CENTROS_COSTO'!$A$4:$A$13,0)),""))&lt;&gt;"",IFERROR(INDEX('CAT_CENTROS_COSTO'!$E$4:$E$13,MATCH($F280,'CAT_CENTROS_COSTO'!$A$4:$A$13,0)),""),$X280))</f>
        <v/>
      </c>
      <c r="Z280" s="5">
        <f>IF($F280="","",IFERROR(INDEX('CAT_CENTROS_COSTO'!$G$4:$G$13,MATCH($F280,'CAT_CENTROS_COSTO'!$A$4:$A$13,0)),"(sin catálogo)"))</f>
        <v/>
      </c>
      <c r="AA280" s="5">
        <f>IF($G280="","",IFERROR(INDEX('CAT_PUESTOS'!$B$4:$B$8,MATCH($G280,'CAT_PUESTOS'!$A$4:$A$8,0)),"(sin catálogo)"))</f>
        <v/>
      </c>
      <c r="AB280" s="5">
        <f>IF($H280="","",IFERROR(INDEX('CAT_ACTIVIDADES'!$B$4:$B$11,MATCH($H280,'CAT_ACTIVIDADES'!$A$4:$A$11,0)),"(sin catálogo)"))</f>
        <v/>
      </c>
      <c r="AC280" s="20">
        <f>IF($J280="","",TODAY()-$J280)</f>
        <v/>
      </c>
      <c r="AD280" s="20">
        <f>IF($J280="","",IF($J280&lt;=TODAY(),COUNTIFS(cal_fechas,"&gt;="&amp;$J280,cal_fechas,"&lt;"&amp;TODAY(),cal_habil,"sí"),-COUNTIFS(cal_fechas,"&gt;="&amp;TODAY(),cal_fechas,"&lt;"&amp;$J280,cal_habil,"sí")))</f>
        <v/>
      </c>
      <c r="AE280" s="5">
        <f>IF($AD280="","",IF($AD280&lt;0,"FUTURO",IF($AD280&gt;p_dias_backlog_max,"BACKLOG","MES CORRIENTE")))</f>
        <v/>
      </c>
      <c r="AF280" s="5">
        <f>IF($AD280="",FALSE,AND($AD280&gt;p_dias_backlog_min,$AD280&lt;=p_dias_backlog_max))</f>
        <v/>
      </c>
      <c r="AG280" s="4" t="n"/>
      <c r="AH280" s="5">
        <f>IF($AG280="","",IF((IFERROR(INDEX('ASIGNACIONES'!$J$4:$J$451,MATCH($O280&amp;"|"&amp;$S280&amp;"|"&amp;$AG280,'ASIGNACIONES'!$N$4:$N$451,0)),""))=0,"",IFERROR(INDEX('ASIGNACIONES'!$J$4:$J$451,MATCH($O280&amp;"|"&amp;$S280&amp;"|"&amp;$AG280,'ASIGNACIONES'!$N$4:$N$451,0)),"")))</f>
        <v/>
      </c>
      <c r="AI280" s="25">
        <f>IF($AG280="","",SUMIFS('ORDENES'!$M$4:$M$1203,'ORDENES'!$AG$4:$AG$1203,$AG280,'ORDENES'!$O$4:$O$1203,$O280,'ORDENES'!$S$4:$S$1203,$S280))</f>
        <v/>
      </c>
      <c r="AJ280" s="25">
        <f>IF($AI280="","",p_factor_productividad*IFERROR(INDEX('ASIGNACIONES'!$M$4:$M$451,MATCH($O280&amp;"|"&amp;$S280&amp;"|"&amp;$AG280,'ASIGNACIONES'!$N$4:$N$451,0)),0)-$AI280)</f>
        <v/>
      </c>
      <c r="AK280" s="18">
        <f>IF($A280="","",IFERROR(INDEX('2_IMPORTAR_EJECUCION'!$F$9:$F$1208,MATCH($AT280,'2_IMPORTAR_EJECUCION'!$J$9:$J$1208,0)),0))</f>
        <v/>
      </c>
      <c r="AL280" s="18">
        <f>IF($A280="","",MAX(0,IFERROR(INDEX('2_IMPORTAR_EJECUCION'!$H$9:$H$1208,MATCH($AT280,'2_IMPORTAR_EJECUCION'!$J$9:$J$1208,0)),0)-$AK280))</f>
        <v/>
      </c>
      <c r="AM280" s="18">
        <f>IF($A280="","",$AK280+$AL280)</f>
        <v/>
      </c>
      <c r="AN280" s="5">
        <f>IF($A280="","",IF(OR((IFERROR(INDEX('CAT_ACTIVIDADES'!$D$4:$D$11,MATCH($H280,'CAT_ACTIVIDADES'!$A$4:$A$11,0)),""))=0,(IFERROR(INDEX('CAT_ACTIVIDADES'!$D$4:$D$11,MATCH($H280,'CAT_ACTIVIDADES'!$A$4:$A$11,0)),""))=""),"SIN CLASIFICAR",IFERROR(INDEX('CAT_ACTIVIDADES'!$D$4:$D$11,MATCH($H280,'CAT_ACTIVIDADES'!$A$4:$A$11,0)),"")))</f>
        <v/>
      </c>
      <c r="AO280" s="4" t="n"/>
      <c r="AP280" s="4" t="n"/>
      <c r="AQ280" s="4" t="n"/>
      <c r="AR280" s="5">
        <f>IF($AQ280="","",HYPERLINK(p_ruta_base_checklists&amp;$AQ280,"abrir"))</f>
        <v/>
      </c>
      <c r="AS280" s="4" t="n"/>
      <c r="AT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2" t="n"/>
      <c r="K281" s="5" t="n"/>
      <c r="L281" s="18" t="n"/>
      <c r="M281" s="5">
        <f>IF($A281="","",IFERROR(INDEX('AJUSTES'!$B$4:$B$303,MATCH($AT281,'AJUSTES'!$A$4:$A$303,0)),IF($K281="","",$K281)))</f>
        <v/>
      </c>
      <c r="N281" s="5">
        <f>IF($A281="","",IFERROR(INDEX('CAT_ESTADOS_ERP'!$B$4:$B$7,MATCH(IFERROR(INDEX('2_IMPORTAR_EJECUCION'!$C$9:$C$1208,MATCH($AT281,'2_IMPORTAR_EJECUCION'!$J$9:$J$1208,0)),""),'CAT_ESTADOS_ERP'!$A$4:$A$7,0)),"Pendiente"))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IF($J281="","",$P281&amp;"-"&amp;TEXT($Q281,"00"))</f>
        <v/>
      </c>
      <c r="S281" s="5">
        <f>IF($J281="","",INDEX(lista_dias,WEEKDAY($J281,2)))</f>
        <v/>
      </c>
      <c r="T281" s="5">
        <f>IF($J281="","",IFERROR(INDEX('CALENDARIO'!$C$15:$C$214,MATCH(TEXT($J281,"yyyy-mm-dd")&amp;"|"&amp;$X281&amp;"|"&amp;$Y281,'CALENDARIO'!$G$15:$G$214,0)),IFERROR(INDEX('CALENDARIO'!$C$15:$C$214,MATCH(TEXT($J281,"yyyy-mm-dd")&amp;"|"&amp;$X281&amp;"|",'CALENDARIO'!$G$15:$G$214,0)),IFERROR(INDEX('CALENDARIO'!$C$15:$C$214,MATCH(TEXT($J281,"yyyy-mm-dd")&amp;"||",'CALENDARIO'!$G$15:$G$214,0)),INDEX(patronHabil,WEEKDAY($J281,2))))))</f>
        <v/>
      </c>
      <c r="U281" s="5">
        <f>IF($I281="","",IFERROR(INDEX('CAT_TIPOS_OT'!$C$4:$C$8,MATCH($I281,'CAT_TIPOS_OT'!$A$4:$A$8,0)),"sin_clasificar"))</f>
        <v/>
      </c>
      <c r="V281" s="5">
        <f>IF($I281="","",IF(IFERROR(INDEX('CAT_TIPOS_OT'!$D$4:$D$8,MATCH($I281,'CAT_TIPOS_OT'!$A$4:$A$8,0)),"SIN CLASIFICAR")="","SIN CLASIFICAR",IFERROR(INDEX('CAT_TIPOS_OT'!$D$4:$D$8,MATCH($I281,'CAT_TIPOS_OT'!$A$4:$A$8,0)),"SIN CLASIFICAR")))</f>
        <v/>
      </c>
      <c r="W281" s="5">
        <f>IF($F281="","",IFERROR(INDEX('CAT_CENTROS_COSTO'!$F$4:$F$13,MATCH($F281,'CAT_CENTROS_COSTO'!$A$4:$A$13,0)),"(sin catálogo)"))</f>
        <v/>
      </c>
      <c r="X281" s="5">
        <f>IF($F281="","",IFERROR(INDEX('CAT_CENTROS_COSTO'!$D$4:$D$13,MATCH($F281,'CAT_CENTROS_COSTO'!$A$4:$A$13,0)),"(sin catálogo)"))</f>
        <v/>
      </c>
      <c r="Y281" s="5">
        <f>IF($F281="","",IF((IFERROR(INDEX('CAT_CENTROS_COSTO'!$E$4:$E$13,MATCH($F281,'CAT_CENTROS_COSTO'!$A$4:$A$13,0)),""))&lt;&gt;"",IFERROR(INDEX('CAT_CENTROS_COSTO'!$E$4:$E$13,MATCH($F281,'CAT_CENTROS_COSTO'!$A$4:$A$13,0)),""),$X281))</f>
        <v/>
      </c>
      <c r="Z281" s="5">
        <f>IF($F281="","",IFERROR(INDEX('CAT_CENTROS_COSTO'!$G$4:$G$13,MATCH($F281,'CAT_CENTROS_COSTO'!$A$4:$A$13,0)),"(sin catálogo)"))</f>
        <v/>
      </c>
      <c r="AA281" s="5">
        <f>IF($G281="","",IFERROR(INDEX('CAT_PUESTOS'!$B$4:$B$8,MATCH($G281,'CAT_PUESTOS'!$A$4:$A$8,0)),"(sin catálogo)"))</f>
        <v/>
      </c>
      <c r="AB281" s="5">
        <f>IF($H281="","",IFERROR(INDEX('CAT_ACTIVIDADES'!$B$4:$B$11,MATCH($H281,'CAT_ACTIVIDADES'!$A$4:$A$11,0)),"(sin catálogo)"))</f>
        <v/>
      </c>
      <c r="AC281" s="20">
        <f>IF($J281="","",TODAY()-$J281)</f>
        <v/>
      </c>
      <c r="AD281" s="20">
        <f>IF($J281="","",IF($J281&lt;=TODAY(),COUNTIFS(cal_fechas,"&gt;="&amp;$J281,cal_fechas,"&lt;"&amp;TODAY(),cal_habil,"sí"),-COUNTIFS(cal_fechas,"&gt;="&amp;TODAY(),cal_fechas,"&lt;"&amp;$J281,cal_habil,"sí")))</f>
        <v/>
      </c>
      <c r="AE281" s="5">
        <f>IF($AD281="","",IF($AD281&lt;0,"FUTURO",IF($AD281&gt;p_dias_backlog_max,"BACKLOG","MES CORRIENTE")))</f>
        <v/>
      </c>
      <c r="AF281" s="5">
        <f>IF($AD281="",FALSE,AND($AD281&gt;p_dias_backlog_min,$AD281&lt;=p_dias_backlog_max))</f>
        <v/>
      </c>
      <c r="AG281" s="4" t="n"/>
      <c r="AH281" s="5">
        <f>IF($AG281="","",IF((IFERROR(INDEX('ASIGNACIONES'!$J$4:$J$451,MATCH($O281&amp;"|"&amp;$S281&amp;"|"&amp;$AG281,'ASIGNACIONES'!$N$4:$N$451,0)),""))=0,"",IFERROR(INDEX('ASIGNACIONES'!$J$4:$J$451,MATCH($O281&amp;"|"&amp;$S281&amp;"|"&amp;$AG281,'ASIGNACIONES'!$N$4:$N$451,0)),"")))</f>
        <v/>
      </c>
      <c r="AI281" s="25">
        <f>IF($AG281="","",SUMIFS('ORDENES'!$M$4:$M$1203,'ORDENES'!$AG$4:$AG$1203,$AG281,'ORDENES'!$O$4:$O$1203,$O281,'ORDENES'!$S$4:$S$1203,$S281))</f>
        <v/>
      </c>
      <c r="AJ281" s="25">
        <f>IF($AI281="","",p_factor_productividad*IFERROR(INDEX('ASIGNACIONES'!$M$4:$M$451,MATCH($O281&amp;"|"&amp;$S281&amp;"|"&amp;$AG281,'ASIGNACIONES'!$N$4:$N$451,0)),0)-$AI281)</f>
        <v/>
      </c>
      <c r="AK281" s="18">
        <f>IF($A281="","",IFERROR(INDEX('2_IMPORTAR_EJECUCION'!$F$9:$F$1208,MATCH($AT281,'2_IMPORTAR_EJECUCION'!$J$9:$J$1208,0)),0))</f>
        <v/>
      </c>
      <c r="AL281" s="18">
        <f>IF($A281="","",MAX(0,IFERROR(INDEX('2_IMPORTAR_EJECUCION'!$H$9:$H$1208,MATCH($AT281,'2_IMPORTAR_EJECUCION'!$J$9:$J$1208,0)),0)-$AK281))</f>
        <v/>
      </c>
      <c r="AM281" s="18">
        <f>IF($A281="","",$AK281+$AL281)</f>
        <v/>
      </c>
      <c r="AN281" s="5">
        <f>IF($A281="","",IF(OR((IFERROR(INDEX('CAT_ACTIVIDADES'!$D$4:$D$11,MATCH($H281,'CAT_ACTIVIDADES'!$A$4:$A$11,0)),""))=0,(IFERROR(INDEX('CAT_ACTIVIDADES'!$D$4:$D$11,MATCH($H281,'CAT_ACTIVIDADES'!$A$4:$A$11,0)),""))=""),"SIN CLASIFICAR",IFERROR(INDEX('CAT_ACTIVIDADES'!$D$4:$D$11,MATCH($H281,'CAT_ACTIVIDADES'!$A$4:$A$11,0)),"")))</f>
        <v/>
      </c>
      <c r="AO281" s="4" t="n"/>
      <c r="AP281" s="4" t="n"/>
      <c r="AQ281" s="4" t="n"/>
      <c r="AR281" s="5">
        <f>IF($AQ281="","",HYPERLINK(p_ruta_base_checklists&amp;$AQ281,"abrir"))</f>
        <v/>
      </c>
      <c r="AS281" s="4" t="n"/>
      <c r="AT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2" t="n"/>
      <c r="K282" s="5" t="n"/>
      <c r="L282" s="18" t="n"/>
      <c r="M282" s="5">
        <f>IF($A282="","",IFERROR(INDEX('AJUSTES'!$B$4:$B$303,MATCH($AT282,'AJUSTES'!$A$4:$A$303,0)),IF($K282="","",$K282)))</f>
        <v/>
      </c>
      <c r="N282" s="5">
        <f>IF($A282="","",IFERROR(INDEX('CAT_ESTADOS_ERP'!$B$4:$B$7,MATCH(IFERROR(INDEX('2_IMPORTAR_EJECUCION'!$C$9:$C$1208,MATCH($AT282,'2_IMPORTAR_EJECUCION'!$J$9:$J$1208,0)),""),'CAT_ESTADOS_ERP'!$A$4:$A$7,0)),"Pendiente"))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IF($J282="","",$P282&amp;"-"&amp;TEXT($Q282,"00"))</f>
        <v/>
      </c>
      <c r="S282" s="5">
        <f>IF($J282="","",INDEX(lista_dias,WEEKDAY($J282,2)))</f>
        <v/>
      </c>
      <c r="T282" s="5">
        <f>IF($J282="","",IFERROR(INDEX('CALENDARIO'!$C$15:$C$214,MATCH(TEXT($J282,"yyyy-mm-dd")&amp;"|"&amp;$X282&amp;"|"&amp;$Y282,'CALENDARIO'!$G$15:$G$214,0)),IFERROR(INDEX('CALENDARIO'!$C$15:$C$214,MATCH(TEXT($J282,"yyyy-mm-dd")&amp;"|"&amp;$X282&amp;"|",'CALENDARIO'!$G$15:$G$214,0)),IFERROR(INDEX('CALENDARIO'!$C$15:$C$214,MATCH(TEXT($J282,"yyyy-mm-dd")&amp;"||",'CALENDARIO'!$G$15:$G$214,0)),INDEX(patronHabil,WEEKDAY($J282,2))))))</f>
        <v/>
      </c>
      <c r="U282" s="5">
        <f>IF($I282="","",IFERROR(INDEX('CAT_TIPOS_OT'!$C$4:$C$8,MATCH($I282,'CAT_TIPOS_OT'!$A$4:$A$8,0)),"sin_clasificar"))</f>
        <v/>
      </c>
      <c r="V282" s="5">
        <f>IF($I282="","",IF(IFERROR(INDEX('CAT_TIPOS_OT'!$D$4:$D$8,MATCH($I282,'CAT_TIPOS_OT'!$A$4:$A$8,0)),"SIN CLASIFICAR")="","SIN CLASIFICAR",IFERROR(INDEX('CAT_TIPOS_OT'!$D$4:$D$8,MATCH($I282,'CAT_TIPOS_OT'!$A$4:$A$8,0)),"SIN CLASIFICAR")))</f>
        <v/>
      </c>
      <c r="W282" s="5">
        <f>IF($F282="","",IFERROR(INDEX('CAT_CENTROS_COSTO'!$F$4:$F$13,MATCH($F282,'CAT_CENTROS_COSTO'!$A$4:$A$13,0)),"(sin catálogo)"))</f>
        <v/>
      </c>
      <c r="X282" s="5">
        <f>IF($F282="","",IFERROR(INDEX('CAT_CENTROS_COSTO'!$D$4:$D$13,MATCH($F282,'CAT_CENTROS_COSTO'!$A$4:$A$13,0)),"(sin catálogo)"))</f>
        <v/>
      </c>
      <c r="Y282" s="5">
        <f>IF($F282="","",IF((IFERROR(INDEX('CAT_CENTROS_COSTO'!$E$4:$E$13,MATCH($F282,'CAT_CENTROS_COSTO'!$A$4:$A$13,0)),""))&lt;&gt;"",IFERROR(INDEX('CAT_CENTROS_COSTO'!$E$4:$E$13,MATCH($F282,'CAT_CENTROS_COSTO'!$A$4:$A$13,0)),""),$X282))</f>
        <v/>
      </c>
      <c r="Z282" s="5">
        <f>IF($F282="","",IFERROR(INDEX('CAT_CENTROS_COSTO'!$G$4:$G$13,MATCH($F282,'CAT_CENTROS_COSTO'!$A$4:$A$13,0)),"(sin catálogo)"))</f>
        <v/>
      </c>
      <c r="AA282" s="5">
        <f>IF($G282="","",IFERROR(INDEX('CAT_PUESTOS'!$B$4:$B$8,MATCH($G282,'CAT_PUESTOS'!$A$4:$A$8,0)),"(sin catálogo)"))</f>
        <v/>
      </c>
      <c r="AB282" s="5">
        <f>IF($H282="","",IFERROR(INDEX('CAT_ACTIVIDADES'!$B$4:$B$11,MATCH($H282,'CAT_ACTIVIDADES'!$A$4:$A$11,0)),"(sin catálogo)"))</f>
        <v/>
      </c>
      <c r="AC282" s="20">
        <f>IF($J282="","",TODAY()-$J282)</f>
        <v/>
      </c>
      <c r="AD282" s="20">
        <f>IF($J282="","",IF($J282&lt;=TODAY(),COUNTIFS(cal_fechas,"&gt;="&amp;$J282,cal_fechas,"&lt;"&amp;TODAY(),cal_habil,"sí"),-COUNTIFS(cal_fechas,"&gt;="&amp;TODAY(),cal_fechas,"&lt;"&amp;$J282,cal_habil,"sí")))</f>
        <v/>
      </c>
      <c r="AE282" s="5">
        <f>IF($AD282="","",IF($AD282&lt;0,"FUTURO",IF($AD282&gt;p_dias_backlog_max,"BACKLOG","MES CORRIENTE")))</f>
        <v/>
      </c>
      <c r="AF282" s="5">
        <f>IF($AD282="",FALSE,AND($AD282&gt;p_dias_backlog_min,$AD282&lt;=p_dias_backlog_max))</f>
        <v/>
      </c>
      <c r="AG282" s="4" t="n"/>
      <c r="AH282" s="5">
        <f>IF($AG282="","",IF((IFERROR(INDEX('ASIGNACIONES'!$J$4:$J$451,MATCH($O282&amp;"|"&amp;$S282&amp;"|"&amp;$AG282,'ASIGNACIONES'!$N$4:$N$451,0)),""))=0,"",IFERROR(INDEX('ASIGNACIONES'!$J$4:$J$451,MATCH($O282&amp;"|"&amp;$S282&amp;"|"&amp;$AG282,'ASIGNACIONES'!$N$4:$N$451,0)),"")))</f>
        <v/>
      </c>
      <c r="AI282" s="25">
        <f>IF($AG282="","",SUMIFS('ORDENES'!$M$4:$M$1203,'ORDENES'!$AG$4:$AG$1203,$AG282,'ORDENES'!$O$4:$O$1203,$O282,'ORDENES'!$S$4:$S$1203,$S282))</f>
        <v/>
      </c>
      <c r="AJ282" s="25">
        <f>IF($AI282="","",p_factor_productividad*IFERROR(INDEX('ASIGNACIONES'!$M$4:$M$451,MATCH($O282&amp;"|"&amp;$S282&amp;"|"&amp;$AG282,'ASIGNACIONES'!$N$4:$N$451,0)),0)-$AI282)</f>
        <v/>
      </c>
      <c r="AK282" s="18">
        <f>IF($A282="","",IFERROR(INDEX('2_IMPORTAR_EJECUCION'!$F$9:$F$1208,MATCH($AT282,'2_IMPORTAR_EJECUCION'!$J$9:$J$1208,0)),0))</f>
        <v/>
      </c>
      <c r="AL282" s="18">
        <f>IF($A282="","",MAX(0,IFERROR(INDEX('2_IMPORTAR_EJECUCION'!$H$9:$H$1208,MATCH($AT282,'2_IMPORTAR_EJECUCION'!$J$9:$J$1208,0)),0)-$AK282))</f>
        <v/>
      </c>
      <c r="AM282" s="18">
        <f>IF($A282="","",$AK282+$AL282)</f>
        <v/>
      </c>
      <c r="AN282" s="5">
        <f>IF($A282="","",IF(OR((IFERROR(INDEX('CAT_ACTIVIDADES'!$D$4:$D$11,MATCH($H282,'CAT_ACTIVIDADES'!$A$4:$A$11,0)),""))=0,(IFERROR(INDEX('CAT_ACTIVIDADES'!$D$4:$D$11,MATCH($H282,'CAT_ACTIVIDADES'!$A$4:$A$11,0)),""))=""),"SIN CLASIFICAR",IFERROR(INDEX('CAT_ACTIVIDADES'!$D$4:$D$11,MATCH($H282,'CAT_ACTIVIDADES'!$A$4:$A$11,0)),"")))</f>
        <v/>
      </c>
      <c r="AO282" s="4" t="n"/>
      <c r="AP282" s="4" t="n"/>
      <c r="AQ282" s="4" t="n"/>
      <c r="AR282" s="5">
        <f>IF($AQ282="","",HYPERLINK(p_ruta_base_checklists&amp;$AQ282,"abrir"))</f>
        <v/>
      </c>
      <c r="AS282" s="4" t="n"/>
      <c r="AT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2" t="n"/>
      <c r="K283" s="5" t="n"/>
      <c r="L283" s="18" t="n"/>
      <c r="M283" s="5">
        <f>IF($A283="","",IFERROR(INDEX('AJUSTES'!$B$4:$B$303,MATCH($AT283,'AJUSTES'!$A$4:$A$303,0)),IF($K283="","",$K283)))</f>
        <v/>
      </c>
      <c r="N283" s="5">
        <f>IF($A283="","",IFERROR(INDEX('CAT_ESTADOS_ERP'!$B$4:$B$7,MATCH(IFERROR(INDEX('2_IMPORTAR_EJECUCION'!$C$9:$C$1208,MATCH($AT283,'2_IMPORTAR_EJECUCION'!$J$9:$J$1208,0)),""),'CAT_ESTADOS_ERP'!$A$4:$A$7,0)),"Pendiente"))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IF($J283="","",$P283&amp;"-"&amp;TEXT($Q283,"00"))</f>
        <v/>
      </c>
      <c r="S283" s="5">
        <f>IF($J283="","",INDEX(lista_dias,WEEKDAY($J283,2)))</f>
        <v/>
      </c>
      <c r="T283" s="5">
        <f>IF($J283="","",IFERROR(INDEX('CALENDARIO'!$C$15:$C$214,MATCH(TEXT($J283,"yyyy-mm-dd")&amp;"|"&amp;$X283&amp;"|"&amp;$Y283,'CALENDARIO'!$G$15:$G$214,0)),IFERROR(INDEX('CALENDARIO'!$C$15:$C$214,MATCH(TEXT($J283,"yyyy-mm-dd")&amp;"|"&amp;$X283&amp;"|",'CALENDARIO'!$G$15:$G$214,0)),IFERROR(INDEX('CALENDARIO'!$C$15:$C$214,MATCH(TEXT($J283,"yyyy-mm-dd")&amp;"||",'CALENDARIO'!$G$15:$G$214,0)),INDEX(patronHabil,WEEKDAY($J283,2))))))</f>
        <v/>
      </c>
      <c r="U283" s="5">
        <f>IF($I283="","",IFERROR(INDEX('CAT_TIPOS_OT'!$C$4:$C$8,MATCH($I283,'CAT_TIPOS_OT'!$A$4:$A$8,0)),"sin_clasificar"))</f>
        <v/>
      </c>
      <c r="V283" s="5">
        <f>IF($I283="","",IF(IFERROR(INDEX('CAT_TIPOS_OT'!$D$4:$D$8,MATCH($I283,'CAT_TIPOS_OT'!$A$4:$A$8,0)),"SIN CLASIFICAR")="","SIN CLASIFICAR",IFERROR(INDEX('CAT_TIPOS_OT'!$D$4:$D$8,MATCH($I283,'CAT_TIPOS_OT'!$A$4:$A$8,0)),"SIN CLASIFICAR")))</f>
        <v/>
      </c>
      <c r="W283" s="5">
        <f>IF($F283="","",IFERROR(INDEX('CAT_CENTROS_COSTO'!$F$4:$F$13,MATCH($F283,'CAT_CENTROS_COSTO'!$A$4:$A$13,0)),"(sin catálogo)"))</f>
        <v/>
      </c>
      <c r="X283" s="5">
        <f>IF($F283="","",IFERROR(INDEX('CAT_CENTROS_COSTO'!$D$4:$D$13,MATCH($F283,'CAT_CENTROS_COSTO'!$A$4:$A$13,0)),"(sin catálogo)"))</f>
        <v/>
      </c>
      <c r="Y283" s="5">
        <f>IF($F283="","",IF((IFERROR(INDEX('CAT_CENTROS_COSTO'!$E$4:$E$13,MATCH($F283,'CAT_CENTROS_COSTO'!$A$4:$A$13,0)),""))&lt;&gt;"",IFERROR(INDEX('CAT_CENTROS_COSTO'!$E$4:$E$13,MATCH($F283,'CAT_CENTROS_COSTO'!$A$4:$A$13,0)),""),$X283))</f>
        <v/>
      </c>
      <c r="Z283" s="5">
        <f>IF($F283="","",IFERROR(INDEX('CAT_CENTROS_COSTO'!$G$4:$G$13,MATCH($F283,'CAT_CENTROS_COSTO'!$A$4:$A$13,0)),"(sin catálogo)"))</f>
        <v/>
      </c>
      <c r="AA283" s="5">
        <f>IF($G283="","",IFERROR(INDEX('CAT_PUESTOS'!$B$4:$B$8,MATCH($G283,'CAT_PUESTOS'!$A$4:$A$8,0)),"(sin catálogo)"))</f>
        <v/>
      </c>
      <c r="AB283" s="5">
        <f>IF($H283="","",IFERROR(INDEX('CAT_ACTIVIDADES'!$B$4:$B$11,MATCH($H283,'CAT_ACTIVIDADES'!$A$4:$A$11,0)),"(sin catálogo)"))</f>
        <v/>
      </c>
      <c r="AC283" s="20">
        <f>IF($J283="","",TODAY()-$J283)</f>
        <v/>
      </c>
      <c r="AD283" s="20">
        <f>IF($J283="","",IF($J283&lt;=TODAY(),COUNTIFS(cal_fechas,"&gt;="&amp;$J283,cal_fechas,"&lt;"&amp;TODAY(),cal_habil,"sí"),-COUNTIFS(cal_fechas,"&gt;="&amp;TODAY(),cal_fechas,"&lt;"&amp;$J283,cal_habil,"sí")))</f>
        <v/>
      </c>
      <c r="AE283" s="5">
        <f>IF($AD283="","",IF($AD283&lt;0,"FUTURO",IF($AD283&gt;p_dias_backlog_max,"BACKLOG","MES CORRIENTE")))</f>
        <v/>
      </c>
      <c r="AF283" s="5">
        <f>IF($AD283="",FALSE,AND($AD283&gt;p_dias_backlog_min,$AD283&lt;=p_dias_backlog_max))</f>
        <v/>
      </c>
      <c r="AG283" s="4" t="n"/>
      <c r="AH283" s="5">
        <f>IF($AG283="","",IF((IFERROR(INDEX('ASIGNACIONES'!$J$4:$J$451,MATCH($O283&amp;"|"&amp;$S283&amp;"|"&amp;$AG283,'ASIGNACIONES'!$N$4:$N$451,0)),""))=0,"",IFERROR(INDEX('ASIGNACIONES'!$J$4:$J$451,MATCH($O283&amp;"|"&amp;$S283&amp;"|"&amp;$AG283,'ASIGNACIONES'!$N$4:$N$451,0)),"")))</f>
        <v/>
      </c>
      <c r="AI283" s="25">
        <f>IF($AG283="","",SUMIFS('ORDENES'!$M$4:$M$1203,'ORDENES'!$AG$4:$AG$1203,$AG283,'ORDENES'!$O$4:$O$1203,$O283,'ORDENES'!$S$4:$S$1203,$S283))</f>
        <v/>
      </c>
      <c r="AJ283" s="25">
        <f>IF($AI283="","",p_factor_productividad*IFERROR(INDEX('ASIGNACIONES'!$M$4:$M$451,MATCH($O283&amp;"|"&amp;$S283&amp;"|"&amp;$AG283,'ASIGNACIONES'!$N$4:$N$451,0)),0)-$AI283)</f>
        <v/>
      </c>
      <c r="AK283" s="18">
        <f>IF($A283="","",IFERROR(INDEX('2_IMPORTAR_EJECUCION'!$F$9:$F$1208,MATCH($AT283,'2_IMPORTAR_EJECUCION'!$J$9:$J$1208,0)),0))</f>
        <v/>
      </c>
      <c r="AL283" s="18">
        <f>IF($A283="","",MAX(0,IFERROR(INDEX('2_IMPORTAR_EJECUCION'!$H$9:$H$1208,MATCH($AT283,'2_IMPORTAR_EJECUCION'!$J$9:$J$1208,0)),0)-$AK283))</f>
        <v/>
      </c>
      <c r="AM283" s="18">
        <f>IF($A283="","",$AK283+$AL283)</f>
        <v/>
      </c>
      <c r="AN283" s="5">
        <f>IF($A283="","",IF(OR((IFERROR(INDEX('CAT_ACTIVIDADES'!$D$4:$D$11,MATCH($H283,'CAT_ACTIVIDADES'!$A$4:$A$11,0)),""))=0,(IFERROR(INDEX('CAT_ACTIVIDADES'!$D$4:$D$11,MATCH($H283,'CAT_ACTIVIDADES'!$A$4:$A$11,0)),""))=""),"SIN CLASIFICAR",IFERROR(INDEX('CAT_ACTIVIDADES'!$D$4:$D$11,MATCH($H283,'CAT_ACTIVIDADES'!$A$4:$A$11,0)),"")))</f>
        <v/>
      </c>
      <c r="AO283" s="4" t="n"/>
      <c r="AP283" s="4" t="n"/>
      <c r="AQ283" s="4" t="n"/>
      <c r="AR283" s="5">
        <f>IF($AQ283="","",HYPERLINK(p_ruta_base_checklists&amp;$AQ283,"abrir"))</f>
        <v/>
      </c>
      <c r="AS283" s="4" t="n"/>
      <c r="AT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2" t="n"/>
      <c r="K284" s="5" t="n"/>
      <c r="L284" s="18" t="n"/>
      <c r="M284" s="5">
        <f>IF($A284="","",IFERROR(INDEX('AJUSTES'!$B$4:$B$303,MATCH($AT284,'AJUSTES'!$A$4:$A$303,0)),IF($K284="","",$K284)))</f>
        <v/>
      </c>
      <c r="N284" s="5">
        <f>IF($A284="","",IFERROR(INDEX('CAT_ESTADOS_ERP'!$B$4:$B$7,MATCH(IFERROR(INDEX('2_IMPORTAR_EJECUCION'!$C$9:$C$1208,MATCH($AT284,'2_IMPORTAR_EJECUCION'!$J$9:$J$1208,0)),""),'CAT_ESTADOS_ERP'!$A$4:$A$7,0)),"Pendiente"))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IF($J284="","",$P284&amp;"-"&amp;TEXT($Q284,"00"))</f>
        <v/>
      </c>
      <c r="S284" s="5">
        <f>IF($J284="","",INDEX(lista_dias,WEEKDAY($J284,2)))</f>
        <v/>
      </c>
      <c r="T284" s="5">
        <f>IF($J284="","",IFERROR(INDEX('CALENDARIO'!$C$15:$C$214,MATCH(TEXT($J284,"yyyy-mm-dd")&amp;"|"&amp;$X284&amp;"|"&amp;$Y284,'CALENDARIO'!$G$15:$G$214,0)),IFERROR(INDEX('CALENDARIO'!$C$15:$C$214,MATCH(TEXT($J284,"yyyy-mm-dd")&amp;"|"&amp;$X284&amp;"|",'CALENDARIO'!$G$15:$G$214,0)),IFERROR(INDEX('CALENDARIO'!$C$15:$C$214,MATCH(TEXT($J284,"yyyy-mm-dd")&amp;"||",'CALENDARIO'!$G$15:$G$214,0)),INDEX(patronHabil,WEEKDAY($J284,2))))))</f>
        <v/>
      </c>
      <c r="U284" s="5">
        <f>IF($I284="","",IFERROR(INDEX('CAT_TIPOS_OT'!$C$4:$C$8,MATCH($I284,'CAT_TIPOS_OT'!$A$4:$A$8,0)),"sin_clasificar"))</f>
        <v/>
      </c>
      <c r="V284" s="5">
        <f>IF($I284="","",IF(IFERROR(INDEX('CAT_TIPOS_OT'!$D$4:$D$8,MATCH($I284,'CAT_TIPOS_OT'!$A$4:$A$8,0)),"SIN CLASIFICAR")="","SIN CLASIFICAR",IFERROR(INDEX('CAT_TIPOS_OT'!$D$4:$D$8,MATCH($I284,'CAT_TIPOS_OT'!$A$4:$A$8,0)),"SIN CLASIFICAR")))</f>
        <v/>
      </c>
      <c r="W284" s="5">
        <f>IF($F284="","",IFERROR(INDEX('CAT_CENTROS_COSTO'!$F$4:$F$13,MATCH($F284,'CAT_CENTROS_COSTO'!$A$4:$A$13,0)),"(sin catálogo)"))</f>
        <v/>
      </c>
      <c r="X284" s="5">
        <f>IF($F284="","",IFERROR(INDEX('CAT_CENTROS_COSTO'!$D$4:$D$13,MATCH($F284,'CAT_CENTROS_COSTO'!$A$4:$A$13,0)),"(sin catálogo)"))</f>
        <v/>
      </c>
      <c r="Y284" s="5">
        <f>IF($F284="","",IF((IFERROR(INDEX('CAT_CENTROS_COSTO'!$E$4:$E$13,MATCH($F284,'CAT_CENTROS_COSTO'!$A$4:$A$13,0)),""))&lt;&gt;"",IFERROR(INDEX('CAT_CENTROS_COSTO'!$E$4:$E$13,MATCH($F284,'CAT_CENTROS_COSTO'!$A$4:$A$13,0)),""),$X284))</f>
        <v/>
      </c>
      <c r="Z284" s="5">
        <f>IF($F284="","",IFERROR(INDEX('CAT_CENTROS_COSTO'!$G$4:$G$13,MATCH($F284,'CAT_CENTROS_COSTO'!$A$4:$A$13,0)),"(sin catálogo)"))</f>
        <v/>
      </c>
      <c r="AA284" s="5">
        <f>IF($G284="","",IFERROR(INDEX('CAT_PUESTOS'!$B$4:$B$8,MATCH($G284,'CAT_PUESTOS'!$A$4:$A$8,0)),"(sin catálogo)"))</f>
        <v/>
      </c>
      <c r="AB284" s="5">
        <f>IF($H284="","",IFERROR(INDEX('CAT_ACTIVIDADES'!$B$4:$B$11,MATCH($H284,'CAT_ACTIVIDADES'!$A$4:$A$11,0)),"(sin catálogo)"))</f>
        <v/>
      </c>
      <c r="AC284" s="20">
        <f>IF($J284="","",TODAY()-$J284)</f>
        <v/>
      </c>
      <c r="AD284" s="20">
        <f>IF($J284="","",IF($J284&lt;=TODAY(),COUNTIFS(cal_fechas,"&gt;="&amp;$J284,cal_fechas,"&lt;"&amp;TODAY(),cal_habil,"sí"),-COUNTIFS(cal_fechas,"&gt;="&amp;TODAY(),cal_fechas,"&lt;"&amp;$J284,cal_habil,"sí")))</f>
        <v/>
      </c>
      <c r="AE284" s="5">
        <f>IF($AD284="","",IF($AD284&lt;0,"FUTURO",IF($AD284&gt;p_dias_backlog_max,"BACKLOG","MES CORRIENTE")))</f>
        <v/>
      </c>
      <c r="AF284" s="5">
        <f>IF($AD284="",FALSE,AND($AD284&gt;p_dias_backlog_min,$AD284&lt;=p_dias_backlog_max))</f>
        <v/>
      </c>
      <c r="AG284" s="4" t="n"/>
      <c r="AH284" s="5">
        <f>IF($AG284="","",IF((IFERROR(INDEX('ASIGNACIONES'!$J$4:$J$451,MATCH($O284&amp;"|"&amp;$S284&amp;"|"&amp;$AG284,'ASIGNACIONES'!$N$4:$N$451,0)),""))=0,"",IFERROR(INDEX('ASIGNACIONES'!$J$4:$J$451,MATCH($O284&amp;"|"&amp;$S284&amp;"|"&amp;$AG284,'ASIGNACIONES'!$N$4:$N$451,0)),"")))</f>
        <v/>
      </c>
      <c r="AI284" s="25">
        <f>IF($AG284="","",SUMIFS('ORDENES'!$M$4:$M$1203,'ORDENES'!$AG$4:$AG$1203,$AG284,'ORDENES'!$O$4:$O$1203,$O284,'ORDENES'!$S$4:$S$1203,$S284))</f>
        <v/>
      </c>
      <c r="AJ284" s="25">
        <f>IF($AI284="","",p_factor_productividad*IFERROR(INDEX('ASIGNACIONES'!$M$4:$M$451,MATCH($O284&amp;"|"&amp;$S284&amp;"|"&amp;$AG284,'ASIGNACIONES'!$N$4:$N$451,0)),0)-$AI284)</f>
        <v/>
      </c>
      <c r="AK284" s="18">
        <f>IF($A284="","",IFERROR(INDEX('2_IMPORTAR_EJECUCION'!$F$9:$F$1208,MATCH($AT284,'2_IMPORTAR_EJECUCION'!$J$9:$J$1208,0)),0))</f>
        <v/>
      </c>
      <c r="AL284" s="18">
        <f>IF($A284="","",MAX(0,IFERROR(INDEX('2_IMPORTAR_EJECUCION'!$H$9:$H$1208,MATCH($AT284,'2_IMPORTAR_EJECUCION'!$J$9:$J$1208,0)),0)-$AK284))</f>
        <v/>
      </c>
      <c r="AM284" s="18">
        <f>IF($A284="","",$AK284+$AL284)</f>
        <v/>
      </c>
      <c r="AN284" s="5">
        <f>IF($A284="","",IF(OR((IFERROR(INDEX('CAT_ACTIVIDADES'!$D$4:$D$11,MATCH($H284,'CAT_ACTIVIDADES'!$A$4:$A$11,0)),""))=0,(IFERROR(INDEX('CAT_ACTIVIDADES'!$D$4:$D$11,MATCH($H284,'CAT_ACTIVIDADES'!$A$4:$A$11,0)),""))=""),"SIN CLASIFICAR",IFERROR(INDEX('CAT_ACTIVIDADES'!$D$4:$D$11,MATCH($H284,'CAT_ACTIVIDADES'!$A$4:$A$11,0)),"")))</f>
        <v/>
      </c>
      <c r="AO284" s="4" t="n"/>
      <c r="AP284" s="4" t="n"/>
      <c r="AQ284" s="4" t="n"/>
      <c r="AR284" s="5">
        <f>IF($AQ284="","",HYPERLINK(p_ruta_base_checklists&amp;$AQ284,"abrir"))</f>
        <v/>
      </c>
      <c r="AS284" s="4" t="n"/>
      <c r="AT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2" t="n"/>
      <c r="K285" s="5" t="n"/>
      <c r="L285" s="18" t="n"/>
      <c r="M285" s="5">
        <f>IF($A285="","",IFERROR(INDEX('AJUSTES'!$B$4:$B$303,MATCH($AT285,'AJUSTES'!$A$4:$A$303,0)),IF($K285="","",$K285)))</f>
        <v/>
      </c>
      <c r="N285" s="5">
        <f>IF($A285="","",IFERROR(INDEX('CAT_ESTADOS_ERP'!$B$4:$B$7,MATCH(IFERROR(INDEX('2_IMPORTAR_EJECUCION'!$C$9:$C$1208,MATCH($AT285,'2_IMPORTAR_EJECUCION'!$J$9:$J$1208,0)),""),'CAT_ESTADOS_ERP'!$A$4:$A$7,0)),"Pendiente"))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IF($J285="","",$P285&amp;"-"&amp;TEXT($Q285,"00"))</f>
        <v/>
      </c>
      <c r="S285" s="5">
        <f>IF($J285="","",INDEX(lista_dias,WEEKDAY($J285,2)))</f>
        <v/>
      </c>
      <c r="T285" s="5">
        <f>IF($J285="","",IFERROR(INDEX('CALENDARIO'!$C$15:$C$214,MATCH(TEXT($J285,"yyyy-mm-dd")&amp;"|"&amp;$X285&amp;"|"&amp;$Y285,'CALENDARIO'!$G$15:$G$214,0)),IFERROR(INDEX('CALENDARIO'!$C$15:$C$214,MATCH(TEXT($J285,"yyyy-mm-dd")&amp;"|"&amp;$X285&amp;"|",'CALENDARIO'!$G$15:$G$214,0)),IFERROR(INDEX('CALENDARIO'!$C$15:$C$214,MATCH(TEXT($J285,"yyyy-mm-dd")&amp;"||",'CALENDARIO'!$G$15:$G$214,0)),INDEX(patronHabil,WEEKDAY($J285,2))))))</f>
        <v/>
      </c>
      <c r="U285" s="5">
        <f>IF($I285="","",IFERROR(INDEX('CAT_TIPOS_OT'!$C$4:$C$8,MATCH($I285,'CAT_TIPOS_OT'!$A$4:$A$8,0)),"sin_clasificar"))</f>
        <v/>
      </c>
      <c r="V285" s="5">
        <f>IF($I285="","",IF(IFERROR(INDEX('CAT_TIPOS_OT'!$D$4:$D$8,MATCH($I285,'CAT_TIPOS_OT'!$A$4:$A$8,0)),"SIN CLASIFICAR")="","SIN CLASIFICAR",IFERROR(INDEX('CAT_TIPOS_OT'!$D$4:$D$8,MATCH($I285,'CAT_TIPOS_OT'!$A$4:$A$8,0)),"SIN CLASIFICAR")))</f>
        <v/>
      </c>
      <c r="W285" s="5">
        <f>IF($F285="","",IFERROR(INDEX('CAT_CENTROS_COSTO'!$F$4:$F$13,MATCH($F285,'CAT_CENTROS_COSTO'!$A$4:$A$13,0)),"(sin catálogo)"))</f>
        <v/>
      </c>
      <c r="X285" s="5">
        <f>IF($F285="","",IFERROR(INDEX('CAT_CENTROS_COSTO'!$D$4:$D$13,MATCH($F285,'CAT_CENTROS_COSTO'!$A$4:$A$13,0)),"(sin catálogo)"))</f>
        <v/>
      </c>
      <c r="Y285" s="5">
        <f>IF($F285="","",IF((IFERROR(INDEX('CAT_CENTROS_COSTO'!$E$4:$E$13,MATCH($F285,'CAT_CENTROS_COSTO'!$A$4:$A$13,0)),""))&lt;&gt;"",IFERROR(INDEX('CAT_CENTROS_COSTO'!$E$4:$E$13,MATCH($F285,'CAT_CENTROS_COSTO'!$A$4:$A$13,0)),""),$X285))</f>
        <v/>
      </c>
      <c r="Z285" s="5">
        <f>IF($F285="","",IFERROR(INDEX('CAT_CENTROS_COSTO'!$G$4:$G$13,MATCH($F285,'CAT_CENTROS_COSTO'!$A$4:$A$13,0)),"(sin catálogo)"))</f>
        <v/>
      </c>
      <c r="AA285" s="5">
        <f>IF($G285="","",IFERROR(INDEX('CAT_PUESTOS'!$B$4:$B$8,MATCH($G285,'CAT_PUESTOS'!$A$4:$A$8,0)),"(sin catálogo)"))</f>
        <v/>
      </c>
      <c r="AB285" s="5">
        <f>IF($H285="","",IFERROR(INDEX('CAT_ACTIVIDADES'!$B$4:$B$11,MATCH($H285,'CAT_ACTIVIDADES'!$A$4:$A$11,0)),"(sin catálogo)"))</f>
        <v/>
      </c>
      <c r="AC285" s="20">
        <f>IF($J285="","",TODAY()-$J285)</f>
        <v/>
      </c>
      <c r="AD285" s="20">
        <f>IF($J285="","",IF($J285&lt;=TODAY(),COUNTIFS(cal_fechas,"&gt;="&amp;$J285,cal_fechas,"&lt;"&amp;TODAY(),cal_habil,"sí"),-COUNTIFS(cal_fechas,"&gt;="&amp;TODAY(),cal_fechas,"&lt;"&amp;$J285,cal_habil,"sí")))</f>
        <v/>
      </c>
      <c r="AE285" s="5">
        <f>IF($AD285="","",IF($AD285&lt;0,"FUTURO",IF($AD285&gt;p_dias_backlog_max,"BACKLOG","MES CORRIENTE")))</f>
        <v/>
      </c>
      <c r="AF285" s="5">
        <f>IF($AD285="",FALSE,AND($AD285&gt;p_dias_backlog_min,$AD285&lt;=p_dias_backlog_max))</f>
        <v/>
      </c>
      <c r="AG285" s="4" t="n"/>
      <c r="AH285" s="5">
        <f>IF($AG285="","",IF((IFERROR(INDEX('ASIGNACIONES'!$J$4:$J$451,MATCH($O285&amp;"|"&amp;$S285&amp;"|"&amp;$AG285,'ASIGNACIONES'!$N$4:$N$451,0)),""))=0,"",IFERROR(INDEX('ASIGNACIONES'!$J$4:$J$451,MATCH($O285&amp;"|"&amp;$S285&amp;"|"&amp;$AG285,'ASIGNACIONES'!$N$4:$N$451,0)),"")))</f>
        <v/>
      </c>
      <c r="AI285" s="25">
        <f>IF($AG285="","",SUMIFS('ORDENES'!$M$4:$M$1203,'ORDENES'!$AG$4:$AG$1203,$AG285,'ORDENES'!$O$4:$O$1203,$O285,'ORDENES'!$S$4:$S$1203,$S285))</f>
        <v/>
      </c>
      <c r="AJ285" s="25">
        <f>IF($AI285="","",p_factor_productividad*IFERROR(INDEX('ASIGNACIONES'!$M$4:$M$451,MATCH($O285&amp;"|"&amp;$S285&amp;"|"&amp;$AG285,'ASIGNACIONES'!$N$4:$N$451,0)),0)-$AI285)</f>
        <v/>
      </c>
      <c r="AK285" s="18">
        <f>IF($A285="","",IFERROR(INDEX('2_IMPORTAR_EJECUCION'!$F$9:$F$1208,MATCH($AT285,'2_IMPORTAR_EJECUCION'!$J$9:$J$1208,0)),0))</f>
        <v/>
      </c>
      <c r="AL285" s="18">
        <f>IF($A285="","",MAX(0,IFERROR(INDEX('2_IMPORTAR_EJECUCION'!$H$9:$H$1208,MATCH($AT285,'2_IMPORTAR_EJECUCION'!$J$9:$J$1208,0)),0)-$AK285))</f>
        <v/>
      </c>
      <c r="AM285" s="18">
        <f>IF($A285="","",$AK285+$AL285)</f>
        <v/>
      </c>
      <c r="AN285" s="5">
        <f>IF($A285="","",IF(OR((IFERROR(INDEX('CAT_ACTIVIDADES'!$D$4:$D$11,MATCH($H285,'CAT_ACTIVIDADES'!$A$4:$A$11,0)),""))=0,(IFERROR(INDEX('CAT_ACTIVIDADES'!$D$4:$D$11,MATCH($H285,'CAT_ACTIVIDADES'!$A$4:$A$11,0)),""))=""),"SIN CLASIFICAR",IFERROR(INDEX('CAT_ACTIVIDADES'!$D$4:$D$11,MATCH($H285,'CAT_ACTIVIDADES'!$A$4:$A$11,0)),"")))</f>
        <v/>
      </c>
      <c r="AO285" s="4" t="n"/>
      <c r="AP285" s="4" t="n"/>
      <c r="AQ285" s="4" t="n"/>
      <c r="AR285" s="5">
        <f>IF($AQ285="","",HYPERLINK(p_ruta_base_checklists&amp;$AQ285,"abrir"))</f>
        <v/>
      </c>
      <c r="AS285" s="4" t="n"/>
      <c r="AT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2" t="n"/>
      <c r="K286" s="5" t="n"/>
      <c r="L286" s="18" t="n"/>
      <c r="M286" s="5">
        <f>IF($A286="","",IFERROR(INDEX('AJUSTES'!$B$4:$B$303,MATCH($AT286,'AJUSTES'!$A$4:$A$303,0)),IF($K286="","",$K286)))</f>
        <v/>
      </c>
      <c r="N286" s="5">
        <f>IF($A286="","",IFERROR(INDEX('CAT_ESTADOS_ERP'!$B$4:$B$7,MATCH(IFERROR(INDEX('2_IMPORTAR_EJECUCION'!$C$9:$C$1208,MATCH($AT286,'2_IMPORTAR_EJECUCION'!$J$9:$J$1208,0)),""),'CAT_ESTADOS_ERP'!$A$4:$A$7,0)),"Pendiente"))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IF($J286="","",$P286&amp;"-"&amp;TEXT($Q286,"00"))</f>
        <v/>
      </c>
      <c r="S286" s="5">
        <f>IF($J286="","",INDEX(lista_dias,WEEKDAY($J286,2)))</f>
        <v/>
      </c>
      <c r="T286" s="5">
        <f>IF($J286="","",IFERROR(INDEX('CALENDARIO'!$C$15:$C$214,MATCH(TEXT($J286,"yyyy-mm-dd")&amp;"|"&amp;$X286&amp;"|"&amp;$Y286,'CALENDARIO'!$G$15:$G$214,0)),IFERROR(INDEX('CALENDARIO'!$C$15:$C$214,MATCH(TEXT($J286,"yyyy-mm-dd")&amp;"|"&amp;$X286&amp;"|",'CALENDARIO'!$G$15:$G$214,0)),IFERROR(INDEX('CALENDARIO'!$C$15:$C$214,MATCH(TEXT($J286,"yyyy-mm-dd")&amp;"||",'CALENDARIO'!$G$15:$G$214,0)),INDEX(patronHabil,WEEKDAY($J286,2))))))</f>
        <v/>
      </c>
      <c r="U286" s="5">
        <f>IF($I286="","",IFERROR(INDEX('CAT_TIPOS_OT'!$C$4:$C$8,MATCH($I286,'CAT_TIPOS_OT'!$A$4:$A$8,0)),"sin_clasificar"))</f>
        <v/>
      </c>
      <c r="V286" s="5">
        <f>IF($I286="","",IF(IFERROR(INDEX('CAT_TIPOS_OT'!$D$4:$D$8,MATCH($I286,'CAT_TIPOS_OT'!$A$4:$A$8,0)),"SIN CLASIFICAR")="","SIN CLASIFICAR",IFERROR(INDEX('CAT_TIPOS_OT'!$D$4:$D$8,MATCH($I286,'CAT_TIPOS_OT'!$A$4:$A$8,0)),"SIN CLASIFICAR")))</f>
        <v/>
      </c>
      <c r="W286" s="5">
        <f>IF($F286="","",IFERROR(INDEX('CAT_CENTROS_COSTO'!$F$4:$F$13,MATCH($F286,'CAT_CENTROS_COSTO'!$A$4:$A$13,0)),"(sin catálogo)"))</f>
        <v/>
      </c>
      <c r="X286" s="5">
        <f>IF($F286="","",IFERROR(INDEX('CAT_CENTROS_COSTO'!$D$4:$D$13,MATCH($F286,'CAT_CENTROS_COSTO'!$A$4:$A$13,0)),"(sin catálogo)"))</f>
        <v/>
      </c>
      <c r="Y286" s="5">
        <f>IF($F286="","",IF((IFERROR(INDEX('CAT_CENTROS_COSTO'!$E$4:$E$13,MATCH($F286,'CAT_CENTROS_COSTO'!$A$4:$A$13,0)),""))&lt;&gt;"",IFERROR(INDEX('CAT_CENTROS_COSTO'!$E$4:$E$13,MATCH($F286,'CAT_CENTROS_COSTO'!$A$4:$A$13,0)),""),$X286))</f>
        <v/>
      </c>
      <c r="Z286" s="5">
        <f>IF($F286="","",IFERROR(INDEX('CAT_CENTROS_COSTO'!$G$4:$G$13,MATCH($F286,'CAT_CENTROS_COSTO'!$A$4:$A$13,0)),"(sin catálogo)"))</f>
        <v/>
      </c>
      <c r="AA286" s="5">
        <f>IF($G286="","",IFERROR(INDEX('CAT_PUESTOS'!$B$4:$B$8,MATCH($G286,'CAT_PUESTOS'!$A$4:$A$8,0)),"(sin catálogo)"))</f>
        <v/>
      </c>
      <c r="AB286" s="5">
        <f>IF($H286="","",IFERROR(INDEX('CAT_ACTIVIDADES'!$B$4:$B$11,MATCH($H286,'CAT_ACTIVIDADES'!$A$4:$A$11,0)),"(sin catálogo)"))</f>
        <v/>
      </c>
      <c r="AC286" s="20">
        <f>IF($J286="","",TODAY()-$J286)</f>
        <v/>
      </c>
      <c r="AD286" s="20">
        <f>IF($J286="","",IF($J286&lt;=TODAY(),COUNTIFS(cal_fechas,"&gt;="&amp;$J286,cal_fechas,"&lt;"&amp;TODAY(),cal_habil,"sí"),-COUNTIFS(cal_fechas,"&gt;="&amp;TODAY(),cal_fechas,"&lt;"&amp;$J286,cal_habil,"sí")))</f>
        <v/>
      </c>
      <c r="AE286" s="5">
        <f>IF($AD286="","",IF($AD286&lt;0,"FUTURO",IF($AD286&gt;p_dias_backlog_max,"BACKLOG","MES CORRIENTE")))</f>
        <v/>
      </c>
      <c r="AF286" s="5">
        <f>IF($AD286="",FALSE,AND($AD286&gt;p_dias_backlog_min,$AD286&lt;=p_dias_backlog_max))</f>
        <v/>
      </c>
      <c r="AG286" s="4" t="n"/>
      <c r="AH286" s="5">
        <f>IF($AG286="","",IF((IFERROR(INDEX('ASIGNACIONES'!$J$4:$J$451,MATCH($O286&amp;"|"&amp;$S286&amp;"|"&amp;$AG286,'ASIGNACIONES'!$N$4:$N$451,0)),""))=0,"",IFERROR(INDEX('ASIGNACIONES'!$J$4:$J$451,MATCH($O286&amp;"|"&amp;$S286&amp;"|"&amp;$AG286,'ASIGNACIONES'!$N$4:$N$451,0)),"")))</f>
        <v/>
      </c>
      <c r="AI286" s="25">
        <f>IF($AG286="","",SUMIFS('ORDENES'!$M$4:$M$1203,'ORDENES'!$AG$4:$AG$1203,$AG286,'ORDENES'!$O$4:$O$1203,$O286,'ORDENES'!$S$4:$S$1203,$S286))</f>
        <v/>
      </c>
      <c r="AJ286" s="25">
        <f>IF($AI286="","",p_factor_productividad*IFERROR(INDEX('ASIGNACIONES'!$M$4:$M$451,MATCH($O286&amp;"|"&amp;$S286&amp;"|"&amp;$AG286,'ASIGNACIONES'!$N$4:$N$451,0)),0)-$AI286)</f>
        <v/>
      </c>
      <c r="AK286" s="18">
        <f>IF($A286="","",IFERROR(INDEX('2_IMPORTAR_EJECUCION'!$F$9:$F$1208,MATCH($AT286,'2_IMPORTAR_EJECUCION'!$J$9:$J$1208,0)),0))</f>
        <v/>
      </c>
      <c r="AL286" s="18">
        <f>IF($A286="","",MAX(0,IFERROR(INDEX('2_IMPORTAR_EJECUCION'!$H$9:$H$1208,MATCH($AT286,'2_IMPORTAR_EJECUCION'!$J$9:$J$1208,0)),0)-$AK286))</f>
        <v/>
      </c>
      <c r="AM286" s="18">
        <f>IF($A286="","",$AK286+$AL286)</f>
        <v/>
      </c>
      <c r="AN286" s="5">
        <f>IF($A286="","",IF(OR((IFERROR(INDEX('CAT_ACTIVIDADES'!$D$4:$D$11,MATCH($H286,'CAT_ACTIVIDADES'!$A$4:$A$11,0)),""))=0,(IFERROR(INDEX('CAT_ACTIVIDADES'!$D$4:$D$11,MATCH($H286,'CAT_ACTIVIDADES'!$A$4:$A$11,0)),""))=""),"SIN CLASIFICAR",IFERROR(INDEX('CAT_ACTIVIDADES'!$D$4:$D$11,MATCH($H286,'CAT_ACTIVIDADES'!$A$4:$A$11,0)),"")))</f>
        <v/>
      </c>
      <c r="AO286" s="4" t="n"/>
      <c r="AP286" s="4" t="n"/>
      <c r="AQ286" s="4" t="n"/>
      <c r="AR286" s="5">
        <f>IF($AQ286="","",HYPERLINK(p_ruta_base_checklists&amp;$AQ286,"abrir"))</f>
        <v/>
      </c>
      <c r="AS286" s="4" t="n"/>
      <c r="AT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2" t="n"/>
      <c r="K287" s="5" t="n"/>
      <c r="L287" s="18" t="n"/>
      <c r="M287" s="5">
        <f>IF($A287="","",IFERROR(INDEX('AJUSTES'!$B$4:$B$303,MATCH($AT287,'AJUSTES'!$A$4:$A$303,0)),IF($K287="","",$K287)))</f>
        <v/>
      </c>
      <c r="N287" s="5">
        <f>IF($A287="","",IFERROR(INDEX('CAT_ESTADOS_ERP'!$B$4:$B$7,MATCH(IFERROR(INDEX('2_IMPORTAR_EJECUCION'!$C$9:$C$1208,MATCH($AT287,'2_IMPORTAR_EJECUCION'!$J$9:$J$1208,0)),""),'CAT_ESTADOS_ERP'!$A$4:$A$7,0)),"Pendiente"))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IF($J287="","",$P287&amp;"-"&amp;TEXT($Q287,"00"))</f>
        <v/>
      </c>
      <c r="S287" s="5">
        <f>IF($J287="","",INDEX(lista_dias,WEEKDAY($J287,2)))</f>
        <v/>
      </c>
      <c r="T287" s="5">
        <f>IF($J287="","",IFERROR(INDEX('CALENDARIO'!$C$15:$C$214,MATCH(TEXT($J287,"yyyy-mm-dd")&amp;"|"&amp;$X287&amp;"|"&amp;$Y287,'CALENDARIO'!$G$15:$G$214,0)),IFERROR(INDEX('CALENDARIO'!$C$15:$C$214,MATCH(TEXT($J287,"yyyy-mm-dd")&amp;"|"&amp;$X287&amp;"|",'CALENDARIO'!$G$15:$G$214,0)),IFERROR(INDEX('CALENDARIO'!$C$15:$C$214,MATCH(TEXT($J287,"yyyy-mm-dd")&amp;"||",'CALENDARIO'!$G$15:$G$214,0)),INDEX(patronHabil,WEEKDAY($J287,2))))))</f>
        <v/>
      </c>
      <c r="U287" s="5">
        <f>IF($I287="","",IFERROR(INDEX('CAT_TIPOS_OT'!$C$4:$C$8,MATCH($I287,'CAT_TIPOS_OT'!$A$4:$A$8,0)),"sin_clasificar"))</f>
        <v/>
      </c>
      <c r="V287" s="5">
        <f>IF($I287="","",IF(IFERROR(INDEX('CAT_TIPOS_OT'!$D$4:$D$8,MATCH($I287,'CAT_TIPOS_OT'!$A$4:$A$8,0)),"SIN CLASIFICAR")="","SIN CLASIFICAR",IFERROR(INDEX('CAT_TIPOS_OT'!$D$4:$D$8,MATCH($I287,'CAT_TIPOS_OT'!$A$4:$A$8,0)),"SIN CLASIFICAR")))</f>
        <v/>
      </c>
      <c r="W287" s="5">
        <f>IF($F287="","",IFERROR(INDEX('CAT_CENTROS_COSTO'!$F$4:$F$13,MATCH($F287,'CAT_CENTROS_COSTO'!$A$4:$A$13,0)),"(sin catálogo)"))</f>
        <v/>
      </c>
      <c r="X287" s="5">
        <f>IF($F287="","",IFERROR(INDEX('CAT_CENTROS_COSTO'!$D$4:$D$13,MATCH($F287,'CAT_CENTROS_COSTO'!$A$4:$A$13,0)),"(sin catálogo)"))</f>
        <v/>
      </c>
      <c r="Y287" s="5">
        <f>IF($F287="","",IF((IFERROR(INDEX('CAT_CENTROS_COSTO'!$E$4:$E$13,MATCH($F287,'CAT_CENTROS_COSTO'!$A$4:$A$13,0)),""))&lt;&gt;"",IFERROR(INDEX('CAT_CENTROS_COSTO'!$E$4:$E$13,MATCH($F287,'CAT_CENTROS_COSTO'!$A$4:$A$13,0)),""),$X287))</f>
        <v/>
      </c>
      <c r="Z287" s="5">
        <f>IF($F287="","",IFERROR(INDEX('CAT_CENTROS_COSTO'!$G$4:$G$13,MATCH($F287,'CAT_CENTROS_COSTO'!$A$4:$A$13,0)),"(sin catálogo)"))</f>
        <v/>
      </c>
      <c r="AA287" s="5">
        <f>IF($G287="","",IFERROR(INDEX('CAT_PUESTOS'!$B$4:$B$8,MATCH($G287,'CAT_PUESTOS'!$A$4:$A$8,0)),"(sin catálogo)"))</f>
        <v/>
      </c>
      <c r="AB287" s="5">
        <f>IF($H287="","",IFERROR(INDEX('CAT_ACTIVIDADES'!$B$4:$B$11,MATCH($H287,'CAT_ACTIVIDADES'!$A$4:$A$11,0)),"(sin catálogo)"))</f>
        <v/>
      </c>
      <c r="AC287" s="20">
        <f>IF($J287="","",TODAY()-$J287)</f>
        <v/>
      </c>
      <c r="AD287" s="20">
        <f>IF($J287="","",IF($J287&lt;=TODAY(),COUNTIFS(cal_fechas,"&gt;="&amp;$J287,cal_fechas,"&lt;"&amp;TODAY(),cal_habil,"sí"),-COUNTIFS(cal_fechas,"&gt;="&amp;TODAY(),cal_fechas,"&lt;"&amp;$J287,cal_habil,"sí")))</f>
        <v/>
      </c>
      <c r="AE287" s="5">
        <f>IF($AD287="","",IF($AD287&lt;0,"FUTURO",IF($AD287&gt;p_dias_backlog_max,"BACKLOG","MES CORRIENTE")))</f>
        <v/>
      </c>
      <c r="AF287" s="5">
        <f>IF($AD287="",FALSE,AND($AD287&gt;p_dias_backlog_min,$AD287&lt;=p_dias_backlog_max))</f>
        <v/>
      </c>
      <c r="AG287" s="4" t="n"/>
      <c r="AH287" s="5">
        <f>IF($AG287="","",IF((IFERROR(INDEX('ASIGNACIONES'!$J$4:$J$451,MATCH($O287&amp;"|"&amp;$S287&amp;"|"&amp;$AG287,'ASIGNACIONES'!$N$4:$N$451,0)),""))=0,"",IFERROR(INDEX('ASIGNACIONES'!$J$4:$J$451,MATCH($O287&amp;"|"&amp;$S287&amp;"|"&amp;$AG287,'ASIGNACIONES'!$N$4:$N$451,0)),"")))</f>
        <v/>
      </c>
      <c r="AI287" s="25">
        <f>IF($AG287="","",SUMIFS('ORDENES'!$M$4:$M$1203,'ORDENES'!$AG$4:$AG$1203,$AG287,'ORDENES'!$O$4:$O$1203,$O287,'ORDENES'!$S$4:$S$1203,$S287))</f>
        <v/>
      </c>
      <c r="AJ287" s="25">
        <f>IF($AI287="","",p_factor_productividad*IFERROR(INDEX('ASIGNACIONES'!$M$4:$M$451,MATCH($O287&amp;"|"&amp;$S287&amp;"|"&amp;$AG287,'ASIGNACIONES'!$N$4:$N$451,0)),0)-$AI287)</f>
        <v/>
      </c>
      <c r="AK287" s="18">
        <f>IF($A287="","",IFERROR(INDEX('2_IMPORTAR_EJECUCION'!$F$9:$F$1208,MATCH($AT287,'2_IMPORTAR_EJECUCION'!$J$9:$J$1208,0)),0))</f>
        <v/>
      </c>
      <c r="AL287" s="18">
        <f>IF($A287="","",MAX(0,IFERROR(INDEX('2_IMPORTAR_EJECUCION'!$H$9:$H$1208,MATCH($AT287,'2_IMPORTAR_EJECUCION'!$J$9:$J$1208,0)),0)-$AK287))</f>
        <v/>
      </c>
      <c r="AM287" s="18">
        <f>IF($A287="","",$AK287+$AL287)</f>
        <v/>
      </c>
      <c r="AN287" s="5">
        <f>IF($A287="","",IF(OR((IFERROR(INDEX('CAT_ACTIVIDADES'!$D$4:$D$11,MATCH($H287,'CAT_ACTIVIDADES'!$A$4:$A$11,0)),""))=0,(IFERROR(INDEX('CAT_ACTIVIDADES'!$D$4:$D$11,MATCH($H287,'CAT_ACTIVIDADES'!$A$4:$A$11,0)),""))=""),"SIN CLASIFICAR",IFERROR(INDEX('CAT_ACTIVIDADES'!$D$4:$D$11,MATCH($H287,'CAT_ACTIVIDADES'!$A$4:$A$11,0)),"")))</f>
        <v/>
      </c>
      <c r="AO287" s="4" t="n"/>
      <c r="AP287" s="4" t="n"/>
      <c r="AQ287" s="4" t="n"/>
      <c r="AR287" s="5">
        <f>IF($AQ287="","",HYPERLINK(p_ruta_base_checklists&amp;$AQ287,"abrir"))</f>
        <v/>
      </c>
      <c r="AS287" s="4" t="n"/>
      <c r="AT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2" t="n"/>
      <c r="K288" s="5" t="n"/>
      <c r="L288" s="18" t="n"/>
      <c r="M288" s="5">
        <f>IF($A288="","",IFERROR(INDEX('AJUSTES'!$B$4:$B$303,MATCH($AT288,'AJUSTES'!$A$4:$A$303,0)),IF($K288="","",$K288)))</f>
        <v/>
      </c>
      <c r="N288" s="5">
        <f>IF($A288="","",IFERROR(INDEX('CAT_ESTADOS_ERP'!$B$4:$B$7,MATCH(IFERROR(INDEX('2_IMPORTAR_EJECUCION'!$C$9:$C$1208,MATCH($AT288,'2_IMPORTAR_EJECUCION'!$J$9:$J$1208,0)),""),'CAT_ESTADOS_ERP'!$A$4:$A$7,0)),"Pendiente"))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IF($J288="","",$P288&amp;"-"&amp;TEXT($Q288,"00"))</f>
        <v/>
      </c>
      <c r="S288" s="5">
        <f>IF($J288="","",INDEX(lista_dias,WEEKDAY($J288,2)))</f>
        <v/>
      </c>
      <c r="T288" s="5">
        <f>IF($J288="","",IFERROR(INDEX('CALENDARIO'!$C$15:$C$214,MATCH(TEXT($J288,"yyyy-mm-dd")&amp;"|"&amp;$X288&amp;"|"&amp;$Y288,'CALENDARIO'!$G$15:$G$214,0)),IFERROR(INDEX('CALENDARIO'!$C$15:$C$214,MATCH(TEXT($J288,"yyyy-mm-dd")&amp;"|"&amp;$X288&amp;"|",'CALENDARIO'!$G$15:$G$214,0)),IFERROR(INDEX('CALENDARIO'!$C$15:$C$214,MATCH(TEXT($J288,"yyyy-mm-dd")&amp;"||",'CALENDARIO'!$G$15:$G$214,0)),INDEX(patronHabil,WEEKDAY($J288,2))))))</f>
        <v/>
      </c>
      <c r="U288" s="5">
        <f>IF($I288="","",IFERROR(INDEX('CAT_TIPOS_OT'!$C$4:$C$8,MATCH($I288,'CAT_TIPOS_OT'!$A$4:$A$8,0)),"sin_clasificar"))</f>
        <v/>
      </c>
      <c r="V288" s="5">
        <f>IF($I288="","",IF(IFERROR(INDEX('CAT_TIPOS_OT'!$D$4:$D$8,MATCH($I288,'CAT_TIPOS_OT'!$A$4:$A$8,0)),"SIN CLASIFICAR")="","SIN CLASIFICAR",IFERROR(INDEX('CAT_TIPOS_OT'!$D$4:$D$8,MATCH($I288,'CAT_TIPOS_OT'!$A$4:$A$8,0)),"SIN CLASIFICAR")))</f>
        <v/>
      </c>
      <c r="W288" s="5">
        <f>IF($F288="","",IFERROR(INDEX('CAT_CENTROS_COSTO'!$F$4:$F$13,MATCH($F288,'CAT_CENTROS_COSTO'!$A$4:$A$13,0)),"(sin catálogo)"))</f>
        <v/>
      </c>
      <c r="X288" s="5">
        <f>IF($F288="","",IFERROR(INDEX('CAT_CENTROS_COSTO'!$D$4:$D$13,MATCH($F288,'CAT_CENTROS_COSTO'!$A$4:$A$13,0)),"(sin catálogo)"))</f>
        <v/>
      </c>
      <c r="Y288" s="5">
        <f>IF($F288="","",IF((IFERROR(INDEX('CAT_CENTROS_COSTO'!$E$4:$E$13,MATCH($F288,'CAT_CENTROS_COSTO'!$A$4:$A$13,0)),""))&lt;&gt;"",IFERROR(INDEX('CAT_CENTROS_COSTO'!$E$4:$E$13,MATCH($F288,'CAT_CENTROS_COSTO'!$A$4:$A$13,0)),""),$X288))</f>
        <v/>
      </c>
      <c r="Z288" s="5">
        <f>IF($F288="","",IFERROR(INDEX('CAT_CENTROS_COSTO'!$G$4:$G$13,MATCH($F288,'CAT_CENTROS_COSTO'!$A$4:$A$13,0)),"(sin catálogo)"))</f>
        <v/>
      </c>
      <c r="AA288" s="5">
        <f>IF($G288="","",IFERROR(INDEX('CAT_PUESTOS'!$B$4:$B$8,MATCH($G288,'CAT_PUESTOS'!$A$4:$A$8,0)),"(sin catálogo)"))</f>
        <v/>
      </c>
      <c r="AB288" s="5">
        <f>IF($H288="","",IFERROR(INDEX('CAT_ACTIVIDADES'!$B$4:$B$11,MATCH($H288,'CAT_ACTIVIDADES'!$A$4:$A$11,0)),"(sin catálogo)"))</f>
        <v/>
      </c>
      <c r="AC288" s="20">
        <f>IF($J288="","",TODAY()-$J288)</f>
        <v/>
      </c>
      <c r="AD288" s="20">
        <f>IF($J288="","",IF($J288&lt;=TODAY(),COUNTIFS(cal_fechas,"&gt;="&amp;$J288,cal_fechas,"&lt;"&amp;TODAY(),cal_habil,"sí"),-COUNTIFS(cal_fechas,"&gt;="&amp;TODAY(),cal_fechas,"&lt;"&amp;$J288,cal_habil,"sí")))</f>
        <v/>
      </c>
      <c r="AE288" s="5">
        <f>IF($AD288="","",IF($AD288&lt;0,"FUTURO",IF($AD288&gt;p_dias_backlog_max,"BACKLOG","MES CORRIENTE")))</f>
        <v/>
      </c>
      <c r="AF288" s="5">
        <f>IF($AD288="",FALSE,AND($AD288&gt;p_dias_backlog_min,$AD288&lt;=p_dias_backlog_max))</f>
        <v/>
      </c>
      <c r="AG288" s="4" t="n"/>
      <c r="AH288" s="5">
        <f>IF($AG288="","",IF((IFERROR(INDEX('ASIGNACIONES'!$J$4:$J$451,MATCH($O288&amp;"|"&amp;$S288&amp;"|"&amp;$AG288,'ASIGNACIONES'!$N$4:$N$451,0)),""))=0,"",IFERROR(INDEX('ASIGNACIONES'!$J$4:$J$451,MATCH($O288&amp;"|"&amp;$S288&amp;"|"&amp;$AG288,'ASIGNACIONES'!$N$4:$N$451,0)),"")))</f>
        <v/>
      </c>
      <c r="AI288" s="25">
        <f>IF($AG288="","",SUMIFS('ORDENES'!$M$4:$M$1203,'ORDENES'!$AG$4:$AG$1203,$AG288,'ORDENES'!$O$4:$O$1203,$O288,'ORDENES'!$S$4:$S$1203,$S288))</f>
        <v/>
      </c>
      <c r="AJ288" s="25">
        <f>IF($AI288="","",p_factor_productividad*IFERROR(INDEX('ASIGNACIONES'!$M$4:$M$451,MATCH($O288&amp;"|"&amp;$S288&amp;"|"&amp;$AG288,'ASIGNACIONES'!$N$4:$N$451,0)),0)-$AI288)</f>
        <v/>
      </c>
      <c r="AK288" s="18">
        <f>IF($A288="","",IFERROR(INDEX('2_IMPORTAR_EJECUCION'!$F$9:$F$1208,MATCH($AT288,'2_IMPORTAR_EJECUCION'!$J$9:$J$1208,0)),0))</f>
        <v/>
      </c>
      <c r="AL288" s="18">
        <f>IF($A288="","",MAX(0,IFERROR(INDEX('2_IMPORTAR_EJECUCION'!$H$9:$H$1208,MATCH($AT288,'2_IMPORTAR_EJECUCION'!$J$9:$J$1208,0)),0)-$AK288))</f>
        <v/>
      </c>
      <c r="AM288" s="18">
        <f>IF($A288="","",$AK288+$AL288)</f>
        <v/>
      </c>
      <c r="AN288" s="5">
        <f>IF($A288="","",IF(OR((IFERROR(INDEX('CAT_ACTIVIDADES'!$D$4:$D$11,MATCH($H288,'CAT_ACTIVIDADES'!$A$4:$A$11,0)),""))=0,(IFERROR(INDEX('CAT_ACTIVIDADES'!$D$4:$D$11,MATCH($H288,'CAT_ACTIVIDADES'!$A$4:$A$11,0)),""))=""),"SIN CLASIFICAR",IFERROR(INDEX('CAT_ACTIVIDADES'!$D$4:$D$11,MATCH($H288,'CAT_ACTIVIDADES'!$A$4:$A$11,0)),"")))</f>
        <v/>
      </c>
      <c r="AO288" s="4" t="n"/>
      <c r="AP288" s="4" t="n"/>
      <c r="AQ288" s="4" t="n"/>
      <c r="AR288" s="5">
        <f>IF($AQ288="","",HYPERLINK(p_ruta_base_checklists&amp;$AQ288,"abrir"))</f>
        <v/>
      </c>
      <c r="AS288" s="4" t="n"/>
      <c r="AT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2" t="n"/>
      <c r="K289" s="5" t="n"/>
      <c r="L289" s="18" t="n"/>
      <c r="M289" s="5">
        <f>IF($A289="","",IFERROR(INDEX('AJUSTES'!$B$4:$B$303,MATCH($AT289,'AJUSTES'!$A$4:$A$303,0)),IF($K289="","",$K289)))</f>
        <v/>
      </c>
      <c r="N289" s="5">
        <f>IF($A289="","",IFERROR(INDEX('CAT_ESTADOS_ERP'!$B$4:$B$7,MATCH(IFERROR(INDEX('2_IMPORTAR_EJECUCION'!$C$9:$C$1208,MATCH($AT289,'2_IMPORTAR_EJECUCION'!$J$9:$J$1208,0)),""),'CAT_ESTADOS_ERP'!$A$4:$A$7,0)),"Pendiente"))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IF($J289="","",$P289&amp;"-"&amp;TEXT($Q289,"00"))</f>
        <v/>
      </c>
      <c r="S289" s="5">
        <f>IF($J289="","",INDEX(lista_dias,WEEKDAY($J289,2)))</f>
        <v/>
      </c>
      <c r="T289" s="5">
        <f>IF($J289="","",IFERROR(INDEX('CALENDARIO'!$C$15:$C$214,MATCH(TEXT($J289,"yyyy-mm-dd")&amp;"|"&amp;$X289&amp;"|"&amp;$Y289,'CALENDARIO'!$G$15:$G$214,0)),IFERROR(INDEX('CALENDARIO'!$C$15:$C$214,MATCH(TEXT($J289,"yyyy-mm-dd")&amp;"|"&amp;$X289&amp;"|",'CALENDARIO'!$G$15:$G$214,0)),IFERROR(INDEX('CALENDARIO'!$C$15:$C$214,MATCH(TEXT($J289,"yyyy-mm-dd")&amp;"||",'CALENDARIO'!$G$15:$G$214,0)),INDEX(patronHabil,WEEKDAY($J289,2))))))</f>
        <v/>
      </c>
      <c r="U289" s="5">
        <f>IF($I289="","",IFERROR(INDEX('CAT_TIPOS_OT'!$C$4:$C$8,MATCH($I289,'CAT_TIPOS_OT'!$A$4:$A$8,0)),"sin_clasificar"))</f>
        <v/>
      </c>
      <c r="V289" s="5">
        <f>IF($I289="","",IF(IFERROR(INDEX('CAT_TIPOS_OT'!$D$4:$D$8,MATCH($I289,'CAT_TIPOS_OT'!$A$4:$A$8,0)),"SIN CLASIFICAR")="","SIN CLASIFICAR",IFERROR(INDEX('CAT_TIPOS_OT'!$D$4:$D$8,MATCH($I289,'CAT_TIPOS_OT'!$A$4:$A$8,0)),"SIN CLASIFICAR")))</f>
        <v/>
      </c>
      <c r="W289" s="5">
        <f>IF($F289="","",IFERROR(INDEX('CAT_CENTROS_COSTO'!$F$4:$F$13,MATCH($F289,'CAT_CENTROS_COSTO'!$A$4:$A$13,0)),"(sin catálogo)"))</f>
        <v/>
      </c>
      <c r="X289" s="5">
        <f>IF($F289="","",IFERROR(INDEX('CAT_CENTROS_COSTO'!$D$4:$D$13,MATCH($F289,'CAT_CENTROS_COSTO'!$A$4:$A$13,0)),"(sin catálogo)"))</f>
        <v/>
      </c>
      <c r="Y289" s="5">
        <f>IF($F289="","",IF((IFERROR(INDEX('CAT_CENTROS_COSTO'!$E$4:$E$13,MATCH($F289,'CAT_CENTROS_COSTO'!$A$4:$A$13,0)),""))&lt;&gt;"",IFERROR(INDEX('CAT_CENTROS_COSTO'!$E$4:$E$13,MATCH($F289,'CAT_CENTROS_COSTO'!$A$4:$A$13,0)),""),$X289))</f>
        <v/>
      </c>
      <c r="Z289" s="5">
        <f>IF($F289="","",IFERROR(INDEX('CAT_CENTROS_COSTO'!$G$4:$G$13,MATCH($F289,'CAT_CENTROS_COSTO'!$A$4:$A$13,0)),"(sin catálogo)"))</f>
        <v/>
      </c>
      <c r="AA289" s="5">
        <f>IF($G289="","",IFERROR(INDEX('CAT_PUESTOS'!$B$4:$B$8,MATCH($G289,'CAT_PUESTOS'!$A$4:$A$8,0)),"(sin catálogo)"))</f>
        <v/>
      </c>
      <c r="AB289" s="5">
        <f>IF($H289="","",IFERROR(INDEX('CAT_ACTIVIDADES'!$B$4:$B$11,MATCH($H289,'CAT_ACTIVIDADES'!$A$4:$A$11,0)),"(sin catálogo)"))</f>
        <v/>
      </c>
      <c r="AC289" s="20">
        <f>IF($J289="","",TODAY()-$J289)</f>
        <v/>
      </c>
      <c r="AD289" s="20">
        <f>IF($J289="","",IF($J289&lt;=TODAY(),COUNTIFS(cal_fechas,"&gt;="&amp;$J289,cal_fechas,"&lt;"&amp;TODAY(),cal_habil,"sí"),-COUNTIFS(cal_fechas,"&gt;="&amp;TODAY(),cal_fechas,"&lt;"&amp;$J289,cal_habil,"sí")))</f>
        <v/>
      </c>
      <c r="AE289" s="5">
        <f>IF($AD289="","",IF($AD289&lt;0,"FUTURO",IF($AD289&gt;p_dias_backlog_max,"BACKLOG","MES CORRIENTE")))</f>
        <v/>
      </c>
      <c r="AF289" s="5">
        <f>IF($AD289="",FALSE,AND($AD289&gt;p_dias_backlog_min,$AD289&lt;=p_dias_backlog_max))</f>
        <v/>
      </c>
      <c r="AG289" s="4" t="n"/>
      <c r="AH289" s="5">
        <f>IF($AG289="","",IF((IFERROR(INDEX('ASIGNACIONES'!$J$4:$J$451,MATCH($O289&amp;"|"&amp;$S289&amp;"|"&amp;$AG289,'ASIGNACIONES'!$N$4:$N$451,0)),""))=0,"",IFERROR(INDEX('ASIGNACIONES'!$J$4:$J$451,MATCH($O289&amp;"|"&amp;$S289&amp;"|"&amp;$AG289,'ASIGNACIONES'!$N$4:$N$451,0)),"")))</f>
        <v/>
      </c>
      <c r="AI289" s="25">
        <f>IF($AG289="","",SUMIFS('ORDENES'!$M$4:$M$1203,'ORDENES'!$AG$4:$AG$1203,$AG289,'ORDENES'!$O$4:$O$1203,$O289,'ORDENES'!$S$4:$S$1203,$S289))</f>
        <v/>
      </c>
      <c r="AJ289" s="25">
        <f>IF($AI289="","",p_factor_productividad*IFERROR(INDEX('ASIGNACIONES'!$M$4:$M$451,MATCH($O289&amp;"|"&amp;$S289&amp;"|"&amp;$AG289,'ASIGNACIONES'!$N$4:$N$451,0)),0)-$AI289)</f>
        <v/>
      </c>
      <c r="AK289" s="18">
        <f>IF($A289="","",IFERROR(INDEX('2_IMPORTAR_EJECUCION'!$F$9:$F$1208,MATCH($AT289,'2_IMPORTAR_EJECUCION'!$J$9:$J$1208,0)),0))</f>
        <v/>
      </c>
      <c r="AL289" s="18">
        <f>IF($A289="","",MAX(0,IFERROR(INDEX('2_IMPORTAR_EJECUCION'!$H$9:$H$1208,MATCH($AT289,'2_IMPORTAR_EJECUCION'!$J$9:$J$1208,0)),0)-$AK289))</f>
        <v/>
      </c>
      <c r="AM289" s="18">
        <f>IF($A289="","",$AK289+$AL289)</f>
        <v/>
      </c>
      <c r="AN289" s="5">
        <f>IF($A289="","",IF(OR((IFERROR(INDEX('CAT_ACTIVIDADES'!$D$4:$D$11,MATCH($H289,'CAT_ACTIVIDADES'!$A$4:$A$11,0)),""))=0,(IFERROR(INDEX('CAT_ACTIVIDADES'!$D$4:$D$11,MATCH($H289,'CAT_ACTIVIDADES'!$A$4:$A$11,0)),""))=""),"SIN CLASIFICAR",IFERROR(INDEX('CAT_ACTIVIDADES'!$D$4:$D$11,MATCH($H289,'CAT_ACTIVIDADES'!$A$4:$A$11,0)),"")))</f>
        <v/>
      </c>
      <c r="AO289" s="4" t="n"/>
      <c r="AP289" s="4" t="n"/>
      <c r="AQ289" s="4" t="n"/>
      <c r="AR289" s="5">
        <f>IF($AQ289="","",HYPERLINK(p_ruta_base_checklists&amp;$AQ289,"abrir"))</f>
        <v/>
      </c>
      <c r="AS289" s="4" t="n"/>
      <c r="AT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2" t="n"/>
      <c r="K290" s="5" t="n"/>
      <c r="L290" s="18" t="n"/>
      <c r="M290" s="5">
        <f>IF($A290="","",IFERROR(INDEX('AJUSTES'!$B$4:$B$303,MATCH($AT290,'AJUSTES'!$A$4:$A$303,0)),IF($K290="","",$K290)))</f>
        <v/>
      </c>
      <c r="N290" s="5">
        <f>IF($A290="","",IFERROR(INDEX('CAT_ESTADOS_ERP'!$B$4:$B$7,MATCH(IFERROR(INDEX('2_IMPORTAR_EJECUCION'!$C$9:$C$1208,MATCH($AT290,'2_IMPORTAR_EJECUCION'!$J$9:$J$1208,0)),""),'CAT_ESTADOS_ERP'!$A$4:$A$7,0)),"Pendiente"))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IF($J290="","",$P290&amp;"-"&amp;TEXT($Q290,"00"))</f>
        <v/>
      </c>
      <c r="S290" s="5">
        <f>IF($J290="","",INDEX(lista_dias,WEEKDAY($J290,2)))</f>
        <v/>
      </c>
      <c r="T290" s="5">
        <f>IF($J290="","",IFERROR(INDEX('CALENDARIO'!$C$15:$C$214,MATCH(TEXT($J290,"yyyy-mm-dd")&amp;"|"&amp;$X290&amp;"|"&amp;$Y290,'CALENDARIO'!$G$15:$G$214,0)),IFERROR(INDEX('CALENDARIO'!$C$15:$C$214,MATCH(TEXT($J290,"yyyy-mm-dd")&amp;"|"&amp;$X290&amp;"|",'CALENDARIO'!$G$15:$G$214,0)),IFERROR(INDEX('CALENDARIO'!$C$15:$C$214,MATCH(TEXT($J290,"yyyy-mm-dd")&amp;"||",'CALENDARIO'!$G$15:$G$214,0)),INDEX(patronHabil,WEEKDAY($J290,2))))))</f>
        <v/>
      </c>
      <c r="U290" s="5">
        <f>IF($I290="","",IFERROR(INDEX('CAT_TIPOS_OT'!$C$4:$C$8,MATCH($I290,'CAT_TIPOS_OT'!$A$4:$A$8,0)),"sin_clasificar"))</f>
        <v/>
      </c>
      <c r="V290" s="5">
        <f>IF($I290="","",IF(IFERROR(INDEX('CAT_TIPOS_OT'!$D$4:$D$8,MATCH($I290,'CAT_TIPOS_OT'!$A$4:$A$8,0)),"SIN CLASIFICAR")="","SIN CLASIFICAR",IFERROR(INDEX('CAT_TIPOS_OT'!$D$4:$D$8,MATCH($I290,'CAT_TIPOS_OT'!$A$4:$A$8,0)),"SIN CLASIFICAR")))</f>
        <v/>
      </c>
      <c r="W290" s="5">
        <f>IF($F290="","",IFERROR(INDEX('CAT_CENTROS_COSTO'!$F$4:$F$13,MATCH($F290,'CAT_CENTROS_COSTO'!$A$4:$A$13,0)),"(sin catálogo)"))</f>
        <v/>
      </c>
      <c r="X290" s="5">
        <f>IF($F290="","",IFERROR(INDEX('CAT_CENTROS_COSTO'!$D$4:$D$13,MATCH($F290,'CAT_CENTROS_COSTO'!$A$4:$A$13,0)),"(sin catálogo)"))</f>
        <v/>
      </c>
      <c r="Y290" s="5">
        <f>IF($F290="","",IF((IFERROR(INDEX('CAT_CENTROS_COSTO'!$E$4:$E$13,MATCH($F290,'CAT_CENTROS_COSTO'!$A$4:$A$13,0)),""))&lt;&gt;"",IFERROR(INDEX('CAT_CENTROS_COSTO'!$E$4:$E$13,MATCH($F290,'CAT_CENTROS_COSTO'!$A$4:$A$13,0)),""),$X290))</f>
        <v/>
      </c>
      <c r="Z290" s="5">
        <f>IF($F290="","",IFERROR(INDEX('CAT_CENTROS_COSTO'!$G$4:$G$13,MATCH($F290,'CAT_CENTROS_COSTO'!$A$4:$A$13,0)),"(sin catálogo)"))</f>
        <v/>
      </c>
      <c r="AA290" s="5">
        <f>IF($G290="","",IFERROR(INDEX('CAT_PUESTOS'!$B$4:$B$8,MATCH($G290,'CAT_PUESTOS'!$A$4:$A$8,0)),"(sin catálogo)"))</f>
        <v/>
      </c>
      <c r="AB290" s="5">
        <f>IF($H290="","",IFERROR(INDEX('CAT_ACTIVIDADES'!$B$4:$B$11,MATCH($H290,'CAT_ACTIVIDADES'!$A$4:$A$11,0)),"(sin catálogo)"))</f>
        <v/>
      </c>
      <c r="AC290" s="20">
        <f>IF($J290="","",TODAY()-$J290)</f>
        <v/>
      </c>
      <c r="AD290" s="20">
        <f>IF($J290="","",IF($J290&lt;=TODAY(),COUNTIFS(cal_fechas,"&gt;="&amp;$J290,cal_fechas,"&lt;"&amp;TODAY(),cal_habil,"sí"),-COUNTIFS(cal_fechas,"&gt;="&amp;TODAY(),cal_fechas,"&lt;"&amp;$J290,cal_habil,"sí")))</f>
        <v/>
      </c>
      <c r="AE290" s="5">
        <f>IF($AD290="","",IF($AD290&lt;0,"FUTURO",IF($AD290&gt;p_dias_backlog_max,"BACKLOG","MES CORRIENTE")))</f>
        <v/>
      </c>
      <c r="AF290" s="5">
        <f>IF($AD290="",FALSE,AND($AD290&gt;p_dias_backlog_min,$AD290&lt;=p_dias_backlog_max))</f>
        <v/>
      </c>
      <c r="AG290" s="4" t="n"/>
      <c r="AH290" s="5">
        <f>IF($AG290="","",IF((IFERROR(INDEX('ASIGNACIONES'!$J$4:$J$451,MATCH($O290&amp;"|"&amp;$S290&amp;"|"&amp;$AG290,'ASIGNACIONES'!$N$4:$N$451,0)),""))=0,"",IFERROR(INDEX('ASIGNACIONES'!$J$4:$J$451,MATCH($O290&amp;"|"&amp;$S290&amp;"|"&amp;$AG290,'ASIGNACIONES'!$N$4:$N$451,0)),"")))</f>
        <v/>
      </c>
      <c r="AI290" s="25">
        <f>IF($AG290="","",SUMIFS('ORDENES'!$M$4:$M$1203,'ORDENES'!$AG$4:$AG$1203,$AG290,'ORDENES'!$O$4:$O$1203,$O290,'ORDENES'!$S$4:$S$1203,$S290))</f>
        <v/>
      </c>
      <c r="AJ290" s="25">
        <f>IF($AI290="","",p_factor_productividad*IFERROR(INDEX('ASIGNACIONES'!$M$4:$M$451,MATCH($O290&amp;"|"&amp;$S290&amp;"|"&amp;$AG290,'ASIGNACIONES'!$N$4:$N$451,0)),0)-$AI290)</f>
        <v/>
      </c>
      <c r="AK290" s="18">
        <f>IF($A290="","",IFERROR(INDEX('2_IMPORTAR_EJECUCION'!$F$9:$F$1208,MATCH($AT290,'2_IMPORTAR_EJECUCION'!$J$9:$J$1208,0)),0))</f>
        <v/>
      </c>
      <c r="AL290" s="18">
        <f>IF($A290="","",MAX(0,IFERROR(INDEX('2_IMPORTAR_EJECUCION'!$H$9:$H$1208,MATCH($AT290,'2_IMPORTAR_EJECUCION'!$J$9:$J$1208,0)),0)-$AK290))</f>
        <v/>
      </c>
      <c r="AM290" s="18">
        <f>IF($A290="","",$AK290+$AL290)</f>
        <v/>
      </c>
      <c r="AN290" s="5">
        <f>IF($A290="","",IF(OR((IFERROR(INDEX('CAT_ACTIVIDADES'!$D$4:$D$11,MATCH($H290,'CAT_ACTIVIDADES'!$A$4:$A$11,0)),""))=0,(IFERROR(INDEX('CAT_ACTIVIDADES'!$D$4:$D$11,MATCH($H290,'CAT_ACTIVIDADES'!$A$4:$A$11,0)),""))=""),"SIN CLASIFICAR",IFERROR(INDEX('CAT_ACTIVIDADES'!$D$4:$D$11,MATCH($H290,'CAT_ACTIVIDADES'!$A$4:$A$11,0)),"")))</f>
        <v/>
      </c>
      <c r="AO290" s="4" t="n"/>
      <c r="AP290" s="4" t="n"/>
      <c r="AQ290" s="4" t="n"/>
      <c r="AR290" s="5">
        <f>IF($AQ290="","",HYPERLINK(p_ruta_base_checklists&amp;$AQ290,"abrir"))</f>
        <v/>
      </c>
      <c r="AS290" s="4" t="n"/>
      <c r="AT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2" t="n"/>
      <c r="K291" s="5" t="n"/>
      <c r="L291" s="18" t="n"/>
      <c r="M291" s="5">
        <f>IF($A291="","",IFERROR(INDEX('AJUSTES'!$B$4:$B$303,MATCH($AT291,'AJUSTES'!$A$4:$A$303,0)),IF($K291="","",$K291)))</f>
        <v/>
      </c>
      <c r="N291" s="5">
        <f>IF($A291="","",IFERROR(INDEX('CAT_ESTADOS_ERP'!$B$4:$B$7,MATCH(IFERROR(INDEX('2_IMPORTAR_EJECUCION'!$C$9:$C$1208,MATCH($AT291,'2_IMPORTAR_EJECUCION'!$J$9:$J$1208,0)),""),'CAT_ESTADOS_ERP'!$A$4:$A$7,0)),"Pendiente"))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IF($J291="","",$P291&amp;"-"&amp;TEXT($Q291,"00"))</f>
        <v/>
      </c>
      <c r="S291" s="5">
        <f>IF($J291="","",INDEX(lista_dias,WEEKDAY($J291,2)))</f>
        <v/>
      </c>
      <c r="T291" s="5">
        <f>IF($J291="","",IFERROR(INDEX('CALENDARIO'!$C$15:$C$214,MATCH(TEXT($J291,"yyyy-mm-dd")&amp;"|"&amp;$X291&amp;"|"&amp;$Y291,'CALENDARIO'!$G$15:$G$214,0)),IFERROR(INDEX('CALENDARIO'!$C$15:$C$214,MATCH(TEXT($J291,"yyyy-mm-dd")&amp;"|"&amp;$X291&amp;"|",'CALENDARIO'!$G$15:$G$214,0)),IFERROR(INDEX('CALENDARIO'!$C$15:$C$214,MATCH(TEXT($J291,"yyyy-mm-dd")&amp;"||",'CALENDARIO'!$G$15:$G$214,0)),INDEX(patronHabil,WEEKDAY($J291,2))))))</f>
        <v/>
      </c>
      <c r="U291" s="5">
        <f>IF($I291="","",IFERROR(INDEX('CAT_TIPOS_OT'!$C$4:$C$8,MATCH($I291,'CAT_TIPOS_OT'!$A$4:$A$8,0)),"sin_clasificar"))</f>
        <v/>
      </c>
      <c r="V291" s="5">
        <f>IF($I291="","",IF(IFERROR(INDEX('CAT_TIPOS_OT'!$D$4:$D$8,MATCH($I291,'CAT_TIPOS_OT'!$A$4:$A$8,0)),"SIN CLASIFICAR")="","SIN CLASIFICAR",IFERROR(INDEX('CAT_TIPOS_OT'!$D$4:$D$8,MATCH($I291,'CAT_TIPOS_OT'!$A$4:$A$8,0)),"SIN CLASIFICAR")))</f>
        <v/>
      </c>
      <c r="W291" s="5">
        <f>IF($F291="","",IFERROR(INDEX('CAT_CENTROS_COSTO'!$F$4:$F$13,MATCH($F291,'CAT_CENTROS_COSTO'!$A$4:$A$13,0)),"(sin catálogo)"))</f>
        <v/>
      </c>
      <c r="X291" s="5">
        <f>IF($F291="","",IFERROR(INDEX('CAT_CENTROS_COSTO'!$D$4:$D$13,MATCH($F291,'CAT_CENTROS_COSTO'!$A$4:$A$13,0)),"(sin catálogo)"))</f>
        <v/>
      </c>
      <c r="Y291" s="5">
        <f>IF($F291="","",IF((IFERROR(INDEX('CAT_CENTROS_COSTO'!$E$4:$E$13,MATCH($F291,'CAT_CENTROS_COSTO'!$A$4:$A$13,0)),""))&lt;&gt;"",IFERROR(INDEX('CAT_CENTROS_COSTO'!$E$4:$E$13,MATCH($F291,'CAT_CENTROS_COSTO'!$A$4:$A$13,0)),""),$X291))</f>
        <v/>
      </c>
      <c r="Z291" s="5">
        <f>IF($F291="","",IFERROR(INDEX('CAT_CENTROS_COSTO'!$G$4:$G$13,MATCH($F291,'CAT_CENTROS_COSTO'!$A$4:$A$13,0)),"(sin catálogo)"))</f>
        <v/>
      </c>
      <c r="AA291" s="5">
        <f>IF($G291="","",IFERROR(INDEX('CAT_PUESTOS'!$B$4:$B$8,MATCH($G291,'CAT_PUESTOS'!$A$4:$A$8,0)),"(sin catálogo)"))</f>
        <v/>
      </c>
      <c r="AB291" s="5">
        <f>IF($H291="","",IFERROR(INDEX('CAT_ACTIVIDADES'!$B$4:$B$11,MATCH($H291,'CAT_ACTIVIDADES'!$A$4:$A$11,0)),"(sin catálogo)"))</f>
        <v/>
      </c>
      <c r="AC291" s="20">
        <f>IF($J291="","",TODAY()-$J291)</f>
        <v/>
      </c>
      <c r="AD291" s="20">
        <f>IF($J291="","",IF($J291&lt;=TODAY(),COUNTIFS(cal_fechas,"&gt;="&amp;$J291,cal_fechas,"&lt;"&amp;TODAY(),cal_habil,"sí"),-COUNTIFS(cal_fechas,"&gt;="&amp;TODAY(),cal_fechas,"&lt;"&amp;$J291,cal_habil,"sí")))</f>
        <v/>
      </c>
      <c r="AE291" s="5">
        <f>IF($AD291="","",IF($AD291&lt;0,"FUTURO",IF($AD291&gt;p_dias_backlog_max,"BACKLOG","MES CORRIENTE")))</f>
        <v/>
      </c>
      <c r="AF291" s="5">
        <f>IF($AD291="",FALSE,AND($AD291&gt;p_dias_backlog_min,$AD291&lt;=p_dias_backlog_max))</f>
        <v/>
      </c>
      <c r="AG291" s="4" t="n"/>
      <c r="AH291" s="5">
        <f>IF($AG291="","",IF((IFERROR(INDEX('ASIGNACIONES'!$J$4:$J$451,MATCH($O291&amp;"|"&amp;$S291&amp;"|"&amp;$AG291,'ASIGNACIONES'!$N$4:$N$451,0)),""))=0,"",IFERROR(INDEX('ASIGNACIONES'!$J$4:$J$451,MATCH($O291&amp;"|"&amp;$S291&amp;"|"&amp;$AG291,'ASIGNACIONES'!$N$4:$N$451,0)),"")))</f>
        <v/>
      </c>
      <c r="AI291" s="25">
        <f>IF($AG291="","",SUMIFS('ORDENES'!$M$4:$M$1203,'ORDENES'!$AG$4:$AG$1203,$AG291,'ORDENES'!$O$4:$O$1203,$O291,'ORDENES'!$S$4:$S$1203,$S291))</f>
        <v/>
      </c>
      <c r="AJ291" s="25">
        <f>IF($AI291="","",p_factor_productividad*IFERROR(INDEX('ASIGNACIONES'!$M$4:$M$451,MATCH($O291&amp;"|"&amp;$S291&amp;"|"&amp;$AG291,'ASIGNACIONES'!$N$4:$N$451,0)),0)-$AI291)</f>
        <v/>
      </c>
      <c r="AK291" s="18">
        <f>IF($A291="","",IFERROR(INDEX('2_IMPORTAR_EJECUCION'!$F$9:$F$1208,MATCH($AT291,'2_IMPORTAR_EJECUCION'!$J$9:$J$1208,0)),0))</f>
        <v/>
      </c>
      <c r="AL291" s="18">
        <f>IF($A291="","",MAX(0,IFERROR(INDEX('2_IMPORTAR_EJECUCION'!$H$9:$H$1208,MATCH($AT291,'2_IMPORTAR_EJECUCION'!$J$9:$J$1208,0)),0)-$AK291))</f>
        <v/>
      </c>
      <c r="AM291" s="18">
        <f>IF($A291="","",$AK291+$AL291)</f>
        <v/>
      </c>
      <c r="AN291" s="5">
        <f>IF($A291="","",IF(OR((IFERROR(INDEX('CAT_ACTIVIDADES'!$D$4:$D$11,MATCH($H291,'CAT_ACTIVIDADES'!$A$4:$A$11,0)),""))=0,(IFERROR(INDEX('CAT_ACTIVIDADES'!$D$4:$D$11,MATCH($H291,'CAT_ACTIVIDADES'!$A$4:$A$11,0)),""))=""),"SIN CLASIFICAR",IFERROR(INDEX('CAT_ACTIVIDADES'!$D$4:$D$11,MATCH($H291,'CAT_ACTIVIDADES'!$A$4:$A$11,0)),"")))</f>
        <v/>
      </c>
      <c r="AO291" s="4" t="n"/>
      <c r="AP291" s="4" t="n"/>
      <c r="AQ291" s="4" t="n"/>
      <c r="AR291" s="5">
        <f>IF($AQ291="","",HYPERLINK(p_ruta_base_checklists&amp;$AQ291,"abrir"))</f>
        <v/>
      </c>
      <c r="AS291" s="4" t="n"/>
      <c r="AT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2" t="n"/>
      <c r="K292" s="5" t="n"/>
      <c r="L292" s="18" t="n"/>
      <c r="M292" s="5">
        <f>IF($A292="","",IFERROR(INDEX('AJUSTES'!$B$4:$B$303,MATCH($AT292,'AJUSTES'!$A$4:$A$303,0)),IF($K292="","",$K292)))</f>
        <v/>
      </c>
      <c r="N292" s="5">
        <f>IF($A292="","",IFERROR(INDEX('CAT_ESTADOS_ERP'!$B$4:$B$7,MATCH(IFERROR(INDEX('2_IMPORTAR_EJECUCION'!$C$9:$C$1208,MATCH($AT292,'2_IMPORTAR_EJECUCION'!$J$9:$J$1208,0)),""),'CAT_ESTADOS_ERP'!$A$4:$A$7,0)),"Pendiente"))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IF($J292="","",$P292&amp;"-"&amp;TEXT($Q292,"00"))</f>
        <v/>
      </c>
      <c r="S292" s="5">
        <f>IF($J292="","",INDEX(lista_dias,WEEKDAY($J292,2)))</f>
        <v/>
      </c>
      <c r="T292" s="5">
        <f>IF($J292="","",IFERROR(INDEX('CALENDARIO'!$C$15:$C$214,MATCH(TEXT($J292,"yyyy-mm-dd")&amp;"|"&amp;$X292&amp;"|"&amp;$Y292,'CALENDARIO'!$G$15:$G$214,0)),IFERROR(INDEX('CALENDARIO'!$C$15:$C$214,MATCH(TEXT($J292,"yyyy-mm-dd")&amp;"|"&amp;$X292&amp;"|",'CALENDARIO'!$G$15:$G$214,0)),IFERROR(INDEX('CALENDARIO'!$C$15:$C$214,MATCH(TEXT($J292,"yyyy-mm-dd")&amp;"||",'CALENDARIO'!$G$15:$G$214,0)),INDEX(patronHabil,WEEKDAY($J292,2))))))</f>
        <v/>
      </c>
      <c r="U292" s="5">
        <f>IF($I292="","",IFERROR(INDEX('CAT_TIPOS_OT'!$C$4:$C$8,MATCH($I292,'CAT_TIPOS_OT'!$A$4:$A$8,0)),"sin_clasificar"))</f>
        <v/>
      </c>
      <c r="V292" s="5">
        <f>IF($I292="","",IF(IFERROR(INDEX('CAT_TIPOS_OT'!$D$4:$D$8,MATCH($I292,'CAT_TIPOS_OT'!$A$4:$A$8,0)),"SIN CLASIFICAR")="","SIN CLASIFICAR",IFERROR(INDEX('CAT_TIPOS_OT'!$D$4:$D$8,MATCH($I292,'CAT_TIPOS_OT'!$A$4:$A$8,0)),"SIN CLASIFICAR")))</f>
        <v/>
      </c>
      <c r="W292" s="5">
        <f>IF($F292="","",IFERROR(INDEX('CAT_CENTROS_COSTO'!$F$4:$F$13,MATCH($F292,'CAT_CENTROS_COSTO'!$A$4:$A$13,0)),"(sin catálogo)"))</f>
        <v/>
      </c>
      <c r="X292" s="5">
        <f>IF($F292="","",IFERROR(INDEX('CAT_CENTROS_COSTO'!$D$4:$D$13,MATCH($F292,'CAT_CENTROS_COSTO'!$A$4:$A$13,0)),"(sin catálogo)"))</f>
        <v/>
      </c>
      <c r="Y292" s="5">
        <f>IF($F292="","",IF((IFERROR(INDEX('CAT_CENTROS_COSTO'!$E$4:$E$13,MATCH($F292,'CAT_CENTROS_COSTO'!$A$4:$A$13,0)),""))&lt;&gt;"",IFERROR(INDEX('CAT_CENTROS_COSTO'!$E$4:$E$13,MATCH($F292,'CAT_CENTROS_COSTO'!$A$4:$A$13,0)),""),$X292))</f>
        <v/>
      </c>
      <c r="Z292" s="5">
        <f>IF($F292="","",IFERROR(INDEX('CAT_CENTROS_COSTO'!$G$4:$G$13,MATCH($F292,'CAT_CENTROS_COSTO'!$A$4:$A$13,0)),"(sin catálogo)"))</f>
        <v/>
      </c>
      <c r="AA292" s="5">
        <f>IF($G292="","",IFERROR(INDEX('CAT_PUESTOS'!$B$4:$B$8,MATCH($G292,'CAT_PUESTOS'!$A$4:$A$8,0)),"(sin catálogo)"))</f>
        <v/>
      </c>
      <c r="AB292" s="5">
        <f>IF($H292="","",IFERROR(INDEX('CAT_ACTIVIDADES'!$B$4:$B$11,MATCH($H292,'CAT_ACTIVIDADES'!$A$4:$A$11,0)),"(sin catálogo)"))</f>
        <v/>
      </c>
      <c r="AC292" s="20">
        <f>IF($J292="","",TODAY()-$J292)</f>
        <v/>
      </c>
      <c r="AD292" s="20">
        <f>IF($J292="","",IF($J292&lt;=TODAY(),COUNTIFS(cal_fechas,"&gt;="&amp;$J292,cal_fechas,"&lt;"&amp;TODAY(),cal_habil,"sí"),-COUNTIFS(cal_fechas,"&gt;="&amp;TODAY(),cal_fechas,"&lt;"&amp;$J292,cal_habil,"sí")))</f>
        <v/>
      </c>
      <c r="AE292" s="5">
        <f>IF($AD292="","",IF($AD292&lt;0,"FUTURO",IF($AD292&gt;p_dias_backlog_max,"BACKLOG","MES CORRIENTE")))</f>
        <v/>
      </c>
      <c r="AF292" s="5">
        <f>IF($AD292="",FALSE,AND($AD292&gt;p_dias_backlog_min,$AD292&lt;=p_dias_backlog_max))</f>
        <v/>
      </c>
      <c r="AG292" s="4" t="n"/>
      <c r="AH292" s="5">
        <f>IF($AG292="","",IF((IFERROR(INDEX('ASIGNACIONES'!$J$4:$J$451,MATCH($O292&amp;"|"&amp;$S292&amp;"|"&amp;$AG292,'ASIGNACIONES'!$N$4:$N$451,0)),""))=0,"",IFERROR(INDEX('ASIGNACIONES'!$J$4:$J$451,MATCH($O292&amp;"|"&amp;$S292&amp;"|"&amp;$AG292,'ASIGNACIONES'!$N$4:$N$451,0)),"")))</f>
        <v/>
      </c>
      <c r="AI292" s="25">
        <f>IF($AG292="","",SUMIFS('ORDENES'!$M$4:$M$1203,'ORDENES'!$AG$4:$AG$1203,$AG292,'ORDENES'!$O$4:$O$1203,$O292,'ORDENES'!$S$4:$S$1203,$S292))</f>
        <v/>
      </c>
      <c r="AJ292" s="25">
        <f>IF($AI292="","",p_factor_productividad*IFERROR(INDEX('ASIGNACIONES'!$M$4:$M$451,MATCH($O292&amp;"|"&amp;$S292&amp;"|"&amp;$AG292,'ASIGNACIONES'!$N$4:$N$451,0)),0)-$AI292)</f>
        <v/>
      </c>
      <c r="AK292" s="18">
        <f>IF($A292="","",IFERROR(INDEX('2_IMPORTAR_EJECUCION'!$F$9:$F$1208,MATCH($AT292,'2_IMPORTAR_EJECUCION'!$J$9:$J$1208,0)),0))</f>
        <v/>
      </c>
      <c r="AL292" s="18">
        <f>IF($A292="","",MAX(0,IFERROR(INDEX('2_IMPORTAR_EJECUCION'!$H$9:$H$1208,MATCH($AT292,'2_IMPORTAR_EJECUCION'!$J$9:$J$1208,0)),0)-$AK292))</f>
        <v/>
      </c>
      <c r="AM292" s="18">
        <f>IF($A292="","",$AK292+$AL292)</f>
        <v/>
      </c>
      <c r="AN292" s="5">
        <f>IF($A292="","",IF(OR((IFERROR(INDEX('CAT_ACTIVIDADES'!$D$4:$D$11,MATCH($H292,'CAT_ACTIVIDADES'!$A$4:$A$11,0)),""))=0,(IFERROR(INDEX('CAT_ACTIVIDADES'!$D$4:$D$11,MATCH($H292,'CAT_ACTIVIDADES'!$A$4:$A$11,0)),""))=""),"SIN CLASIFICAR",IFERROR(INDEX('CAT_ACTIVIDADES'!$D$4:$D$11,MATCH($H292,'CAT_ACTIVIDADES'!$A$4:$A$11,0)),"")))</f>
        <v/>
      </c>
      <c r="AO292" s="4" t="n"/>
      <c r="AP292" s="4" t="n"/>
      <c r="AQ292" s="4" t="n"/>
      <c r="AR292" s="5">
        <f>IF($AQ292="","",HYPERLINK(p_ruta_base_checklists&amp;$AQ292,"abrir"))</f>
        <v/>
      </c>
      <c r="AS292" s="4" t="n"/>
      <c r="AT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2" t="n"/>
      <c r="K293" s="5" t="n"/>
      <c r="L293" s="18" t="n"/>
      <c r="M293" s="5">
        <f>IF($A293="","",IFERROR(INDEX('AJUSTES'!$B$4:$B$303,MATCH($AT293,'AJUSTES'!$A$4:$A$303,0)),IF($K293="","",$K293)))</f>
        <v/>
      </c>
      <c r="N293" s="5">
        <f>IF($A293="","",IFERROR(INDEX('CAT_ESTADOS_ERP'!$B$4:$B$7,MATCH(IFERROR(INDEX('2_IMPORTAR_EJECUCION'!$C$9:$C$1208,MATCH($AT293,'2_IMPORTAR_EJECUCION'!$J$9:$J$1208,0)),""),'CAT_ESTADOS_ERP'!$A$4:$A$7,0)),"Pendiente"))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IF($J293="","",$P293&amp;"-"&amp;TEXT($Q293,"00"))</f>
        <v/>
      </c>
      <c r="S293" s="5">
        <f>IF($J293="","",INDEX(lista_dias,WEEKDAY($J293,2)))</f>
        <v/>
      </c>
      <c r="T293" s="5">
        <f>IF($J293="","",IFERROR(INDEX('CALENDARIO'!$C$15:$C$214,MATCH(TEXT($J293,"yyyy-mm-dd")&amp;"|"&amp;$X293&amp;"|"&amp;$Y293,'CALENDARIO'!$G$15:$G$214,0)),IFERROR(INDEX('CALENDARIO'!$C$15:$C$214,MATCH(TEXT($J293,"yyyy-mm-dd")&amp;"|"&amp;$X293&amp;"|",'CALENDARIO'!$G$15:$G$214,0)),IFERROR(INDEX('CALENDARIO'!$C$15:$C$214,MATCH(TEXT($J293,"yyyy-mm-dd")&amp;"||",'CALENDARIO'!$G$15:$G$214,0)),INDEX(patronHabil,WEEKDAY($J293,2))))))</f>
        <v/>
      </c>
      <c r="U293" s="5">
        <f>IF($I293="","",IFERROR(INDEX('CAT_TIPOS_OT'!$C$4:$C$8,MATCH($I293,'CAT_TIPOS_OT'!$A$4:$A$8,0)),"sin_clasificar"))</f>
        <v/>
      </c>
      <c r="V293" s="5">
        <f>IF($I293="","",IF(IFERROR(INDEX('CAT_TIPOS_OT'!$D$4:$D$8,MATCH($I293,'CAT_TIPOS_OT'!$A$4:$A$8,0)),"SIN CLASIFICAR")="","SIN CLASIFICAR",IFERROR(INDEX('CAT_TIPOS_OT'!$D$4:$D$8,MATCH($I293,'CAT_TIPOS_OT'!$A$4:$A$8,0)),"SIN CLASIFICAR")))</f>
        <v/>
      </c>
      <c r="W293" s="5">
        <f>IF($F293="","",IFERROR(INDEX('CAT_CENTROS_COSTO'!$F$4:$F$13,MATCH($F293,'CAT_CENTROS_COSTO'!$A$4:$A$13,0)),"(sin catálogo)"))</f>
        <v/>
      </c>
      <c r="X293" s="5">
        <f>IF($F293="","",IFERROR(INDEX('CAT_CENTROS_COSTO'!$D$4:$D$13,MATCH($F293,'CAT_CENTROS_COSTO'!$A$4:$A$13,0)),"(sin catálogo)"))</f>
        <v/>
      </c>
      <c r="Y293" s="5">
        <f>IF($F293="","",IF((IFERROR(INDEX('CAT_CENTROS_COSTO'!$E$4:$E$13,MATCH($F293,'CAT_CENTROS_COSTO'!$A$4:$A$13,0)),""))&lt;&gt;"",IFERROR(INDEX('CAT_CENTROS_COSTO'!$E$4:$E$13,MATCH($F293,'CAT_CENTROS_COSTO'!$A$4:$A$13,0)),""),$X293))</f>
        <v/>
      </c>
      <c r="Z293" s="5">
        <f>IF($F293="","",IFERROR(INDEX('CAT_CENTROS_COSTO'!$G$4:$G$13,MATCH($F293,'CAT_CENTROS_COSTO'!$A$4:$A$13,0)),"(sin catálogo)"))</f>
        <v/>
      </c>
      <c r="AA293" s="5">
        <f>IF($G293="","",IFERROR(INDEX('CAT_PUESTOS'!$B$4:$B$8,MATCH($G293,'CAT_PUESTOS'!$A$4:$A$8,0)),"(sin catálogo)"))</f>
        <v/>
      </c>
      <c r="AB293" s="5">
        <f>IF($H293="","",IFERROR(INDEX('CAT_ACTIVIDADES'!$B$4:$B$11,MATCH($H293,'CAT_ACTIVIDADES'!$A$4:$A$11,0)),"(sin catálogo)"))</f>
        <v/>
      </c>
      <c r="AC293" s="20">
        <f>IF($J293="","",TODAY()-$J293)</f>
        <v/>
      </c>
      <c r="AD293" s="20">
        <f>IF($J293="","",IF($J293&lt;=TODAY(),COUNTIFS(cal_fechas,"&gt;="&amp;$J293,cal_fechas,"&lt;"&amp;TODAY(),cal_habil,"sí"),-COUNTIFS(cal_fechas,"&gt;="&amp;TODAY(),cal_fechas,"&lt;"&amp;$J293,cal_habil,"sí")))</f>
        <v/>
      </c>
      <c r="AE293" s="5">
        <f>IF($AD293="","",IF($AD293&lt;0,"FUTURO",IF($AD293&gt;p_dias_backlog_max,"BACKLOG","MES CORRIENTE")))</f>
        <v/>
      </c>
      <c r="AF293" s="5">
        <f>IF($AD293="",FALSE,AND($AD293&gt;p_dias_backlog_min,$AD293&lt;=p_dias_backlog_max))</f>
        <v/>
      </c>
      <c r="AG293" s="4" t="n"/>
      <c r="AH293" s="5">
        <f>IF($AG293="","",IF((IFERROR(INDEX('ASIGNACIONES'!$J$4:$J$451,MATCH($O293&amp;"|"&amp;$S293&amp;"|"&amp;$AG293,'ASIGNACIONES'!$N$4:$N$451,0)),""))=0,"",IFERROR(INDEX('ASIGNACIONES'!$J$4:$J$451,MATCH($O293&amp;"|"&amp;$S293&amp;"|"&amp;$AG293,'ASIGNACIONES'!$N$4:$N$451,0)),"")))</f>
        <v/>
      </c>
      <c r="AI293" s="25">
        <f>IF($AG293="","",SUMIFS('ORDENES'!$M$4:$M$1203,'ORDENES'!$AG$4:$AG$1203,$AG293,'ORDENES'!$O$4:$O$1203,$O293,'ORDENES'!$S$4:$S$1203,$S293))</f>
        <v/>
      </c>
      <c r="AJ293" s="25">
        <f>IF($AI293="","",p_factor_productividad*IFERROR(INDEX('ASIGNACIONES'!$M$4:$M$451,MATCH($O293&amp;"|"&amp;$S293&amp;"|"&amp;$AG293,'ASIGNACIONES'!$N$4:$N$451,0)),0)-$AI293)</f>
        <v/>
      </c>
      <c r="AK293" s="18">
        <f>IF($A293="","",IFERROR(INDEX('2_IMPORTAR_EJECUCION'!$F$9:$F$1208,MATCH($AT293,'2_IMPORTAR_EJECUCION'!$J$9:$J$1208,0)),0))</f>
        <v/>
      </c>
      <c r="AL293" s="18">
        <f>IF($A293="","",MAX(0,IFERROR(INDEX('2_IMPORTAR_EJECUCION'!$H$9:$H$1208,MATCH($AT293,'2_IMPORTAR_EJECUCION'!$J$9:$J$1208,0)),0)-$AK293))</f>
        <v/>
      </c>
      <c r="AM293" s="18">
        <f>IF($A293="","",$AK293+$AL293)</f>
        <v/>
      </c>
      <c r="AN293" s="5">
        <f>IF($A293="","",IF(OR((IFERROR(INDEX('CAT_ACTIVIDADES'!$D$4:$D$11,MATCH($H293,'CAT_ACTIVIDADES'!$A$4:$A$11,0)),""))=0,(IFERROR(INDEX('CAT_ACTIVIDADES'!$D$4:$D$11,MATCH($H293,'CAT_ACTIVIDADES'!$A$4:$A$11,0)),""))=""),"SIN CLASIFICAR",IFERROR(INDEX('CAT_ACTIVIDADES'!$D$4:$D$11,MATCH($H293,'CAT_ACTIVIDADES'!$A$4:$A$11,0)),"")))</f>
        <v/>
      </c>
      <c r="AO293" s="4" t="n"/>
      <c r="AP293" s="4" t="n"/>
      <c r="AQ293" s="4" t="n"/>
      <c r="AR293" s="5">
        <f>IF($AQ293="","",HYPERLINK(p_ruta_base_checklists&amp;$AQ293,"abrir"))</f>
        <v/>
      </c>
      <c r="AS293" s="4" t="n"/>
      <c r="AT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2" t="n"/>
      <c r="K294" s="5" t="n"/>
      <c r="L294" s="18" t="n"/>
      <c r="M294" s="5">
        <f>IF($A294="","",IFERROR(INDEX('AJUSTES'!$B$4:$B$303,MATCH($AT294,'AJUSTES'!$A$4:$A$303,0)),IF($K294="","",$K294)))</f>
        <v/>
      </c>
      <c r="N294" s="5">
        <f>IF($A294="","",IFERROR(INDEX('CAT_ESTADOS_ERP'!$B$4:$B$7,MATCH(IFERROR(INDEX('2_IMPORTAR_EJECUCION'!$C$9:$C$1208,MATCH($AT294,'2_IMPORTAR_EJECUCION'!$J$9:$J$1208,0)),""),'CAT_ESTADOS_ERP'!$A$4:$A$7,0)),"Pendiente"))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IF($J294="","",$P294&amp;"-"&amp;TEXT($Q294,"00"))</f>
        <v/>
      </c>
      <c r="S294" s="5">
        <f>IF($J294="","",INDEX(lista_dias,WEEKDAY($J294,2)))</f>
        <v/>
      </c>
      <c r="T294" s="5">
        <f>IF($J294="","",IFERROR(INDEX('CALENDARIO'!$C$15:$C$214,MATCH(TEXT($J294,"yyyy-mm-dd")&amp;"|"&amp;$X294&amp;"|"&amp;$Y294,'CALENDARIO'!$G$15:$G$214,0)),IFERROR(INDEX('CALENDARIO'!$C$15:$C$214,MATCH(TEXT($J294,"yyyy-mm-dd")&amp;"|"&amp;$X294&amp;"|",'CALENDARIO'!$G$15:$G$214,0)),IFERROR(INDEX('CALENDARIO'!$C$15:$C$214,MATCH(TEXT($J294,"yyyy-mm-dd")&amp;"||",'CALENDARIO'!$G$15:$G$214,0)),INDEX(patronHabil,WEEKDAY($J294,2))))))</f>
        <v/>
      </c>
      <c r="U294" s="5">
        <f>IF($I294="","",IFERROR(INDEX('CAT_TIPOS_OT'!$C$4:$C$8,MATCH($I294,'CAT_TIPOS_OT'!$A$4:$A$8,0)),"sin_clasificar"))</f>
        <v/>
      </c>
      <c r="V294" s="5">
        <f>IF($I294="","",IF(IFERROR(INDEX('CAT_TIPOS_OT'!$D$4:$D$8,MATCH($I294,'CAT_TIPOS_OT'!$A$4:$A$8,0)),"SIN CLASIFICAR")="","SIN CLASIFICAR",IFERROR(INDEX('CAT_TIPOS_OT'!$D$4:$D$8,MATCH($I294,'CAT_TIPOS_OT'!$A$4:$A$8,0)),"SIN CLASIFICAR")))</f>
        <v/>
      </c>
      <c r="W294" s="5">
        <f>IF($F294="","",IFERROR(INDEX('CAT_CENTROS_COSTO'!$F$4:$F$13,MATCH($F294,'CAT_CENTROS_COSTO'!$A$4:$A$13,0)),"(sin catálogo)"))</f>
        <v/>
      </c>
      <c r="X294" s="5">
        <f>IF($F294="","",IFERROR(INDEX('CAT_CENTROS_COSTO'!$D$4:$D$13,MATCH($F294,'CAT_CENTROS_COSTO'!$A$4:$A$13,0)),"(sin catálogo)"))</f>
        <v/>
      </c>
      <c r="Y294" s="5">
        <f>IF($F294="","",IF((IFERROR(INDEX('CAT_CENTROS_COSTO'!$E$4:$E$13,MATCH($F294,'CAT_CENTROS_COSTO'!$A$4:$A$13,0)),""))&lt;&gt;"",IFERROR(INDEX('CAT_CENTROS_COSTO'!$E$4:$E$13,MATCH($F294,'CAT_CENTROS_COSTO'!$A$4:$A$13,0)),""),$X294))</f>
        <v/>
      </c>
      <c r="Z294" s="5">
        <f>IF($F294="","",IFERROR(INDEX('CAT_CENTROS_COSTO'!$G$4:$G$13,MATCH($F294,'CAT_CENTROS_COSTO'!$A$4:$A$13,0)),"(sin catálogo)"))</f>
        <v/>
      </c>
      <c r="AA294" s="5">
        <f>IF($G294="","",IFERROR(INDEX('CAT_PUESTOS'!$B$4:$B$8,MATCH($G294,'CAT_PUESTOS'!$A$4:$A$8,0)),"(sin catálogo)"))</f>
        <v/>
      </c>
      <c r="AB294" s="5">
        <f>IF($H294="","",IFERROR(INDEX('CAT_ACTIVIDADES'!$B$4:$B$11,MATCH($H294,'CAT_ACTIVIDADES'!$A$4:$A$11,0)),"(sin catálogo)"))</f>
        <v/>
      </c>
      <c r="AC294" s="20">
        <f>IF($J294="","",TODAY()-$J294)</f>
        <v/>
      </c>
      <c r="AD294" s="20">
        <f>IF($J294="","",IF($J294&lt;=TODAY(),COUNTIFS(cal_fechas,"&gt;="&amp;$J294,cal_fechas,"&lt;"&amp;TODAY(),cal_habil,"sí"),-COUNTIFS(cal_fechas,"&gt;="&amp;TODAY(),cal_fechas,"&lt;"&amp;$J294,cal_habil,"sí")))</f>
        <v/>
      </c>
      <c r="AE294" s="5">
        <f>IF($AD294="","",IF($AD294&lt;0,"FUTURO",IF($AD294&gt;p_dias_backlog_max,"BACKLOG","MES CORRIENTE")))</f>
        <v/>
      </c>
      <c r="AF294" s="5">
        <f>IF($AD294="",FALSE,AND($AD294&gt;p_dias_backlog_min,$AD294&lt;=p_dias_backlog_max))</f>
        <v/>
      </c>
      <c r="AG294" s="4" t="n"/>
      <c r="AH294" s="5">
        <f>IF($AG294="","",IF((IFERROR(INDEX('ASIGNACIONES'!$J$4:$J$451,MATCH($O294&amp;"|"&amp;$S294&amp;"|"&amp;$AG294,'ASIGNACIONES'!$N$4:$N$451,0)),""))=0,"",IFERROR(INDEX('ASIGNACIONES'!$J$4:$J$451,MATCH($O294&amp;"|"&amp;$S294&amp;"|"&amp;$AG294,'ASIGNACIONES'!$N$4:$N$451,0)),"")))</f>
        <v/>
      </c>
      <c r="AI294" s="25">
        <f>IF($AG294="","",SUMIFS('ORDENES'!$M$4:$M$1203,'ORDENES'!$AG$4:$AG$1203,$AG294,'ORDENES'!$O$4:$O$1203,$O294,'ORDENES'!$S$4:$S$1203,$S294))</f>
        <v/>
      </c>
      <c r="AJ294" s="25">
        <f>IF($AI294="","",p_factor_productividad*IFERROR(INDEX('ASIGNACIONES'!$M$4:$M$451,MATCH($O294&amp;"|"&amp;$S294&amp;"|"&amp;$AG294,'ASIGNACIONES'!$N$4:$N$451,0)),0)-$AI294)</f>
        <v/>
      </c>
      <c r="AK294" s="18">
        <f>IF($A294="","",IFERROR(INDEX('2_IMPORTAR_EJECUCION'!$F$9:$F$1208,MATCH($AT294,'2_IMPORTAR_EJECUCION'!$J$9:$J$1208,0)),0))</f>
        <v/>
      </c>
      <c r="AL294" s="18">
        <f>IF($A294="","",MAX(0,IFERROR(INDEX('2_IMPORTAR_EJECUCION'!$H$9:$H$1208,MATCH($AT294,'2_IMPORTAR_EJECUCION'!$J$9:$J$1208,0)),0)-$AK294))</f>
        <v/>
      </c>
      <c r="AM294" s="18">
        <f>IF($A294="","",$AK294+$AL294)</f>
        <v/>
      </c>
      <c r="AN294" s="5">
        <f>IF($A294="","",IF(OR((IFERROR(INDEX('CAT_ACTIVIDADES'!$D$4:$D$11,MATCH($H294,'CAT_ACTIVIDADES'!$A$4:$A$11,0)),""))=0,(IFERROR(INDEX('CAT_ACTIVIDADES'!$D$4:$D$11,MATCH($H294,'CAT_ACTIVIDADES'!$A$4:$A$11,0)),""))=""),"SIN CLASIFICAR",IFERROR(INDEX('CAT_ACTIVIDADES'!$D$4:$D$11,MATCH($H294,'CAT_ACTIVIDADES'!$A$4:$A$11,0)),"")))</f>
        <v/>
      </c>
      <c r="AO294" s="4" t="n"/>
      <c r="AP294" s="4" t="n"/>
      <c r="AQ294" s="4" t="n"/>
      <c r="AR294" s="5">
        <f>IF($AQ294="","",HYPERLINK(p_ruta_base_checklists&amp;$AQ294,"abrir"))</f>
        <v/>
      </c>
      <c r="AS294" s="4" t="n"/>
      <c r="AT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2" t="n"/>
      <c r="K295" s="5" t="n"/>
      <c r="L295" s="18" t="n"/>
      <c r="M295" s="5">
        <f>IF($A295="","",IFERROR(INDEX('AJUSTES'!$B$4:$B$303,MATCH($AT295,'AJUSTES'!$A$4:$A$303,0)),IF($K295="","",$K295)))</f>
        <v/>
      </c>
      <c r="N295" s="5">
        <f>IF($A295="","",IFERROR(INDEX('CAT_ESTADOS_ERP'!$B$4:$B$7,MATCH(IFERROR(INDEX('2_IMPORTAR_EJECUCION'!$C$9:$C$1208,MATCH($AT295,'2_IMPORTAR_EJECUCION'!$J$9:$J$1208,0)),""),'CAT_ESTADOS_ERP'!$A$4:$A$7,0)),"Pendiente"))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IF($J295="","",$P295&amp;"-"&amp;TEXT($Q295,"00"))</f>
        <v/>
      </c>
      <c r="S295" s="5">
        <f>IF($J295="","",INDEX(lista_dias,WEEKDAY($J295,2)))</f>
        <v/>
      </c>
      <c r="T295" s="5">
        <f>IF($J295="","",IFERROR(INDEX('CALENDARIO'!$C$15:$C$214,MATCH(TEXT($J295,"yyyy-mm-dd")&amp;"|"&amp;$X295&amp;"|"&amp;$Y295,'CALENDARIO'!$G$15:$G$214,0)),IFERROR(INDEX('CALENDARIO'!$C$15:$C$214,MATCH(TEXT($J295,"yyyy-mm-dd")&amp;"|"&amp;$X295&amp;"|",'CALENDARIO'!$G$15:$G$214,0)),IFERROR(INDEX('CALENDARIO'!$C$15:$C$214,MATCH(TEXT($J295,"yyyy-mm-dd")&amp;"||",'CALENDARIO'!$G$15:$G$214,0)),INDEX(patronHabil,WEEKDAY($J295,2))))))</f>
        <v/>
      </c>
      <c r="U295" s="5">
        <f>IF($I295="","",IFERROR(INDEX('CAT_TIPOS_OT'!$C$4:$C$8,MATCH($I295,'CAT_TIPOS_OT'!$A$4:$A$8,0)),"sin_clasificar"))</f>
        <v/>
      </c>
      <c r="V295" s="5">
        <f>IF($I295="","",IF(IFERROR(INDEX('CAT_TIPOS_OT'!$D$4:$D$8,MATCH($I295,'CAT_TIPOS_OT'!$A$4:$A$8,0)),"SIN CLASIFICAR")="","SIN CLASIFICAR",IFERROR(INDEX('CAT_TIPOS_OT'!$D$4:$D$8,MATCH($I295,'CAT_TIPOS_OT'!$A$4:$A$8,0)),"SIN CLASIFICAR")))</f>
        <v/>
      </c>
      <c r="W295" s="5">
        <f>IF($F295="","",IFERROR(INDEX('CAT_CENTROS_COSTO'!$F$4:$F$13,MATCH($F295,'CAT_CENTROS_COSTO'!$A$4:$A$13,0)),"(sin catálogo)"))</f>
        <v/>
      </c>
      <c r="X295" s="5">
        <f>IF($F295="","",IFERROR(INDEX('CAT_CENTROS_COSTO'!$D$4:$D$13,MATCH($F295,'CAT_CENTROS_COSTO'!$A$4:$A$13,0)),"(sin catálogo)"))</f>
        <v/>
      </c>
      <c r="Y295" s="5">
        <f>IF($F295="","",IF((IFERROR(INDEX('CAT_CENTROS_COSTO'!$E$4:$E$13,MATCH($F295,'CAT_CENTROS_COSTO'!$A$4:$A$13,0)),""))&lt;&gt;"",IFERROR(INDEX('CAT_CENTROS_COSTO'!$E$4:$E$13,MATCH($F295,'CAT_CENTROS_COSTO'!$A$4:$A$13,0)),""),$X295))</f>
        <v/>
      </c>
      <c r="Z295" s="5">
        <f>IF($F295="","",IFERROR(INDEX('CAT_CENTROS_COSTO'!$G$4:$G$13,MATCH($F295,'CAT_CENTROS_COSTO'!$A$4:$A$13,0)),"(sin catálogo)"))</f>
        <v/>
      </c>
      <c r="AA295" s="5">
        <f>IF($G295="","",IFERROR(INDEX('CAT_PUESTOS'!$B$4:$B$8,MATCH($G295,'CAT_PUESTOS'!$A$4:$A$8,0)),"(sin catálogo)"))</f>
        <v/>
      </c>
      <c r="AB295" s="5">
        <f>IF($H295="","",IFERROR(INDEX('CAT_ACTIVIDADES'!$B$4:$B$11,MATCH($H295,'CAT_ACTIVIDADES'!$A$4:$A$11,0)),"(sin catálogo)"))</f>
        <v/>
      </c>
      <c r="AC295" s="20">
        <f>IF($J295="","",TODAY()-$J295)</f>
        <v/>
      </c>
      <c r="AD295" s="20">
        <f>IF($J295="","",IF($J295&lt;=TODAY(),COUNTIFS(cal_fechas,"&gt;="&amp;$J295,cal_fechas,"&lt;"&amp;TODAY(),cal_habil,"sí"),-COUNTIFS(cal_fechas,"&gt;="&amp;TODAY(),cal_fechas,"&lt;"&amp;$J295,cal_habil,"sí")))</f>
        <v/>
      </c>
      <c r="AE295" s="5">
        <f>IF($AD295="","",IF($AD295&lt;0,"FUTURO",IF($AD295&gt;p_dias_backlog_max,"BACKLOG","MES CORRIENTE")))</f>
        <v/>
      </c>
      <c r="AF295" s="5">
        <f>IF($AD295="",FALSE,AND($AD295&gt;p_dias_backlog_min,$AD295&lt;=p_dias_backlog_max))</f>
        <v/>
      </c>
      <c r="AG295" s="4" t="n"/>
      <c r="AH295" s="5">
        <f>IF($AG295="","",IF((IFERROR(INDEX('ASIGNACIONES'!$J$4:$J$451,MATCH($O295&amp;"|"&amp;$S295&amp;"|"&amp;$AG295,'ASIGNACIONES'!$N$4:$N$451,0)),""))=0,"",IFERROR(INDEX('ASIGNACIONES'!$J$4:$J$451,MATCH($O295&amp;"|"&amp;$S295&amp;"|"&amp;$AG295,'ASIGNACIONES'!$N$4:$N$451,0)),"")))</f>
        <v/>
      </c>
      <c r="AI295" s="25">
        <f>IF($AG295="","",SUMIFS('ORDENES'!$M$4:$M$1203,'ORDENES'!$AG$4:$AG$1203,$AG295,'ORDENES'!$O$4:$O$1203,$O295,'ORDENES'!$S$4:$S$1203,$S295))</f>
        <v/>
      </c>
      <c r="AJ295" s="25">
        <f>IF($AI295="","",p_factor_productividad*IFERROR(INDEX('ASIGNACIONES'!$M$4:$M$451,MATCH($O295&amp;"|"&amp;$S295&amp;"|"&amp;$AG295,'ASIGNACIONES'!$N$4:$N$451,0)),0)-$AI295)</f>
        <v/>
      </c>
      <c r="AK295" s="18">
        <f>IF($A295="","",IFERROR(INDEX('2_IMPORTAR_EJECUCION'!$F$9:$F$1208,MATCH($AT295,'2_IMPORTAR_EJECUCION'!$J$9:$J$1208,0)),0))</f>
        <v/>
      </c>
      <c r="AL295" s="18">
        <f>IF($A295="","",MAX(0,IFERROR(INDEX('2_IMPORTAR_EJECUCION'!$H$9:$H$1208,MATCH($AT295,'2_IMPORTAR_EJECUCION'!$J$9:$J$1208,0)),0)-$AK295))</f>
        <v/>
      </c>
      <c r="AM295" s="18">
        <f>IF($A295="","",$AK295+$AL295)</f>
        <v/>
      </c>
      <c r="AN295" s="5">
        <f>IF($A295="","",IF(OR((IFERROR(INDEX('CAT_ACTIVIDADES'!$D$4:$D$11,MATCH($H295,'CAT_ACTIVIDADES'!$A$4:$A$11,0)),""))=0,(IFERROR(INDEX('CAT_ACTIVIDADES'!$D$4:$D$11,MATCH($H295,'CAT_ACTIVIDADES'!$A$4:$A$11,0)),""))=""),"SIN CLASIFICAR",IFERROR(INDEX('CAT_ACTIVIDADES'!$D$4:$D$11,MATCH($H295,'CAT_ACTIVIDADES'!$A$4:$A$11,0)),"")))</f>
        <v/>
      </c>
      <c r="AO295" s="4" t="n"/>
      <c r="AP295" s="4" t="n"/>
      <c r="AQ295" s="4" t="n"/>
      <c r="AR295" s="5">
        <f>IF($AQ295="","",HYPERLINK(p_ruta_base_checklists&amp;$AQ295,"abrir"))</f>
        <v/>
      </c>
      <c r="AS295" s="4" t="n"/>
      <c r="AT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2" t="n"/>
      <c r="K296" s="5" t="n"/>
      <c r="L296" s="18" t="n"/>
      <c r="M296" s="5">
        <f>IF($A296="","",IFERROR(INDEX('AJUSTES'!$B$4:$B$303,MATCH($AT296,'AJUSTES'!$A$4:$A$303,0)),IF($K296="","",$K296)))</f>
        <v/>
      </c>
      <c r="N296" s="5">
        <f>IF($A296="","",IFERROR(INDEX('CAT_ESTADOS_ERP'!$B$4:$B$7,MATCH(IFERROR(INDEX('2_IMPORTAR_EJECUCION'!$C$9:$C$1208,MATCH($AT296,'2_IMPORTAR_EJECUCION'!$J$9:$J$1208,0)),""),'CAT_ESTADOS_ERP'!$A$4:$A$7,0)),"Pendiente"))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IF($J296="","",$P296&amp;"-"&amp;TEXT($Q296,"00"))</f>
        <v/>
      </c>
      <c r="S296" s="5">
        <f>IF($J296="","",INDEX(lista_dias,WEEKDAY($J296,2)))</f>
        <v/>
      </c>
      <c r="T296" s="5">
        <f>IF($J296="","",IFERROR(INDEX('CALENDARIO'!$C$15:$C$214,MATCH(TEXT($J296,"yyyy-mm-dd")&amp;"|"&amp;$X296&amp;"|"&amp;$Y296,'CALENDARIO'!$G$15:$G$214,0)),IFERROR(INDEX('CALENDARIO'!$C$15:$C$214,MATCH(TEXT($J296,"yyyy-mm-dd")&amp;"|"&amp;$X296&amp;"|",'CALENDARIO'!$G$15:$G$214,0)),IFERROR(INDEX('CALENDARIO'!$C$15:$C$214,MATCH(TEXT($J296,"yyyy-mm-dd")&amp;"||",'CALENDARIO'!$G$15:$G$214,0)),INDEX(patronHabil,WEEKDAY($J296,2))))))</f>
        <v/>
      </c>
      <c r="U296" s="5">
        <f>IF($I296="","",IFERROR(INDEX('CAT_TIPOS_OT'!$C$4:$C$8,MATCH($I296,'CAT_TIPOS_OT'!$A$4:$A$8,0)),"sin_clasificar"))</f>
        <v/>
      </c>
      <c r="V296" s="5">
        <f>IF($I296="","",IF(IFERROR(INDEX('CAT_TIPOS_OT'!$D$4:$D$8,MATCH($I296,'CAT_TIPOS_OT'!$A$4:$A$8,0)),"SIN CLASIFICAR")="","SIN CLASIFICAR",IFERROR(INDEX('CAT_TIPOS_OT'!$D$4:$D$8,MATCH($I296,'CAT_TIPOS_OT'!$A$4:$A$8,0)),"SIN CLASIFICAR")))</f>
        <v/>
      </c>
      <c r="W296" s="5">
        <f>IF($F296="","",IFERROR(INDEX('CAT_CENTROS_COSTO'!$F$4:$F$13,MATCH($F296,'CAT_CENTROS_COSTO'!$A$4:$A$13,0)),"(sin catálogo)"))</f>
        <v/>
      </c>
      <c r="X296" s="5">
        <f>IF($F296="","",IFERROR(INDEX('CAT_CENTROS_COSTO'!$D$4:$D$13,MATCH($F296,'CAT_CENTROS_COSTO'!$A$4:$A$13,0)),"(sin catálogo)"))</f>
        <v/>
      </c>
      <c r="Y296" s="5">
        <f>IF($F296="","",IF((IFERROR(INDEX('CAT_CENTROS_COSTO'!$E$4:$E$13,MATCH($F296,'CAT_CENTROS_COSTO'!$A$4:$A$13,0)),""))&lt;&gt;"",IFERROR(INDEX('CAT_CENTROS_COSTO'!$E$4:$E$13,MATCH($F296,'CAT_CENTROS_COSTO'!$A$4:$A$13,0)),""),$X296))</f>
        <v/>
      </c>
      <c r="Z296" s="5">
        <f>IF($F296="","",IFERROR(INDEX('CAT_CENTROS_COSTO'!$G$4:$G$13,MATCH($F296,'CAT_CENTROS_COSTO'!$A$4:$A$13,0)),"(sin catálogo)"))</f>
        <v/>
      </c>
      <c r="AA296" s="5">
        <f>IF($G296="","",IFERROR(INDEX('CAT_PUESTOS'!$B$4:$B$8,MATCH($G296,'CAT_PUESTOS'!$A$4:$A$8,0)),"(sin catálogo)"))</f>
        <v/>
      </c>
      <c r="AB296" s="5">
        <f>IF($H296="","",IFERROR(INDEX('CAT_ACTIVIDADES'!$B$4:$B$11,MATCH($H296,'CAT_ACTIVIDADES'!$A$4:$A$11,0)),"(sin catálogo)"))</f>
        <v/>
      </c>
      <c r="AC296" s="20">
        <f>IF($J296="","",TODAY()-$J296)</f>
        <v/>
      </c>
      <c r="AD296" s="20">
        <f>IF($J296="","",IF($J296&lt;=TODAY(),COUNTIFS(cal_fechas,"&gt;="&amp;$J296,cal_fechas,"&lt;"&amp;TODAY(),cal_habil,"sí"),-COUNTIFS(cal_fechas,"&gt;="&amp;TODAY(),cal_fechas,"&lt;"&amp;$J296,cal_habil,"sí")))</f>
        <v/>
      </c>
      <c r="AE296" s="5">
        <f>IF($AD296="","",IF($AD296&lt;0,"FUTURO",IF($AD296&gt;p_dias_backlog_max,"BACKLOG","MES CORRIENTE")))</f>
        <v/>
      </c>
      <c r="AF296" s="5">
        <f>IF($AD296="",FALSE,AND($AD296&gt;p_dias_backlog_min,$AD296&lt;=p_dias_backlog_max))</f>
        <v/>
      </c>
      <c r="AG296" s="4" t="n"/>
      <c r="AH296" s="5">
        <f>IF($AG296="","",IF((IFERROR(INDEX('ASIGNACIONES'!$J$4:$J$451,MATCH($O296&amp;"|"&amp;$S296&amp;"|"&amp;$AG296,'ASIGNACIONES'!$N$4:$N$451,0)),""))=0,"",IFERROR(INDEX('ASIGNACIONES'!$J$4:$J$451,MATCH($O296&amp;"|"&amp;$S296&amp;"|"&amp;$AG296,'ASIGNACIONES'!$N$4:$N$451,0)),"")))</f>
        <v/>
      </c>
      <c r="AI296" s="25">
        <f>IF($AG296="","",SUMIFS('ORDENES'!$M$4:$M$1203,'ORDENES'!$AG$4:$AG$1203,$AG296,'ORDENES'!$O$4:$O$1203,$O296,'ORDENES'!$S$4:$S$1203,$S296))</f>
        <v/>
      </c>
      <c r="AJ296" s="25">
        <f>IF($AI296="","",p_factor_productividad*IFERROR(INDEX('ASIGNACIONES'!$M$4:$M$451,MATCH($O296&amp;"|"&amp;$S296&amp;"|"&amp;$AG296,'ASIGNACIONES'!$N$4:$N$451,0)),0)-$AI296)</f>
        <v/>
      </c>
      <c r="AK296" s="18">
        <f>IF($A296="","",IFERROR(INDEX('2_IMPORTAR_EJECUCION'!$F$9:$F$1208,MATCH($AT296,'2_IMPORTAR_EJECUCION'!$J$9:$J$1208,0)),0))</f>
        <v/>
      </c>
      <c r="AL296" s="18">
        <f>IF($A296="","",MAX(0,IFERROR(INDEX('2_IMPORTAR_EJECUCION'!$H$9:$H$1208,MATCH($AT296,'2_IMPORTAR_EJECUCION'!$J$9:$J$1208,0)),0)-$AK296))</f>
        <v/>
      </c>
      <c r="AM296" s="18">
        <f>IF($A296="","",$AK296+$AL296)</f>
        <v/>
      </c>
      <c r="AN296" s="5">
        <f>IF($A296="","",IF(OR((IFERROR(INDEX('CAT_ACTIVIDADES'!$D$4:$D$11,MATCH($H296,'CAT_ACTIVIDADES'!$A$4:$A$11,0)),""))=0,(IFERROR(INDEX('CAT_ACTIVIDADES'!$D$4:$D$11,MATCH($H296,'CAT_ACTIVIDADES'!$A$4:$A$11,0)),""))=""),"SIN CLASIFICAR",IFERROR(INDEX('CAT_ACTIVIDADES'!$D$4:$D$11,MATCH($H296,'CAT_ACTIVIDADES'!$A$4:$A$11,0)),"")))</f>
        <v/>
      </c>
      <c r="AO296" s="4" t="n"/>
      <c r="AP296" s="4" t="n"/>
      <c r="AQ296" s="4" t="n"/>
      <c r="AR296" s="5">
        <f>IF($AQ296="","",HYPERLINK(p_ruta_base_checklists&amp;$AQ296,"abrir"))</f>
        <v/>
      </c>
      <c r="AS296" s="4" t="n"/>
      <c r="AT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2" t="n"/>
      <c r="K297" s="5" t="n"/>
      <c r="L297" s="18" t="n"/>
      <c r="M297" s="5">
        <f>IF($A297="","",IFERROR(INDEX('AJUSTES'!$B$4:$B$303,MATCH($AT297,'AJUSTES'!$A$4:$A$303,0)),IF($K297="","",$K297)))</f>
        <v/>
      </c>
      <c r="N297" s="5">
        <f>IF($A297="","",IFERROR(INDEX('CAT_ESTADOS_ERP'!$B$4:$B$7,MATCH(IFERROR(INDEX('2_IMPORTAR_EJECUCION'!$C$9:$C$1208,MATCH($AT297,'2_IMPORTAR_EJECUCION'!$J$9:$J$1208,0)),""),'CAT_ESTADOS_ERP'!$A$4:$A$7,0)),"Pendiente"))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IF($J297="","",$P297&amp;"-"&amp;TEXT($Q297,"00"))</f>
        <v/>
      </c>
      <c r="S297" s="5">
        <f>IF($J297="","",INDEX(lista_dias,WEEKDAY($J297,2)))</f>
        <v/>
      </c>
      <c r="T297" s="5">
        <f>IF($J297="","",IFERROR(INDEX('CALENDARIO'!$C$15:$C$214,MATCH(TEXT($J297,"yyyy-mm-dd")&amp;"|"&amp;$X297&amp;"|"&amp;$Y297,'CALENDARIO'!$G$15:$G$214,0)),IFERROR(INDEX('CALENDARIO'!$C$15:$C$214,MATCH(TEXT($J297,"yyyy-mm-dd")&amp;"|"&amp;$X297&amp;"|",'CALENDARIO'!$G$15:$G$214,0)),IFERROR(INDEX('CALENDARIO'!$C$15:$C$214,MATCH(TEXT($J297,"yyyy-mm-dd")&amp;"||",'CALENDARIO'!$G$15:$G$214,0)),INDEX(patronHabil,WEEKDAY($J297,2))))))</f>
        <v/>
      </c>
      <c r="U297" s="5">
        <f>IF($I297="","",IFERROR(INDEX('CAT_TIPOS_OT'!$C$4:$C$8,MATCH($I297,'CAT_TIPOS_OT'!$A$4:$A$8,0)),"sin_clasificar"))</f>
        <v/>
      </c>
      <c r="V297" s="5">
        <f>IF($I297="","",IF(IFERROR(INDEX('CAT_TIPOS_OT'!$D$4:$D$8,MATCH($I297,'CAT_TIPOS_OT'!$A$4:$A$8,0)),"SIN CLASIFICAR")="","SIN CLASIFICAR",IFERROR(INDEX('CAT_TIPOS_OT'!$D$4:$D$8,MATCH($I297,'CAT_TIPOS_OT'!$A$4:$A$8,0)),"SIN CLASIFICAR")))</f>
        <v/>
      </c>
      <c r="W297" s="5">
        <f>IF($F297="","",IFERROR(INDEX('CAT_CENTROS_COSTO'!$F$4:$F$13,MATCH($F297,'CAT_CENTROS_COSTO'!$A$4:$A$13,0)),"(sin catálogo)"))</f>
        <v/>
      </c>
      <c r="X297" s="5">
        <f>IF($F297="","",IFERROR(INDEX('CAT_CENTROS_COSTO'!$D$4:$D$13,MATCH($F297,'CAT_CENTROS_COSTO'!$A$4:$A$13,0)),"(sin catálogo)"))</f>
        <v/>
      </c>
      <c r="Y297" s="5">
        <f>IF($F297="","",IF((IFERROR(INDEX('CAT_CENTROS_COSTO'!$E$4:$E$13,MATCH($F297,'CAT_CENTROS_COSTO'!$A$4:$A$13,0)),""))&lt;&gt;"",IFERROR(INDEX('CAT_CENTROS_COSTO'!$E$4:$E$13,MATCH($F297,'CAT_CENTROS_COSTO'!$A$4:$A$13,0)),""),$X297))</f>
        <v/>
      </c>
      <c r="Z297" s="5">
        <f>IF($F297="","",IFERROR(INDEX('CAT_CENTROS_COSTO'!$G$4:$G$13,MATCH($F297,'CAT_CENTROS_COSTO'!$A$4:$A$13,0)),"(sin catálogo)"))</f>
        <v/>
      </c>
      <c r="AA297" s="5">
        <f>IF($G297="","",IFERROR(INDEX('CAT_PUESTOS'!$B$4:$B$8,MATCH($G297,'CAT_PUESTOS'!$A$4:$A$8,0)),"(sin catálogo)"))</f>
        <v/>
      </c>
      <c r="AB297" s="5">
        <f>IF($H297="","",IFERROR(INDEX('CAT_ACTIVIDADES'!$B$4:$B$11,MATCH($H297,'CAT_ACTIVIDADES'!$A$4:$A$11,0)),"(sin catálogo)"))</f>
        <v/>
      </c>
      <c r="AC297" s="20">
        <f>IF($J297="","",TODAY()-$J297)</f>
        <v/>
      </c>
      <c r="AD297" s="20">
        <f>IF($J297="","",IF($J297&lt;=TODAY(),COUNTIFS(cal_fechas,"&gt;="&amp;$J297,cal_fechas,"&lt;"&amp;TODAY(),cal_habil,"sí"),-COUNTIFS(cal_fechas,"&gt;="&amp;TODAY(),cal_fechas,"&lt;"&amp;$J297,cal_habil,"sí")))</f>
        <v/>
      </c>
      <c r="AE297" s="5">
        <f>IF($AD297="","",IF($AD297&lt;0,"FUTURO",IF($AD297&gt;p_dias_backlog_max,"BACKLOG","MES CORRIENTE")))</f>
        <v/>
      </c>
      <c r="AF297" s="5">
        <f>IF($AD297="",FALSE,AND($AD297&gt;p_dias_backlog_min,$AD297&lt;=p_dias_backlog_max))</f>
        <v/>
      </c>
      <c r="AG297" s="4" t="n"/>
      <c r="AH297" s="5">
        <f>IF($AG297="","",IF((IFERROR(INDEX('ASIGNACIONES'!$J$4:$J$451,MATCH($O297&amp;"|"&amp;$S297&amp;"|"&amp;$AG297,'ASIGNACIONES'!$N$4:$N$451,0)),""))=0,"",IFERROR(INDEX('ASIGNACIONES'!$J$4:$J$451,MATCH($O297&amp;"|"&amp;$S297&amp;"|"&amp;$AG297,'ASIGNACIONES'!$N$4:$N$451,0)),"")))</f>
        <v/>
      </c>
      <c r="AI297" s="25">
        <f>IF($AG297="","",SUMIFS('ORDENES'!$M$4:$M$1203,'ORDENES'!$AG$4:$AG$1203,$AG297,'ORDENES'!$O$4:$O$1203,$O297,'ORDENES'!$S$4:$S$1203,$S297))</f>
        <v/>
      </c>
      <c r="AJ297" s="25">
        <f>IF($AI297="","",p_factor_productividad*IFERROR(INDEX('ASIGNACIONES'!$M$4:$M$451,MATCH($O297&amp;"|"&amp;$S297&amp;"|"&amp;$AG297,'ASIGNACIONES'!$N$4:$N$451,0)),0)-$AI297)</f>
        <v/>
      </c>
      <c r="AK297" s="18">
        <f>IF($A297="","",IFERROR(INDEX('2_IMPORTAR_EJECUCION'!$F$9:$F$1208,MATCH($AT297,'2_IMPORTAR_EJECUCION'!$J$9:$J$1208,0)),0))</f>
        <v/>
      </c>
      <c r="AL297" s="18">
        <f>IF($A297="","",MAX(0,IFERROR(INDEX('2_IMPORTAR_EJECUCION'!$H$9:$H$1208,MATCH($AT297,'2_IMPORTAR_EJECUCION'!$J$9:$J$1208,0)),0)-$AK297))</f>
        <v/>
      </c>
      <c r="AM297" s="18">
        <f>IF($A297="","",$AK297+$AL297)</f>
        <v/>
      </c>
      <c r="AN297" s="5">
        <f>IF($A297="","",IF(OR((IFERROR(INDEX('CAT_ACTIVIDADES'!$D$4:$D$11,MATCH($H297,'CAT_ACTIVIDADES'!$A$4:$A$11,0)),""))=0,(IFERROR(INDEX('CAT_ACTIVIDADES'!$D$4:$D$11,MATCH($H297,'CAT_ACTIVIDADES'!$A$4:$A$11,0)),""))=""),"SIN CLASIFICAR",IFERROR(INDEX('CAT_ACTIVIDADES'!$D$4:$D$11,MATCH($H297,'CAT_ACTIVIDADES'!$A$4:$A$11,0)),"")))</f>
        <v/>
      </c>
      <c r="AO297" s="4" t="n"/>
      <c r="AP297" s="4" t="n"/>
      <c r="AQ297" s="4" t="n"/>
      <c r="AR297" s="5">
        <f>IF($AQ297="","",HYPERLINK(p_ruta_base_checklists&amp;$AQ297,"abrir"))</f>
        <v/>
      </c>
      <c r="AS297" s="4" t="n"/>
      <c r="AT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2" t="n"/>
      <c r="K298" s="5" t="n"/>
      <c r="L298" s="18" t="n"/>
      <c r="M298" s="5">
        <f>IF($A298="","",IFERROR(INDEX('AJUSTES'!$B$4:$B$303,MATCH($AT298,'AJUSTES'!$A$4:$A$303,0)),IF($K298="","",$K298)))</f>
        <v/>
      </c>
      <c r="N298" s="5">
        <f>IF($A298="","",IFERROR(INDEX('CAT_ESTADOS_ERP'!$B$4:$B$7,MATCH(IFERROR(INDEX('2_IMPORTAR_EJECUCION'!$C$9:$C$1208,MATCH($AT298,'2_IMPORTAR_EJECUCION'!$J$9:$J$1208,0)),""),'CAT_ESTADOS_ERP'!$A$4:$A$7,0)),"Pendiente"))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IF($J298="","",$P298&amp;"-"&amp;TEXT($Q298,"00"))</f>
        <v/>
      </c>
      <c r="S298" s="5">
        <f>IF($J298="","",INDEX(lista_dias,WEEKDAY($J298,2)))</f>
        <v/>
      </c>
      <c r="T298" s="5">
        <f>IF($J298="","",IFERROR(INDEX('CALENDARIO'!$C$15:$C$214,MATCH(TEXT($J298,"yyyy-mm-dd")&amp;"|"&amp;$X298&amp;"|"&amp;$Y298,'CALENDARIO'!$G$15:$G$214,0)),IFERROR(INDEX('CALENDARIO'!$C$15:$C$214,MATCH(TEXT($J298,"yyyy-mm-dd")&amp;"|"&amp;$X298&amp;"|",'CALENDARIO'!$G$15:$G$214,0)),IFERROR(INDEX('CALENDARIO'!$C$15:$C$214,MATCH(TEXT($J298,"yyyy-mm-dd")&amp;"||",'CALENDARIO'!$G$15:$G$214,0)),INDEX(patronHabil,WEEKDAY($J298,2))))))</f>
        <v/>
      </c>
      <c r="U298" s="5">
        <f>IF($I298="","",IFERROR(INDEX('CAT_TIPOS_OT'!$C$4:$C$8,MATCH($I298,'CAT_TIPOS_OT'!$A$4:$A$8,0)),"sin_clasificar"))</f>
        <v/>
      </c>
      <c r="V298" s="5">
        <f>IF($I298="","",IF(IFERROR(INDEX('CAT_TIPOS_OT'!$D$4:$D$8,MATCH($I298,'CAT_TIPOS_OT'!$A$4:$A$8,0)),"SIN CLASIFICAR")="","SIN CLASIFICAR",IFERROR(INDEX('CAT_TIPOS_OT'!$D$4:$D$8,MATCH($I298,'CAT_TIPOS_OT'!$A$4:$A$8,0)),"SIN CLASIFICAR")))</f>
        <v/>
      </c>
      <c r="W298" s="5">
        <f>IF($F298="","",IFERROR(INDEX('CAT_CENTROS_COSTO'!$F$4:$F$13,MATCH($F298,'CAT_CENTROS_COSTO'!$A$4:$A$13,0)),"(sin catálogo)"))</f>
        <v/>
      </c>
      <c r="X298" s="5">
        <f>IF($F298="","",IFERROR(INDEX('CAT_CENTROS_COSTO'!$D$4:$D$13,MATCH($F298,'CAT_CENTROS_COSTO'!$A$4:$A$13,0)),"(sin catálogo)"))</f>
        <v/>
      </c>
      <c r="Y298" s="5">
        <f>IF($F298="","",IF((IFERROR(INDEX('CAT_CENTROS_COSTO'!$E$4:$E$13,MATCH($F298,'CAT_CENTROS_COSTO'!$A$4:$A$13,0)),""))&lt;&gt;"",IFERROR(INDEX('CAT_CENTROS_COSTO'!$E$4:$E$13,MATCH($F298,'CAT_CENTROS_COSTO'!$A$4:$A$13,0)),""),$X298))</f>
        <v/>
      </c>
      <c r="Z298" s="5">
        <f>IF($F298="","",IFERROR(INDEX('CAT_CENTROS_COSTO'!$G$4:$G$13,MATCH($F298,'CAT_CENTROS_COSTO'!$A$4:$A$13,0)),"(sin catálogo)"))</f>
        <v/>
      </c>
      <c r="AA298" s="5">
        <f>IF($G298="","",IFERROR(INDEX('CAT_PUESTOS'!$B$4:$B$8,MATCH($G298,'CAT_PUESTOS'!$A$4:$A$8,0)),"(sin catálogo)"))</f>
        <v/>
      </c>
      <c r="AB298" s="5">
        <f>IF($H298="","",IFERROR(INDEX('CAT_ACTIVIDADES'!$B$4:$B$11,MATCH($H298,'CAT_ACTIVIDADES'!$A$4:$A$11,0)),"(sin catálogo)"))</f>
        <v/>
      </c>
      <c r="AC298" s="20">
        <f>IF($J298="","",TODAY()-$J298)</f>
        <v/>
      </c>
      <c r="AD298" s="20">
        <f>IF($J298="","",IF($J298&lt;=TODAY(),COUNTIFS(cal_fechas,"&gt;="&amp;$J298,cal_fechas,"&lt;"&amp;TODAY(),cal_habil,"sí"),-COUNTIFS(cal_fechas,"&gt;="&amp;TODAY(),cal_fechas,"&lt;"&amp;$J298,cal_habil,"sí")))</f>
        <v/>
      </c>
      <c r="AE298" s="5">
        <f>IF($AD298="","",IF($AD298&lt;0,"FUTURO",IF($AD298&gt;p_dias_backlog_max,"BACKLOG","MES CORRIENTE")))</f>
        <v/>
      </c>
      <c r="AF298" s="5">
        <f>IF($AD298="",FALSE,AND($AD298&gt;p_dias_backlog_min,$AD298&lt;=p_dias_backlog_max))</f>
        <v/>
      </c>
      <c r="AG298" s="4" t="n"/>
      <c r="AH298" s="5">
        <f>IF($AG298="","",IF((IFERROR(INDEX('ASIGNACIONES'!$J$4:$J$451,MATCH($O298&amp;"|"&amp;$S298&amp;"|"&amp;$AG298,'ASIGNACIONES'!$N$4:$N$451,0)),""))=0,"",IFERROR(INDEX('ASIGNACIONES'!$J$4:$J$451,MATCH($O298&amp;"|"&amp;$S298&amp;"|"&amp;$AG298,'ASIGNACIONES'!$N$4:$N$451,0)),"")))</f>
        <v/>
      </c>
      <c r="AI298" s="25">
        <f>IF($AG298="","",SUMIFS('ORDENES'!$M$4:$M$1203,'ORDENES'!$AG$4:$AG$1203,$AG298,'ORDENES'!$O$4:$O$1203,$O298,'ORDENES'!$S$4:$S$1203,$S298))</f>
        <v/>
      </c>
      <c r="AJ298" s="25">
        <f>IF($AI298="","",p_factor_productividad*IFERROR(INDEX('ASIGNACIONES'!$M$4:$M$451,MATCH($O298&amp;"|"&amp;$S298&amp;"|"&amp;$AG298,'ASIGNACIONES'!$N$4:$N$451,0)),0)-$AI298)</f>
        <v/>
      </c>
      <c r="AK298" s="18">
        <f>IF($A298="","",IFERROR(INDEX('2_IMPORTAR_EJECUCION'!$F$9:$F$1208,MATCH($AT298,'2_IMPORTAR_EJECUCION'!$J$9:$J$1208,0)),0))</f>
        <v/>
      </c>
      <c r="AL298" s="18">
        <f>IF($A298="","",MAX(0,IFERROR(INDEX('2_IMPORTAR_EJECUCION'!$H$9:$H$1208,MATCH($AT298,'2_IMPORTAR_EJECUCION'!$J$9:$J$1208,0)),0)-$AK298))</f>
        <v/>
      </c>
      <c r="AM298" s="18">
        <f>IF($A298="","",$AK298+$AL298)</f>
        <v/>
      </c>
      <c r="AN298" s="5">
        <f>IF($A298="","",IF(OR((IFERROR(INDEX('CAT_ACTIVIDADES'!$D$4:$D$11,MATCH($H298,'CAT_ACTIVIDADES'!$A$4:$A$11,0)),""))=0,(IFERROR(INDEX('CAT_ACTIVIDADES'!$D$4:$D$11,MATCH($H298,'CAT_ACTIVIDADES'!$A$4:$A$11,0)),""))=""),"SIN CLASIFICAR",IFERROR(INDEX('CAT_ACTIVIDADES'!$D$4:$D$11,MATCH($H298,'CAT_ACTIVIDADES'!$A$4:$A$11,0)),"")))</f>
        <v/>
      </c>
      <c r="AO298" s="4" t="n"/>
      <c r="AP298" s="4" t="n"/>
      <c r="AQ298" s="4" t="n"/>
      <c r="AR298" s="5">
        <f>IF($AQ298="","",HYPERLINK(p_ruta_base_checklists&amp;$AQ298,"abrir"))</f>
        <v/>
      </c>
      <c r="AS298" s="4" t="n"/>
      <c r="AT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2" t="n"/>
      <c r="K299" s="5" t="n"/>
      <c r="L299" s="18" t="n"/>
      <c r="M299" s="5">
        <f>IF($A299="","",IFERROR(INDEX('AJUSTES'!$B$4:$B$303,MATCH($AT299,'AJUSTES'!$A$4:$A$303,0)),IF($K299="","",$K299)))</f>
        <v/>
      </c>
      <c r="N299" s="5">
        <f>IF($A299="","",IFERROR(INDEX('CAT_ESTADOS_ERP'!$B$4:$B$7,MATCH(IFERROR(INDEX('2_IMPORTAR_EJECUCION'!$C$9:$C$1208,MATCH($AT299,'2_IMPORTAR_EJECUCION'!$J$9:$J$1208,0)),""),'CAT_ESTADOS_ERP'!$A$4:$A$7,0)),"Pendiente"))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IF($J299="","",$P299&amp;"-"&amp;TEXT($Q299,"00"))</f>
        <v/>
      </c>
      <c r="S299" s="5">
        <f>IF($J299="","",INDEX(lista_dias,WEEKDAY($J299,2)))</f>
        <v/>
      </c>
      <c r="T299" s="5">
        <f>IF($J299="","",IFERROR(INDEX('CALENDARIO'!$C$15:$C$214,MATCH(TEXT($J299,"yyyy-mm-dd")&amp;"|"&amp;$X299&amp;"|"&amp;$Y299,'CALENDARIO'!$G$15:$G$214,0)),IFERROR(INDEX('CALENDARIO'!$C$15:$C$214,MATCH(TEXT($J299,"yyyy-mm-dd")&amp;"|"&amp;$X299&amp;"|",'CALENDARIO'!$G$15:$G$214,0)),IFERROR(INDEX('CALENDARIO'!$C$15:$C$214,MATCH(TEXT($J299,"yyyy-mm-dd")&amp;"||",'CALENDARIO'!$G$15:$G$214,0)),INDEX(patronHabil,WEEKDAY($J299,2))))))</f>
        <v/>
      </c>
      <c r="U299" s="5">
        <f>IF($I299="","",IFERROR(INDEX('CAT_TIPOS_OT'!$C$4:$C$8,MATCH($I299,'CAT_TIPOS_OT'!$A$4:$A$8,0)),"sin_clasificar"))</f>
        <v/>
      </c>
      <c r="V299" s="5">
        <f>IF($I299="","",IF(IFERROR(INDEX('CAT_TIPOS_OT'!$D$4:$D$8,MATCH($I299,'CAT_TIPOS_OT'!$A$4:$A$8,0)),"SIN CLASIFICAR")="","SIN CLASIFICAR",IFERROR(INDEX('CAT_TIPOS_OT'!$D$4:$D$8,MATCH($I299,'CAT_TIPOS_OT'!$A$4:$A$8,0)),"SIN CLASIFICAR")))</f>
        <v/>
      </c>
      <c r="W299" s="5">
        <f>IF($F299="","",IFERROR(INDEX('CAT_CENTROS_COSTO'!$F$4:$F$13,MATCH($F299,'CAT_CENTROS_COSTO'!$A$4:$A$13,0)),"(sin catálogo)"))</f>
        <v/>
      </c>
      <c r="X299" s="5">
        <f>IF($F299="","",IFERROR(INDEX('CAT_CENTROS_COSTO'!$D$4:$D$13,MATCH($F299,'CAT_CENTROS_COSTO'!$A$4:$A$13,0)),"(sin catálogo)"))</f>
        <v/>
      </c>
      <c r="Y299" s="5">
        <f>IF($F299="","",IF((IFERROR(INDEX('CAT_CENTROS_COSTO'!$E$4:$E$13,MATCH($F299,'CAT_CENTROS_COSTO'!$A$4:$A$13,0)),""))&lt;&gt;"",IFERROR(INDEX('CAT_CENTROS_COSTO'!$E$4:$E$13,MATCH($F299,'CAT_CENTROS_COSTO'!$A$4:$A$13,0)),""),$X299))</f>
        <v/>
      </c>
      <c r="Z299" s="5">
        <f>IF($F299="","",IFERROR(INDEX('CAT_CENTROS_COSTO'!$G$4:$G$13,MATCH($F299,'CAT_CENTROS_COSTO'!$A$4:$A$13,0)),"(sin catálogo)"))</f>
        <v/>
      </c>
      <c r="AA299" s="5">
        <f>IF($G299="","",IFERROR(INDEX('CAT_PUESTOS'!$B$4:$B$8,MATCH($G299,'CAT_PUESTOS'!$A$4:$A$8,0)),"(sin catálogo)"))</f>
        <v/>
      </c>
      <c r="AB299" s="5">
        <f>IF($H299="","",IFERROR(INDEX('CAT_ACTIVIDADES'!$B$4:$B$11,MATCH($H299,'CAT_ACTIVIDADES'!$A$4:$A$11,0)),"(sin catálogo)"))</f>
        <v/>
      </c>
      <c r="AC299" s="20">
        <f>IF($J299="","",TODAY()-$J299)</f>
        <v/>
      </c>
      <c r="AD299" s="20">
        <f>IF($J299="","",IF($J299&lt;=TODAY(),COUNTIFS(cal_fechas,"&gt;="&amp;$J299,cal_fechas,"&lt;"&amp;TODAY(),cal_habil,"sí"),-COUNTIFS(cal_fechas,"&gt;="&amp;TODAY(),cal_fechas,"&lt;"&amp;$J299,cal_habil,"sí")))</f>
        <v/>
      </c>
      <c r="AE299" s="5">
        <f>IF($AD299="","",IF($AD299&lt;0,"FUTURO",IF($AD299&gt;p_dias_backlog_max,"BACKLOG","MES CORRIENTE")))</f>
        <v/>
      </c>
      <c r="AF299" s="5">
        <f>IF($AD299="",FALSE,AND($AD299&gt;p_dias_backlog_min,$AD299&lt;=p_dias_backlog_max))</f>
        <v/>
      </c>
      <c r="AG299" s="4" t="n"/>
      <c r="AH299" s="5">
        <f>IF($AG299="","",IF((IFERROR(INDEX('ASIGNACIONES'!$J$4:$J$451,MATCH($O299&amp;"|"&amp;$S299&amp;"|"&amp;$AG299,'ASIGNACIONES'!$N$4:$N$451,0)),""))=0,"",IFERROR(INDEX('ASIGNACIONES'!$J$4:$J$451,MATCH($O299&amp;"|"&amp;$S299&amp;"|"&amp;$AG299,'ASIGNACIONES'!$N$4:$N$451,0)),"")))</f>
        <v/>
      </c>
      <c r="AI299" s="25">
        <f>IF($AG299="","",SUMIFS('ORDENES'!$M$4:$M$1203,'ORDENES'!$AG$4:$AG$1203,$AG299,'ORDENES'!$O$4:$O$1203,$O299,'ORDENES'!$S$4:$S$1203,$S299))</f>
        <v/>
      </c>
      <c r="AJ299" s="25">
        <f>IF($AI299="","",p_factor_productividad*IFERROR(INDEX('ASIGNACIONES'!$M$4:$M$451,MATCH($O299&amp;"|"&amp;$S299&amp;"|"&amp;$AG299,'ASIGNACIONES'!$N$4:$N$451,0)),0)-$AI299)</f>
        <v/>
      </c>
      <c r="AK299" s="18">
        <f>IF($A299="","",IFERROR(INDEX('2_IMPORTAR_EJECUCION'!$F$9:$F$1208,MATCH($AT299,'2_IMPORTAR_EJECUCION'!$J$9:$J$1208,0)),0))</f>
        <v/>
      </c>
      <c r="AL299" s="18">
        <f>IF($A299="","",MAX(0,IFERROR(INDEX('2_IMPORTAR_EJECUCION'!$H$9:$H$1208,MATCH($AT299,'2_IMPORTAR_EJECUCION'!$J$9:$J$1208,0)),0)-$AK299))</f>
        <v/>
      </c>
      <c r="AM299" s="18">
        <f>IF($A299="","",$AK299+$AL299)</f>
        <v/>
      </c>
      <c r="AN299" s="5">
        <f>IF($A299="","",IF(OR((IFERROR(INDEX('CAT_ACTIVIDADES'!$D$4:$D$11,MATCH($H299,'CAT_ACTIVIDADES'!$A$4:$A$11,0)),""))=0,(IFERROR(INDEX('CAT_ACTIVIDADES'!$D$4:$D$11,MATCH($H299,'CAT_ACTIVIDADES'!$A$4:$A$11,0)),""))=""),"SIN CLASIFICAR",IFERROR(INDEX('CAT_ACTIVIDADES'!$D$4:$D$11,MATCH($H299,'CAT_ACTIVIDADES'!$A$4:$A$11,0)),"")))</f>
        <v/>
      </c>
      <c r="AO299" s="4" t="n"/>
      <c r="AP299" s="4" t="n"/>
      <c r="AQ299" s="4" t="n"/>
      <c r="AR299" s="5">
        <f>IF($AQ299="","",HYPERLINK(p_ruta_base_checklists&amp;$AQ299,"abrir"))</f>
        <v/>
      </c>
      <c r="AS299" s="4" t="n"/>
      <c r="AT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2" t="n"/>
      <c r="K300" s="5" t="n"/>
      <c r="L300" s="18" t="n"/>
      <c r="M300" s="5">
        <f>IF($A300="","",IFERROR(INDEX('AJUSTES'!$B$4:$B$303,MATCH($AT300,'AJUSTES'!$A$4:$A$303,0)),IF($K300="","",$K300)))</f>
        <v/>
      </c>
      <c r="N300" s="5">
        <f>IF($A300="","",IFERROR(INDEX('CAT_ESTADOS_ERP'!$B$4:$B$7,MATCH(IFERROR(INDEX('2_IMPORTAR_EJECUCION'!$C$9:$C$1208,MATCH($AT300,'2_IMPORTAR_EJECUCION'!$J$9:$J$1208,0)),""),'CAT_ESTADOS_ERP'!$A$4:$A$7,0)),"Pendiente"))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IF($J300="","",$P300&amp;"-"&amp;TEXT($Q300,"00"))</f>
        <v/>
      </c>
      <c r="S300" s="5">
        <f>IF($J300="","",INDEX(lista_dias,WEEKDAY($J300,2)))</f>
        <v/>
      </c>
      <c r="T300" s="5">
        <f>IF($J300="","",IFERROR(INDEX('CALENDARIO'!$C$15:$C$214,MATCH(TEXT($J300,"yyyy-mm-dd")&amp;"|"&amp;$X300&amp;"|"&amp;$Y300,'CALENDARIO'!$G$15:$G$214,0)),IFERROR(INDEX('CALENDARIO'!$C$15:$C$214,MATCH(TEXT($J300,"yyyy-mm-dd")&amp;"|"&amp;$X300&amp;"|",'CALENDARIO'!$G$15:$G$214,0)),IFERROR(INDEX('CALENDARIO'!$C$15:$C$214,MATCH(TEXT($J300,"yyyy-mm-dd")&amp;"||",'CALENDARIO'!$G$15:$G$214,0)),INDEX(patronHabil,WEEKDAY($J300,2))))))</f>
        <v/>
      </c>
      <c r="U300" s="5">
        <f>IF($I300="","",IFERROR(INDEX('CAT_TIPOS_OT'!$C$4:$C$8,MATCH($I300,'CAT_TIPOS_OT'!$A$4:$A$8,0)),"sin_clasificar"))</f>
        <v/>
      </c>
      <c r="V300" s="5">
        <f>IF($I300="","",IF(IFERROR(INDEX('CAT_TIPOS_OT'!$D$4:$D$8,MATCH($I300,'CAT_TIPOS_OT'!$A$4:$A$8,0)),"SIN CLASIFICAR")="","SIN CLASIFICAR",IFERROR(INDEX('CAT_TIPOS_OT'!$D$4:$D$8,MATCH($I300,'CAT_TIPOS_OT'!$A$4:$A$8,0)),"SIN CLASIFICAR")))</f>
        <v/>
      </c>
      <c r="W300" s="5">
        <f>IF($F300="","",IFERROR(INDEX('CAT_CENTROS_COSTO'!$F$4:$F$13,MATCH($F300,'CAT_CENTROS_COSTO'!$A$4:$A$13,0)),"(sin catálogo)"))</f>
        <v/>
      </c>
      <c r="X300" s="5">
        <f>IF($F300="","",IFERROR(INDEX('CAT_CENTROS_COSTO'!$D$4:$D$13,MATCH($F300,'CAT_CENTROS_COSTO'!$A$4:$A$13,0)),"(sin catálogo)"))</f>
        <v/>
      </c>
      <c r="Y300" s="5">
        <f>IF($F300="","",IF((IFERROR(INDEX('CAT_CENTROS_COSTO'!$E$4:$E$13,MATCH($F300,'CAT_CENTROS_COSTO'!$A$4:$A$13,0)),""))&lt;&gt;"",IFERROR(INDEX('CAT_CENTROS_COSTO'!$E$4:$E$13,MATCH($F300,'CAT_CENTROS_COSTO'!$A$4:$A$13,0)),""),$X300))</f>
        <v/>
      </c>
      <c r="Z300" s="5">
        <f>IF($F300="","",IFERROR(INDEX('CAT_CENTROS_COSTO'!$G$4:$G$13,MATCH($F300,'CAT_CENTROS_COSTO'!$A$4:$A$13,0)),"(sin catálogo)"))</f>
        <v/>
      </c>
      <c r="AA300" s="5">
        <f>IF($G300="","",IFERROR(INDEX('CAT_PUESTOS'!$B$4:$B$8,MATCH($G300,'CAT_PUESTOS'!$A$4:$A$8,0)),"(sin catálogo)"))</f>
        <v/>
      </c>
      <c r="AB300" s="5">
        <f>IF($H300="","",IFERROR(INDEX('CAT_ACTIVIDADES'!$B$4:$B$11,MATCH($H300,'CAT_ACTIVIDADES'!$A$4:$A$11,0)),"(sin catálogo)"))</f>
        <v/>
      </c>
      <c r="AC300" s="20">
        <f>IF($J300="","",TODAY()-$J300)</f>
        <v/>
      </c>
      <c r="AD300" s="20">
        <f>IF($J300="","",IF($J300&lt;=TODAY(),COUNTIFS(cal_fechas,"&gt;="&amp;$J300,cal_fechas,"&lt;"&amp;TODAY(),cal_habil,"sí"),-COUNTIFS(cal_fechas,"&gt;="&amp;TODAY(),cal_fechas,"&lt;"&amp;$J300,cal_habil,"sí")))</f>
        <v/>
      </c>
      <c r="AE300" s="5">
        <f>IF($AD300="","",IF($AD300&lt;0,"FUTURO",IF($AD300&gt;p_dias_backlog_max,"BACKLOG","MES CORRIENTE")))</f>
        <v/>
      </c>
      <c r="AF300" s="5">
        <f>IF($AD300="",FALSE,AND($AD300&gt;p_dias_backlog_min,$AD300&lt;=p_dias_backlog_max))</f>
        <v/>
      </c>
      <c r="AG300" s="4" t="n"/>
      <c r="AH300" s="5">
        <f>IF($AG300="","",IF((IFERROR(INDEX('ASIGNACIONES'!$J$4:$J$451,MATCH($O300&amp;"|"&amp;$S300&amp;"|"&amp;$AG300,'ASIGNACIONES'!$N$4:$N$451,0)),""))=0,"",IFERROR(INDEX('ASIGNACIONES'!$J$4:$J$451,MATCH($O300&amp;"|"&amp;$S300&amp;"|"&amp;$AG300,'ASIGNACIONES'!$N$4:$N$451,0)),"")))</f>
        <v/>
      </c>
      <c r="AI300" s="25">
        <f>IF($AG300="","",SUMIFS('ORDENES'!$M$4:$M$1203,'ORDENES'!$AG$4:$AG$1203,$AG300,'ORDENES'!$O$4:$O$1203,$O300,'ORDENES'!$S$4:$S$1203,$S300))</f>
        <v/>
      </c>
      <c r="AJ300" s="25">
        <f>IF($AI300="","",p_factor_productividad*IFERROR(INDEX('ASIGNACIONES'!$M$4:$M$451,MATCH($O300&amp;"|"&amp;$S300&amp;"|"&amp;$AG300,'ASIGNACIONES'!$N$4:$N$451,0)),0)-$AI300)</f>
        <v/>
      </c>
      <c r="AK300" s="18">
        <f>IF($A300="","",IFERROR(INDEX('2_IMPORTAR_EJECUCION'!$F$9:$F$1208,MATCH($AT300,'2_IMPORTAR_EJECUCION'!$J$9:$J$1208,0)),0))</f>
        <v/>
      </c>
      <c r="AL300" s="18">
        <f>IF($A300="","",MAX(0,IFERROR(INDEX('2_IMPORTAR_EJECUCION'!$H$9:$H$1208,MATCH($AT300,'2_IMPORTAR_EJECUCION'!$J$9:$J$1208,0)),0)-$AK300))</f>
        <v/>
      </c>
      <c r="AM300" s="18">
        <f>IF($A300="","",$AK300+$AL300)</f>
        <v/>
      </c>
      <c r="AN300" s="5">
        <f>IF($A300="","",IF(OR((IFERROR(INDEX('CAT_ACTIVIDADES'!$D$4:$D$11,MATCH($H300,'CAT_ACTIVIDADES'!$A$4:$A$11,0)),""))=0,(IFERROR(INDEX('CAT_ACTIVIDADES'!$D$4:$D$11,MATCH($H300,'CAT_ACTIVIDADES'!$A$4:$A$11,0)),""))=""),"SIN CLASIFICAR",IFERROR(INDEX('CAT_ACTIVIDADES'!$D$4:$D$11,MATCH($H300,'CAT_ACTIVIDADES'!$A$4:$A$11,0)),"")))</f>
        <v/>
      </c>
      <c r="AO300" s="4" t="n"/>
      <c r="AP300" s="4" t="n"/>
      <c r="AQ300" s="4" t="n"/>
      <c r="AR300" s="5">
        <f>IF($AQ300="","",HYPERLINK(p_ruta_base_checklists&amp;$AQ300,"abrir"))</f>
        <v/>
      </c>
      <c r="AS300" s="4" t="n"/>
      <c r="AT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2" t="n"/>
      <c r="K301" s="5" t="n"/>
      <c r="L301" s="18" t="n"/>
      <c r="M301" s="5">
        <f>IF($A301="","",IFERROR(INDEX('AJUSTES'!$B$4:$B$303,MATCH($AT301,'AJUSTES'!$A$4:$A$303,0)),IF($K301="","",$K301)))</f>
        <v/>
      </c>
      <c r="N301" s="5">
        <f>IF($A301="","",IFERROR(INDEX('CAT_ESTADOS_ERP'!$B$4:$B$7,MATCH(IFERROR(INDEX('2_IMPORTAR_EJECUCION'!$C$9:$C$1208,MATCH($AT301,'2_IMPORTAR_EJECUCION'!$J$9:$J$1208,0)),""),'CAT_ESTADOS_ERP'!$A$4:$A$7,0)),"Pendiente"))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IF($J301="","",$P301&amp;"-"&amp;TEXT($Q301,"00"))</f>
        <v/>
      </c>
      <c r="S301" s="5">
        <f>IF($J301="","",INDEX(lista_dias,WEEKDAY($J301,2)))</f>
        <v/>
      </c>
      <c r="T301" s="5">
        <f>IF($J301="","",IFERROR(INDEX('CALENDARIO'!$C$15:$C$214,MATCH(TEXT($J301,"yyyy-mm-dd")&amp;"|"&amp;$X301&amp;"|"&amp;$Y301,'CALENDARIO'!$G$15:$G$214,0)),IFERROR(INDEX('CALENDARIO'!$C$15:$C$214,MATCH(TEXT($J301,"yyyy-mm-dd")&amp;"|"&amp;$X301&amp;"|",'CALENDARIO'!$G$15:$G$214,0)),IFERROR(INDEX('CALENDARIO'!$C$15:$C$214,MATCH(TEXT($J301,"yyyy-mm-dd")&amp;"||",'CALENDARIO'!$G$15:$G$214,0)),INDEX(patronHabil,WEEKDAY($J301,2))))))</f>
        <v/>
      </c>
      <c r="U301" s="5">
        <f>IF($I301="","",IFERROR(INDEX('CAT_TIPOS_OT'!$C$4:$C$8,MATCH($I301,'CAT_TIPOS_OT'!$A$4:$A$8,0)),"sin_clasificar"))</f>
        <v/>
      </c>
      <c r="V301" s="5">
        <f>IF($I301="","",IF(IFERROR(INDEX('CAT_TIPOS_OT'!$D$4:$D$8,MATCH($I301,'CAT_TIPOS_OT'!$A$4:$A$8,0)),"SIN CLASIFICAR")="","SIN CLASIFICAR",IFERROR(INDEX('CAT_TIPOS_OT'!$D$4:$D$8,MATCH($I301,'CAT_TIPOS_OT'!$A$4:$A$8,0)),"SIN CLASIFICAR")))</f>
        <v/>
      </c>
      <c r="W301" s="5">
        <f>IF($F301="","",IFERROR(INDEX('CAT_CENTROS_COSTO'!$F$4:$F$13,MATCH($F301,'CAT_CENTROS_COSTO'!$A$4:$A$13,0)),"(sin catálogo)"))</f>
        <v/>
      </c>
      <c r="X301" s="5">
        <f>IF($F301="","",IFERROR(INDEX('CAT_CENTROS_COSTO'!$D$4:$D$13,MATCH($F301,'CAT_CENTROS_COSTO'!$A$4:$A$13,0)),"(sin catálogo)"))</f>
        <v/>
      </c>
      <c r="Y301" s="5">
        <f>IF($F301="","",IF((IFERROR(INDEX('CAT_CENTROS_COSTO'!$E$4:$E$13,MATCH($F301,'CAT_CENTROS_COSTO'!$A$4:$A$13,0)),""))&lt;&gt;"",IFERROR(INDEX('CAT_CENTROS_COSTO'!$E$4:$E$13,MATCH($F301,'CAT_CENTROS_COSTO'!$A$4:$A$13,0)),""),$X301))</f>
        <v/>
      </c>
      <c r="Z301" s="5">
        <f>IF($F301="","",IFERROR(INDEX('CAT_CENTROS_COSTO'!$G$4:$G$13,MATCH($F301,'CAT_CENTROS_COSTO'!$A$4:$A$13,0)),"(sin catálogo)"))</f>
        <v/>
      </c>
      <c r="AA301" s="5">
        <f>IF($G301="","",IFERROR(INDEX('CAT_PUESTOS'!$B$4:$B$8,MATCH($G301,'CAT_PUESTOS'!$A$4:$A$8,0)),"(sin catálogo)"))</f>
        <v/>
      </c>
      <c r="AB301" s="5">
        <f>IF($H301="","",IFERROR(INDEX('CAT_ACTIVIDADES'!$B$4:$B$11,MATCH($H301,'CAT_ACTIVIDADES'!$A$4:$A$11,0)),"(sin catálogo)"))</f>
        <v/>
      </c>
      <c r="AC301" s="20">
        <f>IF($J301="","",TODAY()-$J301)</f>
        <v/>
      </c>
      <c r="AD301" s="20">
        <f>IF($J301="","",IF($J301&lt;=TODAY(),COUNTIFS(cal_fechas,"&gt;="&amp;$J301,cal_fechas,"&lt;"&amp;TODAY(),cal_habil,"sí"),-COUNTIFS(cal_fechas,"&gt;="&amp;TODAY(),cal_fechas,"&lt;"&amp;$J301,cal_habil,"sí")))</f>
        <v/>
      </c>
      <c r="AE301" s="5">
        <f>IF($AD301="","",IF($AD301&lt;0,"FUTURO",IF($AD301&gt;p_dias_backlog_max,"BACKLOG","MES CORRIENTE")))</f>
        <v/>
      </c>
      <c r="AF301" s="5">
        <f>IF($AD301="",FALSE,AND($AD301&gt;p_dias_backlog_min,$AD301&lt;=p_dias_backlog_max))</f>
        <v/>
      </c>
      <c r="AG301" s="4" t="n"/>
      <c r="AH301" s="5">
        <f>IF($AG301="","",IF((IFERROR(INDEX('ASIGNACIONES'!$J$4:$J$451,MATCH($O301&amp;"|"&amp;$S301&amp;"|"&amp;$AG301,'ASIGNACIONES'!$N$4:$N$451,0)),""))=0,"",IFERROR(INDEX('ASIGNACIONES'!$J$4:$J$451,MATCH($O301&amp;"|"&amp;$S301&amp;"|"&amp;$AG301,'ASIGNACIONES'!$N$4:$N$451,0)),"")))</f>
        <v/>
      </c>
      <c r="AI301" s="25">
        <f>IF($AG301="","",SUMIFS('ORDENES'!$M$4:$M$1203,'ORDENES'!$AG$4:$AG$1203,$AG301,'ORDENES'!$O$4:$O$1203,$O301,'ORDENES'!$S$4:$S$1203,$S301))</f>
        <v/>
      </c>
      <c r="AJ301" s="25">
        <f>IF($AI301="","",p_factor_productividad*IFERROR(INDEX('ASIGNACIONES'!$M$4:$M$451,MATCH($O301&amp;"|"&amp;$S301&amp;"|"&amp;$AG301,'ASIGNACIONES'!$N$4:$N$451,0)),0)-$AI301)</f>
        <v/>
      </c>
      <c r="AK301" s="18">
        <f>IF($A301="","",IFERROR(INDEX('2_IMPORTAR_EJECUCION'!$F$9:$F$1208,MATCH($AT301,'2_IMPORTAR_EJECUCION'!$J$9:$J$1208,0)),0))</f>
        <v/>
      </c>
      <c r="AL301" s="18">
        <f>IF($A301="","",MAX(0,IFERROR(INDEX('2_IMPORTAR_EJECUCION'!$H$9:$H$1208,MATCH($AT301,'2_IMPORTAR_EJECUCION'!$J$9:$J$1208,0)),0)-$AK301))</f>
        <v/>
      </c>
      <c r="AM301" s="18">
        <f>IF($A301="","",$AK301+$AL301)</f>
        <v/>
      </c>
      <c r="AN301" s="5">
        <f>IF($A301="","",IF(OR((IFERROR(INDEX('CAT_ACTIVIDADES'!$D$4:$D$11,MATCH($H301,'CAT_ACTIVIDADES'!$A$4:$A$11,0)),""))=0,(IFERROR(INDEX('CAT_ACTIVIDADES'!$D$4:$D$11,MATCH($H301,'CAT_ACTIVIDADES'!$A$4:$A$11,0)),""))=""),"SIN CLASIFICAR",IFERROR(INDEX('CAT_ACTIVIDADES'!$D$4:$D$11,MATCH($H301,'CAT_ACTIVIDADES'!$A$4:$A$11,0)),"")))</f>
        <v/>
      </c>
      <c r="AO301" s="4" t="n"/>
      <c r="AP301" s="4" t="n"/>
      <c r="AQ301" s="4" t="n"/>
      <c r="AR301" s="5">
        <f>IF($AQ301="","",HYPERLINK(p_ruta_base_checklists&amp;$AQ301,"abrir"))</f>
        <v/>
      </c>
      <c r="AS301" s="4" t="n"/>
      <c r="AT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2" t="n"/>
      <c r="K302" s="5" t="n"/>
      <c r="L302" s="18" t="n"/>
      <c r="M302" s="5">
        <f>IF($A302="","",IFERROR(INDEX('AJUSTES'!$B$4:$B$303,MATCH($AT302,'AJUSTES'!$A$4:$A$303,0)),IF($K302="","",$K302)))</f>
        <v/>
      </c>
      <c r="N302" s="5">
        <f>IF($A302="","",IFERROR(INDEX('CAT_ESTADOS_ERP'!$B$4:$B$7,MATCH(IFERROR(INDEX('2_IMPORTAR_EJECUCION'!$C$9:$C$1208,MATCH($AT302,'2_IMPORTAR_EJECUCION'!$J$9:$J$1208,0)),""),'CAT_ESTADOS_ERP'!$A$4:$A$7,0)),"Pendiente"))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IF($J302="","",$P302&amp;"-"&amp;TEXT($Q302,"00"))</f>
        <v/>
      </c>
      <c r="S302" s="5">
        <f>IF($J302="","",INDEX(lista_dias,WEEKDAY($J302,2)))</f>
        <v/>
      </c>
      <c r="T302" s="5">
        <f>IF($J302="","",IFERROR(INDEX('CALENDARIO'!$C$15:$C$214,MATCH(TEXT($J302,"yyyy-mm-dd")&amp;"|"&amp;$X302&amp;"|"&amp;$Y302,'CALENDARIO'!$G$15:$G$214,0)),IFERROR(INDEX('CALENDARIO'!$C$15:$C$214,MATCH(TEXT($J302,"yyyy-mm-dd")&amp;"|"&amp;$X302&amp;"|",'CALENDARIO'!$G$15:$G$214,0)),IFERROR(INDEX('CALENDARIO'!$C$15:$C$214,MATCH(TEXT($J302,"yyyy-mm-dd")&amp;"||",'CALENDARIO'!$G$15:$G$214,0)),INDEX(patronHabil,WEEKDAY($J302,2))))))</f>
        <v/>
      </c>
      <c r="U302" s="5">
        <f>IF($I302="","",IFERROR(INDEX('CAT_TIPOS_OT'!$C$4:$C$8,MATCH($I302,'CAT_TIPOS_OT'!$A$4:$A$8,0)),"sin_clasificar"))</f>
        <v/>
      </c>
      <c r="V302" s="5">
        <f>IF($I302="","",IF(IFERROR(INDEX('CAT_TIPOS_OT'!$D$4:$D$8,MATCH($I302,'CAT_TIPOS_OT'!$A$4:$A$8,0)),"SIN CLASIFICAR")="","SIN CLASIFICAR",IFERROR(INDEX('CAT_TIPOS_OT'!$D$4:$D$8,MATCH($I302,'CAT_TIPOS_OT'!$A$4:$A$8,0)),"SIN CLASIFICAR")))</f>
        <v/>
      </c>
      <c r="W302" s="5">
        <f>IF($F302="","",IFERROR(INDEX('CAT_CENTROS_COSTO'!$F$4:$F$13,MATCH($F302,'CAT_CENTROS_COSTO'!$A$4:$A$13,0)),"(sin catálogo)"))</f>
        <v/>
      </c>
      <c r="X302" s="5">
        <f>IF($F302="","",IFERROR(INDEX('CAT_CENTROS_COSTO'!$D$4:$D$13,MATCH($F302,'CAT_CENTROS_COSTO'!$A$4:$A$13,0)),"(sin catálogo)"))</f>
        <v/>
      </c>
      <c r="Y302" s="5">
        <f>IF($F302="","",IF((IFERROR(INDEX('CAT_CENTROS_COSTO'!$E$4:$E$13,MATCH($F302,'CAT_CENTROS_COSTO'!$A$4:$A$13,0)),""))&lt;&gt;"",IFERROR(INDEX('CAT_CENTROS_COSTO'!$E$4:$E$13,MATCH($F302,'CAT_CENTROS_COSTO'!$A$4:$A$13,0)),""),$X302))</f>
        <v/>
      </c>
      <c r="Z302" s="5">
        <f>IF($F302="","",IFERROR(INDEX('CAT_CENTROS_COSTO'!$G$4:$G$13,MATCH($F302,'CAT_CENTROS_COSTO'!$A$4:$A$13,0)),"(sin catálogo)"))</f>
        <v/>
      </c>
      <c r="AA302" s="5">
        <f>IF($G302="","",IFERROR(INDEX('CAT_PUESTOS'!$B$4:$B$8,MATCH($G302,'CAT_PUESTOS'!$A$4:$A$8,0)),"(sin catálogo)"))</f>
        <v/>
      </c>
      <c r="AB302" s="5">
        <f>IF($H302="","",IFERROR(INDEX('CAT_ACTIVIDADES'!$B$4:$B$11,MATCH($H302,'CAT_ACTIVIDADES'!$A$4:$A$11,0)),"(sin catálogo)"))</f>
        <v/>
      </c>
      <c r="AC302" s="20">
        <f>IF($J302="","",TODAY()-$J302)</f>
        <v/>
      </c>
      <c r="AD302" s="20">
        <f>IF($J302="","",IF($J302&lt;=TODAY(),COUNTIFS(cal_fechas,"&gt;="&amp;$J302,cal_fechas,"&lt;"&amp;TODAY(),cal_habil,"sí"),-COUNTIFS(cal_fechas,"&gt;="&amp;TODAY(),cal_fechas,"&lt;"&amp;$J302,cal_habil,"sí")))</f>
        <v/>
      </c>
      <c r="AE302" s="5">
        <f>IF($AD302="","",IF($AD302&lt;0,"FUTURO",IF($AD302&gt;p_dias_backlog_max,"BACKLOG","MES CORRIENTE")))</f>
        <v/>
      </c>
      <c r="AF302" s="5">
        <f>IF($AD302="",FALSE,AND($AD302&gt;p_dias_backlog_min,$AD302&lt;=p_dias_backlog_max))</f>
        <v/>
      </c>
      <c r="AG302" s="4" t="n"/>
      <c r="AH302" s="5">
        <f>IF($AG302="","",IF((IFERROR(INDEX('ASIGNACIONES'!$J$4:$J$451,MATCH($O302&amp;"|"&amp;$S302&amp;"|"&amp;$AG302,'ASIGNACIONES'!$N$4:$N$451,0)),""))=0,"",IFERROR(INDEX('ASIGNACIONES'!$J$4:$J$451,MATCH($O302&amp;"|"&amp;$S302&amp;"|"&amp;$AG302,'ASIGNACIONES'!$N$4:$N$451,0)),"")))</f>
        <v/>
      </c>
      <c r="AI302" s="25">
        <f>IF($AG302="","",SUMIFS('ORDENES'!$M$4:$M$1203,'ORDENES'!$AG$4:$AG$1203,$AG302,'ORDENES'!$O$4:$O$1203,$O302,'ORDENES'!$S$4:$S$1203,$S302))</f>
        <v/>
      </c>
      <c r="AJ302" s="25">
        <f>IF($AI302="","",p_factor_productividad*IFERROR(INDEX('ASIGNACIONES'!$M$4:$M$451,MATCH($O302&amp;"|"&amp;$S302&amp;"|"&amp;$AG302,'ASIGNACIONES'!$N$4:$N$451,0)),0)-$AI302)</f>
        <v/>
      </c>
      <c r="AK302" s="18">
        <f>IF($A302="","",IFERROR(INDEX('2_IMPORTAR_EJECUCION'!$F$9:$F$1208,MATCH($AT302,'2_IMPORTAR_EJECUCION'!$J$9:$J$1208,0)),0))</f>
        <v/>
      </c>
      <c r="AL302" s="18">
        <f>IF($A302="","",MAX(0,IFERROR(INDEX('2_IMPORTAR_EJECUCION'!$H$9:$H$1208,MATCH($AT302,'2_IMPORTAR_EJECUCION'!$J$9:$J$1208,0)),0)-$AK302))</f>
        <v/>
      </c>
      <c r="AM302" s="18">
        <f>IF($A302="","",$AK302+$AL302)</f>
        <v/>
      </c>
      <c r="AN302" s="5">
        <f>IF($A302="","",IF(OR((IFERROR(INDEX('CAT_ACTIVIDADES'!$D$4:$D$11,MATCH($H302,'CAT_ACTIVIDADES'!$A$4:$A$11,0)),""))=0,(IFERROR(INDEX('CAT_ACTIVIDADES'!$D$4:$D$11,MATCH($H302,'CAT_ACTIVIDADES'!$A$4:$A$11,0)),""))=""),"SIN CLASIFICAR",IFERROR(INDEX('CAT_ACTIVIDADES'!$D$4:$D$11,MATCH($H302,'CAT_ACTIVIDADES'!$A$4:$A$11,0)),"")))</f>
        <v/>
      </c>
      <c r="AO302" s="4" t="n"/>
      <c r="AP302" s="4" t="n"/>
      <c r="AQ302" s="4" t="n"/>
      <c r="AR302" s="5">
        <f>IF($AQ302="","",HYPERLINK(p_ruta_base_checklists&amp;$AQ302,"abrir"))</f>
        <v/>
      </c>
      <c r="AS302" s="4" t="n"/>
      <c r="AT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2" t="n"/>
      <c r="K303" s="5" t="n"/>
      <c r="L303" s="18" t="n"/>
      <c r="M303" s="5">
        <f>IF($A303="","",IFERROR(INDEX('AJUSTES'!$B$4:$B$303,MATCH($AT303,'AJUSTES'!$A$4:$A$303,0)),IF($K303="","",$K303)))</f>
        <v/>
      </c>
      <c r="N303" s="5">
        <f>IF($A303="","",IFERROR(INDEX('CAT_ESTADOS_ERP'!$B$4:$B$7,MATCH(IFERROR(INDEX('2_IMPORTAR_EJECUCION'!$C$9:$C$1208,MATCH($AT303,'2_IMPORTAR_EJECUCION'!$J$9:$J$1208,0)),""),'CAT_ESTADOS_ERP'!$A$4:$A$7,0)),"Pendiente"))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IF($J303="","",$P303&amp;"-"&amp;TEXT($Q303,"00"))</f>
        <v/>
      </c>
      <c r="S303" s="5">
        <f>IF($J303="","",INDEX(lista_dias,WEEKDAY($J303,2)))</f>
        <v/>
      </c>
      <c r="T303" s="5">
        <f>IF($J303="","",IFERROR(INDEX('CALENDARIO'!$C$15:$C$214,MATCH(TEXT($J303,"yyyy-mm-dd")&amp;"|"&amp;$X303&amp;"|"&amp;$Y303,'CALENDARIO'!$G$15:$G$214,0)),IFERROR(INDEX('CALENDARIO'!$C$15:$C$214,MATCH(TEXT($J303,"yyyy-mm-dd")&amp;"|"&amp;$X303&amp;"|",'CALENDARIO'!$G$15:$G$214,0)),IFERROR(INDEX('CALENDARIO'!$C$15:$C$214,MATCH(TEXT($J303,"yyyy-mm-dd")&amp;"||",'CALENDARIO'!$G$15:$G$214,0)),INDEX(patronHabil,WEEKDAY($J303,2))))))</f>
        <v/>
      </c>
      <c r="U303" s="5">
        <f>IF($I303="","",IFERROR(INDEX('CAT_TIPOS_OT'!$C$4:$C$8,MATCH($I303,'CAT_TIPOS_OT'!$A$4:$A$8,0)),"sin_clasificar"))</f>
        <v/>
      </c>
      <c r="V303" s="5">
        <f>IF($I303="","",IF(IFERROR(INDEX('CAT_TIPOS_OT'!$D$4:$D$8,MATCH($I303,'CAT_TIPOS_OT'!$A$4:$A$8,0)),"SIN CLASIFICAR")="","SIN CLASIFICAR",IFERROR(INDEX('CAT_TIPOS_OT'!$D$4:$D$8,MATCH($I303,'CAT_TIPOS_OT'!$A$4:$A$8,0)),"SIN CLASIFICAR")))</f>
        <v/>
      </c>
      <c r="W303" s="5">
        <f>IF($F303="","",IFERROR(INDEX('CAT_CENTROS_COSTO'!$F$4:$F$13,MATCH($F303,'CAT_CENTROS_COSTO'!$A$4:$A$13,0)),"(sin catálogo)"))</f>
        <v/>
      </c>
      <c r="X303" s="5">
        <f>IF($F303="","",IFERROR(INDEX('CAT_CENTROS_COSTO'!$D$4:$D$13,MATCH($F303,'CAT_CENTROS_COSTO'!$A$4:$A$13,0)),"(sin catálogo)"))</f>
        <v/>
      </c>
      <c r="Y303" s="5">
        <f>IF($F303="","",IF((IFERROR(INDEX('CAT_CENTROS_COSTO'!$E$4:$E$13,MATCH($F303,'CAT_CENTROS_COSTO'!$A$4:$A$13,0)),""))&lt;&gt;"",IFERROR(INDEX('CAT_CENTROS_COSTO'!$E$4:$E$13,MATCH($F303,'CAT_CENTROS_COSTO'!$A$4:$A$13,0)),""),$X303))</f>
        <v/>
      </c>
      <c r="Z303" s="5">
        <f>IF($F303="","",IFERROR(INDEX('CAT_CENTROS_COSTO'!$G$4:$G$13,MATCH($F303,'CAT_CENTROS_COSTO'!$A$4:$A$13,0)),"(sin catálogo)"))</f>
        <v/>
      </c>
      <c r="AA303" s="5">
        <f>IF($G303="","",IFERROR(INDEX('CAT_PUESTOS'!$B$4:$B$8,MATCH($G303,'CAT_PUESTOS'!$A$4:$A$8,0)),"(sin catálogo)"))</f>
        <v/>
      </c>
      <c r="AB303" s="5">
        <f>IF($H303="","",IFERROR(INDEX('CAT_ACTIVIDADES'!$B$4:$B$11,MATCH($H303,'CAT_ACTIVIDADES'!$A$4:$A$11,0)),"(sin catálogo)"))</f>
        <v/>
      </c>
      <c r="AC303" s="20">
        <f>IF($J303="","",TODAY()-$J303)</f>
        <v/>
      </c>
      <c r="AD303" s="20">
        <f>IF($J303="","",IF($J303&lt;=TODAY(),COUNTIFS(cal_fechas,"&gt;="&amp;$J303,cal_fechas,"&lt;"&amp;TODAY(),cal_habil,"sí"),-COUNTIFS(cal_fechas,"&gt;="&amp;TODAY(),cal_fechas,"&lt;"&amp;$J303,cal_habil,"sí")))</f>
        <v/>
      </c>
      <c r="AE303" s="5">
        <f>IF($AD303="","",IF($AD303&lt;0,"FUTURO",IF($AD303&gt;p_dias_backlog_max,"BACKLOG","MES CORRIENTE")))</f>
        <v/>
      </c>
      <c r="AF303" s="5">
        <f>IF($AD303="",FALSE,AND($AD303&gt;p_dias_backlog_min,$AD303&lt;=p_dias_backlog_max))</f>
        <v/>
      </c>
      <c r="AG303" s="4" t="n"/>
      <c r="AH303" s="5">
        <f>IF($AG303="","",IF((IFERROR(INDEX('ASIGNACIONES'!$J$4:$J$451,MATCH($O303&amp;"|"&amp;$S303&amp;"|"&amp;$AG303,'ASIGNACIONES'!$N$4:$N$451,0)),""))=0,"",IFERROR(INDEX('ASIGNACIONES'!$J$4:$J$451,MATCH($O303&amp;"|"&amp;$S303&amp;"|"&amp;$AG303,'ASIGNACIONES'!$N$4:$N$451,0)),"")))</f>
        <v/>
      </c>
      <c r="AI303" s="25">
        <f>IF($AG303="","",SUMIFS('ORDENES'!$M$4:$M$1203,'ORDENES'!$AG$4:$AG$1203,$AG303,'ORDENES'!$O$4:$O$1203,$O303,'ORDENES'!$S$4:$S$1203,$S303))</f>
        <v/>
      </c>
      <c r="AJ303" s="25">
        <f>IF($AI303="","",p_factor_productividad*IFERROR(INDEX('ASIGNACIONES'!$M$4:$M$451,MATCH($O303&amp;"|"&amp;$S303&amp;"|"&amp;$AG303,'ASIGNACIONES'!$N$4:$N$451,0)),0)-$AI303)</f>
        <v/>
      </c>
      <c r="AK303" s="18">
        <f>IF($A303="","",IFERROR(INDEX('2_IMPORTAR_EJECUCION'!$F$9:$F$1208,MATCH($AT303,'2_IMPORTAR_EJECUCION'!$J$9:$J$1208,0)),0))</f>
        <v/>
      </c>
      <c r="AL303" s="18">
        <f>IF($A303="","",MAX(0,IFERROR(INDEX('2_IMPORTAR_EJECUCION'!$H$9:$H$1208,MATCH($AT303,'2_IMPORTAR_EJECUCION'!$J$9:$J$1208,0)),0)-$AK303))</f>
        <v/>
      </c>
      <c r="AM303" s="18">
        <f>IF($A303="","",$AK303+$AL303)</f>
        <v/>
      </c>
      <c r="AN303" s="5">
        <f>IF($A303="","",IF(OR((IFERROR(INDEX('CAT_ACTIVIDADES'!$D$4:$D$11,MATCH($H303,'CAT_ACTIVIDADES'!$A$4:$A$11,0)),""))=0,(IFERROR(INDEX('CAT_ACTIVIDADES'!$D$4:$D$11,MATCH($H303,'CAT_ACTIVIDADES'!$A$4:$A$11,0)),""))=""),"SIN CLASIFICAR",IFERROR(INDEX('CAT_ACTIVIDADES'!$D$4:$D$11,MATCH($H303,'CAT_ACTIVIDADES'!$A$4:$A$11,0)),"")))</f>
        <v/>
      </c>
      <c r="AO303" s="4" t="n"/>
      <c r="AP303" s="4" t="n"/>
      <c r="AQ303" s="4" t="n"/>
      <c r="AR303" s="5">
        <f>IF($AQ303="","",HYPERLINK(p_ruta_base_checklists&amp;$AQ303,"abrir"))</f>
        <v/>
      </c>
      <c r="AS303" s="4" t="n"/>
      <c r="AT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2" t="n"/>
      <c r="K304" s="5" t="n"/>
      <c r="L304" s="18" t="n"/>
      <c r="M304" s="5">
        <f>IF($A304="","",IFERROR(INDEX('AJUSTES'!$B$4:$B$303,MATCH($AT304,'AJUSTES'!$A$4:$A$303,0)),IF($K304="","",$K304)))</f>
        <v/>
      </c>
      <c r="N304" s="5">
        <f>IF($A304="","",IFERROR(INDEX('CAT_ESTADOS_ERP'!$B$4:$B$7,MATCH(IFERROR(INDEX('2_IMPORTAR_EJECUCION'!$C$9:$C$1208,MATCH($AT304,'2_IMPORTAR_EJECUCION'!$J$9:$J$1208,0)),""),'CAT_ESTADOS_ERP'!$A$4:$A$7,0)),"Pendiente"))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IF($J304="","",$P304&amp;"-"&amp;TEXT($Q304,"00"))</f>
        <v/>
      </c>
      <c r="S304" s="5">
        <f>IF($J304="","",INDEX(lista_dias,WEEKDAY($J304,2)))</f>
        <v/>
      </c>
      <c r="T304" s="5">
        <f>IF($J304="","",IFERROR(INDEX('CALENDARIO'!$C$15:$C$214,MATCH(TEXT($J304,"yyyy-mm-dd")&amp;"|"&amp;$X304&amp;"|"&amp;$Y304,'CALENDARIO'!$G$15:$G$214,0)),IFERROR(INDEX('CALENDARIO'!$C$15:$C$214,MATCH(TEXT($J304,"yyyy-mm-dd")&amp;"|"&amp;$X304&amp;"|",'CALENDARIO'!$G$15:$G$214,0)),IFERROR(INDEX('CALENDARIO'!$C$15:$C$214,MATCH(TEXT($J304,"yyyy-mm-dd")&amp;"||",'CALENDARIO'!$G$15:$G$214,0)),INDEX(patronHabil,WEEKDAY($J304,2))))))</f>
        <v/>
      </c>
      <c r="U304" s="5">
        <f>IF($I304="","",IFERROR(INDEX('CAT_TIPOS_OT'!$C$4:$C$8,MATCH($I304,'CAT_TIPOS_OT'!$A$4:$A$8,0)),"sin_clasificar"))</f>
        <v/>
      </c>
      <c r="V304" s="5">
        <f>IF($I304="","",IF(IFERROR(INDEX('CAT_TIPOS_OT'!$D$4:$D$8,MATCH($I304,'CAT_TIPOS_OT'!$A$4:$A$8,0)),"SIN CLASIFICAR")="","SIN CLASIFICAR",IFERROR(INDEX('CAT_TIPOS_OT'!$D$4:$D$8,MATCH($I304,'CAT_TIPOS_OT'!$A$4:$A$8,0)),"SIN CLASIFICAR")))</f>
        <v/>
      </c>
      <c r="W304" s="5">
        <f>IF($F304="","",IFERROR(INDEX('CAT_CENTROS_COSTO'!$F$4:$F$13,MATCH($F304,'CAT_CENTROS_COSTO'!$A$4:$A$13,0)),"(sin catálogo)"))</f>
        <v/>
      </c>
      <c r="X304" s="5">
        <f>IF($F304="","",IFERROR(INDEX('CAT_CENTROS_COSTO'!$D$4:$D$13,MATCH($F304,'CAT_CENTROS_COSTO'!$A$4:$A$13,0)),"(sin catálogo)"))</f>
        <v/>
      </c>
      <c r="Y304" s="5">
        <f>IF($F304="","",IF((IFERROR(INDEX('CAT_CENTROS_COSTO'!$E$4:$E$13,MATCH($F304,'CAT_CENTROS_COSTO'!$A$4:$A$13,0)),""))&lt;&gt;"",IFERROR(INDEX('CAT_CENTROS_COSTO'!$E$4:$E$13,MATCH($F304,'CAT_CENTROS_COSTO'!$A$4:$A$13,0)),""),$X304))</f>
        <v/>
      </c>
      <c r="Z304" s="5">
        <f>IF($F304="","",IFERROR(INDEX('CAT_CENTROS_COSTO'!$G$4:$G$13,MATCH($F304,'CAT_CENTROS_COSTO'!$A$4:$A$13,0)),"(sin catálogo)"))</f>
        <v/>
      </c>
      <c r="AA304" s="5">
        <f>IF($G304="","",IFERROR(INDEX('CAT_PUESTOS'!$B$4:$B$8,MATCH($G304,'CAT_PUESTOS'!$A$4:$A$8,0)),"(sin catálogo)"))</f>
        <v/>
      </c>
      <c r="AB304" s="5">
        <f>IF($H304="","",IFERROR(INDEX('CAT_ACTIVIDADES'!$B$4:$B$11,MATCH($H304,'CAT_ACTIVIDADES'!$A$4:$A$11,0)),"(sin catálogo)"))</f>
        <v/>
      </c>
      <c r="AC304" s="20">
        <f>IF($J304="","",TODAY()-$J304)</f>
        <v/>
      </c>
      <c r="AD304" s="20">
        <f>IF($J304="","",IF($J304&lt;=TODAY(),COUNTIFS(cal_fechas,"&gt;="&amp;$J304,cal_fechas,"&lt;"&amp;TODAY(),cal_habil,"sí"),-COUNTIFS(cal_fechas,"&gt;="&amp;TODAY(),cal_fechas,"&lt;"&amp;$J304,cal_habil,"sí")))</f>
        <v/>
      </c>
      <c r="AE304" s="5">
        <f>IF($AD304="","",IF($AD304&lt;0,"FUTURO",IF($AD304&gt;p_dias_backlog_max,"BACKLOG","MES CORRIENTE")))</f>
        <v/>
      </c>
      <c r="AF304" s="5">
        <f>IF($AD304="",FALSE,AND($AD304&gt;p_dias_backlog_min,$AD304&lt;=p_dias_backlog_max))</f>
        <v/>
      </c>
      <c r="AG304" s="4" t="n"/>
      <c r="AH304" s="5">
        <f>IF($AG304="","",IF((IFERROR(INDEX('ASIGNACIONES'!$J$4:$J$451,MATCH($O304&amp;"|"&amp;$S304&amp;"|"&amp;$AG304,'ASIGNACIONES'!$N$4:$N$451,0)),""))=0,"",IFERROR(INDEX('ASIGNACIONES'!$J$4:$J$451,MATCH($O304&amp;"|"&amp;$S304&amp;"|"&amp;$AG304,'ASIGNACIONES'!$N$4:$N$451,0)),"")))</f>
        <v/>
      </c>
      <c r="AI304" s="25">
        <f>IF($AG304="","",SUMIFS('ORDENES'!$M$4:$M$1203,'ORDENES'!$AG$4:$AG$1203,$AG304,'ORDENES'!$O$4:$O$1203,$O304,'ORDENES'!$S$4:$S$1203,$S304))</f>
        <v/>
      </c>
      <c r="AJ304" s="25">
        <f>IF($AI304="","",p_factor_productividad*IFERROR(INDEX('ASIGNACIONES'!$M$4:$M$451,MATCH($O304&amp;"|"&amp;$S304&amp;"|"&amp;$AG304,'ASIGNACIONES'!$N$4:$N$451,0)),0)-$AI304)</f>
        <v/>
      </c>
      <c r="AK304" s="18">
        <f>IF($A304="","",IFERROR(INDEX('2_IMPORTAR_EJECUCION'!$F$9:$F$1208,MATCH($AT304,'2_IMPORTAR_EJECUCION'!$J$9:$J$1208,0)),0))</f>
        <v/>
      </c>
      <c r="AL304" s="18">
        <f>IF($A304="","",MAX(0,IFERROR(INDEX('2_IMPORTAR_EJECUCION'!$H$9:$H$1208,MATCH($AT304,'2_IMPORTAR_EJECUCION'!$J$9:$J$1208,0)),0)-$AK304))</f>
        <v/>
      </c>
      <c r="AM304" s="18">
        <f>IF($A304="","",$AK304+$AL304)</f>
        <v/>
      </c>
      <c r="AN304" s="5">
        <f>IF($A304="","",IF(OR((IFERROR(INDEX('CAT_ACTIVIDADES'!$D$4:$D$11,MATCH($H304,'CAT_ACTIVIDADES'!$A$4:$A$11,0)),""))=0,(IFERROR(INDEX('CAT_ACTIVIDADES'!$D$4:$D$11,MATCH($H304,'CAT_ACTIVIDADES'!$A$4:$A$11,0)),""))=""),"SIN CLASIFICAR",IFERROR(INDEX('CAT_ACTIVIDADES'!$D$4:$D$11,MATCH($H304,'CAT_ACTIVIDADES'!$A$4:$A$11,0)),"")))</f>
        <v/>
      </c>
      <c r="AO304" s="4" t="n"/>
      <c r="AP304" s="4" t="n"/>
      <c r="AQ304" s="4" t="n"/>
      <c r="AR304" s="5">
        <f>IF($AQ304="","",HYPERLINK(p_ruta_base_checklists&amp;$AQ304,"abrir"))</f>
        <v/>
      </c>
      <c r="AS304" s="4" t="n"/>
      <c r="AT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2" t="n"/>
      <c r="K305" s="5" t="n"/>
      <c r="L305" s="18" t="n"/>
      <c r="M305" s="5">
        <f>IF($A305="","",IFERROR(INDEX('AJUSTES'!$B$4:$B$303,MATCH($AT305,'AJUSTES'!$A$4:$A$303,0)),IF($K305="","",$K305)))</f>
        <v/>
      </c>
      <c r="N305" s="5">
        <f>IF($A305="","",IFERROR(INDEX('CAT_ESTADOS_ERP'!$B$4:$B$7,MATCH(IFERROR(INDEX('2_IMPORTAR_EJECUCION'!$C$9:$C$1208,MATCH($AT305,'2_IMPORTAR_EJECUCION'!$J$9:$J$1208,0)),""),'CAT_ESTADOS_ERP'!$A$4:$A$7,0)),"Pendiente"))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IF($J305="","",$P305&amp;"-"&amp;TEXT($Q305,"00"))</f>
        <v/>
      </c>
      <c r="S305" s="5">
        <f>IF($J305="","",INDEX(lista_dias,WEEKDAY($J305,2)))</f>
        <v/>
      </c>
      <c r="T305" s="5">
        <f>IF($J305="","",IFERROR(INDEX('CALENDARIO'!$C$15:$C$214,MATCH(TEXT($J305,"yyyy-mm-dd")&amp;"|"&amp;$X305&amp;"|"&amp;$Y305,'CALENDARIO'!$G$15:$G$214,0)),IFERROR(INDEX('CALENDARIO'!$C$15:$C$214,MATCH(TEXT($J305,"yyyy-mm-dd")&amp;"|"&amp;$X305&amp;"|",'CALENDARIO'!$G$15:$G$214,0)),IFERROR(INDEX('CALENDARIO'!$C$15:$C$214,MATCH(TEXT($J305,"yyyy-mm-dd")&amp;"||",'CALENDARIO'!$G$15:$G$214,0)),INDEX(patronHabil,WEEKDAY($J305,2))))))</f>
        <v/>
      </c>
      <c r="U305" s="5">
        <f>IF($I305="","",IFERROR(INDEX('CAT_TIPOS_OT'!$C$4:$C$8,MATCH($I305,'CAT_TIPOS_OT'!$A$4:$A$8,0)),"sin_clasificar"))</f>
        <v/>
      </c>
      <c r="V305" s="5">
        <f>IF($I305="","",IF(IFERROR(INDEX('CAT_TIPOS_OT'!$D$4:$D$8,MATCH($I305,'CAT_TIPOS_OT'!$A$4:$A$8,0)),"SIN CLASIFICAR")="","SIN CLASIFICAR",IFERROR(INDEX('CAT_TIPOS_OT'!$D$4:$D$8,MATCH($I305,'CAT_TIPOS_OT'!$A$4:$A$8,0)),"SIN CLASIFICAR")))</f>
        <v/>
      </c>
      <c r="W305" s="5">
        <f>IF($F305="","",IFERROR(INDEX('CAT_CENTROS_COSTO'!$F$4:$F$13,MATCH($F305,'CAT_CENTROS_COSTO'!$A$4:$A$13,0)),"(sin catálogo)"))</f>
        <v/>
      </c>
      <c r="X305" s="5">
        <f>IF($F305="","",IFERROR(INDEX('CAT_CENTROS_COSTO'!$D$4:$D$13,MATCH($F305,'CAT_CENTROS_COSTO'!$A$4:$A$13,0)),"(sin catálogo)"))</f>
        <v/>
      </c>
      <c r="Y305" s="5">
        <f>IF($F305="","",IF((IFERROR(INDEX('CAT_CENTROS_COSTO'!$E$4:$E$13,MATCH($F305,'CAT_CENTROS_COSTO'!$A$4:$A$13,0)),""))&lt;&gt;"",IFERROR(INDEX('CAT_CENTROS_COSTO'!$E$4:$E$13,MATCH($F305,'CAT_CENTROS_COSTO'!$A$4:$A$13,0)),""),$X305))</f>
        <v/>
      </c>
      <c r="Z305" s="5">
        <f>IF($F305="","",IFERROR(INDEX('CAT_CENTROS_COSTO'!$G$4:$G$13,MATCH($F305,'CAT_CENTROS_COSTO'!$A$4:$A$13,0)),"(sin catálogo)"))</f>
        <v/>
      </c>
      <c r="AA305" s="5">
        <f>IF($G305="","",IFERROR(INDEX('CAT_PUESTOS'!$B$4:$B$8,MATCH($G305,'CAT_PUESTOS'!$A$4:$A$8,0)),"(sin catálogo)"))</f>
        <v/>
      </c>
      <c r="AB305" s="5">
        <f>IF($H305="","",IFERROR(INDEX('CAT_ACTIVIDADES'!$B$4:$B$11,MATCH($H305,'CAT_ACTIVIDADES'!$A$4:$A$11,0)),"(sin catálogo)"))</f>
        <v/>
      </c>
      <c r="AC305" s="20">
        <f>IF($J305="","",TODAY()-$J305)</f>
        <v/>
      </c>
      <c r="AD305" s="20">
        <f>IF($J305="","",IF($J305&lt;=TODAY(),COUNTIFS(cal_fechas,"&gt;="&amp;$J305,cal_fechas,"&lt;"&amp;TODAY(),cal_habil,"sí"),-COUNTIFS(cal_fechas,"&gt;="&amp;TODAY(),cal_fechas,"&lt;"&amp;$J305,cal_habil,"sí")))</f>
        <v/>
      </c>
      <c r="AE305" s="5">
        <f>IF($AD305="","",IF($AD305&lt;0,"FUTURO",IF($AD305&gt;p_dias_backlog_max,"BACKLOG","MES CORRIENTE")))</f>
        <v/>
      </c>
      <c r="AF305" s="5">
        <f>IF($AD305="",FALSE,AND($AD305&gt;p_dias_backlog_min,$AD305&lt;=p_dias_backlog_max))</f>
        <v/>
      </c>
      <c r="AG305" s="4" t="n"/>
      <c r="AH305" s="5">
        <f>IF($AG305="","",IF((IFERROR(INDEX('ASIGNACIONES'!$J$4:$J$451,MATCH($O305&amp;"|"&amp;$S305&amp;"|"&amp;$AG305,'ASIGNACIONES'!$N$4:$N$451,0)),""))=0,"",IFERROR(INDEX('ASIGNACIONES'!$J$4:$J$451,MATCH($O305&amp;"|"&amp;$S305&amp;"|"&amp;$AG305,'ASIGNACIONES'!$N$4:$N$451,0)),"")))</f>
        <v/>
      </c>
      <c r="AI305" s="25">
        <f>IF($AG305="","",SUMIFS('ORDENES'!$M$4:$M$1203,'ORDENES'!$AG$4:$AG$1203,$AG305,'ORDENES'!$O$4:$O$1203,$O305,'ORDENES'!$S$4:$S$1203,$S305))</f>
        <v/>
      </c>
      <c r="AJ305" s="25">
        <f>IF($AI305="","",p_factor_productividad*IFERROR(INDEX('ASIGNACIONES'!$M$4:$M$451,MATCH($O305&amp;"|"&amp;$S305&amp;"|"&amp;$AG305,'ASIGNACIONES'!$N$4:$N$451,0)),0)-$AI305)</f>
        <v/>
      </c>
      <c r="AK305" s="18">
        <f>IF($A305="","",IFERROR(INDEX('2_IMPORTAR_EJECUCION'!$F$9:$F$1208,MATCH($AT305,'2_IMPORTAR_EJECUCION'!$J$9:$J$1208,0)),0))</f>
        <v/>
      </c>
      <c r="AL305" s="18">
        <f>IF($A305="","",MAX(0,IFERROR(INDEX('2_IMPORTAR_EJECUCION'!$H$9:$H$1208,MATCH($AT305,'2_IMPORTAR_EJECUCION'!$J$9:$J$1208,0)),0)-$AK305))</f>
        <v/>
      </c>
      <c r="AM305" s="18">
        <f>IF($A305="","",$AK305+$AL305)</f>
        <v/>
      </c>
      <c r="AN305" s="5">
        <f>IF($A305="","",IF(OR((IFERROR(INDEX('CAT_ACTIVIDADES'!$D$4:$D$11,MATCH($H305,'CAT_ACTIVIDADES'!$A$4:$A$11,0)),""))=0,(IFERROR(INDEX('CAT_ACTIVIDADES'!$D$4:$D$11,MATCH($H305,'CAT_ACTIVIDADES'!$A$4:$A$11,0)),""))=""),"SIN CLASIFICAR",IFERROR(INDEX('CAT_ACTIVIDADES'!$D$4:$D$11,MATCH($H305,'CAT_ACTIVIDADES'!$A$4:$A$11,0)),"")))</f>
        <v/>
      </c>
      <c r="AO305" s="4" t="n"/>
      <c r="AP305" s="4" t="n"/>
      <c r="AQ305" s="4" t="n"/>
      <c r="AR305" s="5">
        <f>IF($AQ305="","",HYPERLINK(p_ruta_base_checklists&amp;$AQ305,"abrir"))</f>
        <v/>
      </c>
      <c r="AS305" s="4" t="n"/>
      <c r="AT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2" t="n"/>
      <c r="K306" s="5" t="n"/>
      <c r="L306" s="18" t="n"/>
      <c r="M306" s="5">
        <f>IF($A306="","",IFERROR(INDEX('AJUSTES'!$B$4:$B$303,MATCH($AT306,'AJUSTES'!$A$4:$A$303,0)),IF($K306="","",$K306)))</f>
        <v/>
      </c>
      <c r="N306" s="5">
        <f>IF($A306="","",IFERROR(INDEX('CAT_ESTADOS_ERP'!$B$4:$B$7,MATCH(IFERROR(INDEX('2_IMPORTAR_EJECUCION'!$C$9:$C$1208,MATCH($AT306,'2_IMPORTAR_EJECUCION'!$J$9:$J$1208,0)),""),'CAT_ESTADOS_ERP'!$A$4:$A$7,0)),"Pendiente"))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IF($J306="","",$P306&amp;"-"&amp;TEXT($Q306,"00"))</f>
        <v/>
      </c>
      <c r="S306" s="5">
        <f>IF($J306="","",INDEX(lista_dias,WEEKDAY($J306,2)))</f>
        <v/>
      </c>
      <c r="T306" s="5">
        <f>IF($J306="","",IFERROR(INDEX('CALENDARIO'!$C$15:$C$214,MATCH(TEXT($J306,"yyyy-mm-dd")&amp;"|"&amp;$X306&amp;"|"&amp;$Y306,'CALENDARIO'!$G$15:$G$214,0)),IFERROR(INDEX('CALENDARIO'!$C$15:$C$214,MATCH(TEXT($J306,"yyyy-mm-dd")&amp;"|"&amp;$X306&amp;"|",'CALENDARIO'!$G$15:$G$214,0)),IFERROR(INDEX('CALENDARIO'!$C$15:$C$214,MATCH(TEXT($J306,"yyyy-mm-dd")&amp;"||",'CALENDARIO'!$G$15:$G$214,0)),INDEX(patronHabil,WEEKDAY($J306,2))))))</f>
        <v/>
      </c>
      <c r="U306" s="5">
        <f>IF($I306="","",IFERROR(INDEX('CAT_TIPOS_OT'!$C$4:$C$8,MATCH($I306,'CAT_TIPOS_OT'!$A$4:$A$8,0)),"sin_clasificar"))</f>
        <v/>
      </c>
      <c r="V306" s="5">
        <f>IF($I306="","",IF(IFERROR(INDEX('CAT_TIPOS_OT'!$D$4:$D$8,MATCH($I306,'CAT_TIPOS_OT'!$A$4:$A$8,0)),"SIN CLASIFICAR")="","SIN CLASIFICAR",IFERROR(INDEX('CAT_TIPOS_OT'!$D$4:$D$8,MATCH($I306,'CAT_TIPOS_OT'!$A$4:$A$8,0)),"SIN CLASIFICAR")))</f>
        <v/>
      </c>
      <c r="W306" s="5">
        <f>IF($F306="","",IFERROR(INDEX('CAT_CENTROS_COSTO'!$F$4:$F$13,MATCH($F306,'CAT_CENTROS_COSTO'!$A$4:$A$13,0)),"(sin catálogo)"))</f>
        <v/>
      </c>
      <c r="X306" s="5">
        <f>IF($F306="","",IFERROR(INDEX('CAT_CENTROS_COSTO'!$D$4:$D$13,MATCH($F306,'CAT_CENTROS_COSTO'!$A$4:$A$13,0)),"(sin catálogo)"))</f>
        <v/>
      </c>
      <c r="Y306" s="5">
        <f>IF($F306="","",IF((IFERROR(INDEX('CAT_CENTROS_COSTO'!$E$4:$E$13,MATCH($F306,'CAT_CENTROS_COSTO'!$A$4:$A$13,0)),""))&lt;&gt;"",IFERROR(INDEX('CAT_CENTROS_COSTO'!$E$4:$E$13,MATCH($F306,'CAT_CENTROS_COSTO'!$A$4:$A$13,0)),""),$X306))</f>
        <v/>
      </c>
      <c r="Z306" s="5">
        <f>IF($F306="","",IFERROR(INDEX('CAT_CENTROS_COSTO'!$G$4:$G$13,MATCH($F306,'CAT_CENTROS_COSTO'!$A$4:$A$13,0)),"(sin catálogo)"))</f>
        <v/>
      </c>
      <c r="AA306" s="5">
        <f>IF($G306="","",IFERROR(INDEX('CAT_PUESTOS'!$B$4:$B$8,MATCH($G306,'CAT_PUESTOS'!$A$4:$A$8,0)),"(sin catálogo)"))</f>
        <v/>
      </c>
      <c r="AB306" s="5">
        <f>IF($H306="","",IFERROR(INDEX('CAT_ACTIVIDADES'!$B$4:$B$11,MATCH($H306,'CAT_ACTIVIDADES'!$A$4:$A$11,0)),"(sin catálogo)"))</f>
        <v/>
      </c>
      <c r="AC306" s="20">
        <f>IF($J306="","",TODAY()-$J306)</f>
        <v/>
      </c>
      <c r="AD306" s="20">
        <f>IF($J306="","",IF($J306&lt;=TODAY(),COUNTIFS(cal_fechas,"&gt;="&amp;$J306,cal_fechas,"&lt;"&amp;TODAY(),cal_habil,"sí"),-COUNTIFS(cal_fechas,"&gt;="&amp;TODAY(),cal_fechas,"&lt;"&amp;$J306,cal_habil,"sí")))</f>
        <v/>
      </c>
      <c r="AE306" s="5">
        <f>IF($AD306="","",IF($AD306&lt;0,"FUTURO",IF($AD306&gt;p_dias_backlog_max,"BACKLOG","MES CORRIENTE")))</f>
        <v/>
      </c>
      <c r="AF306" s="5">
        <f>IF($AD306="",FALSE,AND($AD306&gt;p_dias_backlog_min,$AD306&lt;=p_dias_backlog_max))</f>
        <v/>
      </c>
      <c r="AG306" s="4" t="n"/>
      <c r="AH306" s="5">
        <f>IF($AG306="","",IF((IFERROR(INDEX('ASIGNACIONES'!$J$4:$J$451,MATCH($O306&amp;"|"&amp;$S306&amp;"|"&amp;$AG306,'ASIGNACIONES'!$N$4:$N$451,0)),""))=0,"",IFERROR(INDEX('ASIGNACIONES'!$J$4:$J$451,MATCH($O306&amp;"|"&amp;$S306&amp;"|"&amp;$AG306,'ASIGNACIONES'!$N$4:$N$451,0)),"")))</f>
        <v/>
      </c>
      <c r="AI306" s="25">
        <f>IF($AG306="","",SUMIFS('ORDENES'!$M$4:$M$1203,'ORDENES'!$AG$4:$AG$1203,$AG306,'ORDENES'!$O$4:$O$1203,$O306,'ORDENES'!$S$4:$S$1203,$S306))</f>
        <v/>
      </c>
      <c r="AJ306" s="25">
        <f>IF($AI306="","",p_factor_productividad*IFERROR(INDEX('ASIGNACIONES'!$M$4:$M$451,MATCH($O306&amp;"|"&amp;$S306&amp;"|"&amp;$AG306,'ASIGNACIONES'!$N$4:$N$451,0)),0)-$AI306)</f>
        <v/>
      </c>
      <c r="AK306" s="18">
        <f>IF($A306="","",IFERROR(INDEX('2_IMPORTAR_EJECUCION'!$F$9:$F$1208,MATCH($AT306,'2_IMPORTAR_EJECUCION'!$J$9:$J$1208,0)),0))</f>
        <v/>
      </c>
      <c r="AL306" s="18">
        <f>IF($A306="","",MAX(0,IFERROR(INDEX('2_IMPORTAR_EJECUCION'!$H$9:$H$1208,MATCH($AT306,'2_IMPORTAR_EJECUCION'!$J$9:$J$1208,0)),0)-$AK306))</f>
        <v/>
      </c>
      <c r="AM306" s="18">
        <f>IF($A306="","",$AK306+$AL306)</f>
        <v/>
      </c>
      <c r="AN306" s="5">
        <f>IF($A306="","",IF(OR((IFERROR(INDEX('CAT_ACTIVIDADES'!$D$4:$D$11,MATCH($H306,'CAT_ACTIVIDADES'!$A$4:$A$11,0)),""))=0,(IFERROR(INDEX('CAT_ACTIVIDADES'!$D$4:$D$11,MATCH($H306,'CAT_ACTIVIDADES'!$A$4:$A$11,0)),""))=""),"SIN CLASIFICAR",IFERROR(INDEX('CAT_ACTIVIDADES'!$D$4:$D$11,MATCH($H306,'CAT_ACTIVIDADES'!$A$4:$A$11,0)),"")))</f>
        <v/>
      </c>
      <c r="AO306" s="4" t="n"/>
      <c r="AP306" s="4" t="n"/>
      <c r="AQ306" s="4" t="n"/>
      <c r="AR306" s="5">
        <f>IF($AQ306="","",HYPERLINK(p_ruta_base_checklists&amp;$AQ306,"abrir"))</f>
        <v/>
      </c>
      <c r="AS306" s="4" t="n"/>
      <c r="AT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2" t="n"/>
      <c r="K307" s="5" t="n"/>
      <c r="L307" s="18" t="n"/>
      <c r="M307" s="5">
        <f>IF($A307="","",IFERROR(INDEX('AJUSTES'!$B$4:$B$303,MATCH($AT307,'AJUSTES'!$A$4:$A$303,0)),IF($K307="","",$K307)))</f>
        <v/>
      </c>
      <c r="N307" s="5">
        <f>IF($A307="","",IFERROR(INDEX('CAT_ESTADOS_ERP'!$B$4:$B$7,MATCH(IFERROR(INDEX('2_IMPORTAR_EJECUCION'!$C$9:$C$1208,MATCH($AT307,'2_IMPORTAR_EJECUCION'!$J$9:$J$1208,0)),""),'CAT_ESTADOS_ERP'!$A$4:$A$7,0)),"Pendiente"))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IF($J307="","",$P307&amp;"-"&amp;TEXT($Q307,"00"))</f>
        <v/>
      </c>
      <c r="S307" s="5">
        <f>IF($J307="","",INDEX(lista_dias,WEEKDAY($J307,2)))</f>
        <v/>
      </c>
      <c r="T307" s="5">
        <f>IF($J307="","",IFERROR(INDEX('CALENDARIO'!$C$15:$C$214,MATCH(TEXT($J307,"yyyy-mm-dd")&amp;"|"&amp;$X307&amp;"|"&amp;$Y307,'CALENDARIO'!$G$15:$G$214,0)),IFERROR(INDEX('CALENDARIO'!$C$15:$C$214,MATCH(TEXT($J307,"yyyy-mm-dd")&amp;"|"&amp;$X307&amp;"|",'CALENDARIO'!$G$15:$G$214,0)),IFERROR(INDEX('CALENDARIO'!$C$15:$C$214,MATCH(TEXT($J307,"yyyy-mm-dd")&amp;"||",'CALENDARIO'!$G$15:$G$214,0)),INDEX(patronHabil,WEEKDAY($J307,2))))))</f>
        <v/>
      </c>
      <c r="U307" s="5">
        <f>IF($I307="","",IFERROR(INDEX('CAT_TIPOS_OT'!$C$4:$C$8,MATCH($I307,'CAT_TIPOS_OT'!$A$4:$A$8,0)),"sin_clasificar"))</f>
        <v/>
      </c>
      <c r="V307" s="5">
        <f>IF($I307="","",IF(IFERROR(INDEX('CAT_TIPOS_OT'!$D$4:$D$8,MATCH($I307,'CAT_TIPOS_OT'!$A$4:$A$8,0)),"SIN CLASIFICAR")="","SIN CLASIFICAR",IFERROR(INDEX('CAT_TIPOS_OT'!$D$4:$D$8,MATCH($I307,'CAT_TIPOS_OT'!$A$4:$A$8,0)),"SIN CLASIFICAR")))</f>
        <v/>
      </c>
      <c r="W307" s="5">
        <f>IF($F307="","",IFERROR(INDEX('CAT_CENTROS_COSTO'!$F$4:$F$13,MATCH($F307,'CAT_CENTROS_COSTO'!$A$4:$A$13,0)),"(sin catálogo)"))</f>
        <v/>
      </c>
      <c r="X307" s="5">
        <f>IF($F307="","",IFERROR(INDEX('CAT_CENTROS_COSTO'!$D$4:$D$13,MATCH($F307,'CAT_CENTROS_COSTO'!$A$4:$A$13,0)),"(sin catálogo)"))</f>
        <v/>
      </c>
      <c r="Y307" s="5">
        <f>IF($F307="","",IF((IFERROR(INDEX('CAT_CENTROS_COSTO'!$E$4:$E$13,MATCH($F307,'CAT_CENTROS_COSTO'!$A$4:$A$13,0)),""))&lt;&gt;"",IFERROR(INDEX('CAT_CENTROS_COSTO'!$E$4:$E$13,MATCH($F307,'CAT_CENTROS_COSTO'!$A$4:$A$13,0)),""),$X307))</f>
        <v/>
      </c>
      <c r="Z307" s="5">
        <f>IF($F307="","",IFERROR(INDEX('CAT_CENTROS_COSTO'!$G$4:$G$13,MATCH($F307,'CAT_CENTROS_COSTO'!$A$4:$A$13,0)),"(sin catálogo)"))</f>
        <v/>
      </c>
      <c r="AA307" s="5">
        <f>IF($G307="","",IFERROR(INDEX('CAT_PUESTOS'!$B$4:$B$8,MATCH($G307,'CAT_PUESTOS'!$A$4:$A$8,0)),"(sin catálogo)"))</f>
        <v/>
      </c>
      <c r="AB307" s="5">
        <f>IF($H307="","",IFERROR(INDEX('CAT_ACTIVIDADES'!$B$4:$B$11,MATCH($H307,'CAT_ACTIVIDADES'!$A$4:$A$11,0)),"(sin catálogo)"))</f>
        <v/>
      </c>
      <c r="AC307" s="20">
        <f>IF($J307="","",TODAY()-$J307)</f>
        <v/>
      </c>
      <c r="AD307" s="20">
        <f>IF($J307="","",IF($J307&lt;=TODAY(),COUNTIFS(cal_fechas,"&gt;="&amp;$J307,cal_fechas,"&lt;"&amp;TODAY(),cal_habil,"sí"),-COUNTIFS(cal_fechas,"&gt;="&amp;TODAY(),cal_fechas,"&lt;"&amp;$J307,cal_habil,"sí")))</f>
        <v/>
      </c>
      <c r="AE307" s="5">
        <f>IF($AD307="","",IF($AD307&lt;0,"FUTURO",IF($AD307&gt;p_dias_backlog_max,"BACKLOG","MES CORRIENTE")))</f>
        <v/>
      </c>
      <c r="AF307" s="5">
        <f>IF($AD307="",FALSE,AND($AD307&gt;p_dias_backlog_min,$AD307&lt;=p_dias_backlog_max))</f>
        <v/>
      </c>
      <c r="AG307" s="4" t="n"/>
      <c r="AH307" s="5">
        <f>IF($AG307="","",IF((IFERROR(INDEX('ASIGNACIONES'!$J$4:$J$451,MATCH($O307&amp;"|"&amp;$S307&amp;"|"&amp;$AG307,'ASIGNACIONES'!$N$4:$N$451,0)),""))=0,"",IFERROR(INDEX('ASIGNACIONES'!$J$4:$J$451,MATCH($O307&amp;"|"&amp;$S307&amp;"|"&amp;$AG307,'ASIGNACIONES'!$N$4:$N$451,0)),"")))</f>
        <v/>
      </c>
      <c r="AI307" s="25">
        <f>IF($AG307="","",SUMIFS('ORDENES'!$M$4:$M$1203,'ORDENES'!$AG$4:$AG$1203,$AG307,'ORDENES'!$O$4:$O$1203,$O307,'ORDENES'!$S$4:$S$1203,$S307))</f>
        <v/>
      </c>
      <c r="AJ307" s="25">
        <f>IF($AI307="","",p_factor_productividad*IFERROR(INDEX('ASIGNACIONES'!$M$4:$M$451,MATCH($O307&amp;"|"&amp;$S307&amp;"|"&amp;$AG307,'ASIGNACIONES'!$N$4:$N$451,0)),0)-$AI307)</f>
        <v/>
      </c>
      <c r="AK307" s="18">
        <f>IF($A307="","",IFERROR(INDEX('2_IMPORTAR_EJECUCION'!$F$9:$F$1208,MATCH($AT307,'2_IMPORTAR_EJECUCION'!$J$9:$J$1208,0)),0))</f>
        <v/>
      </c>
      <c r="AL307" s="18">
        <f>IF($A307="","",MAX(0,IFERROR(INDEX('2_IMPORTAR_EJECUCION'!$H$9:$H$1208,MATCH($AT307,'2_IMPORTAR_EJECUCION'!$J$9:$J$1208,0)),0)-$AK307))</f>
        <v/>
      </c>
      <c r="AM307" s="18">
        <f>IF($A307="","",$AK307+$AL307)</f>
        <v/>
      </c>
      <c r="AN307" s="5">
        <f>IF($A307="","",IF(OR((IFERROR(INDEX('CAT_ACTIVIDADES'!$D$4:$D$11,MATCH($H307,'CAT_ACTIVIDADES'!$A$4:$A$11,0)),""))=0,(IFERROR(INDEX('CAT_ACTIVIDADES'!$D$4:$D$11,MATCH($H307,'CAT_ACTIVIDADES'!$A$4:$A$11,0)),""))=""),"SIN CLASIFICAR",IFERROR(INDEX('CAT_ACTIVIDADES'!$D$4:$D$11,MATCH($H307,'CAT_ACTIVIDADES'!$A$4:$A$11,0)),"")))</f>
        <v/>
      </c>
      <c r="AO307" s="4" t="n"/>
      <c r="AP307" s="4" t="n"/>
      <c r="AQ307" s="4" t="n"/>
      <c r="AR307" s="5">
        <f>IF($AQ307="","",HYPERLINK(p_ruta_base_checklists&amp;$AQ307,"abrir"))</f>
        <v/>
      </c>
      <c r="AS307" s="4" t="n"/>
      <c r="AT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2" t="n"/>
      <c r="K308" s="5" t="n"/>
      <c r="L308" s="18" t="n"/>
      <c r="M308" s="5">
        <f>IF($A308="","",IFERROR(INDEX('AJUSTES'!$B$4:$B$303,MATCH($AT308,'AJUSTES'!$A$4:$A$303,0)),IF($K308="","",$K308)))</f>
        <v/>
      </c>
      <c r="N308" s="5">
        <f>IF($A308="","",IFERROR(INDEX('CAT_ESTADOS_ERP'!$B$4:$B$7,MATCH(IFERROR(INDEX('2_IMPORTAR_EJECUCION'!$C$9:$C$1208,MATCH($AT308,'2_IMPORTAR_EJECUCION'!$J$9:$J$1208,0)),""),'CAT_ESTADOS_ERP'!$A$4:$A$7,0)),"Pendiente"))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IF($J308="","",$P308&amp;"-"&amp;TEXT($Q308,"00"))</f>
        <v/>
      </c>
      <c r="S308" s="5">
        <f>IF($J308="","",INDEX(lista_dias,WEEKDAY($J308,2)))</f>
        <v/>
      </c>
      <c r="T308" s="5">
        <f>IF($J308="","",IFERROR(INDEX('CALENDARIO'!$C$15:$C$214,MATCH(TEXT($J308,"yyyy-mm-dd")&amp;"|"&amp;$X308&amp;"|"&amp;$Y308,'CALENDARIO'!$G$15:$G$214,0)),IFERROR(INDEX('CALENDARIO'!$C$15:$C$214,MATCH(TEXT($J308,"yyyy-mm-dd")&amp;"|"&amp;$X308&amp;"|",'CALENDARIO'!$G$15:$G$214,0)),IFERROR(INDEX('CALENDARIO'!$C$15:$C$214,MATCH(TEXT($J308,"yyyy-mm-dd")&amp;"||",'CALENDARIO'!$G$15:$G$214,0)),INDEX(patronHabil,WEEKDAY($J308,2))))))</f>
        <v/>
      </c>
      <c r="U308" s="5">
        <f>IF($I308="","",IFERROR(INDEX('CAT_TIPOS_OT'!$C$4:$C$8,MATCH($I308,'CAT_TIPOS_OT'!$A$4:$A$8,0)),"sin_clasificar"))</f>
        <v/>
      </c>
      <c r="V308" s="5">
        <f>IF($I308="","",IF(IFERROR(INDEX('CAT_TIPOS_OT'!$D$4:$D$8,MATCH($I308,'CAT_TIPOS_OT'!$A$4:$A$8,0)),"SIN CLASIFICAR")="","SIN CLASIFICAR",IFERROR(INDEX('CAT_TIPOS_OT'!$D$4:$D$8,MATCH($I308,'CAT_TIPOS_OT'!$A$4:$A$8,0)),"SIN CLASIFICAR")))</f>
        <v/>
      </c>
      <c r="W308" s="5">
        <f>IF($F308="","",IFERROR(INDEX('CAT_CENTROS_COSTO'!$F$4:$F$13,MATCH($F308,'CAT_CENTROS_COSTO'!$A$4:$A$13,0)),"(sin catálogo)"))</f>
        <v/>
      </c>
      <c r="X308" s="5">
        <f>IF($F308="","",IFERROR(INDEX('CAT_CENTROS_COSTO'!$D$4:$D$13,MATCH($F308,'CAT_CENTROS_COSTO'!$A$4:$A$13,0)),"(sin catálogo)"))</f>
        <v/>
      </c>
      <c r="Y308" s="5">
        <f>IF($F308="","",IF((IFERROR(INDEX('CAT_CENTROS_COSTO'!$E$4:$E$13,MATCH($F308,'CAT_CENTROS_COSTO'!$A$4:$A$13,0)),""))&lt;&gt;"",IFERROR(INDEX('CAT_CENTROS_COSTO'!$E$4:$E$13,MATCH($F308,'CAT_CENTROS_COSTO'!$A$4:$A$13,0)),""),$X308))</f>
        <v/>
      </c>
      <c r="Z308" s="5">
        <f>IF($F308="","",IFERROR(INDEX('CAT_CENTROS_COSTO'!$G$4:$G$13,MATCH($F308,'CAT_CENTROS_COSTO'!$A$4:$A$13,0)),"(sin catálogo)"))</f>
        <v/>
      </c>
      <c r="AA308" s="5">
        <f>IF($G308="","",IFERROR(INDEX('CAT_PUESTOS'!$B$4:$B$8,MATCH($G308,'CAT_PUESTOS'!$A$4:$A$8,0)),"(sin catálogo)"))</f>
        <v/>
      </c>
      <c r="AB308" s="5">
        <f>IF($H308="","",IFERROR(INDEX('CAT_ACTIVIDADES'!$B$4:$B$11,MATCH($H308,'CAT_ACTIVIDADES'!$A$4:$A$11,0)),"(sin catálogo)"))</f>
        <v/>
      </c>
      <c r="AC308" s="20">
        <f>IF($J308="","",TODAY()-$J308)</f>
        <v/>
      </c>
      <c r="AD308" s="20">
        <f>IF($J308="","",IF($J308&lt;=TODAY(),COUNTIFS(cal_fechas,"&gt;="&amp;$J308,cal_fechas,"&lt;"&amp;TODAY(),cal_habil,"sí"),-COUNTIFS(cal_fechas,"&gt;="&amp;TODAY(),cal_fechas,"&lt;"&amp;$J308,cal_habil,"sí")))</f>
        <v/>
      </c>
      <c r="AE308" s="5">
        <f>IF($AD308="","",IF($AD308&lt;0,"FUTURO",IF($AD308&gt;p_dias_backlog_max,"BACKLOG","MES CORRIENTE")))</f>
        <v/>
      </c>
      <c r="AF308" s="5">
        <f>IF($AD308="",FALSE,AND($AD308&gt;p_dias_backlog_min,$AD308&lt;=p_dias_backlog_max))</f>
        <v/>
      </c>
      <c r="AG308" s="4" t="n"/>
      <c r="AH308" s="5">
        <f>IF($AG308="","",IF((IFERROR(INDEX('ASIGNACIONES'!$J$4:$J$451,MATCH($O308&amp;"|"&amp;$S308&amp;"|"&amp;$AG308,'ASIGNACIONES'!$N$4:$N$451,0)),""))=0,"",IFERROR(INDEX('ASIGNACIONES'!$J$4:$J$451,MATCH($O308&amp;"|"&amp;$S308&amp;"|"&amp;$AG308,'ASIGNACIONES'!$N$4:$N$451,0)),"")))</f>
        <v/>
      </c>
      <c r="AI308" s="25">
        <f>IF($AG308="","",SUMIFS('ORDENES'!$M$4:$M$1203,'ORDENES'!$AG$4:$AG$1203,$AG308,'ORDENES'!$O$4:$O$1203,$O308,'ORDENES'!$S$4:$S$1203,$S308))</f>
        <v/>
      </c>
      <c r="AJ308" s="25">
        <f>IF($AI308="","",p_factor_productividad*IFERROR(INDEX('ASIGNACIONES'!$M$4:$M$451,MATCH($O308&amp;"|"&amp;$S308&amp;"|"&amp;$AG308,'ASIGNACIONES'!$N$4:$N$451,0)),0)-$AI308)</f>
        <v/>
      </c>
      <c r="AK308" s="18">
        <f>IF($A308="","",IFERROR(INDEX('2_IMPORTAR_EJECUCION'!$F$9:$F$1208,MATCH($AT308,'2_IMPORTAR_EJECUCION'!$J$9:$J$1208,0)),0))</f>
        <v/>
      </c>
      <c r="AL308" s="18">
        <f>IF($A308="","",MAX(0,IFERROR(INDEX('2_IMPORTAR_EJECUCION'!$H$9:$H$1208,MATCH($AT308,'2_IMPORTAR_EJECUCION'!$J$9:$J$1208,0)),0)-$AK308))</f>
        <v/>
      </c>
      <c r="AM308" s="18">
        <f>IF($A308="","",$AK308+$AL308)</f>
        <v/>
      </c>
      <c r="AN308" s="5">
        <f>IF($A308="","",IF(OR((IFERROR(INDEX('CAT_ACTIVIDADES'!$D$4:$D$11,MATCH($H308,'CAT_ACTIVIDADES'!$A$4:$A$11,0)),""))=0,(IFERROR(INDEX('CAT_ACTIVIDADES'!$D$4:$D$11,MATCH($H308,'CAT_ACTIVIDADES'!$A$4:$A$11,0)),""))=""),"SIN CLASIFICAR",IFERROR(INDEX('CAT_ACTIVIDADES'!$D$4:$D$11,MATCH($H308,'CAT_ACTIVIDADES'!$A$4:$A$11,0)),"")))</f>
        <v/>
      </c>
      <c r="AO308" s="4" t="n"/>
      <c r="AP308" s="4" t="n"/>
      <c r="AQ308" s="4" t="n"/>
      <c r="AR308" s="5">
        <f>IF($AQ308="","",HYPERLINK(p_ruta_base_checklists&amp;$AQ308,"abrir"))</f>
        <v/>
      </c>
      <c r="AS308" s="4" t="n"/>
      <c r="AT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2" t="n"/>
      <c r="K309" s="5" t="n"/>
      <c r="L309" s="18" t="n"/>
      <c r="M309" s="5">
        <f>IF($A309="","",IFERROR(INDEX('AJUSTES'!$B$4:$B$303,MATCH($AT309,'AJUSTES'!$A$4:$A$303,0)),IF($K309="","",$K309)))</f>
        <v/>
      </c>
      <c r="N309" s="5">
        <f>IF($A309="","",IFERROR(INDEX('CAT_ESTADOS_ERP'!$B$4:$B$7,MATCH(IFERROR(INDEX('2_IMPORTAR_EJECUCION'!$C$9:$C$1208,MATCH($AT309,'2_IMPORTAR_EJECUCION'!$J$9:$J$1208,0)),""),'CAT_ESTADOS_ERP'!$A$4:$A$7,0)),"Pendiente"))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IF($J309="","",$P309&amp;"-"&amp;TEXT($Q309,"00"))</f>
        <v/>
      </c>
      <c r="S309" s="5">
        <f>IF($J309="","",INDEX(lista_dias,WEEKDAY($J309,2)))</f>
        <v/>
      </c>
      <c r="T309" s="5">
        <f>IF($J309="","",IFERROR(INDEX('CALENDARIO'!$C$15:$C$214,MATCH(TEXT($J309,"yyyy-mm-dd")&amp;"|"&amp;$X309&amp;"|"&amp;$Y309,'CALENDARIO'!$G$15:$G$214,0)),IFERROR(INDEX('CALENDARIO'!$C$15:$C$214,MATCH(TEXT($J309,"yyyy-mm-dd")&amp;"|"&amp;$X309&amp;"|",'CALENDARIO'!$G$15:$G$214,0)),IFERROR(INDEX('CALENDARIO'!$C$15:$C$214,MATCH(TEXT($J309,"yyyy-mm-dd")&amp;"||",'CALENDARIO'!$G$15:$G$214,0)),INDEX(patronHabil,WEEKDAY($J309,2))))))</f>
        <v/>
      </c>
      <c r="U309" s="5">
        <f>IF($I309="","",IFERROR(INDEX('CAT_TIPOS_OT'!$C$4:$C$8,MATCH($I309,'CAT_TIPOS_OT'!$A$4:$A$8,0)),"sin_clasificar"))</f>
        <v/>
      </c>
      <c r="V309" s="5">
        <f>IF($I309="","",IF(IFERROR(INDEX('CAT_TIPOS_OT'!$D$4:$D$8,MATCH($I309,'CAT_TIPOS_OT'!$A$4:$A$8,0)),"SIN CLASIFICAR")="","SIN CLASIFICAR",IFERROR(INDEX('CAT_TIPOS_OT'!$D$4:$D$8,MATCH($I309,'CAT_TIPOS_OT'!$A$4:$A$8,0)),"SIN CLASIFICAR")))</f>
        <v/>
      </c>
      <c r="W309" s="5">
        <f>IF($F309="","",IFERROR(INDEX('CAT_CENTROS_COSTO'!$F$4:$F$13,MATCH($F309,'CAT_CENTROS_COSTO'!$A$4:$A$13,0)),"(sin catálogo)"))</f>
        <v/>
      </c>
      <c r="X309" s="5">
        <f>IF($F309="","",IFERROR(INDEX('CAT_CENTROS_COSTO'!$D$4:$D$13,MATCH($F309,'CAT_CENTROS_COSTO'!$A$4:$A$13,0)),"(sin catálogo)"))</f>
        <v/>
      </c>
      <c r="Y309" s="5">
        <f>IF($F309="","",IF((IFERROR(INDEX('CAT_CENTROS_COSTO'!$E$4:$E$13,MATCH($F309,'CAT_CENTROS_COSTO'!$A$4:$A$13,0)),""))&lt;&gt;"",IFERROR(INDEX('CAT_CENTROS_COSTO'!$E$4:$E$13,MATCH($F309,'CAT_CENTROS_COSTO'!$A$4:$A$13,0)),""),$X309))</f>
        <v/>
      </c>
      <c r="Z309" s="5">
        <f>IF($F309="","",IFERROR(INDEX('CAT_CENTROS_COSTO'!$G$4:$G$13,MATCH($F309,'CAT_CENTROS_COSTO'!$A$4:$A$13,0)),"(sin catálogo)"))</f>
        <v/>
      </c>
      <c r="AA309" s="5">
        <f>IF($G309="","",IFERROR(INDEX('CAT_PUESTOS'!$B$4:$B$8,MATCH($G309,'CAT_PUESTOS'!$A$4:$A$8,0)),"(sin catálogo)"))</f>
        <v/>
      </c>
      <c r="AB309" s="5">
        <f>IF($H309="","",IFERROR(INDEX('CAT_ACTIVIDADES'!$B$4:$B$11,MATCH($H309,'CAT_ACTIVIDADES'!$A$4:$A$11,0)),"(sin catálogo)"))</f>
        <v/>
      </c>
      <c r="AC309" s="20">
        <f>IF($J309="","",TODAY()-$J309)</f>
        <v/>
      </c>
      <c r="AD309" s="20">
        <f>IF($J309="","",IF($J309&lt;=TODAY(),COUNTIFS(cal_fechas,"&gt;="&amp;$J309,cal_fechas,"&lt;"&amp;TODAY(),cal_habil,"sí"),-COUNTIFS(cal_fechas,"&gt;="&amp;TODAY(),cal_fechas,"&lt;"&amp;$J309,cal_habil,"sí")))</f>
        <v/>
      </c>
      <c r="AE309" s="5">
        <f>IF($AD309="","",IF($AD309&lt;0,"FUTURO",IF($AD309&gt;p_dias_backlog_max,"BACKLOG","MES CORRIENTE")))</f>
        <v/>
      </c>
      <c r="AF309" s="5">
        <f>IF($AD309="",FALSE,AND($AD309&gt;p_dias_backlog_min,$AD309&lt;=p_dias_backlog_max))</f>
        <v/>
      </c>
      <c r="AG309" s="4" t="n"/>
      <c r="AH309" s="5">
        <f>IF($AG309="","",IF((IFERROR(INDEX('ASIGNACIONES'!$J$4:$J$451,MATCH($O309&amp;"|"&amp;$S309&amp;"|"&amp;$AG309,'ASIGNACIONES'!$N$4:$N$451,0)),""))=0,"",IFERROR(INDEX('ASIGNACIONES'!$J$4:$J$451,MATCH($O309&amp;"|"&amp;$S309&amp;"|"&amp;$AG309,'ASIGNACIONES'!$N$4:$N$451,0)),"")))</f>
        <v/>
      </c>
      <c r="AI309" s="25">
        <f>IF($AG309="","",SUMIFS('ORDENES'!$M$4:$M$1203,'ORDENES'!$AG$4:$AG$1203,$AG309,'ORDENES'!$O$4:$O$1203,$O309,'ORDENES'!$S$4:$S$1203,$S309))</f>
        <v/>
      </c>
      <c r="AJ309" s="25">
        <f>IF($AI309="","",p_factor_productividad*IFERROR(INDEX('ASIGNACIONES'!$M$4:$M$451,MATCH($O309&amp;"|"&amp;$S309&amp;"|"&amp;$AG309,'ASIGNACIONES'!$N$4:$N$451,0)),0)-$AI309)</f>
        <v/>
      </c>
      <c r="AK309" s="18">
        <f>IF($A309="","",IFERROR(INDEX('2_IMPORTAR_EJECUCION'!$F$9:$F$1208,MATCH($AT309,'2_IMPORTAR_EJECUCION'!$J$9:$J$1208,0)),0))</f>
        <v/>
      </c>
      <c r="AL309" s="18">
        <f>IF($A309="","",MAX(0,IFERROR(INDEX('2_IMPORTAR_EJECUCION'!$H$9:$H$1208,MATCH($AT309,'2_IMPORTAR_EJECUCION'!$J$9:$J$1208,0)),0)-$AK309))</f>
        <v/>
      </c>
      <c r="AM309" s="18">
        <f>IF($A309="","",$AK309+$AL309)</f>
        <v/>
      </c>
      <c r="AN309" s="5">
        <f>IF($A309="","",IF(OR((IFERROR(INDEX('CAT_ACTIVIDADES'!$D$4:$D$11,MATCH($H309,'CAT_ACTIVIDADES'!$A$4:$A$11,0)),""))=0,(IFERROR(INDEX('CAT_ACTIVIDADES'!$D$4:$D$11,MATCH($H309,'CAT_ACTIVIDADES'!$A$4:$A$11,0)),""))=""),"SIN CLASIFICAR",IFERROR(INDEX('CAT_ACTIVIDADES'!$D$4:$D$11,MATCH($H309,'CAT_ACTIVIDADES'!$A$4:$A$11,0)),"")))</f>
        <v/>
      </c>
      <c r="AO309" s="4" t="n"/>
      <c r="AP309" s="4" t="n"/>
      <c r="AQ309" s="4" t="n"/>
      <c r="AR309" s="5">
        <f>IF($AQ309="","",HYPERLINK(p_ruta_base_checklists&amp;$AQ309,"abrir"))</f>
        <v/>
      </c>
      <c r="AS309" s="4" t="n"/>
      <c r="AT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2" t="n"/>
      <c r="K310" s="5" t="n"/>
      <c r="L310" s="18" t="n"/>
      <c r="M310" s="5">
        <f>IF($A310="","",IFERROR(INDEX('AJUSTES'!$B$4:$B$303,MATCH($AT310,'AJUSTES'!$A$4:$A$303,0)),IF($K310="","",$K310)))</f>
        <v/>
      </c>
      <c r="N310" s="5">
        <f>IF($A310="","",IFERROR(INDEX('CAT_ESTADOS_ERP'!$B$4:$B$7,MATCH(IFERROR(INDEX('2_IMPORTAR_EJECUCION'!$C$9:$C$1208,MATCH($AT310,'2_IMPORTAR_EJECUCION'!$J$9:$J$1208,0)),""),'CAT_ESTADOS_ERP'!$A$4:$A$7,0)),"Pendiente"))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IF($J310="","",$P310&amp;"-"&amp;TEXT($Q310,"00"))</f>
        <v/>
      </c>
      <c r="S310" s="5">
        <f>IF($J310="","",INDEX(lista_dias,WEEKDAY($J310,2)))</f>
        <v/>
      </c>
      <c r="T310" s="5">
        <f>IF($J310="","",IFERROR(INDEX('CALENDARIO'!$C$15:$C$214,MATCH(TEXT($J310,"yyyy-mm-dd")&amp;"|"&amp;$X310&amp;"|"&amp;$Y310,'CALENDARIO'!$G$15:$G$214,0)),IFERROR(INDEX('CALENDARIO'!$C$15:$C$214,MATCH(TEXT($J310,"yyyy-mm-dd")&amp;"|"&amp;$X310&amp;"|",'CALENDARIO'!$G$15:$G$214,0)),IFERROR(INDEX('CALENDARIO'!$C$15:$C$214,MATCH(TEXT($J310,"yyyy-mm-dd")&amp;"||",'CALENDARIO'!$G$15:$G$214,0)),INDEX(patronHabil,WEEKDAY($J310,2))))))</f>
        <v/>
      </c>
      <c r="U310" s="5">
        <f>IF($I310="","",IFERROR(INDEX('CAT_TIPOS_OT'!$C$4:$C$8,MATCH($I310,'CAT_TIPOS_OT'!$A$4:$A$8,0)),"sin_clasificar"))</f>
        <v/>
      </c>
      <c r="V310" s="5">
        <f>IF($I310="","",IF(IFERROR(INDEX('CAT_TIPOS_OT'!$D$4:$D$8,MATCH($I310,'CAT_TIPOS_OT'!$A$4:$A$8,0)),"SIN CLASIFICAR")="","SIN CLASIFICAR",IFERROR(INDEX('CAT_TIPOS_OT'!$D$4:$D$8,MATCH($I310,'CAT_TIPOS_OT'!$A$4:$A$8,0)),"SIN CLASIFICAR")))</f>
        <v/>
      </c>
      <c r="W310" s="5">
        <f>IF($F310="","",IFERROR(INDEX('CAT_CENTROS_COSTO'!$F$4:$F$13,MATCH($F310,'CAT_CENTROS_COSTO'!$A$4:$A$13,0)),"(sin catálogo)"))</f>
        <v/>
      </c>
      <c r="X310" s="5">
        <f>IF($F310="","",IFERROR(INDEX('CAT_CENTROS_COSTO'!$D$4:$D$13,MATCH($F310,'CAT_CENTROS_COSTO'!$A$4:$A$13,0)),"(sin catálogo)"))</f>
        <v/>
      </c>
      <c r="Y310" s="5">
        <f>IF($F310="","",IF((IFERROR(INDEX('CAT_CENTROS_COSTO'!$E$4:$E$13,MATCH($F310,'CAT_CENTROS_COSTO'!$A$4:$A$13,0)),""))&lt;&gt;"",IFERROR(INDEX('CAT_CENTROS_COSTO'!$E$4:$E$13,MATCH($F310,'CAT_CENTROS_COSTO'!$A$4:$A$13,0)),""),$X310))</f>
        <v/>
      </c>
      <c r="Z310" s="5">
        <f>IF($F310="","",IFERROR(INDEX('CAT_CENTROS_COSTO'!$G$4:$G$13,MATCH($F310,'CAT_CENTROS_COSTO'!$A$4:$A$13,0)),"(sin catálogo)"))</f>
        <v/>
      </c>
      <c r="AA310" s="5">
        <f>IF($G310="","",IFERROR(INDEX('CAT_PUESTOS'!$B$4:$B$8,MATCH($G310,'CAT_PUESTOS'!$A$4:$A$8,0)),"(sin catálogo)"))</f>
        <v/>
      </c>
      <c r="AB310" s="5">
        <f>IF($H310="","",IFERROR(INDEX('CAT_ACTIVIDADES'!$B$4:$B$11,MATCH($H310,'CAT_ACTIVIDADES'!$A$4:$A$11,0)),"(sin catálogo)"))</f>
        <v/>
      </c>
      <c r="AC310" s="20">
        <f>IF($J310="","",TODAY()-$J310)</f>
        <v/>
      </c>
      <c r="AD310" s="20">
        <f>IF($J310="","",IF($J310&lt;=TODAY(),COUNTIFS(cal_fechas,"&gt;="&amp;$J310,cal_fechas,"&lt;"&amp;TODAY(),cal_habil,"sí"),-COUNTIFS(cal_fechas,"&gt;="&amp;TODAY(),cal_fechas,"&lt;"&amp;$J310,cal_habil,"sí")))</f>
        <v/>
      </c>
      <c r="AE310" s="5">
        <f>IF($AD310="","",IF($AD310&lt;0,"FUTURO",IF($AD310&gt;p_dias_backlog_max,"BACKLOG","MES CORRIENTE")))</f>
        <v/>
      </c>
      <c r="AF310" s="5">
        <f>IF($AD310="",FALSE,AND($AD310&gt;p_dias_backlog_min,$AD310&lt;=p_dias_backlog_max))</f>
        <v/>
      </c>
      <c r="AG310" s="4" t="n"/>
      <c r="AH310" s="5">
        <f>IF($AG310="","",IF((IFERROR(INDEX('ASIGNACIONES'!$J$4:$J$451,MATCH($O310&amp;"|"&amp;$S310&amp;"|"&amp;$AG310,'ASIGNACIONES'!$N$4:$N$451,0)),""))=0,"",IFERROR(INDEX('ASIGNACIONES'!$J$4:$J$451,MATCH($O310&amp;"|"&amp;$S310&amp;"|"&amp;$AG310,'ASIGNACIONES'!$N$4:$N$451,0)),"")))</f>
        <v/>
      </c>
      <c r="AI310" s="25">
        <f>IF($AG310="","",SUMIFS('ORDENES'!$M$4:$M$1203,'ORDENES'!$AG$4:$AG$1203,$AG310,'ORDENES'!$O$4:$O$1203,$O310,'ORDENES'!$S$4:$S$1203,$S310))</f>
        <v/>
      </c>
      <c r="AJ310" s="25">
        <f>IF($AI310="","",p_factor_productividad*IFERROR(INDEX('ASIGNACIONES'!$M$4:$M$451,MATCH($O310&amp;"|"&amp;$S310&amp;"|"&amp;$AG310,'ASIGNACIONES'!$N$4:$N$451,0)),0)-$AI310)</f>
        <v/>
      </c>
      <c r="AK310" s="18">
        <f>IF($A310="","",IFERROR(INDEX('2_IMPORTAR_EJECUCION'!$F$9:$F$1208,MATCH($AT310,'2_IMPORTAR_EJECUCION'!$J$9:$J$1208,0)),0))</f>
        <v/>
      </c>
      <c r="AL310" s="18">
        <f>IF($A310="","",MAX(0,IFERROR(INDEX('2_IMPORTAR_EJECUCION'!$H$9:$H$1208,MATCH($AT310,'2_IMPORTAR_EJECUCION'!$J$9:$J$1208,0)),0)-$AK310))</f>
        <v/>
      </c>
      <c r="AM310" s="18">
        <f>IF($A310="","",$AK310+$AL310)</f>
        <v/>
      </c>
      <c r="AN310" s="5">
        <f>IF($A310="","",IF(OR((IFERROR(INDEX('CAT_ACTIVIDADES'!$D$4:$D$11,MATCH($H310,'CAT_ACTIVIDADES'!$A$4:$A$11,0)),""))=0,(IFERROR(INDEX('CAT_ACTIVIDADES'!$D$4:$D$11,MATCH($H310,'CAT_ACTIVIDADES'!$A$4:$A$11,0)),""))=""),"SIN CLASIFICAR",IFERROR(INDEX('CAT_ACTIVIDADES'!$D$4:$D$11,MATCH($H310,'CAT_ACTIVIDADES'!$A$4:$A$11,0)),"")))</f>
        <v/>
      </c>
      <c r="AO310" s="4" t="n"/>
      <c r="AP310" s="4" t="n"/>
      <c r="AQ310" s="4" t="n"/>
      <c r="AR310" s="5">
        <f>IF($AQ310="","",HYPERLINK(p_ruta_base_checklists&amp;$AQ310,"abrir"))</f>
        <v/>
      </c>
      <c r="AS310" s="4" t="n"/>
      <c r="AT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2" t="n"/>
      <c r="K311" s="5" t="n"/>
      <c r="L311" s="18" t="n"/>
      <c r="M311" s="5">
        <f>IF($A311="","",IFERROR(INDEX('AJUSTES'!$B$4:$B$303,MATCH($AT311,'AJUSTES'!$A$4:$A$303,0)),IF($K311="","",$K311)))</f>
        <v/>
      </c>
      <c r="N311" s="5">
        <f>IF($A311="","",IFERROR(INDEX('CAT_ESTADOS_ERP'!$B$4:$B$7,MATCH(IFERROR(INDEX('2_IMPORTAR_EJECUCION'!$C$9:$C$1208,MATCH($AT311,'2_IMPORTAR_EJECUCION'!$J$9:$J$1208,0)),""),'CAT_ESTADOS_ERP'!$A$4:$A$7,0)),"Pendiente"))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IF($J311="","",$P311&amp;"-"&amp;TEXT($Q311,"00"))</f>
        <v/>
      </c>
      <c r="S311" s="5">
        <f>IF($J311="","",INDEX(lista_dias,WEEKDAY($J311,2)))</f>
        <v/>
      </c>
      <c r="T311" s="5">
        <f>IF($J311="","",IFERROR(INDEX('CALENDARIO'!$C$15:$C$214,MATCH(TEXT($J311,"yyyy-mm-dd")&amp;"|"&amp;$X311&amp;"|"&amp;$Y311,'CALENDARIO'!$G$15:$G$214,0)),IFERROR(INDEX('CALENDARIO'!$C$15:$C$214,MATCH(TEXT($J311,"yyyy-mm-dd")&amp;"|"&amp;$X311&amp;"|",'CALENDARIO'!$G$15:$G$214,0)),IFERROR(INDEX('CALENDARIO'!$C$15:$C$214,MATCH(TEXT($J311,"yyyy-mm-dd")&amp;"||",'CALENDARIO'!$G$15:$G$214,0)),INDEX(patronHabil,WEEKDAY($J311,2))))))</f>
        <v/>
      </c>
      <c r="U311" s="5">
        <f>IF($I311="","",IFERROR(INDEX('CAT_TIPOS_OT'!$C$4:$C$8,MATCH($I311,'CAT_TIPOS_OT'!$A$4:$A$8,0)),"sin_clasificar"))</f>
        <v/>
      </c>
      <c r="V311" s="5">
        <f>IF($I311="","",IF(IFERROR(INDEX('CAT_TIPOS_OT'!$D$4:$D$8,MATCH($I311,'CAT_TIPOS_OT'!$A$4:$A$8,0)),"SIN CLASIFICAR")="","SIN CLASIFICAR",IFERROR(INDEX('CAT_TIPOS_OT'!$D$4:$D$8,MATCH($I311,'CAT_TIPOS_OT'!$A$4:$A$8,0)),"SIN CLASIFICAR")))</f>
        <v/>
      </c>
      <c r="W311" s="5">
        <f>IF($F311="","",IFERROR(INDEX('CAT_CENTROS_COSTO'!$F$4:$F$13,MATCH($F311,'CAT_CENTROS_COSTO'!$A$4:$A$13,0)),"(sin catálogo)"))</f>
        <v/>
      </c>
      <c r="X311" s="5">
        <f>IF($F311="","",IFERROR(INDEX('CAT_CENTROS_COSTO'!$D$4:$D$13,MATCH($F311,'CAT_CENTROS_COSTO'!$A$4:$A$13,0)),"(sin catálogo)"))</f>
        <v/>
      </c>
      <c r="Y311" s="5">
        <f>IF($F311="","",IF((IFERROR(INDEX('CAT_CENTROS_COSTO'!$E$4:$E$13,MATCH($F311,'CAT_CENTROS_COSTO'!$A$4:$A$13,0)),""))&lt;&gt;"",IFERROR(INDEX('CAT_CENTROS_COSTO'!$E$4:$E$13,MATCH($F311,'CAT_CENTROS_COSTO'!$A$4:$A$13,0)),""),$X311))</f>
        <v/>
      </c>
      <c r="Z311" s="5">
        <f>IF($F311="","",IFERROR(INDEX('CAT_CENTROS_COSTO'!$G$4:$G$13,MATCH($F311,'CAT_CENTROS_COSTO'!$A$4:$A$13,0)),"(sin catálogo)"))</f>
        <v/>
      </c>
      <c r="AA311" s="5">
        <f>IF($G311="","",IFERROR(INDEX('CAT_PUESTOS'!$B$4:$B$8,MATCH($G311,'CAT_PUESTOS'!$A$4:$A$8,0)),"(sin catálogo)"))</f>
        <v/>
      </c>
      <c r="AB311" s="5">
        <f>IF($H311="","",IFERROR(INDEX('CAT_ACTIVIDADES'!$B$4:$B$11,MATCH($H311,'CAT_ACTIVIDADES'!$A$4:$A$11,0)),"(sin catálogo)"))</f>
        <v/>
      </c>
      <c r="AC311" s="20">
        <f>IF($J311="","",TODAY()-$J311)</f>
        <v/>
      </c>
      <c r="AD311" s="20">
        <f>IF($J311="","",IF($J311&lt;=TODAY(),COUNTIFS(cal_fechas,"&gt;="&amp;$J311,cal_fechas,"&lt;"&amp;TODAY(),cal_habil,"sí"),-COUNTIFS(cal_fechas,"&gt;="&amp;TODAY(),cal_fechas,"&lt;"&amp;$J311,cal_habil,"sí")))</f>
        <v/>
      </c>
      <c r="AE311" s="5">
        <f>IF($AD311="","",IF($AD311&lt;0,"FUTURO",IF($AD311&gt;p_dias_backlog_max,"BACKLOG","MES CORRIENTE")))</f>
        <v/>
      </c>
      <c r="AF311" s="5">
        <f>IF($AD311="",FALSE,AND($AD311&gt;p_dias_backlog_min,$AD311&lt;=p_dias_backlog_max))</f>
        <v/>
      </c>
      <c r="AG311" s="4" t="n"/>
      <c r="AH311" s="5">
        <f>IF($AG311="","",IF((IFERROR(INDEX('ASIGNACIONES'!$J$4:$J$451,MATCH($O311&amp;"|"&amp;$S311&amp;"|"&amp;$AG311,'ASIGNACIONES'!$N$4:$N$451,0)),""))=0,"",IFERROR(INDEX('ASIGNACIONES'!$J$4:$J$451,MATCH($O311&amp;"|"&amp;$S311&amp;"|"&amp;$AG311,'ASIGNACIONES'!$N$4:$N$451,0)),"")))</f>
        <v/>
      </c>
      <c r="AI311" s="25">
        <f>IF($AG311="","",SUMIFS('ORDENES'!$M$4:$M$1203,'ORDENES'!$AG$4:$AG$1203,$AG311,'ORDENES'!$O$4:$O$1203,$O311,'ORDENES'!$S$4:$S$1203,$S311))</f>
        <v/>
      </c>
      <c r="AJ311" s="25">
        <f>IF($AI311="","",p_factor_productividad*IFERROR(INDEX('ASIGNACIONES'!$M$4:$M$451,MATCH($O311&amp;"|"&amp;$S311&amp;"|"&amp;$AG311,'ASIGNACIONES'!$N$4:$N$451,0)),0)-$AI311)</f>
        <v/>
      </c>
      <c r="AK311" s="18">
        <f>IF($A311="","",IFERROR(INDEX('2_IMPORTAR_EJECUCION'!$F$9:$F$1208,MATCH($AT311,'2_IMPORTAR_EJECUCION'!$J$9:$J$1208,0)),0))</f>
        <v/>
      </c>
      <c r="AL311" s="18">
        <f>IF($A311="","",MAX(0,IFERROR(INDEX('2_IMPORTAR_EJECUCION'!$H$9:$H$1208,MATCH($AT311,'2_IMPORTAR_EJECUCION'!$J$9:$J$1208,0)),0)-$AK311))</f>
        <v/>
      </c>
      <c r="AM311" s="18">
        <f>IF($A311="","",$AK311+$AL311)</f>
        <v/>
      </c>
      <c r="AN311" s="5">
        <f>IF($A311="","",IF(OR((IFERROR(INDEX('CAT_ACTIVIDADES'!$D$4:$D$11,MATCH($H311,'CAT_ACTIVIDADES'!$A$4:$A$11,0)),""))=0,(IFERROR(INDEX('CAT_ACTIVIDADES'!$D$4:$D$11,MATCH($H311,'CAT_ACTIVIDADES'!$A$4:$A$11,0)),""))=""),"SIN CLASIFICAR",IFERROR(INDEX('CAT_ACTIVIDADES'!$D$4:$D$11,MATCH($H311,'CAT_ACTIVIDADES'!$A$4:$A$11,0)),"")))</f>
        <v/>
      </c>
      <c r="AO311" s="4" t="n"/>
      <c r="AP311" s="4" t="n"/>
      <c r="AQ311" s="4" t="n"/>
      <c r="AR311" s="5">
        <f>IF($AQ311="","",HYPERLINK(p_ruta_base_checklists&amp;$AQ311,"abrir"))</f>
        <v/>
      </c>
      <c r="AS311" s="4" t="n"/>
      <c r="AT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2" t="n"/>
      <c r="K312" s="5" t="n"/>
      <c r="L312" s="18" t="n"/>
      <c r="M312" s="5">
        <f>IF($A312="","",IFERROR(INDEX('AJUSTES'!$B$4:$B$303,MATCH($AT312,'AJUSTES'!$A$4:$A$303,0)),IF($K312="","",$K312)))</f>
        <v/>
      </c>
      <c r="N312" s="5">
        <f>IF($A312="","",IFERROR(INDEX('CAT_ESTADOS_ERP'!$B$4:$B$7,MATCH(IFERROR(INDEX('2_IMPORTAR_EJECUCION'!$C$9:$C$1208,MATCH($AT312,'2_IMPORTAR_EJECUCION'!$J$9:$J$1208,0)),""),'CAT_ESTADOS_ERP'!$A$4:$A$7,0)),"Pendiente"))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IF($J312="","",$P312&amp;"-"&amp;TEXT($Q312,"00"))</f>
        <v/>
      </c>
      <c r="S312" s="5">
        <f>IF($J312="","",INDEX(lista_dias,WEEKDAY($J312,2)))</f>
        <v/>
      </c>
      <c r="T312" s="5">
        <f>IF($J312="","",IFERROR(INDEX('CALENDARIO'!$C$15:$C$214,MATCH(TEXT($J312,"yyyy-mm-dd")&amp;"|"&amp;$X312&amp;"|"&amp;$Y312,'CALENDARIO'!$G$15:$G$214,0)),IFERROR(INDEX('CALENDARIO'!$C$15:$C$214,MATCH(TEXT($J312,"yyyy-mm-dd")&amp;"|"&amp;$X312&amp;"|",'CALENDARIO'!$G$15:$G$214,0)),IFERROR(INDEX('CALENDARIO'!$C$15:$C$214,MATCH(TEXT($J312,"yyyy-mm-dd")&amp;"||",'CALENDARIO'!$G$15:$G$214,0)),INDEX(patronHabil,WEEKDAY($J312,2))))))</f>
        <v/>
      </c>
      <c r="U312" s="5">
        <f>IF($I312="","",IFERROR(INDEX('CAT_TIPOS_OT'!$C$4:$C$8,MATCH($I312,'CAT_TIPOS_OT'!$A$4:$A$8,0)),"sin_clasificar"))</f>
        <v/>
      </c>
      <c r="V312" s="5">
        <f>IF($I312="","",IF(IFERROR(INDEX('CAT_TIPOS_OT'!$D$4:$D$8,MATCH($I312,'CAT_TIPOS_OT'!$A$4:$A$8,0)),"SIN CLASIFICAR")="","SIN CLASIFICAR",IFERROR(INDEX('CAT_TIPOS_OT'!$D$4:$D$8,MATCH($I312,'CAT_TIPOS_OT'!$A$4:$A$8,0)),"SIN CLASIFICAR")))</f>
        <v/>
      </c>
      <c r="W312" s="5">
        <f>IF($F312="","",IFERROR(INDEX('CAT_CENTROS_COSTO'!$F$4:$F$13,MATCH($F312,'CAT_CENTROS_COSTO'!$A$4:$A$13,0)),"(sin catálogo)"))</f>
        <v/>
      </c>
      <c r="X312" s="5">
        <f>IF($F312="","",IFERROR(INDEX('CAT_CENTROS_COSTO'!$D$4:$D$13,MATCH($F312,'CAT_CENTROS_COSTO'!$A$4:$A$13,0)),"(sin catálogo)"))</f>
        <v/>
      </c>
      <c r="Y312" s="5">
        <f>IF($F312="","",IF((IFERROR(INDEX('CAT_CENTROS_COSTO'!$E$4:$E$13,MATCH($F312,'CAT_CENTROS_COSTO'!$A$4:$A$13,0)),""))&lt;&gt;"",IFERROR(INDEX('CAT_CENTROS_COSTO'!$E$4:$E$13,MATCH($F312,'CAT_CENTROS_COSTO'!$A$4:$A$13,0)),""),$X312))</f>
        <v/>
      </c>
      <c r="Z312" s="5">
        <f>IF($F312="","",IFERROR(INDEX('CAT_CENTROS_COSTO'!$G$4:$G$13,MATCH($F312,'CAT_CENTROS_COSTO'!$A$4:$A$13,0)),"(sin catálogo)"))</f>
        <v/>
      </c>
      <c r="AA312" s="5">
        <f>IF($G312="","",IFERROR(INDEX('CAT_PUESTOS'!$B$4:$B$8,MATCH($G312,'CAT_PUESTOS'!$A$4:$A$8,0)),"(sin catálogo)"))</f>
        <v/>
      </c>
      <c r="AB312" s="5">
        <f>IF($H312="","",IFERROR(INDEX('CAT_ACTIVIDADES'!$B$4:$B$11,MATCH($H312,'CAT_ACTIVIDADES'!$A$4:$A$11,0)),"(sin catálogo)"))</f>
        <v/>
      </c>
      <c r="AC312" s="20">
        <f>IF($J312="","",TODAY()-$J312)</f>
        <v/>
      </c>
      <c r="AD312" s="20">
        <f>IF($J312="","",IF($J312&lt;=TODAY(),COUNTIFS(cal_fechas,"&gt;="&amp;$J312,cal_fechas,"&lt;"&amp;TODAY(),cal_habil,"sí"),-COUNTIFS(cal_fechas,"&gt;="&amp;TODAY(),cal_fechas,"&lt;"&amp;$J312,cal_habil,"sí")))</f>
        <v/>
      </c>
      <c r="AE312" s="5">
        <f>IF($AD312="","",IF($AD312&lt;0,"FUTURO",IF($AD312&gt;p_dias_backlog_max,"BACKLOG","MES CORRIENTE")))</f>
        <v/>
      </c>
      <c r="AF312" s="5">
        <f>IF($AD312="",FALSE,AND($AD312&gt;p_dias_backlog_min,$AD312&lt;=p_dias_backlog_max))</f>
        <v/>
      </c>
      <c r="AG312" s="4" t="n"/>
      <c r="AH312" s="5">
        <f>IF($AG312="","",IF((IFERROR(INDEX('ASIGNACIONES'!$J$4:$J$451,MATCH($O312&amp;"|"&amp;$S312&amp;"|"&amp;$AG312,'ASIGNACIONES'!$N$4:$N$451,0)),""))=0,"",IFERROR(INDEX('ASIGNACIONES'!$J$4:$J$451,MATCH($O312&amp;"|"&amp;$S312&amp;"|"&amp;$AG312,'ASIGNACIONES'!$N$4:$N$451,0)),"")))</f>
        <v/>
      </c>
      <c r="AI312" s="25">
        <f>IF($AG312="","",SUMIFS('ORDENES'!$M$4:$M$1203,'ORDENES'!$AG$4:$AG$1203,$AG312,'ORDENES'!$O$4:$O$1203,$O312,'ORDENES'!$S$4:$S$1203,$S312))</f>
        <v/>
      </c>
      <c r="AJ312" s="25">
        <f>IF($AI312="","",p_factor_productividad*IFERROR(INDEX('ASIGNACIONES'!$M$4:$M$451,MATCH($O312&amp;"|"&amp;$S312&amp;"|"&amp;$AG312,'ASIGNACIONES'!$N$4:$N$451,0)),0)-$AI312)</f>
        <v/>
      </c>
      <c r="AK312" s="18">
        <f>IF($A312="","",IFERROR(INDEX('2_IMPORTAR_EJECUCION'!$F$9:$F$1208,MATCH($AT312,'2_IMPORTAR_EJECUCION'!$J$9:$J$1208,0)),0))</f>
        <v/>
      </c>
      <c r="AL312" s="18">
        <f>IF($A312="","",MAX(0,IFERROR(INDEX('2_IMPORTAR_EJECUCION'!$H$9:$H$1208,MATCH($AT312,'2_IMPORTAR_EJECUCION'!$J$9:$J$1208,0)),0)-$AK312))</f>
        <v/>
      </c>
      <c r="AM312" s="18">
        <f>IF($A312="","",$AK312+$AL312)</f>
        <v/>
      </c>
      <c r="AN312" s="5">
        <f>IF($A312="","",IF(OR((IFERROR(INDEX('CAT_ACTIVIDADES'!$D$4:$D$11,MATCH($H312,'CAT_ACTIVIDADES'!$A$4:$A$11,0)),""))=0,(IFERROR(INDEX('CAT_ACTIVIDADES'!$D$4:$D$11,MATCH($H312,'CAT_ACTIVIDADES'!$A$4:$A$11,0)),""))=""),"SIN CLASIFICAR",IFERROR(INDEX('CAT_ACTIVIDADES'!$D$4:$D$11,MATCH($H312,'CAT_ACTIVIDADES'!$A$4:$A$11,0)),"")))</f>
        <v/>
      </c>
      <c r="AO312" s="4" t="n"/>
      <c r="AP312" s="4" t="n"/>
      <c r="AQ312" s="4" t="n"/>
      <c r="AR312" s="5">
        <f>IF($AQ312="","",HYPERLINK(p_ruta_base_checklists&amp;$AQ312,"abrir"))</f>
        <v/>
      </c>
      <c r="AS312" s="4" t="n"/>
      <c r="AT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2" t="n"/>
      <c r="K313" s="5" t="n"/>
      <c r="L313" s="18" t="n"/>
      <c r="M313" s="5">
        <f>IF($A313="","",IFERROR(INDEX('AJUSTES'!$B$4:$B$303,MATCH($AT313,'AJUSTES'!$A$4:$A$303,0)),IF($K313="","",$K313)))</f>
        <v/>
      </c>
      <c r="N313" s="5">
        <f>IF($A313="","",IFERROR(INDEX('CAT_ESTADOS_ERP'!$B$4:$B$7,MATCH(IFERROR(INDEX('2_IMPORTAR_EJECUCION'!$C$9:$C$1208,MATCH($AT313,'2_IMPORTAR_EJECUCION'!$J$9:$J$1208,0)),""),'CAT_ESTADOS_ERP'!$A$4:$A$7,0)),"Pendiente"))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IF($J313="","",$P313&amp;"-"&amp;TEXT($Q313,"00"))</f>
        <v/>
      </c>
      <c r="S313" s="5">
        <f>IF($J313="","",INDEX(lista_dias,WEEKDAY($J313,2)))</f>
        <v/>
      </c>
      <c r="T313" s="5">
        <f>IF($J313="","",IFERROR(INDEX('CALENDARIO'!$C$15:$C$214,MATCH(TEXT($J313,"yyyy-mm-dd")&amp;"|"&amp;$X313&amp;"|"&amp;$Y313,'CALENDARIO'!$G$15:$G$214,0)),IFERROR(INDEX('CALENDARIO'!$C$15:$C$214,MATCH(TEXT($J313,"yyyy-mm-dd")&amp;"|"&amp;$X313&amp;"|",'CALENDARIO'!$G$15:$G$214,0)),IFERROR(INDEX('CALENDARIO'!$C$15:$C$214,MATCH(TEXT($J313,"yyyy-mm-dd")&amp;"||",'CALENDARIO'!$G$15:$G$214,0)),INDEX(patronHabil,WEEKDAY($J313,2))))))</f>
        <v/>
      </c>
      <c r="U313" s="5">
        <f>IF($I313="","",IFERROR(INDEX('CAT_TIPOS_OT'!$C$4:$C$8,MATCH($I313,'CAT_TIPOS_OT'!$A$4:$A$8,0)),"sin_clasificar"))</f>
        <v/>
      </c>
      <c r="V313" s="5">
        <f>IF($I313="","",IF(IFERROR(INDEX('CAT_TIPOS_OT'!$D$4:$D$8,MATCH($I313,'CAT_TIPOS_OT'!$A$4:$A$8,0)),"SIN CLASIFICAR")="","SIN CLASIFICAR",IFERROR(INDEX('CAT_TIPOS_OT'!$D$4:$D$8,MATCH($I313,'CAT_TIPOS_OT'!$A$4:$A$8,0)),"SIN CLASIFICAR")))</f>
        <v/>
      </c>
      <c r="W313" s="5">
        <f>IF($F313="","",IFERROR(INDEX('CAT_CENTROS_COSTO'!$F$4:$F$13,MATCH($F313,'CAT_CENTROS_COSTO'!$A$4:$A$13,0)),"(sin catálogo)"))</f>
        <v/>
      </c>
      <c r="X313" s="5">
        <f>IF($F313="","",IFERROR(INDEX('CAT_CENTROS_COSTO'!$D$4:$D$13,MATCH($F313,'CAT_CENTROS_COSTO'!$A$4:$A$13,0)),"(sin catálogo)"))</f>
        <v/>
      </c>
      <c r="Y313" s="5">
        <f>IF($F313="","",IF((IFERROR(INDEX('CAT_CENTROS_COSTO'!$E$4:$E$13,MATCH($F313,'CAT_CENTROS_COSTO'!$A$4:$A$13,0)),""))&lt;&gt;"",IFERROR(INDEX('CAT_CENTROS_COSTO'!$E$4:$E$13,MATCH($F313,'CAT_CENTROS_COSTO'!$A$4:$A$13,0)),""),$X313))</f>
        <v/>
      </c>
      <c r="Z313" s="5">
        <f>IF($F313="","",IFERROR(INDEX('CAT_CENTROS_COSTO'!$G$4:$G$13,MATCH($F313,'CAT_CENTROS_COSTO'!$A$4:$A$13,0)),"(sin catálogo)"))</f>
        <v/>
      </c>
      <c r="AA313" s="5">
        <f>IF($G313="","",IFERROR(INDEX('CAT_PUESTOS'!$B$4:$B$8,MATCH($G313,'CAT_PUESTOS'!$A$4:$A$8,0)),"(sin catálogo)"))</f>
        <v/>
      </c>
      <c r="AB313" s="5">
        <f>IF($H313="","",IFERROR(INDEX('CAT_ACTIVIDADES'!$B$4:$B$11,MATCH($H313,'CAT_ACTIVIDADES'!$A$4:$A$11,0)),"(sin catálogo)"))</f>
        <v/>
      </c>
      <c r="AC313" s="20">
        <f>IF($J313="","",TODAY()-$J313)</f>
        <v/>
      </c>
      <c r="AD313" s="20">
        <f>IF($J313="","",IF($J313&lt;=TODAY(),COUNTIFS(cal_fechas,"&gt;="&amp;$J313,cal_fechas,"&lt;"&amp;TODAY(),cal_habil,"sí"),-COUNTIFS(cal_fechas,"&gt;="&amp;TODAY(),cal_fechas,"&lt;"&amp;$J313,cal_habil,"sí")))</f>
        <v/>
      </c>
      <c r="AE313" s="5">
        <f>IF($AD313="","",IF($AD313&lt;0,"FUTURO",IF($AD313&gt;p_dias_backlog_max,"BACKLOG","MES CORRIENTE")))</f>
        <v/>
      </c>
      <c r="AF313" s="5">
        <f>IF($AD313="",FALSE,AND($AD313&gt;p_dias_backlog_min,$AD313&lt;=p_dias_backlog_max))</f>
        <v/>
      </c>
      <c r="AG313" s="4" t="n"/>
      <c r="AH313" s="5">
        <f>IF($AG313="","",IF((IFERROR(INDEX('ASIGNACIONES'!$J$4:$J$451,MATCH($O313&amp;"|"&amp;$S313&amp;"|"&amp;$AG313,'ASIGNACIONES'!$N$4:$N$451,0)),""))=0,"",IFERROR(INDEX('ASIGNACIONES'!$J$4:$J$451,MATCH($O313&amp;"|"&amp;$S313&amp;"|"&amp;$AG313,'ASIGNACIONES'!$N$4:$N$451,0)),"")))</f>
        <v/>
      </c>
      <c r="AI313" s="25">
        <f>IF($AG313="","",SUMIFS('ORDENES'!$M$4:$M$1203,'ORDENES'!$AG$4:$AG$1203,$AG313,'ORDENES'!$O$4:$O$1203,$O313,'ORDENES'!$S$4:$S$1203,$S313))</f>
        <v/>
      </c>
      <c r="AJ313" s="25">
        <f>IF($AI313="","",p_factor_productividad*IFERROR(INDEX('ASIGNACIONES'!$M$4:$M$451,MATCH($O313&amp;"|"&amp;$S313&amp;"|"&amp;$AG313,'ASIGNACIONES'!$N$4:$N$451,0)),0)-$AI313)</f>
        <v/>
      </c>
      <c r="AK313" s="18">
        <f>IF($A313="","",IFERROR(INDEX('2_IMPORTAR_EJECUCION'!$F$9:$F$1208,MATCH($AT313,'2_IMPORTAR_EJECUCION'!$J$9:$J$1208,0)),0))</f>
        <v/>
      </c>
      <c r="AL313" s="18">
        <f>IF($A313="","",MAX(0,IFERROR(INDEX('2_IMPORTAR_EJECUCION'!$H$9:$H$1208,MATCH($AT313,'2_IMPORTAR_EJECUCION'!$J$9:$J$1208,0)),0)-$AK313))</f>
        <v/>
      </c>
      <c r="AM313" s="18">
        <f>IF($A313="","",$AK313+$AL313)</f>
        <v/>
      </c>
      <c r="AN313" s="5">
        <f>IF($A313="","",IF(OR((IFERROR(INDEX('CAT_ACTIVIDADES'!$D$4:$D$11,MATCH($H313,'CAT_ACTIVIDADES'!$A$4:$A$11,0)),""))=0,(IFERROR(INDEX('CAT_ACTIVIDADES'!$D$4:$D$11,MATCH($H313,'CAT_ACTIVIDADES'!$A$4:$A$11,0)),""))=""),"SIN CLASIFICAR",IFERROR(INDEX('CAT_ACTIVIDADES'!$D$4:$D$11,MATCH($H313,'CAT_ACTIVIDADES'!$A$4:$A$11,0)),"")))</f>
        <v/>
      </c>
      <c r="AO313" s="4" t="n"/>
      <c r="AP313" s="4" t="n"/>
      <c r="AQ313" s="4" t="n"/>
      <c r="AR313" s="5">
        <f>IF($AQ313="","",HYPERLINK(p_ruta_base_checklists&amp;$AQ313,"abrir"))</f>
        <v/>
      </c>
      <c r="AS313" s="4" t="n"/>
      <c r="AT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2" t="n"/>
      <c r="K314" s="5" t="n"/>
      <c r="L314" s="18" t="n"/>
      <c r="M314" s="5">
        <f>IF($A314="","",IFERROR(INDEX('AJUSTES'!$B$4:$B$303,MATCH($AT314,'AJUSTES'!$A$4:$A$303,0)),IF($K314="","",$K314)))</f>
        <v/>
      </c>
      <c r="N314" s="5">
        <f>IF($A314="","",IFERROR(INDEX('CAT_ESTADOS_ERP'!$B$4:$B$7,MATCH(IFERROR(INDEX('2_IMPORTAR_EJECUCION'!$C$9:$C$1208,MATCH($AT314,'2_IMPORTAR_EJECUCION'!$J$9:$J$1208,0)),""),'CAT_ESTADOS_ERP'!$A$4:$A$7,0)),"Pendiente"))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IF($J314="","",$P314&amp;"-"&amp;TEXT($Q314,"00"))</f>
        <v/>
      </c>
      <c r="S314" s="5">
        <f>IF($J314="","",INDEX(lista_dias,WEEKDAY($J314,2)))</f>
        <v/>
      </c>
      <c r="T314" s="5">
        <f>IF($J314="","",IFERROR(INDEX('CALENDARIO'!$C$15:$C$214,MATCH(TEXT($J314,"yyyy-mm-dd")&amp;"|"&amp;$X314&amp;"|"&amp;$Y314,'CALENDARIO'!$G$15:$G$214,0)),IFERROR(INDEX('CALENDARIO'!$C$15:$C$214,MATCH(TEXT($J314,"yyyy-mm-dd")&amp;"|"&amp;$X314&amp;"|",'CALENDARIO'!$G$15:$G$214,0)),IFERROR(INDEX('CALENDARIO'!$C$15:$C$214,MATCH(TEXT($J314,"yyyy-mm-dd")&amp;"||",'CALENDARIO'!$G$15:$G$214,0)),INDEX(patronHabil,WEEKDAY($J314,2))))))</f>
        <v/>
      </c>
      <c r="U314" s="5">
        <f>IF($I314="","",IFERROR(INDEX('CAT_TIPOS_OT'!$C$4:$C$8,MATCH($I314,'CAT_TIPOS_OT'!$A$4:$A$8,0)),"sin_clasificar"))</f>
        <v/>
      </c>
      <c r="V314" s="5">
        <f>IF($I314="","",IF(IFERROR(INDEX('CAT_TIPOS_OT'!$D$4:$D$8,MATCH($I314,'CAT_TIPOS_OT'!$A$4:$A$8,0)),"SIN CLASIFICAR")="","SIN CLASIFICAR",IFERROR(INDEX('CAT_TIPOS_OT'!$D$4:$D$8,MATCH($I314,'CAT_TIPOS_OT'!$A$4:$A$8,0)),"SIN CLASIFICAR")))</f>
        <v/>
      </c>
      <c r="W314" s="5">
        <f>IF($F314="","",IFERROR(INDEX('CAT_CENTROS_COSTO'!$F$4:$F$13,MATCH($F314,'CAT_CENTROS_COSTO'!$A$4:$A$13,0)),"(sin catálogo)"))</f>
        <v/>
      </c>
      <c r="X314" s="5">
        <f>IF($F314="","",IFERROR(INDEX('CAT_CENTROS_COSTO'!$D$4:$D$13,MATCH($F314,'CAT_CENTROS_COSTO'!$A$4:$A$13,0)),"(sin catálogo)"))</f>
        <v/>
      </c>
      <c r="Y314" s="5">
        <f>IF($F314="","",IF((IFERROR(INDEX('CAT_CENTROS_COSTO'!$E$4:$E$13,MATCH($F314,'CAT_CENTROS_COSTO'!$A$4:$A$13,0)),""))&lt;&gt;"",IFERROR(INDEX('CAT_CENTROS_COSTO'!$E$4:$E$13,MATCH($F314,'CAT_CENTROS_COSTO'!$A$4:$A$13,0)),""),$X314))</f>
        <v/>
      </c>
      <c r="Z314" s="5">
        <f>IF($F314="","",IFERROR(INDEX('CAT_CENTROS_COSTO'!$G$4:$G$13,MATCH($F314,'CAT_CENTROS_COSTO'!$A$4:$A$13,0)),"(sin catálogo)"))</f>
        <v/>
      </c>
      <c r="AA314" s="5">
        <f>IF($G314="","",IFERROR(INDEX('CAT_PUESTOS'!$B$4:$B$8,MATCH($G314,'CAT_PUESTOS'!$A$4:$A$8,0)),"(sin catálogo)"))</f>
        <v/>
      </c>
      <c r="AB314" s="5">
        <f>IF($H314="","",IFERROR(INDEX('CAT_ACTIVIDADES'!$B$4:$B$11,MATCH($H314,'CAT_ACTIVIDADES'!$A$4:$A$11,0)),"(sin catálogo)"))</f>
        <v/>
      </c>
      <c r="AC314" s="20">
        <f>IF($J314="","",TODAY()-$J314)</f>
        <v/>
      </c>
      <c r="AD314" s="20">
        <f>IF($J314="","",IF($J314&lt;=TODAY(),COUNTIFS(cal_fechas,"&gt;="&amp;$J314,cal_fechas,"&lt;"&amp;TODAY(),cal_habil,"sí"),-COUNTIFS(cal_fechas,"&gt;="&amp;TODAY(),cal_fechas,"&lt;"&amp;$J314,cal_habil,"sí")))</f>
        <v/>
      </c>
      <c r="AE314" s="5">
        <f>IF($AD314="","",IF($AD314&lt;0,"FUTURO",IF($AD314&gt;p_dias_backlog_max,"BACKLOG","MES CORRIENTE")))</f>
        <v/>
      </c>
      <c r="AF314" s="5">
        <f>IF($AD314="",FALSE,AND($AD314&gt;p_dias_backlog_min,$AD314&lt;=p_dias_backlog_max))</f>
        <v/>
      </c>
      <c r="AG314" s="4" t="n"/>
      <c r="AH314" s="5">
        <f>IF($AG314="","",IF((IFERROR(INDEX('ASIGNACIONES'!$J$4:$J$451,MATCH($O314&amp;"|"&amp;$S314&amp;"|"&amp;$AG314,'ASIGNACIONES'!$N$4:$N$451,0)),""))=0,"",IFERROR(INDEX('ASIGNACIONES'!$J$4:$J$451,MATCH($O314&amp;"|"&amp;$S314&amp;"|"&amp;$AG314,'ASIGNACIONES'!$N$4:$N$451,0)),"")))</f>
        <v/>
      </c>
      <c r="AI314" s="25">
        <f>IF($AG314="","",SUMIFS('ORDENES'!$M$4:$M$1203,'ORDENES'!$AG$4:$AG$1203,$AG314,'ORDENES'!$O$4:$O$1203,$O314,'ORDENES'!$S$4:$S$1203,$S314))</f>
        <v/>
      </c>
      <c r="AJ314" s="25">
        <f>IF($AI314="","",p_factor_productividad*IFERROR(INDEX('ASIGNACIONES'!$M$4:$M$451,MATCH($O314&amp;"|"&amp;$S314&amp;"|"&amp;$AG314,'ASIGNACIONES'!$N$4:$N$451,0)),0)-$AI314)</f>
        <v/>
      </c>
      <c r="AK314" s="18">
        <f>IF($A314="","",IFERROR(INDEX('2_IMPORTAR_EJECUCION'!$F$9:$F$1208,MATCH($AT314,'2_IMPORTAR_EJECUCION'!$J$9:$J$1208,0)),0))</f>
        <v/>
      </c>
      <c r="AL314" s="18">
        <f>IF($A314="","",MAX(0,IFERROR(INDEX('2_IMPORTAR_EJECUCION'!$H$9:$H$1208,MATCH($AT314,'2_IMPORTAR_EJECUCION'!$J$9:$J$1208,0)),0)-$AK314))</f>
        <v/>
      </c>
      <c r="AM314" s="18">
        <f>IF($A314="","",$AK314+$AL314)</f>
        <v/>
      </c>
      <c r="AN314" s="5">
        <f>IF($A314="","",IF(OR((IFERROR(INDEX('CAT_ACTIVIDADES'!$D$4:$D$11,MATCH($H314,'CAT_ACTIVIDADES'!$A$4:$A$11,0)),""))=0,(IFERROR(INDEX('CAT_ACTIVIDADES'!$D$4:$D$11,MATCH($H314,'CAT_ACTIVIDADES'!$A$4:$A$11,0)),""))=""),"SIN CLASIFICAR",IFERROR(INDEX('CAT_ACTIVIDADES'!$D$4:$D$11,MATCH($H314,'CAT_ACTIVIDADES'!$A$4:$A$11,0)),"")))</f>
        <v/>
      </c>
      <c r="AO314" s="4" t="n"/>
      <c r="AP314" s="4" t="n"/>
      <c r="AQ314" s="4" t="n"/>
      <c r="AR314" s="5">
        <f>IF($AQ314="","",HYPERLINK(p_ruta_base_checklists&amp;$AQ314,"abrir"))</f>
        <v/>
      </c>
      <c r="AS314" s="4" t="n"/>
      <c r="AT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2" t="n"/>
      <c r="K315" s="5" t="n"/>
      <c r="L315" s="18" t="n"/>
      <c r="M315" s="5">
        <f>IF($A315="","",IFERROR(INDEX('AJUSTES'!$B$4:$B$303,MATCH($AT315,'AJUSTES'!$A$4:$A$303,0)),IF($K315="","",$K315)))</f>
        <v/>
      </c>
      <c r="N315" s="5">
        <f>IF($A315="","",IFERROR(INDEX('CAT_ESTADOS_ERP'!$B$4:$B$7,MATCH(IFERROR(INDEX('2_IMPORTAR_EJECUCION'!$C$9:$C$1208,MATCH($AT315,'2_IMPORTAR_EJECUCION'!$J$9:$J$1208,0)),""),'CAT_ESTADOS_ERP'!$A$4:$A$7,0)),"Pendiente"))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IF($J315="","",$P315&amp;"-"&amp;TEXT($Q315,"00"))</f>
        <v/>
      </c>
      <c r="S315" s="5">
        <f>IF($J315="","",INDEX(lista_dias,WEEKDAY($J315,2)))</f>
        <v/>
      </c>
      <c r="T315" s="5">
        <f>IF($J315="","",IFERROR(INDEX('CALENDARIO'!$C$15:$C$214,MATCH(TEXT($J315,"yyyy-mm-dd")&amp;"|"&amp;$X315&amp;"|"&amp;$Y315,'CALENDARIO'!$G$15:$G$214,0)),IFERROR(INDEX('CALENDARIO'!$C$15:$C$214,MATCH(TEXT($J315,"yyyy-mm-dd")&amp;"|"&amp;$X315&amp;"|",'CALENDARIO'!$G$15:$G$214,0)),IFERROR(INDEX('CALENDARIO'!$C$15:$C$214,MATCH(TEXT($J315,"yyyy-mm-dd")&amp;"||",'CALENDARIO'!$G$15:$G$214,0)),INDEX(patronHabil,WEEKDAY($J315,2))))))</f>
        <v/>
      </c>
      <c r="U315" s="5">
        <f>IF($I315="","",IFERROR(INDEX('CAT_TIPOS_OT'!$C$4:$C$8,MATCH($I315,'CAT_TIPOS_OT'!$A$4:$A$8,0)),"sin_clasificar"))</f>
        <v/>
      </c>
      <c r="V315" s="5">
        <f>IF($I315="","",IF(IFERROR(INDEX('CAT_TIPOS_OT'!$D$4:$D$8,MATCH($I315,'CAT_TIPOS_OT'!$A$4:$A$8,0)),"SIN CLASIFICAR")="","SIN CLASIFICAR",IFERROR(INDEX('CAT_TIPOS_OT'!$D$4:$D$8,MATCH($I315,'CAT_TIPOS_OT'!$A$4:$A$8,0)),"SIN CLASIFICAR")))</f>
        <v/>
      </c>
      <c r="W315" s="5">
        <f>IF($F315="","",IFERROR(INDEX('CAT_CENTROS_COSTO'!$F$4:$F$13,MATCH($F315,'CAT_CENTROS_COSTO'!$A$4:$A$13,0)),"(sin catálogo)"))</f>
        <v/>
      </c>
      <c r="X315" s="5">
        <f>IF($F315="","",IFERROR(INDEX('CAT_CENTROS_COSTO'!$D$4:$D$13,MATCH($F315,'CAT_CENTROS_COSTO'!$A$4:$A$13,0)),"(sin catálogo)"))</f>
        <v/>
      </c>
      <c r="Y315" s="5">
        <f>IF($F315="","",IF((IFERROR(INDEX('CAT_CENTROS_COSTO'!$E$4:$E$13,MATCH($F315,'CAT_CENTROS_COSTO'!$A$4:$A$13,0)),""))&lt;&gt;"",IFERROR(INDEX('CAT_CENTROS_COSTO'!$E$4:$E$13,MATCH($F315,'CAT_CENTROS_COSTO'!$A$4:$A$13,0)),""),$X315))</f>
        <v/>
      </c>
      <c r="Z315" s="5">
        <f>IF($F315="","",IFERROR(INDEX('CAT_CENTROS_COSTO'!$G$4:$G$13,MATCH($F315,'CAT_CENTROS_COSTO'!$A$4:$A$13,0)),"(sin catálogo)"))</f>
        <v/>
      </c>
      <c r="AA315" s="5">
        <f>IF($G315="","",IFERROR(INDEX('CAT_PUESTOS'!$B$4:$B$8,MATCH($G315,'CAT_PUESTOS'!$A$4:$A$8,0)),"(sin catálogo)"))</f>
        <v/>
      </c>
      <c r="AB315" s="5">
        <f>IF($H315="","",IFERROR(INDEX('CAT_ACTIVIDADES'!$B$4:$B$11,MATCH($H315,'CAT_ACTIVIDADES'!$A$4:$A$11,0)),"(sin catálogo)"))</f>
        <v/>
      </c>
      <c r="AC315" s="20">
        <f>IF($J315="","",TODAY()-$J315)</f>
        <v/>
      </c>
      <c r="AD315" s="20">
        <f>IF($J315="","",IF($J315&lt;=TODAY(),COUNTIFS(cal_fechas,"&gt;="&amp;$J315,cal_fechas,"&lt;"&amp;TODAY(),cal_habil,"sí"),-COUNTIFS(cal_fechas,"&gt;="&amp;TODAY(),cal_fechas,"&lt;"&amp;$J315,cal_habil,"sí")))</f>
        <v/>
      </c>
      <c r="AE315" s="5">
        <f>IF($AD315="","",IF($AD315&lt;0,"FUTURO",IF($AD315&gt;p_dias_backlog_max,"BACKLOG","MES CORRIENTE")))</f>
        <v/>
      </c>
      <c r="AF315" s="5">
        <f>IF($AD315="",FALSE,AND($AD315&gt;p_dias_backlog_min,$AD315&lt;=p_dias_backlog_max))</f>
        <v/>
      </c>
      <c r="AG315" s="4" t="n"/>
      <c r="AH315" s="5">
        <f>IF($AG315="","",IF((IFERROR(INDEX('ASIGNACIONES'!$J$4:$J$451,MATCH($O315&amp;"|"&amp;$S315&amp;"|"&amp;$AG315,'ASIGNACIONES'!$N$4:$N$451,0)),""))=0,"",IFERROR(INDEX('ASIGNACIONES'!$J$4:$J$451,MATCH($O315&amp;"|"&amp;$S315&amp;"|"&amp;$AG315,'ASIGNACIONES'!$N$4:$N$451,0)),"")))</f>
        <v/>
      </c>
      <c r="AI315" s="25">
        <f>IF($AG315="","",SUMIFS('ORDENES'!$M$4:$M$1203,'ORDENES'!$AG$4:$AG$1203,$AG315,'ORDENES'!$O$4:$O$1203,$O315,'ORDENES'!$S$4:$S$1203,$S315))</f>
        <v/>
      </c>
      <c r="AJ315" s="25">
        <f>IF($AI315="","",p_factor_productividad*IFERROR(INDEX('ASIGNACIONES'!$M$4:$M$451,MATCH($O315&amp;"|"&amp;$S315&amp;"|"&amp;$AG315,'ASIGNACIONES'!$N$4:$N$451,0)),0)-$AI315)</f>
        <v/>
      </c>
      <c r="AK315" s="18">
        <f>IF($A315="","",IFERROR(INDEX('2_IMPORTAR_EJECUCION'!$F$9:$F$1208,MATCH($AT315,'2_IMPORTAR_EJECUCION'!$J$9:$J$1208,0)),0))</f>
        <v/>
      </c>
      <c r="AL315" s="18">
        <f>IF($A315="","",MAX(0,IFERROR(INDEX('2_IMPORTAR_EJECUCION'!$H$9:$H$1208,MATCH($AT315,'2_IMPORTAR_EJECUCION'!$J$9:$J$1208,0)),0)-$AK315))</f>
        <v/>
      </c>
      <c r="AM315" s="18">
        <f>IF($A315="","",$AK315+$AL315)</f>
        <v/>
      </c>
      <c r="AN315" s="5">
        <f>IF($A315="","",IF(OR((IFERROR(INDEX('CAT_ACTIVIDADES'!$D$4:$D$11,MATCH($H315,'CAT_ACTIVIDADES'!$A$4:$A$11,0)),""))=0,(IFERROR(INDEX('CAT_ACTIVIDADES'!$D$4:$D$11,MATCH($H315,'CAT_ACTIVIDADES'!$A$4:$A$11,0)),""))=""),"SIN CLASIFICAR",IFERROR(INDEX('CAT_ACTIVIDADES'!$D$4:$D$11,MATCH($H315,'CAT_ACTIVIDADES'!$A$4:$A$11,0)),"")))</f>
        <v/>
      </c>
      <c r="AO315" s="4" t="n"/>
      <c r="AP315" s="4" t="n"/>
      <c r="AQ315" s="4" t="n"/>
      <c r="AR315" s="5">
        <f>IF($AQ315="","",HYPERLINK(p_ruta_base_checklists&amp;$AQ315,"abrir"))</f>
        <v/>
      </c>
      <c r="AS315" s="4" t="n"/>
      <c r="AT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2" t="n"/>
      <c r="K316" s="5" t="n"/>
      <c r="L316" s="18" t="n"/>
      <c r="M316" s="5">
        <f>IF($A316="","",IFERROR(INDEX('AJUSTES'!$B$4:$B$303,MATCH($AT316,'AJUSTES'!$A$4:$A$303,0)),IF($K316="","",$K316)))</f>
        <v/>
      </c>
      <c r="N316" s="5">
        <f>IF($A316="","",IFERROR(INDEX('CAT_ESTADOS_ERP'!$B$4:$B$7,MATCH(IFERROR(INDEX('2_IMPORTAR_EJECUCION'!$C$9:$C$1208,MATCH($AT316,'2_IMPORTAR_EJECUCION'!$J$9:$J$1208,0)),""),'CAT_ESTADOS_ERP'!$A$4:$A$7,0)),"Pendiente"))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IF($J316="","",$P316&amp;"-"&amp;TEXT($Q316,"00"))</f>
        <v/>
      </c>
      <c r="S316" s="5">
        <f>IF($J316="","",INDEX(lista_dias,WEEKDAY($J316,2)))</f>
        <v/>
      </c>
      <c r="T316" s="5">
        <f>IF($J316="","",IFERROR(INDEX('CALENDARIO'!$C$15:$C$214,MATCH(TEXT($J316,"yyyy-mm-dd")&amp;"|"&amp;$X316&amp;"|"&amp;$Y316,'CALENDARIO'!$G$15:$G$214,0)),IFERROR(INDEX('CALENDARIO'!$C$15:$C$214,MATCH(TEXT($J316,"yyyy-mm-dd")&amp;"|"&amp;$X316&amp;"|",'CALENDARIO'!$G$15:$G$214,0)),IFERROR(INDEX('CALENDARIO'!$C$15:$C$214,MATCH(TEXT($J316,"yyyy-mm-dd")&amp;"||",'CALENDARIO'!$G$15:$G$214,0)),INDEX(patronHabil,WEEKDAY($J316,2))))))</f>
        <v/>
      </c>
      <c r="U316" s="5">
        <f>IF($I316="","",IFERROR(INDEX('CAT_TIPOS_OT'!$C$4:$C$8,MATCH($I316,'CAT_TIPOS_OT'!$A$4:$A$8,0)),"sin_clasificar"))</f>
        <v/>
      </c>
      <c r="V316" s="5">
        <f>IF($I316="","",IF(IFERROR(INDEX('CAT_TIPOS_OT'!$D$4:$D$8,MATCH($I316,'CAT_TIPOS_OT'!$A$4:$A$8,0)),"SIN CLASIFICAR")="","SIN CLASIFICAR",IFERROR(INDEX('CAT_TIPOS_OT'!$D$4:$D$8,MATCH($I316,'CAT_TIPOS_OT'!$A$4:$A$8,0)),"SIN CLASIFICAR")))</f>
        <v/>
      </c>
      <c r="W316" s="5">
        <f>IF($F316="","",IFERROR(INDEX('CAT_CENTROS_COSTO'!$F$4:$F$13,MATCH($F316,'CAT_CENTROS_COSTO'!$A$4:$A$13,0)),"(sin catálogo)"))</f>
        <v/>
      </c>
      <c r="X316" s="5">
        <f>IF($F316="","",IFERROR(INDEX('CAT_CENTROS_COSTO'!$D$4:$D$13,MATCH($F316,'CAT_CENTROS_COSTO'!$A$4:$A$13,0)),"(sin catálogo)"))</f>
        <v/>
      </c>
      <c r="Y316" s="5">
        <f>IF($F316="","",IF((IFERROR(INDEX('CAT_CENTROS_COSTO'!$E$4:$E$13,MATCH($F316,'CAT_CENTROS_COSTO'!$A$4:$A$13,0)),""))&lt;&gt;"",IFERROR(INDEX('CAT_CENTROS_COSTO'!$E$4:$E$13,MATCH($F316,'CAT_CENTROS_COSTO'!$A$4:$A$13,0)),""),$X316))</f>
        <v/>
      </c>
      <c r="Z316" s="5">
        <f>IF($F316="","",IFERROR(INDEX('CAT_CENTROS_COSTO'!$G$4:$G$13,MATCH($F316,'CAT_CENTROS_COSTO'!$A$4:$A$13,0)),"(sin catálogo)"))</f>
        <v/>
      </c>
      <c r="AA316" s="5">
        <f>IF($G316="","",IFERROR(INDEX('CAT_PUESTOS'!$B$4:$B$8,MATCH($G316,'CAT_PUESTOS'!$A$4:$A$8,0)),"(sin catálogo)"))</f>
        <v/>
      </c>
      <c r="AB316" s="5">
        <f>IF($H316="","",IFERROR(INDEX('CAT_ACTIVIDADES'!$B$4:$B$11,MATCH($H316,'CAT_ACTIVIDADES'!$A$4:$A$11,0)),"(sin catálogo)"))</f>
        <v/>
      </c>
      <c r="AC316" s="20">
        <f>IF($J316="","",TODAY()-$J316)</f>
        <v/>
      </c>
      <c r="AD316" s="20">
        <f>IF($J316="","",IF($J316&lt;=TODAY(),COUNTIFS(cal_fechas,"&gt;="&amp;$J316,cal_fechas,"&lt;"&amp;TODAY(),cal_habil,"sí"),-COUNTIFS(cal_fechas,"&gt;="&amp;TODAY(),cal_fechas,"&lt;"&amp;$J316,cal_habil,"sí")))</f>
        <v/>
      </c>
      <c r="AE316" s="5">
        <f>IF($AD316="","",IF($AD316&lt;0,"FUTURO",IF($AD316&gt;p_dias_backlog_max,"BACKLOG","MES CORRIENTE")))</f>
        <v/>
      </c>
      <c r="AF316" s="5">
        <f>IF($AD316="",FALSE,AND($AD316&gt;p_dias_backlog_min,$AD316&lt;=p_dias_backlog_max))</f>
        <v/>
      </c>
      <c r="AG316" s="4" t="n"/>
      <c r="AH316" s="5">
        <f>IF($AG316="","",IF((IFERROR(INDEX('ASIGNACIONES'!$J$4:$J$451,MATCH($O316&amp;"|"&amp;$S316&amp;"|"&amp;$AG316,'ASIGNACIONES'!$N$4:$N$451,0)),""))=0,"",IFERROR(INDEX('ASIGNACIONES'!$J$4:$J$451,MATCH($O316&amp;"|"&amp;$S316&amp;"|"&amp;$AG316,'ASIGNACIONES'!$N$4:$N$451,0)),"")))</f>
        <v/>
      </c>
      <c r="AI316" s="25">
        <f>IF($AG316="","",SUMIFS('ORDENES'!$M$4:$M$1203,'ORDENES'!$AG$4:$AG$1203,$AG316,'ORDENES'!$O$4:$O$1203,$O316,'ORDENES'!$S$4:$S$1203,$S316))</f>
        <v/>
      </c>
      <c r="AJ316" s="25">
        <f>IF($AI316="","",p_factor_productividad*IFERROR(INDEX('ASIGNACIONES'!$M$4:$M$451,MATCH($O316&amp;"|"&amp;$S316&amp;"|"&amp;$AG316,'ASIGNACIONES'!$N$4:$N$451,0)),0)-$AI316)</f>
        <v/>
      </c>
      <c r="AK316" s="18">
        <f>IF($A316="","",IFERROR(INDEX('2_IMPORTAR_EJECUCION'!$F$9:$F$1208,MATCH($AT316,'2_IMPORTAR_EJECUCION'!$J$9:$J$1208,0)),0))</f>
        <v/>
      </c>
      <c r="AL316" s="18">
        <f>IF($A316="","",MAX(0,IFERROR(INDEX('2_IMPORTAR_EJECUCION'!$H$9:$H$1208,MATCH($AT316,'2_IMPORTAR_EJECUCION'!$J$9:$J$1208,0)),0)-$AK316))</f>
        <v/>
      </c>
      <c r="AM316" s="18">
        <f>IF($A316="","",$AK316+$AL316)</f>
        <v/>
      </c>
      <c r="AN316" s="5">
        <f>IF($A316="","",IF(OR((IFERROR(INDEX('CAT_ACTIVIDADES'!$D$4:$D$11,MATCH($H316,'CAT_ACTIVIDADES'!$A$4:$A$11,0)),""))=0,(IFERROR(INDEX('CAT_ACTIVIDADES'!$D$4:$D$11,MATCH($H316,'CAT_ACTIVIDADES'!$A$4:$A$11,0)),""))=""),"SIN CLASIFICAR",IFERROR(INDEX('CAT_ACTIVIDADES'!$D$4:$D$11,MATCH($H316,'CAT_ACTIVIDADES'!$A$4:$A$11,0)),"")))</f>
        <v/>
      </c>
      <c r="AO316" s="4" t="n"/>
      <c r="AP316" s="4" t="n"/>
      <c r="AQ316" s="4" t="n"/>
      <c r="AR316" s="5">
        <f>IF($AQ316="","",HYPERLINK(p_ruta_base_checklists&amp;$AQ316,"abrir"))</f>
        <v/>
      </c>
      <c r="AS316" s="4" t="n"/>
      <c r="AT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2" t="n"/>
      <c r="K317" s="5" t="n"/>
      <c r="L317" s="18" t="n"/>
      <c r="M317" s="5">
        <f>IF($A317="","",IFERROR(INDEX('AJUSTES'!$B$4:$B$303,MATCH($AT317,'AJUSTES'!$A$4:$A$303,0)),IF($K317="","",$K317)))</f>
        <v/>
      </c>
      <c r="N317" s="5">
        <f>IF($A317="","",IFERROR(INDEX('CAT_ESTADOS_ERP'!$B$4:$B$7,MATCH(IFERROR(INDEX('2_IMPORTAR_EJECUCION'!$C$9:$C$1208,MATCH($AT317,'2_IMPORTAR_EJECUCION'!$J$9:$J$1208,0)),""),'CAT_ESTADOS_ERP'!$A$4:$A$7,0)),"Pendiente"))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IF($J317="","",$P317&amp;"-"&amp;TEXT($Q317,"00"))</f>
        <v/>
      </c>
      <c r="S317" s="5">
        <f>IF($J317="","",INDEX(lista_dias,WEEKDAY($J317,2)))</f>
        <v/>
      </c>
      <c r="T317" s="5">
        <f>IF($J317="","",IFERROR(INDEX('CALENDARIO'!$C$15:$C$214,MATCH(TEXT($J317,"yyyy-mm-dd")&amp;"|"&amp;$X317&amp;"|"&amp;$Y317,'CALENDARIO'!$G$15:$G$214,0)),IFERROR(INDEX('CALENDARIO'!$C$15:$C$214,MATCH(TEXT($J317,"yyyy-mm-dd")&amp;"|"&amp;$X317&amp;"|",'CALENDARIO'!$G$15:$G$214,0)),IFERROR(INDEX('CALENDARIO'!$C$15:$C$214,MATCH(TEXT($J317,"yyyy-mm-dd")&amp;"||",'CALENDARIO'!$G$15:$G$214,0)),INDEX(patronHabil,WEEKDAY($J317,2))))))</f>
        <v/>
      </c>
      <c r="U317" s="5">
        <f>IF($I317="","",IFERROR(INDEX('CAT_TIPOS_OT'!$C$4:$C$8,MATCH($I317,'CAT_TIPOS_OT'!$A$4:$A$8,0)),"sin_clasificar"))</f>
        <v/>
      </c>
      <c r="V317" s="5">
        <f>IF($I317="","",IF(IFERROR(INDEX('CAT_TIPOS_OT'!$D$4:$D$8,MATCH($I317,'CAT_TIPOS_OT'!$A$4:$A$8,0)),"SIN CLASIFICAR")="","SIN CLASIFICAR",IFERROR(INDEX('CAT_TIPOS_OT'!$D$4:$D$8,MATCH($I317,'CAT_TIPOS_OT'!$A$4:$A$8,0)),"SIN CLASIFICAR")))</f>
        <v/>
      </c>
      <c r="W317" s="5">
        <f>IF($F317="","",IFERROR(INDEX('CAT_CENTROS_COSTO'!$F$4:$F$13,MATCH($F317,'CAT_CENTROS_COSTO'!$A$4:$A$13,0)),"(sin catálogo)"))</f>
        <v/>
      </c>
      <c r="X317" s="5">
        <f>IF($F317="","",IFERROR(INDEX('CAT_CENTROS_COSTO'!$D$4:$D$13,MATCH($F317,'CAT_CENTROS_COSTO'!$A$4:$A$13,0)),"(sin catálogo)"))</f>
        <v/>
      </c>
      <c r="Y317" s="5">
        <f>IF($F317="","",IF((IFERROR(INDEX('CAT_CENTROS_COSTO'!$E$4:$E$13,MATCH($F317,'CAT_CENTROS_COSTO'!$A$4:$A$13,0)),""))&lt;&gt;"",IFERROR(INDEX('CAT_CENTROS_COSTO'!$E$4:$E$13,MATCH($F317,'CAT_CENTROS_COSTO'!$A$4:$A$13,0)),""),$X317))</f>
        <v/>
      </c>
      <c r="Z317" s="5">
        <f>IF($F317="","",IFERROR(INDEX('CAT_CENTROS_COSTO'!$G$4:$G$13,MATCH($F317,'CAT_CENTROS_COSTO'!$A$4:$A$13,0)),"(sin catálogo)"))</f>
        <v/>
      </c>
      <c r="AA317" s="5">
        <f>IF($G317="","",IFERROR(INDEX('CAT_PUESTOS'!$B$4:$B$8,MATCH($G317,'CAT_PUESTOS'!$A$4:$A$8,0)),"(sin catálogo)"))</f>
        <v/>
      </c>
      <c r="AB317" s="5">
        <f>IF($H317="","",IFERROR(INDEX('CAT_ACTIVIDADES'!$B$4:$B$11,MATCH($H317,'CAT_ACTIVIDADES'!$A$4:$A$11,0)),"(sin catálogo)"))</f>
        <v/>
      </c>
      <c r="AC317" s="20">
        <f>IF($J317="","",TODAY()-$J317)</f>
        <v/>
      </c>
      <c r="AD317" s="20">
        <f>IF($J317="","",IF($J317&lt;=TODAY(),COUNTIFS(cal_fechas,"&gt;="&amp;$J317,cal_fechas,"&lt;"&amp;TODAY(),cal_habil,"sí"),-COUNTIFS(cal_fechas,"&gt;="&amp;TODAY(),cal_fechas,"&lt;"&amp;$J317,cal_habil,"sí")))</f>
        <v/>
      </c>
      <c r="AE317" s="5">
        <f>IF($AD317="","",IF($AD317&lt;0,"FUTURO",IF($AD317&gt;p_dias_backlog_max,"BACKLOG","MES CORRIENTE")))</f>
        <v/>
      </c>
      <c r="AF317" s="5">
        <f>IF($AD317="",FALSE,AND($AD317&gt;p_dias_backlog_min,$AD317&lt;=p_dias_backlog_max))</f>
        <v/>
      </c>
      <c r="AG317" s="4" t="n"/>
      <c r="AH317" s="5">
        <f>IF($AG317="","",IF((IFERROR(INDEX('ASIGNACIONES'!$J$4:$J$451,MATCH($O317&amp;"|"&amp;$S317&amp;"|"&amp;$AG317,'ASIGNACIONES'!$N$4:$N$451,0)),""))=0,"",IFERROR(INDEX('ASIGNACIONES'!$J$4:$J$451,MATCH($O317&amp;"|"&amp;$S317&amp;"|"&amp;$AG317,'ASIGNACIONES'!$N$4:$N$451,0)),"")))</f>
        <v/>
      </c>
      <c r="AI317" s="25">
        <f>IF($AG317="","",SUMIFS('ORDENES'!$M$4:$M$1203,'ORDENES'!$AG$4:$AG$1203,$AG317,'ORDENES'!$O$4:$O$1203,$O317,'ORDENES'!$S$4:$S$1203,$S317))</f>
        <v/>
      </c>
      <c r="AJ317" s="25">
        <f>IF($AI317="","",p_factor_productividad*IFERROR(INDEX('ASIGNACIONES'!$M$4:$M$451,MATCH($O317&amp;"|"&amp;$S317&amp;"|"&amp;$AG317,'ASIGNACIONES'!$N$4:$N$451,0)),0)-$AI317)</f>
        <v/>
      </c>
      <c r="AK317" s="18">
        <f>IF($A317="","",IFERROR(INDEX('2_IMPORTAR_EJECUCION'!$F$9:$F$1208,MATCH($AT317,'2_IMPORTAR_EJECUCION'!$J$9:$J$1208,0)),0))</f>
        <v/>
      </c>
      <c r="AL317" s="18">
        <f>IF($A317="","",MAX(0,IFERROR(INDEX('2_IMPORTAR_EJECUCION'!$H$9:$H$1208,MATCH($AT317,'2_IMPORTAR_EJECUCION'!$J$9:$J$1208,0)),0)-$AK317))</f>
        <v/>
      </c>
      <c r="AM317" s="18">
        <f>IF($A317="","",$AK317+$AL317)</f>
        <v/>
      </c>
      <c r="AN317" s="5">
        <f>IF($A317="","",IF(OR((IFERROR(INDEX('CAT_ACTIVIDADES'!$D$4:$D$11,MATCH($H317,'CAT_ACTIVIDADES'!$A$4:$A$11,0)),""))=0,(IFERROR(INDEX('CAT_ACTIVIDADES'!$D$4:$D$11,MATCH($H317,'CAT_ACTIVIDADES'!$A$4:$A$11,0)),""))=""),"SIN CLASIFICAR",IFERROR(INDEX('CAT_ACTIVIDADES'!$D$4:$D$11,MATCH($H317,'CAT_ACTIVIDADES'!$A$4:$A$11,0)),"")))</f>
        <v/>
      </c>
      <c r="AO317" s="4" t="n"/>
      <c r="AP317" s="4" t="n"/>
      <c r="AQ317" s="4" t="n"/>
      <c r="AR317" s="5">
        <f>IF($AQ317="","",HYPERLINK(p_ruta_base_checklists&amp;$AQ317,"abrir"))</f>
        <v/>
      </c>
      <c r="AS317" s="4" t="n"/>
      <c r="AT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2" t="n"/>
      <c r="K318" s="5" t="n"/>
      <c r="L318" s="18" t="n"/>
      <c r="M318" s="5">
        <f>IF($A318="","",IFERROR(INDEX('AJUSTES'!$B$4:$B$303,MATCH($AT318,'AJUSTES'!$A$4:$A$303,0)),IF($K318="","",$K318)))</f>
        <v/>
      </c>
      <c r="N318" s="5">
        <f>IF($A318="","",IFERROR(INDEX('CAT_ESTADOS_ERP'!$B$4:$B$7,MATCH(IFERROR(INDEX('2_IMPORTAR_EJECUCION'!$C$9:$C$1208,MATCH($AT318,'2_IMPORTAR_EJECUCION'!$J$9:$J$1208,0)),""),'CAT_ESTADOS_ERP'!$A$4:$A$7,0)),"Pendiente"))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IF($J318="","",$P318&amp;"-"&amp;TEXT($Q318,"00"))</f>
        <v/>
      </c>
      <c r="S318" s="5">
        <f>IF($J318="","",INDEX(lista_dias,WEEKDAY($J318,2)))</f>
        <v/>
      </c>
      <c r="T318" s="5">
        <f>IF($J318="","",IFERROR(INDEX('CALENDARIO'!$C$15:$C$214,MATCH(TEXT($J318,"yyyy-mm-dd")&amp;"|"&amp;$X318&amp;"|"&amp;$Y318,'CALENDARIO'!$G$15:$G$214,0)),IFERROR(INDEX('CALENDARIO'!$C$15:$C$214,MATCH(TEXT($J318,"yyyy-mm-dd")&amp;"|"&amp;$X318&amp;"|",'CALENDARIO'!$G$15:$G$214,0)),IFERROR(INDEX('CALENDARIO'!$C$15:$C$214,MATCH(TEXT($J318,"yyyy-mm-dd")&amp;"||",'CALENDARIO'!$G$15:$G$214,0)),INDEX(patronHabil,WEEKDAY($J318,2))))))</f>
        <v/>
      </c>
      <c r="U318" s="5">
        <f>IF($I318="","",IFERROR(INDEX('CAT_TIPOS_OT'!$C$4:$C$8,MATCH($I318,'CAT_TIPOS_OT'!$A$4:$A$8,0)),"sin_clasificar"))</f>
        <v/>
      </c>
      <c r="V318" s="5">
        <f>IF($I318="","",IF(IFERROR(INDEX('CAT_TIPOS_OT'!$D$4:$D$8,MATCH($I318,'CAT_TIPOS_OT'!$A$4:$A$8,0)),"SIN CLASIFICAR")="","SIN CLASIFICAR",IFERROR(INDEX('CAT_TIPOS_OT'!$D$4:$D$8,MATCH($I318,'CAT_TIPOS_OT'!$A$4:$A$8,0)),"SIN CLASIFICAR")))</f>
        <v/>
      </c>
      <c r="W318" s="5">
        <f>IF($F318="","",IFERROR(INDEX('CAT_CENTROS_COSTO'!$F$4:$F$13,MATCH($F318,'CAT_CENTROS_COSTO'!$A$4:$A$13,0)),"(sin catálogo)"))</f>
        <v/>
      </c>
      <c r="X318" s="5">
        <f>IF($F318="","",IFERROR(INDEX('CAT_CENTROS_COSTO'!$D$4:$D$13,MATCH($F318,'CAT_CENTROS_COSTO'!$A$4:$A$13,0)),"(sin catálogo)"))</f>
        <v/>
      </c>
      <c r="Y318" s="5">
        <f>IF($F318="","",IF((IFERROR(INDEX('CAT_CENTROS_COSTO'!$E$4:$E$13,MATCH($F318,'CAT_CENTROS_COSTO'!$A$4:$A$13,0)),""))&lt;&gt;"",IFERROR(INDEX('CAT_CENTROS_COSTO'!$E$4:$E$13,MATCH($F318,'CAT_CENTROS_COSTO'!$A$4:$A$13,0)),""),$X318))</f>
        <v/>
      </c>
      <c r="Z318" s="5">
        <f>IF($F318="","",IFERROR(INDEX('CAT_CENTROS_COSTO'!$G$4:$G$13,MATCH($F318,'CAT_CENTROS_COSTO'!$A$4:$A$13,0)),"(sin catálogo)"))</f>
        <v/>
      </c>
      <c r="AA318" s="5">
        <f>IF($G318="","",IFERROR(INDEX('CAT_PUESTOS'!$B$4:$B$8,MATCH($G318,'CAT_PUESTOS'!$A$4:$A$8,0)),"(sin catálogo)"))</f>
        <v/>
      </c>
      <c r="AB318" s="5">
        <f>IF($H318="","",IFERROR(INDEX('CAT_ACTIVIDADES'!$B$4:$B$11,MATCH($H318,'CAT_ACTIVIDADES'!$A$4:$A$11,0)),"(sin catálogo)"))</f>
        <v/>
      </c>
      <c r="AC318" s="20">
        <f>IF($J318="","",TODAY()-$J318)</f>
        <v/>
      </c>
      <c r="AD318" s="20">
        <f>IF($J318="","",IF($J318&lt;=TODAY(),COUNTIFS(cal_fechas,"&gt;="&amp;$J318,cal_fechas,"&lt;"&amp;TODAY(),cal_habil,"sí"),-COUNTIFS(cal_fechas,"&gt;="&amp;TODAY(),cal_fechas,"&lt;"&amp;$J318,cal_habil,"sí")))</f>
        <v/>
      </c>
      <c r="AE318" s="5">
        <f>IF($AD318="","",IF($AD318&lt;0,"FUTURO",IF($AD318&gt;p_dias_backlog_max,"BACKLOG","MES CORRIENTE")))</f>
        <v/>
      </c>
      <c r="AF318" s="5">
        <f>IF($AD318="",FALSE,AND($AD318&gt;p_dias_backlog_min,$AD318&lt;=p_dias_backlog_max))</f>
        <v/>
      </c>
      <c r="AG318" s="4" t="n"/>
      <c r="AH318" s="5">
        <f>IF($AG318="","",IF((IFERROR(INDEX('ASIGNACIONES'!$J$4:$J$451,MATCH($O318&amp;"|"&amp;$S318&amp;"|"&amp;$AG318,'ASIGNACIONES'!$N$4:$N$451,0)),""))=0,"",IFERROR(INDEX('ASIGNACIONES'!$J$4:$J$451,MATCH($O318&amp;"|"&amp;$S318&amp;"|"&amp;$AG318,'ASIGNACIONES'!$N$4:$N$451,0)),"")))</f>
        <v/>
      </c>
      <c r="AI318" s="25">
        <f>IF($AG318="","",SUMIFS('ORDENES'!$M$4:$M$1203,'ORDENES'!$AG$4:$AG$1203,$AG318,'ORDENES'!$O$4:$O$1203,$O318,'ORDENES'!$S$4:$S$1203,$S318))</f>
        <v/>
      </c>
      <c r="AJ318" s="25">
        <f>IF($AI318="","",p_factor_productividad*IFERROR(INDEX('ASIGNACIONES'!$M$4:$M$451,MATCH($O318&amp;"|"&amp;$S318&amp;"|"&amp;$AG318,'ASIGNACIONES'!$N$4:$N$451,0)),0)-$AI318)</f>
        <v/>
      </c>
      <c r="AK318" s="18">
        <f>IF($A318="","",IFERROR(INDEX('2_IMPORTAR_EJECUCION'!$F$9:$F$1208,MATCH($AT318,'2_IMPORTAR_EJECUCION'!$J$9:$J$1208,0)),0))</f>
        <v/>
      </c>
      <c r="AL318" s="18">
        <f>IF($A318="","",MAX(0,IFERROR(INDEX('2_IMPORTAR_EJECUCION'!$H$9:$H$1208,MATCH($AT318,'2_IMPORTAR_EJECUCION'!$J$9:$J$1208,0)),0)-$AK318))</f>
        <v/>
      </c>
      <c r="AM318" s="18">
        <f>IF($A318="","",$AK318+$AL318)</f>
        <v/>
      </c>
      <c r="AN318" s="5">
        <f>IF($A318="","",IF(OR((IFERROR(INDEX('CAT_ACTIVIDADES'!$D$4:$D$11,MATCH($H318,'CAT_ACTIVIDADES'!$A$4:$A$11,0)),""))=0,(IFERROR(INDEX('CAT_ACTIVIDADES'!$D$4:$D$11,MATCH($H318,'CAT_ACTIVIDADES'!$A$4:$A$11,0)),""))=""),"SIN CLASIFICAR",IFERROR(INDEX('CAT_ACTIVIDADES'!$D$4:$D$11,MATCH($H318,'CAT_ACTIVIDADES'!$A$4:$A$11,0)),"")))</f>
        <v/>
      </c>
      <c r="AO318" s="4" t="n"/>
      <c r="AP318" s="4" t="n"/>
      <c r="AQ318" s="4" t="n"/>
      <c r="AR318" s="5">
        <f>IF($AQ318="","",HYPERLINK(p_ruta_base_checklists&amp;$AQ318,"abrir"))</f>
        <v/>
      </c>
      <c r="AS318" s="4" t="n"/>
      <c r="AT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2" t="n"/>
      <c r="K319" s="5" t="n"/>
      <c r="L319" s="18" t="n"/>
      <c r="M319" s="5">
        <f>IF($A319="","",IFERROR(INDEX('AJUSTES'!$B$4:$B$303,MATCH($AT319,'AJUSTES'!$A$4:$A$303,0)),IF($K319="","",$K319)))</f>
        <v/>
      </c>
      <c r="N319" s="5">
        <f>IF($A319="","",IFERROR(INDEX('CAT_ESTADOS_ERP'!$B$4:$B$7,MATCH(IFERROR(INDEX('2_IMPORTAR_EJECUCION'!$C$9:$C$1208,MATCH($AT319,'2_IMPORTAR_EJECUCION'!$J$9:$J$1208,0)),""),'CAT_ESTADOS_ERP'!$A$4:$A$7,0)),"Pendiente"))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IF($J319="","",$P319&amp;"-"&amp;TEXT($Q319,"00"))</f>
        <v/>
      </c>
      <c r="S319" s="5">
        <f>IF($J319="","",INDEX(lista_dias,WEEKDAY($J319,2)))</f>
        <v/>
      </c>
      <c r="T319" s="5">
        <f>IF($J319="","",IFERROR(INDEX('CALENDARIO'!$C$15:$C$214,MATCH(TEXT($J319,"yyyy-mm-dd")&amp;"|"&amp;$X319&amp;"|"&amp;$Y319,'CALENDARIO'!$G$15:$G$214,0)),IFERROR(INDEX('CALENDARIO'!$C$15:$C$214,MATCH(TEXT($J319,"yyyy-mm-dd")&amp;"|"&amp;$X319&amp;"|",'CALENDARIO'!$G$15:$G$214,0)),IFERROR(INDEX('CALENDARIO'!$C$15:$C$214,MATCH(TEXT($J319,"yyyy-mm-dd")&amp;"||",'CALENDARIO'!$G$15:$G$214,0)),INDEX(patronHabil,WEEKDAY($J319,2))))))</f>
        <v/>
      </c>
      <c r="U319" s="5">
        <f>IF($I319="","",IFERROR(INDEX('CAT_TIPOS_OT'!$C$4:$C$8,MATCH($I319,'CAT_TIPOS_OT'!$A$4:$A$8,0)),"sin_clasificar"))</f>
        <v/>
      </c>
      <c r="V319" s="5">
        <f>IF($I319="","",IF(IFERROR(INDEX('CAT_TIPOS_OT'!$D$4:$D$8,MATCH($I319,'CAT_TIPOS_OT'!$A$4:$A$8,0)),"SIN CLASIFICAR")="","SIN CLASIFICAR",IFERROR(INDEX('CAT_TIPOS_OT'!$D$4:$D$8,MATCH($I319,'CAT_TIPOS_OT'!$A$4:$A$8,0)),"SIN CLASIFICAR")))</f>
        <v/>
      </c>
      <c r="W319" s="5">
        <f>IF($F319="","",IFERROR(INDEX('CAT_CENTROS_COSTO'!$F$4:$F$13,MATCH($F319,'CAT_CENTROS_COSTO'!$A$4:$A$13,0)),"(sin catálogo)"))</f>
        <v/>
      </c>
      <c r="X319" s="5">
        <f>IF($F319="","",IFERROR(INDEX('CAT_CENTROS_COSTO'!$D$4:$D$13,MATCH($F319,'CAT_CENTROS_COSTO'!$A$4:$A$13,0)),"(sin catálogo)"))</f>
        <v/>
      </c>
      <c r="Y319" s="5">
        <f>IF($F319="","",IF((IFERROR(INDEX('CAT_CENTROS_COSTO'!$E$4:$E$13,MATCH($F319,'CAT_CENTROS_COSTO'!$A$4:$A$13,0)),""))&lt;&gt;"",IFERROR(INDEX('CAT_CENTROS_COSTO'!$E$4:$E$13,MATCH($F319,'CAT_CENTROS_COSTO'!$A$4:$A$13,0)),""),$X319))</f>
        <v/>
      </c>
      <c r="Z319" s="5">
        <f>IF($F319="","",IFERROR(INDEX('CAT_CENTROS_COSTO'!$G$4:$G$13,MATCH($F319,'CAT_CENTROS_COSTO'!$A$4:$A$13,0)),"(sin catálogo)"))</f>
        <v/>
      </c>
      <c r="AA319" s="5">
        <f>IF($G319="","",IFERROR(INDEX('CAT_PUESTOS'!$B$4:$B$8,MATCH($G319,'CAT_PUESTOS'!$A$4:$A$8,0)),"(sin catálogo)"))</f>
        <v/>
      </c>
      <c r="AB319" s="5">
        <f>IF($H319="","",IFERROR(INDEX('CAT_ACTIVIDADES'!$B$4:$B$11,MATCH($H319,'CAT_ACTIVIDADES'!$A$4:$A$11,0)),"(sin catálogo)"))</f>
        <v/>
      </c>
      <c r="AC319" s="20">
        <f>IF($J319="","",TODAY()-$J319)</f>
        <v/>
      </c>
      <c r="AD319" s="20">
        <f>IF($J319="","",IF($J319&lt;=TODAY(),COUNTIFS(cal_fechas,"&gt;="&amp;$J319,cal_fechas,"&lt;"&amp;TODAY(),cal_habil,"sí"),-COUNTIFS(cal_fechas,"&gt;="&amp;TODAY(),cal_fechas,"&lt;"&amp;$J319,cal_habil,"sí")))</f>
        <v/>
      </c>
      <c r="AE319" s="5">
        <f>IF($AD319="","",IF($AD319&lt;0,"FUTURO",IF($AD319&gt;p_dias_backlog_max,"BACKLOG","MES CORRIENTE")))</f>
        <v/>
      </c>
      <c r="AF319" s="5">
        <f>IF($AD319="",FALSE,AND($AD319&gt;p_dias_backlog_min,$AD319&lt;=p_dias_backlog_max))</f>
        <v/>
      </c>
      <c r="AG319" s="4" t="n"/>
      <c r="AH319" s="5">
        <f>IF($AG319="","",IF((IFERROR(INDEX('ASIGNACIONES'!$J$4:$J$451,MATCH($O319&amp;"|"&amp;$S319&amp;"|"&amp;$AG319,'ASIGNACIONES'!$N$4:$N$451,0)),""))=0,"",IFERROR(INDEX('ASIGNACIONES'!$J$4:$J$451,MATCH($O319&amp;"|"&amp;$S319&amp;"|"&amp;$AG319,'ASIGNACIONES'!$N$4:$N$451,0)),"")))</f>
        <v/>
      </c>
      <c r="AI319" s="25">
        <f>IF($AG319="","",SUMIFS('ORDENES'!$M$4:$M$1203,'ORDENES'!$AG$4:$AG$1203,$AG319,'ORDENES'!$O$4:$O$1203,$O319,'ORDENES'!$S$4:$S$1203,$S319))</f>
        <v/>
      </c>
      <c r="AJ319" s="25">
        <f>IF($AI319="","",p_factor_productividad*IFERROR(INDEX('ASIGNACIONES'!$M$4:$M$451,MATCH($O319&amp;"|"&amp;$S319&amp;"|"&amp;$AG319,'ASIGNACIONES'!$N$4:$N$451,0)),0)-$AI319)</f>
        <v/>
      </c>
      <c r="AK319" s="18">
        <f>IF($A319="","",IFERROR(INDEX('2_IMPORTAR_EJECUCION'!$F$9:$F$1208,MATCH($AT319,'2_IMPORTAR_EJECUCION'!$J$9:$J$1208,0)),0))</f>
        <v/>
      </c>
      <c r="AL319" s="18">
        <f>IF($A319="","",MAX(0,IFERROR(INDEX('2_IMPORTAR_EJECUCION'!$H$9:$H$1208,MATCH($AT319,'2_IMPORTAR_EJECUCION'!$J$9:$J$1208,0)),0)-$AK319))</f>
        <v/>
      </c>
      <c r="AM319" s="18">
        <f>IF($A319="","",$AK319+$AL319)</f>
        <v/>
      </c>
      <c r="AN319" s="5">
        <f>IF($A319="","",IF(OR((IFERROR(INDEX('CAT_ACTIVIDADES'!$D$4:$D$11,MATCH($H319,'CAT_ACTIVIDADES'!$A$4:$A$11,0)),""))=0,(IFERROR(INDEX('CAT_ACTIVIDADES'!$D$4:$D$11,MATCH($H319,'CAT_ACTIVIDADES'!$A$4:$A$11,0)),""))=""),"SIN CLASIFICAR",IFERROR(INDEX('CAT_ACTIVIDADES'!$D$4:$D$11,MATCH($H319,'CAT_ACTIVIDADES'!$A$4:$A$11,0)),"")))</f>
        <v/>
      </c>
      <c r="AO319" s="4" t="n"/>
      <c r="AP319" s="4" t="n"/>
      <c r="AQ319" s="4" t="n"/>
      <c r="AR319" s="5">
        <f>IF($AQ319="","",HYPERLINK(p_ruta_base_checklists&amp;$AQ319,"abrir"))</f>
        <v/>
      </c>
      <c r="AS319" s="4" t="n"/>
      <c r="AT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2" t="n"/>
      <c r="K320" s="5" t="n"/>
      <c r="L320" s="18" t="n"/>
      <c r="M320" s="5">
        <f>IF($A320="","",IFERROR(INDEX('AJUSTES'!$B$4:$B$303,MATCH($AT320,'AJUSTES'!$A$4:$A$303,0)),IF($K320="","",$K320)))</f>
        <v/>
      </c>
      <c r="N320" s="5">
        <f>IF($A320="","",IFERROR(INDEX('CAT_ESTADOS_ERP'!$B$4:$B$7,MATCH(IFERROR(INDEX('2_IMPORTAR_EJECUCION'!$C$9:$C$1208,MATCH($AT320,'2_IMPORTAR_EJECUCION'!$J$9:$J$1208,0)),""),'CAT_ESTADOS_ERP'!$A$4:$A$7,0)),"Pendiente"))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IF($J320="","",$P320&amp;"-"&amp;TEXT($Q320,"00"))</f>
        <v/>
      </c>
      <c r="S320" s="5">
        <f>IF($J320="","",INDEX(lista_dias,WEEKDAY($J320,2)))</f>
        <v/>
      </c>
      <c r="T320" s="5">
        <f>IF($J320="","",IFERROR(INDEX('CALENDARIO'!$C$15:$C$214,MATCH(TEXT($J320,"yyyy-mm-dd")&amp;"|"&amp;$X320&amp;"|"&amp;$Y320,'CALENDARIO'!$G$15:$G$214,0)),IFERROR(INDEX('CALENDARIO'!$C$15:$C$214,MATCH(TEXT($J320,"yyyy-mm-dd")&amp;"|"&amp;$X320&amp;"|",'CALENDARIO'!$G$15:$G$214,0)),IFERROR(INDEX('CALENDARIO'!$C$15:$C$214,MATCH(TEXT($J320,"yyyy-mm-dd")&amp;"||",'CALENDARIO'!$G$15:$G$214,0)),INDEX(patronHabil,WEEKDAY($J320,2))))))</f>
        <v/>
      </c>
      <c r="U320" s="5">
        <f>IF($I320="","",IFERROR(INDEX('CAT_TIPOS_OT'!$C$4:$C$8,MATCH($I320,'CAT_TIPOS_OT'!$A$4:$A$8,0)),"sin_clasificar"))</f>
        <v/>
      </c>
      <c r="V320" s="5">
        <f>IF($I320="","",IF(IFERROR(INDEX('CAT_TIPOS_OT'!$D$4:$D$8,MATCH($I320,'CAT_TIPOS_OT'!$A$4:$A$8,0)),"SIN CLASIFICAR")="","SIN CLASIFICAR",IFERROR(INDEX('CAT_TIPOS_OT'!$D$4:$D$8,MATCH($I320,'CAT_TIPOS_OT'!$A$4:$A$8,0)),"SIN CLASIFICAR")))</f>
        <v/>
      </c>
      <c r="W320" s="5">
        <f>IF($F320="","",IFERROR(INDEX('CAT_CENTROS_COSTO'!$F$4:$F$13,MATCH($F320,'CAT_CENTROS_COSTO'!$A$4:$A$13,0)),"(sin catálogo)"))</f>
        <v/>
      </c>
      <c r="X320" s="5">
        <f>IF($F320="","",IFERROR(INDEX('CAT_CENTROS_COSTO'!$D$4:$D$13,MATCH($F320,'CAT_CENTROS_COSTO'!$A$4:$A$13,0)),"(sin catálogo)"))</f>
        <v/>
      </c>
      <c r="Y320" s="5">
        <f>IF($F320="","",IF((IFERROR(INDEX('CAT_CENTROS_COSTO'!$E$4:$E$13,MATCH($F320,'CAT_CENTROS_COSTO'!$A$4:$A$13,0)),""))&lt;&gt;"",IFERROR(INDEX('CAT_CENTROS_COSTO'!$E$4:$E$13,MATCH($F320,'CAT_CENTROS_COSTO'!$A$4:$A$13,0)),""),$X320))</f>
        <v/>
      </c>
      <c r="Z320" s="5">
        <f>IF($F320="","",IFERROR(INDEX('CAT_CENTROS_COSTO'!$G$4:$G$13,MATCH($F320,'CAT_CENTROS_COSTO'!$A$4:$A$13,0)),"(sin catálogo)"))</f>
        <v/>
      </c>
      <c r="AA320" s="5">
        <f>IF($G320="","",IFERROR(INDEX('CAT_PUESTOS'!$B$4:$B$8,MATCH($G320,'CAT_PUESTOS'!$A$4:$A$8,0)),"(sin catálogo)"))</f>
        <v/>
      </c>
      <c r="AB320" s="5">
        <f>IF($H320="","",IFERROR(INDEX('CAT_ACTIVIDADES'!$B$4:$B$11,MATCH($H320,'CAT_ACTIVIDADES'!$A$4:$A$11,0)),"(sin catálogo)"))</f>
        <v/>
      </c>
      <c r="AC320" s="20">
        <f>IF($J320="","",TODAY()-$J320)</f>
        <v/>
      </c>
      <c r="AD320" s="20">
        <f>IF($J320="","",IF($J320&lt;=TODAY(),COUNTIFS(cal_fechas,"&gt;="&amp;$J320,cal_fechas,"&lt;"&amp;TODAY(),cal_habil,"sí"),-COUNTIFS(cal_fechas,"&gt;="&amp;TODAY(),cal_fechas,"&lt;"&amp;$J320,cal_habil,"sí")))</f>
        <v/>
      </c>
      <c r="AE320" s="5">
        <f>IF($AD320="","",IF($AD320&lt;0,"FUTURO",IF($AD320&gt;p_dias_backlog_max,"BACKLOG","MES CORRIENTE")))</f>
        <v/>
      </c>
      <c r="AF320" s="5">
        <f>IF($AD320="",FALSE,AND($AD320&gt;p_dias_backlog_min,$AD320&lt;=p_dias_backlog_max))</f>
        <v/>
      </c>
      <c r="AG320" s="4" t="n"/>
      <c r="AH320" s="5">
        <f>IF($AG320="","",IF((IFERROR(INDEX('ASIGNACIONES'!$J$4:$J$451,MATCH($O320&amp;"|"&amp;$S320&amp;"|"&amp;$AG320,'ASIGNACIONES'!$N$4:$N$451,0)),""))=0,"",IFERROR(INDEX('ASIGNACIONES'!$J$4:$J$451,MATCH($O320&amp;"|"&amp;$S320&amp;"|"&amp;$AG320,'ASIGNACIONES'!$N$4:$N$451,0)),"")))</f>
        <v/>
      </c>
      <c r="AI320" s="25">
        <f>IF($AG320="","",SUMIFS('ORDENES'!$M$4:$M$1203,'ORDENES'!$AG$4:$AG$1203,$AG320,'ORDENES'!$O$4:$O$1203,$O320,'ORDENES'!$S$4:$S$1203,$S320))</f>
        <v/>
      </c>
      <c r="AJ320" s="25">
        <f>IF($AI320="","",p_factor_productividad*IFERROR(INDEX('ASIGNACIONES'!$M$4:$M$451,MATCH($O320&amp;"|"&amp;$S320&amp;"|"&amp;$AG320,'ASIGNACIONES'!$N$4:$N$451,0)),0)-$AI320)</f>
        <v/>
      </c>
      <c r="AK320" s="18">
        <f>IF($A320="","",IFERROR(INDEX('2_IMPORTAR_EJECUCION'!$F$9:$F$1208,MATCH($AT320,'2_IMPORTAR_EJECUCION'!$J$9:$J$1208,0)),0))</f>
        <v/>
      </c>
      <c r="AL320" s="18">
        <f>IF($A320="","",MAX(0,IFERROR(INDEX('2_IMPORTAR_EJECUCION'!$H$9:$H$1208,MATCH($AT320,'2_IMPORTAR_EJECUCION'!$J$9:$J$1208,0)),0)-$AK320))</f>
        <v/>
      </c>
      <c r="AM320" s="18">
        <f>IF($A320="","",$AK320+$AL320)</f>
        <v/>
      </c>
      <c r="AN320" s="5">
        <f>IF($A320="","",IF(OR((IFERROR(INDEX('CAT_ACTIVIDADES'!$D$4:$D$11,MATCH($H320,'CAT_ACTIVIDADES'!$A$4:$A$11,0)),""))=0,(IFERROR(INDEX('CAT_ACTIVIDADES'!$D$4:$D$11,MATCH($H320,'CAT_ACTIVIDADES'!$A$4:$A$11,0)),""))=""),"SIN CLASIFICAR",IFERROR(INDEX('CAT_ACTIVIDADES'!$D$4:$D$11,MATCH($H320,'CAT_ACTIVIDADES'!$A$4:$A$11,0)),"")))</f>
        <v/>
      </c>
      <c r="AO320" s="4" t="n"/>
      <c r="AP320" s="4" t="n"/>
      <c r="AQ320" s="4" t="n"/>
      <c r="AR320" s="5">
        <f>IF($AQ320="","",HYPERLINK(p_ruta_base_checklists&amp;$AQ320,"abrir"))</f>
        <v/>
      </c>
      <c r="AS320" s="4" t="n"/>
      <c r="AT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2" t="n"/>
      <c r="K321" s="5" t="n"/>
      <c r="L321" s="18" t="n"/>
      <c r="M321" s="5">
        <f>IF($A321="","",IFERROR(INDEX('AJUSTES'!$B$4:$B$303,MATCH($AT321,'AJUSTES'!$A$4:$A$303,0)),IF($K321="","",$K321)))</f>
        <v/>
      </c>
      <c r="N321" s="5">
        <f>IF($A321="","",IFERROR(INDEX('CAT_ESTADOS_ERP'!$B$4:$B$7,MATCH(IFERROR(INDEX('2_IMPORTAR_EJECUCION'!$C$9:$C$1208,MATCH($AT321,'2_IMPORTAR_EJECUCION'!$J$9:$J$1208,0)),""),'CAT_ESTADOS_ERP'!$A$4:$A$7,0)),"Pendiente"))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IF($J321="","",$P321&amp;"-"&amp;TEXT($Q321,"00"))</f>
        <v/>
      </c>
      <c r="S321" s="5">
        <f>IF($J321="","",INDEX(lista_dias,WEEKDAY($J321,2)))</f>
        <v/>
      </c>
      <c r="T321" s="5">
        <f>IF($J321="","",IFERROR(INDEX('CALENDARIO'!$C$15:$C$214,MATCH(TEXT($J321,"yyyy-mm-dd")&amp;"|"&amp;$X321&amp;"|"&amp;$Y321,'CALENDARIO'!$G$15:$G$214,0)),IFERROR(INDEX('CALENDARIO'!$C$15:$C$214,MATCH(TEXT($J321,"yyyy-mm-dd")&amp;"|"&amp;$X321&amp;"|",'CALENDARIO'!$G$15:$G$214,0)),IFERROR(INDEX('CALENDARIO'!$C$15:$C$214,MATCH(TEXT($J321,"yyyy-mm-dd")&amp;"||",'CALENDARIO'!$G$15:$G$214,0)),INDEX(patronHabil,WEEKDAY($J321,2))))))</f>
        <v/>
      </c>
      <c r="U321" s="5">
        <f>IF($I321="","",IFERROR(INDEX('CAT_TIPOS_OT'!$C$4:$C$8,MATCH($I321,'CAT_TIPOS_OT'!$A$4:$A$8,0)),"sin_clasificar"))</f>
        <v/>
      </c>
      <c r="V321" s="5">
        <f>IF($I321="","",IF(IFERROR(INDEX('CAT_TIPOS_OT'!$D$4:$D$8,MATCH($I321,'CAT_TIPOS_OT'!$A$4:$A$8,0)),"SIN CLASIFICAR")="","SIN CLASIFICAR",IFERROR(INDEX('CAT_TIPOS_OT'!$D$4:$D$8,MATCH($I321,'CAT_TIPOS_OT'!$A$4:$A$8,0)),"SIN CLASIFICAR")))</f>
        <v/>
      </c>
      <c r="W321" s="5">
        <f>IF($F321="","",IFERROR(INDEX('CAT_CENTROS_COSTO'!$F$4:$F$13,MATCH($F321,'CAT_CENTROS_COSTO'!$A$4:$A$13,0)),"(sin catálogo)"))</f>
        <v/>
      </c>
      <c r="X321" s="5">
        <f>IF($F321="","",IFERROR(INDEX('CAT_CENTROS_COSTO'!$D$4:$D$13,MATCH($F321,'CAT_CENTROS_COSTO'!$A$4:$A$13,0)),"(sin catálogo)"))</f>
        <v/>
      </c>
      <c r="Y321" s="5">
        <f>IF($F321="","",IF((IFERROR(INDEX('CAT_CENTROS_COSTO'!$E$4:$E$13,MATCH($F321,'CAT_CENTROS_COSTO'!$A$4:$A$13,0)),""))&lt;&gt;"",IFERROR(INDEX('CAT_CENTROS_COSTO'!$E$4:$E$13,MATCH($F321,'CAT_CENTROS_COSTO'!$A$4:$A$13,0)),""),$X321))</f>
        <v/>
      </c>
      <c r="Z321" s="5">
        <f>IF($F321="","",IFERROR(INDEX('CAT_CENTROS_COSTO'!$G$4:$G$13,MATCH($F321,'CAT_CENTROS_COSTO'!$A$4:$A$13,0)),"(sin catálogo)"))</f>
        <v/>
      </c>
      <c r="AA321" s="5">
        <f>IF($G321="","",IFERROR(INDEX('CAT_PUESTOS'!$B$4:$B$8,MATCH($G321,'CAT_PUESTOS'!$A$4:$A$8,0)),"(sin catálogo)"))</f>
        <v/>
      </c>
      <c r="AB321" s="5">
        <f>IF($H321="","",IFERROR(INDEX('CAT_ACTIVIDADES'!$B$4:$B$11,MATCH($H321,'CAT_ACTIVIDADES'!$A$4:$A$11,0)),"(sin catálogo)"))</f>
        <v/>
      </c>
      <c r="AC321" s="20">
        <f>IF($J321="","",TODAY()-$J321)</f>
        <v/>
      </c>
      <c r="AD321" s="20">
        <f>IF($J321="","",IF($J321&lt;=TODAY(),COUNTIFS(cal_fechas,"&gt;="&amp;$J321,cal_fechas,"&lt;"&amp;TODAY(),cal_habil,"sí"),-COUNTIFS(cal_fechas,"&gt;="&amp;TODAY(),cal_fechas,"&lt;"&amp;$J321,cal_habil,"sí")))</f>
        <v/>
      </c>
      <c r="AE321" s="5">
        <f>IF($AD321="","",IF($AD321&lt;0,"FUTURO",IF($AD321&gt;p_dias_backlog_max,"BACKLOG","MES CORRIENTE")))</f>
        <v/>
      </c>
      <c r="AF321" s="5">
        <f>IF($AD321="",FALSE,AND($AD321&gt;p_dias_backlog_min,$AD321&lt;=p_dias_backlog_max))</f>
        <v/>
      </c>
      <c r="AG321" s="4" t="n"/>
      <c r="AH321" s="5">
        <f>IF($AG321="","",IF((IFERROR(INDEX('ASIGNACIONES'!$J$4:$J$451,MATCH($O321&amp;"|"&amp;$S321&amp;"|"&amp;$AG321,'ASIGNACIONES'!$N$4:$N$451,0)),""))=0,"",IFERROR(INDEX('ASIGNACIONES'!$J$4:$J$451,MATCH($O321&amp;"|"&amp;$S321&amp;"|"&amp;$AG321,'ASIGNACIONES'!$N$4:$N$451,0)),"")))</f>
        <v/>
      </c>
      <c r="AI321" s="25">
        <f>IF($AG321="","",SUMIFS('ORDENES'!$M$4:$M$1203,'ORDENES'!$AG$4:$AG$1203,$AG321,'ORDENES'!$O$4:$O$1203,$O321,'ORDENES'!$S$4:$S$1203,$S321))</f>
        <v/>
      </c>
      <c r="AJ321" s="25">
        <f>IF($AI321="","",p_factor_productividad*IFERROR(INDEX('ASIGNACIONES'!$M$4:$M$451,MATCH($O321&amp;"|"&amp;$S321&amp;"|"&amp;$AG321,'ASIGNACIONES'!$N$4:$N$451,0)),0)-$AI321)</f>
        <v/>
      </c>
      <c r="AK321" s="18">
        <f>IF($A321="","",IFERROR(INDEX('2_IMPORTAR_EJECUCION'!$F$9:$F$1208,MATCH($AT321,'2_IMPORTAR_EJECUCION'!$J$9:$J$1208,0)),0))</f>
        <v/>
      </c>
      <c r="AL321" s="18">
        <f>IF($A321="","",MAX(0,IFERROR(INDEX('2_IMPORTAR_EJECUCION'!$H$9:$H$1208,MATCH($AT321,'2_IMPORTAR_EJECUCION'!$J$9:$J$1208,0)),0)-$AK321))</f>
        <v/>
      </c>
      <c r="AM321" s="18">
        <f>IF($A321="","",$AK321+$AL321)</f>
        <v/>
      </c>
      <c r="AN321" s="5">
        <f>IF($A321="","",IF(OR((IFERROR(INDEX('CAT_ACTIVIDADES'!$D$4:$D$11,MATCH($H321,'CAT_ACTIVIDADES'!$A$4:$A$11,0)),""))=0,(IFERROR(INDEX('CAT_ACTIVIDADES'!$D$4:$D$11,MATCH($H321,'CAT_ACTIVIDADES'!$A$4:$A$11,0)),""))=""),"SIN CLASIFICAR",IFERROR(INDEX('CAT_ACTIVIDADES'!$D$4:$D$11,MATCH($H321,'CAT_ACTIVIDADES'!$A$4:$A$11,0)),"")))</f>
        <v/>
      </c>
      <c r="AO321" s="4" t="n"/>
      <c r="AP321" s="4" t="n"/>
      <c r="AQ321" s="4" t="n"/>
      <c r="AR321" s="5">
        <f>IF($AQ321="","",HYPERLINK(p_ruta_base_checklists&amp;$AQ321,"abrir"))</f>
        <v/>
      </c>
      <c r="AS321" s="4" t="n"/>
      <c r="AT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2" t="n"/>
      <c r="K322" s="5" t="n"/>
      <c r="L322" s="18" t="n"/>
      <c r="M322" s="5">
        <f>IF($A322="","",IFERROR(INDEX('AJUSTES'!$B$4:$B$303,MATCH($AT322,'AJUSTES'!$A$4:$A$303,0)),IF($K322="","",$K322)))</f>
        <v/>
      </c>
      <c r="N322" s="5">
        <f>IF($A322="","",IFERROR(INDEX('CAT_ESTADOS_ERP'!$B$4:$B$7,MATCH(IFERROR(INDEX('2_IMPORTAR_EJECUCION'!$C$9:$C$1208,MATCH($AT322,'2_IMPORTAR_EJECUCION'!$J$9:$J$1208,0)),""),'CAT_ESTADOS_ERP'!$A$4:$A$7,0)),"Pendiente"))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IF($J322="","",$P322&amp;"-"&amp;TEXT($Q322,"00"))</f>
        <v/>
      </c>
      <c r="S322" s="5">
        <f>IF($J322="","",INDEX(lista_dias,WEEKDAY($J322,2)))</f>
        <v/>
      </c>
      <c r="T322" s="5">
        <f>IF($J322="","",IFERROR(INDEX('CALENDARIO'!$C$15:$C$214,MATCH(TEXT($J322,"yyyy-mm-dd")&amp;"|"&amp;$X322&amp;"|"&amp;$Y322,'CALENDARIO'!$G$15:$G$214,0)),IFERROR(INDEX('CALENDARIO'!$C$15:$C$214,MATCH(TEXT($J322,"yyyy-mm-dd")&amp;"|"&amp;$X322&amp;"|",'CALENDARIO'!$G$15:$G$214,0)),IFERROR(INDEX('CALENDARIO'!$C$15:$C$214,MATCH(TEXT($J322,"yyyy-mm-dd")&amp;"||",'CALENDARIO'!$G$15:$G$214,0)),INDEX(patronHabil,WEEKDAY($J322,2))))))</f>
        <v/>
      </c>
      <c r="U322" s="5">
        <f>IF($I322="","",IFERROR(INDEX('CAT_TIPOS_OT'!$C$4:$C$8,MATCH($I322,'CAT_TIPOS_OT'!$A$4:$A$8,0)),"sin_clasificar"))</f>
        <v/>
      </c>
      <c r="V322" s="5">
        <f>IF($I322="","",IF(IFERROR(INDEX('CAT_TIPOS_OT'!$D$4:$D$8,MATCH($I322,'CAT_TIPOS_OT'!$A$4:$A$8,0)),"SIN CLASIFICAR")="","SIN CLASIFICAR",IFERROR(INDEX('CAT_TIPOS_OT'!$D$4:$D$8,MATCH($I322,'CAT_TIPOS_OT'!$A$4:$A$8,0)),"SIN CLASIFICAR")))</f>
        <v/>
      </c>
      <c r="W322" s="5">
        <f>IF($F322="","",IFERROR(INDEX('CAT_CENTROS_COSTO'!$F$4:$F$13,MATCH($F322,'CAT_CENTROS_COSTO'!$A$4:$A$13,0)),"(sin catálogo)"))</f>
        <v/>
      </c>
      <c r="X322" s="5">
        <f>IF($F322="","",IFERROR(INDEX('CAT_CENTROS_COSTO'!$D$4:$D$13,MATCH($F322,'CAT_CENTROS_COSTO'!$A$4:$A$13,0)),"(sin catálogo)"))</f>
        <v/>
      </c>
      <c r="Y322" s="5">
        <f>IF($F322="","",IF((IFERROR(INDEX('CAT_CENTROS_COSTO'!$E$4:$E$13,MATCH($F322,'CAT_CENTROS_COSTO'!$A$4:$A$13,0)),""))&lt;&gt;"",IFERROR(INDEX('CAT_CENTROS_COSTO'!$E$4:$E$13,MATCH($F322,'CAT_CENTROS_COSTO'!$A$4:$A$13,0)),""),$X322))</f>
        <v/>
      </c>
      <c r="Z322" s="5">
        <f>IF($F322="","",IFERROR(INDEX('CAT_CENTROS_COSTO'!$G$4:$G$13,MATCH($F322,'CAT_CENTROS_COSTO'!$A$4:$A$13,0)),"(sin catálogo)"))</f>
        <v/>
      </c>
      <c r="AA322" s="5">
        <f>IF($G322="","",IFERROR(INDEX('CAT_PUESTOS'!$B$4:$B$8,MATCH($G322,'CAT_PUESTOS'!$A$4:$A$8,0)),"(sin catálogo)"))</f>
        <v/>
      </c>
      <c r="AB322" s="5">
        <f>IF($H322="","",IFERROR(INDEX('CAT_ACTIVIDADES'!$B$4:$B$11,MATCH($H322,'CAT_ACTIVIDADES'!$A$4:$A$11,0)),"(sin catálogo)"))</f>
        <v/>
      </c>
      <c r="AC322" s="20">
        <f>IF($J322="","",TODAY()-$J322)</f>
        <v/>
      </c>
      <c r="AD322" s="20">
        <f>IF($J322="","",IF($J322&lt;=TODAY(),COUNTIFS(cal_fechas,"&gt;="&amp;$J322,cal_fechas,"&lt;"&amp;TODAY(),cal_habil,"sí"),-COUNTIFS(cal_fechas,"&gt;="&amp;TODAY(),cal_fechas,"&lt;"&amp;$J322,cal_habil,"sí")))</f>
        <v/>
      </c>
      <c r="AE322" s="5">
        <f>IF($AD322="","",IF($AD322&lt;0,"FUTURO",IF($AD322&gt;p_dias_backlog_max,"BACKLOG","MES CORRIENTE")))</f>
        <v/>
      </c>
      <c r="AF322" s="5">
        <f>IF($AD322="",FALSE,AND($AD322&gt;p_dias_backlog_min,$AD322&lt;=p_dias_backlog_max))</f>
        <v/>
      </c>
      <c r="AG322" s="4" t="n"/>
      <c r="AH322" s="5">
        <f>IF($AG322="","",IF((IFERROR(INDEX('ASIGNACIONES'!$J$4:$J$451,MATCH($O322&amp;"|"&amp;$S322&amp;"|"&amp;$AG322,'ASIGNACIONES'!$N$4:$N$451,0)),""))=0,"",IFERROR(INDEX('ASIGNACIONES'!$J$4:$J$451,MATCH($O322&amp;"|"&amp;$S322&amp;"|"&amp;$AG322,'ASIGNACIONES'!$N$4:$N$451,0)),"")))</f>
        <v/>
      </c>
      <c r="AI322" s="25">
        <f>IF($AG322="","",SUMIFS('ORDENES'!$M$4:$M$1203,'ORDENES'!$AG$4:$AG$1203,$AG322,'ORDENES'!$O$4:$O$1203,$O322,'ORDENES'!$S$4:$S$1203,$S322))</f>
        <v/>
      </c>
      <c r="AJ322" s="25">
        <f>IF($AI322="","",p_factor_productividad*IFERROR(INDEX('ASIGNACIONES'!$M$4:$M$451,MATCH($O322&amp;"|"&amp;$S322&amp;"|"&amp;$AG322,'ASIGNACIONES'!$N$4:$N$451,0)),0)-$AI322)</f>
        <v/>
      </c>
      <c r="AK322" s="18">
        <f>IF($A322="","",IFERROR(INDEX('2_IMPORTAR_EJECUCION'!$F$9:$F$1208,MATCH($AT322,'2_IMPORTAR_EJECUCION'!$J$9:$J$1208,0)),0))</f>
        <v/>
      </c>
      <c r="AL322" s="18">
        <f>IF($A322="","",MAX(0,IFERROR(INDEX('2_IMPORTAR_EJECUCION'!$H$9:$H$1208,MATCH($AT322,'2_IMPORTAR_EJECUCION'!$J$9:$J$1208,0)),0)-$AK322))</f>
        <v/>
      </c>
      <c r="AM322" s="18">
        <f>IF($A322="","",$AK322+$AL322)</f>
        <v/>
      </c>
      <c r="AN322" s="5">
        <f>IF($A322="","",IF(OR((IFERROR(INDEX('CAT_ACTIVIDADES'!$D$4:$D$11,MATCH($H322,'CAT_ACTIVIDADES'!$A$4:$A$11,0)),""))=0,(IFERROR(INDEX('CAT_ACTIVIDADES'!$D$4:$D$11,MATCH($H322,'CAT_ACTIVIDADES'!$A$4:$A$11,0)),""))=""),"SIN CLASIFICAR",IFERROR(INDEX('CAT_ACTIVIDADES'!$D$4:$D$11,MATCH($H322,'CAT_ACTIVIDADES'!$A$4:$A$11,0)),"")))</f>
        <v/>
      </c>
      <c r="AO322" s="4" t="n"/>
      <c r="AP322" s="4" t="n"/>
      <c r="AQ322" s="4" t="n"/>
      <c r="AR322" s="5">
        <f>IF($AQ322="","",HYPERLINK(p_ruta_base_checklists&amp;$AQ322,"abrir"))</f>
        <v/>
      </c>
      <c r="AS322" s="4" t="n"/>
      <c r="AT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2" t="n"/>
      <c r="K323" s="5" t="n"/>
      <c r="L323" s="18" t="n"/>
      <c r="M323" s="5">
        <f>IF($A323="","",IFERROR(INDEX('AJUSTES'!$B$4:$B$303,MATCH($AT323,'AJUSTES'!$A$4:$A$303,0)),IF($K323="","",$K323)))</f>
        <v/>
      </c>
      <c r="N323" s="5">
        <f>IF($A323="","",IFERROR(INDEX('CAT_ESTADOS_ERP'!$B$4:$B$7,MATCH(IFERROR(INDEX('2_IMPORTAR_EJECUCION'!$C$9:$C$1208,MATCH($AT323,'2_IMPORTAR_EJECUCION'!$J$9:$J$1208,0)),""),'CAT_ESTADOS_ERP'!$A$4:$A$7,0)),"Pendiente"))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IF($J323="","",$P323&amp;"-"&amp;TEXT($Q323,"00"))</f>
        <v/>
      </c>
      <c r="S323" s="5">
        <f>IF($J323="","",INDEX(lista_dias,WEEKDAY($J323,2)))</f>
        <v/>
      </c>
      <c r="T323" s="5">
        <f>IF($J323="","",IFERROR(INDEX('CALENDARIO'!$C$15:$C$214,MATCH(TEXT($J323,"yyyy-mm-dd")&amp;"|"&amp;$X323&amp;"|"&amp;$Y323,'CALENDARIO'!$G$15:$G$214,0)),IFERROR(INDEX('CALENDARIO'!$C$15:$C$214,MATCH(TEXT($J323,"yyyy-mm-dd")&amp;"|"&amp;$X323&amp;"|",'CALENDARIO'!$G$15:$G$214,0)),IFERROR(INDEX('CALENDARIO'!$C$15:$C$214,MATCH(TEXT($J323,"yyyy-mm-dd")&amp;"||",'CALENDARIO'!$G$15:$G$214,0)),INDEX(patronHabil,WEEKDAY($J323,2))))))</f>
        <v/>
      </c>
      <c r="U323" s="5">
        <f>IF($I323="","",IFERROR(INDEX('CAT_TIPOS_OT'!$C$4:$C$8,MATCH($I323,'CAT_TIPOS_OT'!$A$4:$A$8,0)),"sin_clasificar"))</f>
        <v/>
      </c>
      <c r="V323" s="5">
        <f>IF($I323="","",IF(IFERROR(INDEX('CAT_TIPOS_OT'!$D$4:$D$8,MATCH($I323,'CAT_TIPOS_OT'!$A$4:$A$8,0)),"SIN CLASIFICAR")="","SIN CLASIFICAR",IFERROR(INDEX('CAT_TIPOS_OT'!$D$4:$D$8,MATCH($I323,'CAT_TIPOS_OT'!$A$4:$A$8,0)),"SIN CLASIFICAR")))</f>
        <v/>
      </c>
      <c r="W323" s="5">
        <f>IF($F323="","",IFERROR(INDEX('CAT_CENTROS_COSTO'!$F$4:$F$13,MATCH($F323,'CAT_CENTROS_COSTO'!$A$4:$A$13,0)),"(sin catálogo)"))</f>
        <v/>
      </c>
      <c r="X323" s="5">
        <f>IF($F323="","",IFERROR(INDEX('CAT_CENTROS_COSTO'!$D$4:$D$13,MATCH($F323,'CAT_CENTROS_COSTO'!$A$4:$A$13,0)),"(sin catálogo)"))</f>
        <v/>
      </c>
      <c r="Y323" s="5">
        <f>IF($F323="","",IF((IFERROR(INDEX('CAT_CENTROS_COSTO'!$E$4:$E$13,MATCH($F323,'CAT_CENTROS_COSTO'!$A$4:$A$13,0)),""))&lt;&gt;"",IFERROR(INDEX('CAT_CENTROS_COSTO'!$E$4:$E$13,MATCH($F323,'CAT_CENTROS_COSTO'!$A$4:$A$13,0)),""),$X323))</f>
        <v/>
      </c>
      <c r="Z323" s="5">
        <f>IF($F323="","",IFERROR(INDEX('CAT_CENTROS_COSTO'!$G$4:$G$13,MATCH($F323,'CAT_CENTROS_COSTO'!$A$4:$A$13,0)),"(sin catálogo)"))</f>
        <v/>
      </c>
      <c r="AA323" s="5">
        <f>IF($G323="","",IFERROR(INDEX('CAT_PUESTOS'!$B$4:$B$8,MATCH($G323,'CAT_PUESTOS'!$A$4:$A$8,0)),"(sin catálogo)"))</f>
        <v/>
      </c>
      <c r="AB323" s="5">
        <f>IF($H323="","",IFERROR(INDEX('CAT_ACTIVIDADES'!$B$4:$B$11,MATCH($H323,'CAT_ACTIVIDADES'!$A$4:$A$11,0)),"(sin catálogo)"))</f>
        <v/>
      </c>
      <c r="AC323" s="20">
        <f>IF($J323="","",TODAY()-$J323)</f>
        <v/>
      </c>
      <c r="AD323" s="20">
        <f>IF($J323="","",IF($J323&lt;=TODAY(),COUNTIFS(cal_fechas,"&gt;="&amp;$J323,cal_fechas,"&lt;"&amp;TODAY(),cal_habil,"sí"),-COUNTIFS(cal_fechas,"&gt;="&amp;TODAY(),cal_fechas,"&lt;"&amp;$J323,cal_habil,"sí")))</f>
        <v/>
      </c>
      <c r="AE323" s="5">
        <f>IF($AD323="","",IF($AD323&lt;0,"FUTURO",IF($AD323&gt;p_dias_backlog_max,"BACKLOG","MES CORRIENTE")))</f>
        <v/>
      </c>
      <c r="AF323" s="5">
        <f>IF($AD323="",FALSE,AND($AD323&gt;p_dias_backlog_min,$AD323&lt;=p_dias_backlog_max))</f>
        <v/>
      </c>
      <c r="AG323" s="4" t="n"/>
      <c r="AH323" s="5">
        <f>IF($AG323="","",IF((IFERROR(INDEX('ASIGNACIONES'!$J$4:$J$451,MATCH($O323&amp;"|"&amp;$S323&amp;"|"&amp;$AG323,'ASIGNACIONES'!$N$4:$N$451,0)),""))=0,"",IFERROR(INDEX('ASIGNACIONES'!$J$4:$J$451,MATCH($O323&amp;"|"&amp;$S323&amp;"|"&amp;$AG323,'ASIGNACIONES'!$N$4:$N$451,0)),"")))</f>
        <v/>
      </c>
      <c r="AI323" s="25">
        <f>IF($AG323="","",SUMIFS('ORDENES'!$M$4:$M$1203,'ORDENES'!$AG$4:$AG$1203,$AG323,'ORDENES'!$O$4:$O$1203,$O323,'ORDENES'!$S$4:$S$1203,$S323))</f>
        <v/>
      </c>
      <c r="AJ323" s="25">
        <f>IF($AI323="","",p_factor_productividad*IFERROR(INDEX('ASIGNACIONES'!$M$4:$M$451,MATCH($O323&amp;"|"&amp;$S323&amp;"|"&amp;$AG323,'ASIGNACIONES'!$N$4:$N$451,0)),0)-$AI323)</f>
        <v/>
      </c>
      <c r="AK323" s="18">
        <f>IF($A323="","",IFERROR(INDEX('2_IMPORTAR_EJECUCION'!$F$9:$F$1208,MATCH($AT323,'2_IMPORTAR_EJECUCION'!$J$9:$J$1208,0)),0))</f>
        <v/>
      </c>
      <c r="AL323" s="18">
        <f>IF($A323="","",MAX(0,IFERROR(INDEX('2_IMPORTAR_EJECUCION'!$H$9:$H$1208,MATCH($AT323,'2_IMPORTAR_EJECUCION'!$J$9:$J$1208,0)),0)-$AK323))</f>
        <v/>
      </c>
      <c r="AM323" s="18">
        <f>IF($A323="","",$AK323+$AL323)</f>
        <v/>
      </c>
      <c r="AN323" s="5">
        <f>IF($A323="","",IF(OR((IFERROR(INDEX('CAT_ACTIVIDADES'!$D$4:$D$11,MATCH($H323,'CAT_ACTIVIDADES'!$A$4:$A$11,0)),""))=0,(IFERROR(INDEX('CAT_ACTIVIDADES'!$D$4:$D$11,MATCH($H323,'CAT_ACTIVIDADES'!$A$4:$A$11,0)),""))=""),"SIN CLASIFICAR",IFERROR(INDEX('CAT_ACTIVIDADES'!$D$4:$D$11,MATCH($H323,'CAT_ACTIVIDADES'!$A$4:$A$11,0)),"")))</f>
        <v/>
      </c>
      <c r="AO323" s="4" t="n"/>
      <c r="AP323" s="4" t="n"/>
      <c r="AQ323" s="4" t="n"/>
      <c r="AR323" s="5">
        <f>IF($AQ323="","",HYPERLINK(p_ruta_base_checklists&amp;$AQ323,"abrir"))</f>
        <v/>
      </c>
      <c r="AS323" s="4" t="n"/>
      <c r="AT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2" t="n"/>
      <c r="K324" s="5" t="n"/>
      <c r="L324" s="18" t="n"/>
      <c r="M324" s="5">
        <f>IF($A324="","",IFERROR(INDEX('AJUSTES'!$B$4:$B$303,MATCH($AT324,'AJUSTES'!$A$4:$A$303,0)),IF($K324="","",$K324)))</f>
        <v/>
      </c>
      <c r="N324" s="5">
        <f>IF($A324="","",IFERROR(INDEX('CAT_ESTADOS_ERP'!$B$4:$B$7,MATCH(IFERROR(INDEX('2_IMPORTAR_EJECUCION'!$C$9:$C$1208,MATCH($AT324,'2_IMPORTAR_EJECUCION'!$J$9:$J$1208,0)),""),'CAT_ESTADOS_ERP'!$A$4:$A$7,0)),"Pendiente"))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IF($J324="","",$P324&amp;"-"&amp;TEXT($Q324,"00"))</f>
        <v/>
      </c>
      <c r="S324" s="5">
        <f>IF($J324="","",INDEX(lista_dias,WEEKDAY($J324,2)))</f>
        <v/>
      </c>
      <c r="T324" s="5">
        <f>IF($J324="","",IFERROR(INDEX('CALENDARIO'!$C$15:$C$214,MATCH(TEXT($J324,"yyyy-mm-dd")&amp;"|"&amp;$X324&amp;"|"&amp;$Y324,'CALENDARIO'!$G$15:$G$214,0)),IFERROR(INDEX('CALENDARIO'!$C$15:$C$214,MATCH(TEXT($J324,"yyyy-mm-dd")&amp;"|"&amp;$X324&amp;"|",'CALENDARIO'!$G$15:$G$214,0)),IFERROR(INDEX('CALENDARIO'!$C$15:$C$214,MATCH(TEXT($J324,"yyyy-mm-dd")&amp;"||",'CALENDARIO'!$G$15:$G$214,0)),INDEX(patronHabil,WEEKDAY($J324,2))))))</f>
        <v/>
      </c>
      <c r="U324" s="5">
        <f>IF($I324="","",IFERROR(INDEX('CAT_TIPOS_OT'!$C$4:$C$8,MATCH($I324,'CAT_TIPOS_OT'!$A$4:$A$8,0)),"sin_clasificar"))</f>
        <v/>
      </c>
      <c r="V324" s="5">
        <f>IF($I324="","",IF(IFERROR(INDEX('CAT_TIPOS_OT'!$D$4:$D$8,MATCH($I324,'CAT_TIPOS_OT'!$A$4:$A$8,0)),"SIN CLASIFICAR")="","SIN CLASIFICAR",IFERROR(INDEX('CAT_TIPOS_OT'!$D$4:$D$8,MATCH($I324,'CAT_TIPOS_OT'!$A$4:$A$8,0)),"SIN CLASIFICAR")))</f>
        <v/>
      </c>
      <c r="W324" s="5">
        <f>IF($F324="","",IFERROR(INDEX('CAT_CENTROS_COSTO'!$F$4:$F$13,MATCH($F324,'CAT_CENTROS_COSTO'!$A$4:$A$13,0)),"(sin catálogo)"))</f>
        <v/>
      </c>
      <c r="X324" s="5">
        <f>IF($F324="","",IFERROR(INDEX('CAT_CENTROS_COSTO'!$D$4:$D$13,MATCH($F324,'CAT_CENTROS_COSTO'!$A$4:$A$13,0)),"(sin catálogo)"))</f>
        <v/>
      </c>
      <c r="Y324" s="5">
        <f>IF($F324="","",IF((IFERROR(INDEX('CAT_CENTROS_COSTO'!$E$4:$E$13,MATCH($F324,'CAT_CENTROS_COSTO'!$A$4:$A$13,0)),""))&lt;&gt;"",IFERROR(INDEX('CAT_CENTROS_COSTO'!$E$4:$E$13,MATCH($F324,'CAT_CENTROS_COSTO'!$A$4:$A$13,0)),""),$X324))</f>
        <v/>
      </c>
      <c r="Z324" s="5">
        <f>IF($F324="","",IFERROR(INDEX('CAT_CENTROS_COSTO'!$G$4:$G$13,MATCH($F324,'CAT_CENTROS_COSTO'!$A$4:$A$13,0)),"(sin catálogo)"))</f>
        <v/>
      </c>
      <c r="AA324" s="5">
        <f>IF($G324="","",IFERROR(INDEX('CAT_PUESTOS'!$B$4:$B$8,MATCH($G324,'CAT_PUESTOS'!$A$4:$A$8,0)),"(sin catálogo)"))</f>
        <v/>
      </c>
      <c r="AB324" s="5">
        <f>IF($H324="","",IFERROR(INDEX('CAT_ACTIVIDADES'!$B$4:$B$11,MATCH($H324,'CAT_ACTIVIDADES'!$A$4:$A$11,0)),"(sin catálogo)"))</f>
        <v/>
      </c>
      <c r="AC324" s="20">
        <f>IF($J324="","",TODAY()-$J324)</f>
        <v/>
      </c>
      <c r="AD324" s="20">
        <f>IF($J324="","",IF($J324&lt;=TODAY(),COUNTIFS(cal_fechas,"&gt;="&amp;$J324,cal_fechas,"&lt;"&amp;TODAY(),cal_habil,"sí"),-COUNTIFS(cal_fechas,"&gt;="&amp;TODAY(),cal_fechas,"&lt;"&amp;$J324,cal_habil,"sí")))</f>
        <v/>
      </c>
      <c r="AE324" s="5">
        <f>IF($AD324="","",IF($AD324&lt;0,"FUTURO",IF($AD324&gt;p_dias_backlog_max,"BACKLOG","MES CORRIENTE")))</f>
        <v/>
      </c>
      <c r="AF324" s="5">
        <f>IF($AD324="",FALSE,AND($AD324&gt;p_dias_backlog_min,$AD324&lt;=p_dias_backlog_max))</f>
        <v/>
      </c>
      <c r="AG324" s="4" t="n"/>
      <c r="AH324" s="5">
        <f>IF($AG324="","",IF((IFERROR(INDEX('ASIGNACIONES'!$J$4:$J$451,MATCH($O324&amp;"|"&amp;$S324&amp;"|"&amp;$AG324,'ASIGNACIONES'!$N$4:$N$451,0)),""))=0,"",IFERROR(INDEX('ASIGNACIONES'!$J$4:$J$451,MATCH($O324&amp;"|"&amp;$S324&amp;"|"&amp;$AG324,'ASIGNACIONES'!$N$4:$N$451,0)),"")))</f>
        <v/>
      </c>
      <c r="AI324" s="25">
        <f>IF($AG324="","",SUMIFS('ORDENES'!$M$4:$M$1203,'ORDENES'!$AG$4:$AG$1203,$AG324,'ORDENES'!$O$4:$O$1203,$O324,'ORDENES'!$S$4:$S$1203,$S324))</f>
        <v/>
      </c>
      <c r="AJ324" s="25">
        <f>IF($AI324="","",p_factor_productividad*IFERROR(INDEX('ASIGNACIONES'!$M$4:$M$451,MATCH($O324&amp;"|"&amp;$S324&amp;"|"&amp;$AG324,'ASIGNACIONES'!$N$4:$N$451,0)),0)-$AI324)</f>
        <v/>
      </c>
      <c r="AK324" s="18">
        <f>IF($A324="","",IFERROR(INDEX('2_IMPORTAR_EJECUCION'!$F$9:$F$1208,MATCH($AT324,'2_IMPORTAR_EJECUCION'!$J$9:$J$1208,0)),0))</f>
        <v/>
      </c>
      <c r="AL324" s="18">
        <f>IF($A324="","",MAX(0,IFERROR(INDEX('2_IMPORTAR_EJECUCION'!$H$9:$H$1208,MATCH($AT324,'2_IMPORTAR_EJECUCION'!$J$9:$J$1208,0)),0)-$AK324))</f>
        <v/>
      </c>
      <c r="AM324" s="18">
        <f>IF($A324="","",$AK324+$AL324)</f>
        <v/>
      </c>
      <c r="AN324" s="5">
        <f>IF($A324="","",IF(OR((IFERROR(INDEX('CAT_ACTIVIDADES'!$D$4:$D$11,MATCH($H324,'CAT_ACTIVIDADES'!$A$4:$A$11,0)),""))=0,(IFERROR(INDEX('CAT_ACTIVIDADES'!$D$4:$D$11,MATCH($H324,'CAT_ACTIVIDADES'!$A$4:$A$11,0)),""))=""),"SIN CLASIFICAR",IFERROR(INDEX('CAT_ACTIVIDADES'!$D$4:$D$11,MATCH($H324,'CAT_ACTIVIDADES'!$A$4:$A$11,0)),"")))</f>
        <v/>
      </c>
      <c r="AO324" s="4" t="n"/>
      <c r="AP324" s="4" t="n"/>
      <c r="AQ324" s="4" t="n"/>
      <c r="AR324" s="5">
        <f>IF($AQ324="","",HYPERLINK(p_ruta_base_checklists&amp;$AQ324,"abrir"))</f>
        <v/>
      </c>
      <c r="AS324" s="4" t="n"/>
      <c r="AT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2" t="n"/>
      <c r="K325" s="5" t="n"/>
      <c r="L325" s="18" t="n"/>
      <c r="M325" s="5">
        <f>IF($A325="","",IFERROR(INDEX('AJUSTES'!$B$4:$B$303,MATCH($AT325,'AJUSTES'!$A$4:$A$303,0)),IF($K325="","",$K325)))</f>
        <v/>
      </c>
      <c r="N325" s="5">
        <f>IF($A325="","",IFERROR(INDEX('CAT_ESTADOS_ERP'!$B$4:$B$7,MATCH(IFERROR(INDEX('2_IMPORTAR_EJECUCION'!$C$9:$C$1208,MATCH($AT325,'2_IMPORTAR_EJECUCION'!$J$9:$J$1208,0)),""),'CAT_ESTADOS_ERP'!$A$4:$A$7,0)),"Pendiente"))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IF($J325="","",$P325&amp;"-"&amp;TEXT($Q325,"00"))</f>
        <v/>
      </c>
      <c r="S325" s="5">
        <f>IF($J325="","",INDEX(lista_dias,WEEKDAY($J325,2)))</f>
        <v/>
      </c>
      <c r="T325" s="5">
        <f>IF($J325="","",IFERROR(INDEX('CALENDARIO'!$C$15:$C$214,MATCH(TEXT($J325,"yyyy-mm-dd")&amp;"|"&amp;$X325&amp;"|"&amp;$Y325,'CALENDARIO'!$G$15:$G$214,0)),IFERROR(INDEX('CALENDARIO'!$C$15:$C$214,MATCH(TEXT($J325,"yyyy-mm-dd")&amp;"|"&amp;$X325&amp;"|",'CALENDARIO'!$G$15:$G$214,0)),IFERROR(INDEX('CALENDARIO'!$C$15:$C$214,MATCH(TEXT($J325,"yyyy-mm-dd")&amp;"||",'CALENDARIO'!$G$15:$G$214,0)),INDEX(patronHabil,WEEKDAY($J325,2))))))</f>
        <v/>
      </c>
      <c r="U325" s="5">
        <f>IF($I325="","",IFERROR(INDEX('CAT_TIPOS_OT'!$C$4:$C$8,MATCH($I325,'CAT_TIPOS_OT'!$A$4:$A$8,0)),"sin_clasificar"))</f>
        <v/>
      </c>
      <c r="V325" s="5">
        <f>IF($I325="","",IF(IFERROR(INDEX('CAT_TIPOS_OT'!$D$4:$D$8,MATCH($I325,'CAT_TIPOS_OT'!$A$4:$A$8,0)),"SIN CLASIFICAR")="","SIN CLASIFICAR",IFERROR(INDEX('CAT_TIPOS_OT'!$D$4:$D$8,MATCH($I325,'CAT_TIPOS_OT'!$A$4:$A$8,0)),"SIN CLASIFICAR")))</f>
        <v/>
      </c>
      <c r="W325" s="5">
        <f>IF($F325="","",IFERROR(INDEX('CAT_CENTROS_COSTO'!$F$4:$F$13,MATCH($F325,'CAT_CENTROS_COSTO'!$A$4:$A$13,0)),"(sin catálogo)"))</f>
        <v/>
      </c>
      <c r="X325" s="5">
        <f>IF($F325="","",IFERROR(INDEX('CAT_CENTROS_COSTO'!$D$4:$D$13,MATCH($F325,'CAT_CENTROS_COSTO'!$A$4:$A$13,0)),"(sin catálogo)"))</f>
        <v/>
      </c>
      <c r="Y325" s="5">
        <f>IF($F325="","",IF((IFERROR(INDEX('CAT_CENTROS_COSTO'!$E$4:$E$13,MATCH($F325,'CAT_CENTROS_COSTO'!$A$4:$A$13,0)),""))&lt;&gt;"",IFERROR(INDEX('CAT_CENTROS_COSTO'!$E$4:$E$13,MATCH($F325,'CAT_CENTROS_COSTO'!$A$4:$A$13,0)),""),$X325))</f>
        <v/>
      </c>
      <c r="Z325" s="5">
        <f>IF($F325="","",IFERROR(INDEX('CAT_CENTROS_COSTO'!$G$4:$G$13,MATCH($F325,'CAT_CENTROS_COSTO'!$A$4:$A$13,0)),"(sin catálogo)"))</f>
        <v/>
      </c>
      <c r="AA325" s="5">
        <f>IF($G325="","",IFERROR(INDEX('CAT_PUESTOS'!$B$4:$B$8,MATCH($G325,'CAT_PUESTOS'!$A$4:$A$8,0)),"(sin catálogo)"))</f>
        <v/>
      </c>
      <c r="AB325" s="5">
        <f>IF($H325="","",IFERROR(INDEX('CAT_ACTIVIDADES'!$B$4:$B$11,MATCH($H325,'CAT_ACTIVIDADES'!$A$4:$A$11,0)),"(sin catálogo)"))</f>
        <v/>
      </c>
      <c r="AC325" s="20">
        <f>IF($J325="","",TODAY()-$J325)</f>
        <v/>
      </c>
      <c r="AD325" s="20">
        <f>IF($J325="","",IF($J325&lt;=TODAY(),COUNTIFS(cal_fechas,"&gt;="&amp;$J325,cal_fechas,"&lt;"&amp;TODAY(),cal_habil,"sí"),-COUNTIFS(cal_fechas,"&gt;="&amp;TODAY(),cal_fechas,"&lt;"&amp;$J325,cal_habil,"sí")))</f>
        <v/>
      </c>
      <c r="AE325" s="5">
        <f>IF($AD325="","",IF($AD325&lt;0,"FUTURO",IF($AD325&gt;p_dias_backlog_max,"BACKLOG","MES CORRIENTE")))</f>
        <v/>
      </c>
      <c r="AF325" s="5">
        <f>IF($AD325="",FALSE,AND($AD325&gt;p_dias_backlog_min,$AD325&lt;=p_dias_backlog_max))</f>
        <v/>
      </c>
      <c r="AG325" s="4" t="n"/>
      <c r="AH325" s="5">
        <f>IF($AG325="","",IF((IFERROR(INDEX('ASIGNACIONES'!$J$4:$J$451,MATCH($O325&amp;"|"&amp;$S325&amp;"|"&amp;$AG325,'ASIGNACIONES'!$N$4:$N$451,0)),""))=0,"",IFERROR(INDEX('ASIGNACIONES'!$J$4:$J$451,MATCH($O325&amp;"|"&amp;$S325&amp;"|"&amp;$AG325,'ASIGNACIONES'!$N$4:$N$451,0)),"")))</f>
        <v/>
      </c>
      <c r="AI325" s="25">
        <f>IF($AG325="","",SUMIFS('ORDENES'!$M$4:$M$1203,'ORDENES'!$AG$4:$AG$1203,$AG325,'ORDENES'!$O$4:$O$1203,$O325,'ORDENES'!$S$4:$S$1203,$S325))</f>
        <v/>
      </c>
      <c r="AJ325" s="25">
        <f>IF($AI325="","",p_factor_productividad*IFERROR(INDEX('ASIGNACIONES'!$M$4:$M$451,MATCH($O325&amp;"|"&amp;$S325&amp;"|"&amp;$AG325,'ASIGNACIONES'!$N$4:$N$451,0)),0)-$AI325)</f>
        <v/>
      </c>
      <c r="AK325" s="18">
        <f>IF($A325="","",IFERROR(INDEX('2_IMPORTAR_EJECUCION'!$F$9:$F$1208,MATCH($AT325,'2_IMPORTAR_EJECUCION'!$J$9:$J$1208,0)),0))</f>
        <v/>
      </c>
      <c r="AL325" s="18">
        <f>IF($A325="","",MAX(0,IFERROR(INDEX('2_IMPORTAR_EJECUCION'!$H$9:$H$1208,MATCH($AT325,'2_IMPORTAR_EJECUCION'!$J$9:$J$1208,0)),0)-$AK325))</f>
        <v/>
      </c>
      <c r="AM325" s="18">
        <f>IF($A325="","",$AK325+$AL325)</f>
        <v/>
      </c>
      <c r="AN325" s="5">
        <f>IF($A325="","",IF(OR((IFERROR(INDEX('CAT_ACTIVIDADES'!$D$4:$D$11,MATCH($H325,'CAT_ACTIVIDADES'!$A$4:$A$11,0)),""))=0,(IFERROR(INDEX('CAT_ACTIVIDADES'!$D$4:$D$11,MATCH($H325,'CAT_ACTIVIDADES'!$A$4:$A$11,0)),""))=""),"SIN CLASIFICAR",IFERROR(INDEX('CAT_ACTIVIDADES'!$D$4:$D$11,MATCH($H325,'CAT_ACTIVIDADES'!$A$4:$A$11,0)),"")))</f>
        <v/>
      </c>
      <c r="AO325" s="4" t="n"/>
      <c r="AP325" s="4" t="n"/>
      <c r="AQ325" s="4" t="n"/>
      <c r="AR325" s="5">
        <f>IF($AQ325="","",HYPERLINK(p_ruta_base_checklists&amp;$AQ325,"abrir"))</f>
        <v/>
      </c>
      <c r="AS325" s="4" t="n"/>
      <c r="AT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2" t="n"/>
      <c r="K326" s="5" t="n"/>
      <c r="L326" s="18" t="n"/>
      <c r="M326" s="5">
        <f>IF($A326="","",IFERROR(INDEX('AJUSTES'!$B$4:$B$303,MATCH($AT326,'AJUSTES'!$A$4:$A$303,0)),IF($K326="","",$K326)))</f>
        <v/>
      </c>
      <c r="N326" s="5">
        <f>IF($A326="","",IFERROR(INDEX('CAT_ESTADOS_ERP'!$B$4:$B$7,MATCH(IFERROR(INDEX('2_IMPORTAR_EJECUCION'!$C$9:$C$1208,MATCH($AT326,'2_IMPORTAR_EJECUCION'!$J$9:$J$1208,0)),""),'CAT_ESTADOS_ERP'!$A$4:$A$7,0)),"Pendiente"))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IF($J326="","",$P326&amp;"-"&amp;TEXT($Q326,"00"))</f>
        <v/>
      </c>
      <c r="S326" s="5">
        <f>IF($J326="","",INDEX(lista_dias,WEEKDAY($J326,2)))</f>
        <v/>
      </c>
      <c r="T326" s="5">
        <f>IF($J326="","",IFERROR(INDEX('CALENDARIO'!$C$15:$C$214,MATCH(TEXT($J326,"yyyy-mm-dd")&amp;"|"&amp;$X326&amp;"|"&amp;$Y326,'CALENDARIO'!$G$15:$G$214,0)),IFERROR(INDEX('CALENDARIO'!$C$15:$C$214,MATCH(TEXT($J326,"yyyy-mm-dd")&amp;"|"&amp;$X326&amp;"|",'CALENDARIO'!$G$15:$G$214,0)),IFERROR(INDEX('CALENDARIO'!$C$15:$C$214,MATCH(TEXT($J326,"yyyy-mm-dd")&amp;"||",'CALENDARIO'!$G$15:$G$214,0)),INDEX(patronHabil,WEEKDAY($J326,2))))))</f>
        <v/>
      </c>
      <c r="U326" s="5">
        <f>IF($I326="","",IFERROR(INDEX('CAT_TIPOS_OT'!$C$4:$C$8,MATCH($I326,'CAT_TIPOS_OT'!$A$4:$A$8,0)),"sin_clasificar"))</f>
        <v/>
      </c>
      <c r="V326" s="5">
        <f>IF($I326="","",IF(IFERROR(INDEX('CAT_TIPOS_OT'!$D$4:$D$8,MATCH($I326,'CAT_TIPOS_OT'!$A$4:$A$8,0)),"SIN CLASIFICAR")="","SIN CLASIFICAR",IFERROR(INDEX('CAT_TIPOS_OT'!$D$4:$D$8,MATCH($I326,'CAT_TIPOS_OT'!$A$4:$A$8,0)),"SIN CLASIFICAR")))</f>
        <v/>
      </c>
      <c r="W326" s="5">
        <f>IF($F326="","",IFERROR(INDEX('CAT_CENTROS_COSTO'!$F$4:$F$13,MATCH($F326,'CAT_CENTROS_COSTO'!$A$4:$A$13,0)),"(sin catálogo)"))</f>
        <v/>
      </c>
      <c r="X326" s="5">
        <f>IF($F326="","",IFERROR(INDEX('CAT_CENTROS_COSTO'!$D$4:$D$13,MATCH($F326,'CAT_CENTROS_COSTO'!$A$4:$A$13,0)),"(sin catálogo)"))</f>
        <v/>
      </c>
      <c r="Y326" s="5">
        <f>IF($F326="","",IF((IFERROR(INDEX('CAT_CENTROS_COSTO'!$E$4:$E$13,MATCH($F326,'CAT_CENTROS_COSTO'!$A$4:$A$13,0)),""))&lt;&gt;"",IFERROR(INDEX('CAT_CENTROS_COSTO'!$E$4:$E$13,MATCH($F326,'CAT_CENTROS_COSTO'!$A$4:$A$13,0)),""),$X326))</f>
        <v/>
      </c>
      <c r="Z326" s="5">
        <f>IF($F326="","",IFERROR(INDEX('CAT_CENTROS_COSTO'!$G$4:$G$13,MATCH($F326,'CAT_CENTROS_COSTO'!$A$4:$A$13,0)),"(sin catálogo)"))</f>
        <v/>
      </c>
      <c r="AA326" s="5">
        <f>IF($G326="","",IFERROR(INDEX('CAT_PUESTOS'!$B$4:$B$8,MATCH($G326,'CAT_PUESTOS'!$A$4:$A$8,0)),"(sin catálogo)"))</f>
        <v/>
      </c>
      <c r="AB326" s="5">
        <f>IF($H326="","",IFERROR(INDEX('CAT_ACTIVIDADES'!$B$4:$B$11,MATCH($H326,'CAT_ACTIVIDADES'!$A$4:$A$11,0)),"(sin catálogo)"))</f>
        <v/>
      </c>
      <c r="AC326" s="20">
        <f>IF($J326="","",TODAY()-$J326)</f>
        <v/>
      </c>
      <c r="AD326" s="20">
        <f>IF($J326="","",IF($J326&lt;=TODAY(),COUNTIFS(cal_fechas,"&gt;="&amp;$J326,cal_fechas,"&lt;"&amp;TODAY(),cal_habil,"sí"),-COUNTIFS(cal_fechas,"&gt;="&amp;TODAY(),cal_fechas,"&lt;"&amp;$J326,cal_habil,"sí")))</f>
        <v/>
      </c>
      <c r="AE326" s="5">
        <f>IF($AD326="","",IF($AD326&lt;0,"FUTURO",IF($AD326&gt;p_dias_backlog_max,"BACKLOG","MES CORRIENTE")))</f>
        <v/>
      </c>
      <c r="AF326" s="5">
        <f>IF($AD326="",FALSE,AND($AD326&gt;p_dias_backlog_min,$AD326&lt;=p_dias_backlog_max))</f>
        <v/>
      </c>
      <c r="AG326" s="4" t="n"/>
      <c r="AH326" s="5">
        <f>IF($AG326="","",IF((IFERROR(INDEX('ASIGNACIONES'!$J$4:$J$451,MATCH($O326&amp;"|"&amp;$S326&amp;"|"&amp;$AG326,'ASIGNACIONES'!$N$4:$N$451,0)),""))=0,"",IFERROR(INDEX('ASIGNACIONES'!$J$4:$J$451,MATCH($O326&amp;"|"&amp;$S326&amp;"|"&amp;$AG326,'ASIGNACIONES'!$N$4:$N$451,0)),"")))</f>
        <v/>
      </c>
      <c r="AI326" s="25">
        <f>IF($AG326="","",SUMIFS('ORDENES'!$M$4:$M$1203,'ORDENES'!$AG$4:$AG$1203,$AG326,'ORDENES'!$O$4:$O$1203,$O326,'ORDENES'!$S$4:$S$1203,$S326))</f>
        <v/>
      </c>
      <c r="AJ326" s="25">
        <f>IF($AI326="","",p_factor_productividad*IFERROR(INDEX('ASIGNACIONES'!$M$4:$M$451,MATCH($O326&amp;"|"&amp;$S326&amp;"|"&amp;$AG326,'ASIGNACIONES'!$N$4:$N$451,0)),0)-$AI326)</f>
        <v/>
      </c>
      <c r="AK326" s="18">
        <f>IF($A326="","",IFERROR(INDEX('2_IMPORTAR_EJECUCION'!$F$9:$F$1208,MATCH($AT326,'2_IMPORTAR_EJECUCION'!$J$9:$J$1208,0)),0))</f>
        <v/>
      </c>
      <c r="AL326" s="18">
        <f>IF($A326="","",MAX(0,IFERROR(INDEX('2_IMPORTAR_EJECUCION'!$H$9:$H$1208,MATCH($AT326,'2_IMPORTAR_EJECUCION'!$J$9:$J$1208,0)),0)-$AK326))</f>
        <v/>
      </c>
      <c r="AM326" s="18">
        <f>IF($A326="","",$AK326+$AL326)</f>
        <v/>
      </c>
      <c r="AN326" s="5">
        <f>IF($A326="","",IF(OR((IFERROR(INDEX('CAT_ACTIVIDADES'!$D$4:$D$11,MATCH($H326,'CAT_ACTIVIDADES'!$A$4:$A$11,0)),""))=0,(IFERROR(INDEX('CAT_ACTIVIDADES'!$D$4:$D$11,MATCH($H326,'CAT_ACTIVIDADES'!$A$4:$A$11,0)),""))=""),"SIN CLASIFICAR",IFERROR(INDEX('CAT_ACTIVIDADES'!$D$4:$D$11,MATCH($H326,'CAT_ACTIVIDADES'!$A$4:$A$11,0)),"")))</f>
        <v/>
      </c>
      <c r="AO326" s="4" t="n"/>
      <c r="AP326" s="4" t="n"/>
      <c r="AQ326" s="4" t="n"/>
      <c r="AR326" s="5">
        <f>IF($AQ326="","",HYPERLINK(p_ruta_base_checklists&amp;$AQ326,"abrir"))</f>
        <v/>
      </c>
      <c r="AS326" s="4" t="n"/>
      <c r="AT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2" t="n"/>
      <c r="K327" s="5" t="n"/>
      <c r="L327" s="18" t="n"/>
      <c r="M327" s="5">
        <f>IF($A327="","",IFERROR(INDEX('AJUSTES'!$B$4:$B$303,MATCH($AT327,'AJUSTES'!$A$4:$A$303,0)),IF($K327="","",$K327)))</f>
        <v/>
      </c>
      <c r="N327" s="5">
        <f>IF($A327="","",IFERROR(INDEX('CAT_ESTADOS_ERP'!$B$4:$B$7,MATCH(IFERROR(INDEX('2_IMPORTAR_EJECUCION'!$C$9:$C$1208,MATCH($AT327,'2_IMPORTAR_EJECUCION'!$J$9:$J$1208,0)),""),'CAT_ESTADOS_ERP'!$A$4:$A$7,0)),"Pendiente"))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IF($J327="","",$P327&amp;"-"&amp;TEXT($Q327,"00"))</f>
        <v/>
      </c>
      <c r="S327" s="5">
        <f>IF($J327="","",INDEX(lista_dias,WEEKDAY($J327,2)))</f>
        <v/>
      </c>
      <c r="T327" s="5">
        <f>IF($J327="","",IFERROR(INDEX('CALENDARIO'!$C$15:$C$214,MATCH(TEXT($J327,"yyyy-mm-dd")&amp;"|"&amp;$X327&amp;"|"&amp;$Y327,'CALENDARIO'!$G$15:$G$214,0)),IFERROR(INDEX('CALENDARIO'!$C$15:$C$214,MATCH(TEXT($J327,"yyyy-mm-dd")&amp;"|"&amp;$X327&amp;"|",'CALENDARIO'!$G$15:$G$214,0)),IFERROR(INDEX('CALENDARIO'!$C$15:$C$214,MATCH(TEXT($J327,"yyyy-mm-dd")&amp;"||",'CALENDARIO'!$G$15:$G$214,0)),INDEX(patronHabil,WEEKDAY($J327,2))))))</f>
        <v/>
      </c>
      <c r="U327" s="5">
        <f>IF($I327="","",IFERROR(INDEX('CAT_TIPOS_OT'!$C$4:$C$8,MATCH($I327,'CAT_TIPOS_OT'!$A$4:$A$8,0)),"sin_clasificar"))</f>
        <v/>
      </c>
      <c r="V327" s="5">
        <f>IF($I327="","",IF(IFERROR(INDEX('CAT_TIPOS_OT'!$D$4:$D$8,MATCH($I327,'CAT_TIPOS_OT'!$A$4:$A$8,0)),"SIN CLASIFICAR")="","SIN CLASIFICAR",IFERROR(INDEX('CAT_TIPOS_OT'!$D$4:$D$8,MATCH($I327,'CAT_TIPOS_OT'!$A$4:$A$8,0)),"SIN CLASIFICAR")))</f>
        <v/>
      </c>
      <c r="W327" s="5">
        <f>IF($F327="","",IFERROR(INDEX('CAT_CENTROS_COSTO'!$F$4:$F$13,MATCH($F327,'CAT_CENTROS_COSTO'!$A$4:$A$13,0)),"(sin catálogo)"))</f>
        <v/>
      </c>
      <c r="X327" s="5">
        <f>IF($F327="","",IFERROR(INDEX('CAT_CENTROS_COSTO'!$D$4:$D$13,MATCH($F327,'CAT_CENTROS_COSTO'!$A$4:$A$13,0)),"(sin catálogo)"))</f>
        <v/>
      </c>
      <c r="Y327" s="5">
        <f>IF($F327="","",IF((IFERROR(INDEX('CAT_CENTROS_COSTO'!$E$4:$E$13,MATCH($F327,'CAT_CENTROS_COSTO'!$A$4:$A$13,0)),""))&lt;&gt;"",IFERROR(INDEX('CAT_CENTROS_COSTO'!$E$4:$E$13,MATCH($F327,'CAT_CENTROS_COSTO'!$A$4:$A$13,0)),""),$X327))</f>
        <v/>
      </c>
      <c r="Z327" s="5">
        <f>IF($F327="","",IFERROR(INDEX('CAT_CENTROS_COSTO'!$G$4:$G$13,MATCH($F327,'CAT_CENTROS_COSTO'!$A$4:$A$13,0)),"(sin catálogo)"))</f>
        <v/>
      </c>
      <c r="AA327" s="5">
        <f>IF($G327="","",IFERROR(INDEX('CAT_PUESTOS'!$B$4:$B$8,MATCH($G327,'CAT_PUESTOS'!$A$4:$A$8,0)),"(sin catálogo)"))</f>
        <v/>
      </c>
      <c r="AB327" s="5">
        <f>IF($H327="","",IFERROR(INDEX('CAT_ACTIVIDADES'!$B$4:$B$11,MATCH($H327,'CAT_ACTIVIDADES'!$A$4:$A$11,0)),"(sin catálogo)"))</f>
        <v/>
      </c>
      <c r="AC327" s="20">
        <f>IF($J327="","",TODAY()-$J327)</f>
        <v/>
      </c>
      <c r="AD327" s="20">
        <f>IF($J327="","",IF($J327&lt;=TODAY(),COUNTIFS(cal_fechas,"&gt;="&amp;$J327,cal_fechas,"&lt;"&amp;TODAY(),cal_habil,"sí"),-COUNTIFS(cal_fechas,"&gt;="&amp;TODAY(),cal_fechas,"&lt;"&amp;$J327,cal_habil,"sí")))</f>
        <v/>
      </c>
      <c r="AE327" s="5">
        <f>IF($AD327="","",IF($AD327&lt;0,"FUTURO",IF($AD327&gt;p_dias_backlog_max,"BACKLOG","MES CORRIENTE")))</f>
        <v/>
      </c>
      <c r="AF327" s="5">
        <f>IF($AD327="",FALSE,AND($AD327&gt;p_dias_backlog_min,$AD327&lt;=p_dias_backlog_max))</f>
        <v/>
      </c>
      <c r="AG327" s="4" t="n"/>
      <c r="AH327" s="5">
        <f>IF($AG327="","",IF((IFERROR(INDEX('ASIGNACIONES'!$J$4:$J$451,MATCH($O327&amp;"|"&amp;$S327&amp;"|"&amp;$AG327,'ASIGNACIONES'!$N$4:$N$451,0)),""))=0,"",IFERROR(INDEX('ASIGNACIONES'!$J$4:$J$451,MATCH($O327&amp;"|"&amp;$S327&amp;"|"&amp;$AG327,'ASIGNACIONES'!$N$4:$N$451,0)),"")))</f>
        <v/>
      </c>
      <c r="AI327" s="25">
        <f>IF($AG327="","",SUMIFS('ORDENES'!$M$4:$M$1203,'ORDENES'!$AG$4:$AG$1203,$AG327,'ORDENES'!$O$4:$O$1203,$O327,'ORDENES'!$S$4:$S$1203,$S327))</f>
        <v/>
      </c>
      <c r="AJ327" s="25">
        <f>IF($AI327="","",p_factor_productividad*IFERROR(INDEX('ASIGNACIONES'!$M$4:$M$451,MATCH($O327&amp;"|"&amp;$S327&amp;"|"&amp;$AG327,'ASIGNACIONES'!$N$4:$N$451,0)),0)-$AI327)</f>
        <v/>
      </c>
      <c r="AK327" s="18">
        <f>IF($A327="","",IFERROR(INDEX('2_IMPORTAR_EJECUCION'!$F$9:$F$1208,MATCH($AT327,'2_IMPORTAR_EJECUCION'!$J$9:$J$1208,0)),0))</f>
        <v/>
      </c>
      <c r="AL327" s="18">
        <f>IF($A327="","",MAX(0,IFERROR(INDEX('2_IMPORTAR_EJECUCION'!$H$9:$H$1208,MATCH($AT327,'2_IMPORTAR_EJECUCION'!$J$9:$J$1208,0)),0)-$AK327))</f>
        <v/>
      </c>
      <c r="AM327" s="18">
        <f>IF($A327="","",$AK327+$AL327)</f>
        <v/>
      </c>
      <c r="AN327" s="5">
        <f>IF($A327="","",IF(OR((IFERROR(INDEX('CAT_ACTIVIDADES'!$D$4:$D$11,MATCH($H327,'CAT_ACTIVIDADES'!$A$4:$A$11,0)),""))=0,(IFERROR(INDEX('CAT_ACTIVIDADES'!$D$4:$D$11,MATCH($H327,'CAT_ACTIVIDADES'!$A$4:$A$11,0)),""))=""),"SIN CLASIFICAR",IFERROR(INDEX('CAT_ACTIVIDADES'!$D$4:$D$11,MATCH($H327,'CAT_ACTIVIDADES'!$A$4:$A$11,0)),"")))</f>
        <v/>
      </c>
      <c r="AO327" s="4" t="n"/>
      <c r="AP327" s="4" t="n"/>
      <c r="AQ327" s="4" t="n"/>
      <c r="AR327" s="5">
        <f>IF($AQ327="","",HYPERLINK(p_ruta_base_checklists&amp;$AQ327,"abrir"))</f>
        <v/>
      </c>
      <c r="AS327" s="4" t="n"/>
      <c r="AT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2" t="n"/>
      <c r="K328" s="5" t="n"/>
      <c r="L328" s="18" t="n"/>
      <c r="M328" s="5">
        <f>IF($A328="","",IFERROR(INDEX('AJUSTES'!$B$4:$B$303,MATCH($AT328,'AJUSTES'!$A$4:$A$303,0)),IF($K328="","",$K328)))</f>
        <v/>
      </c>
      <c r="N328" s="5">
        <f>IF($A328="","",IFERROR(INDEX('CAT_ESTADOS_ERP'!$B$4:$B$7,MATCH(IFERROR(INDEX('2_IMPORTAR_EJECUCION'!$C$9:$C$1208,MATCH($AT328,'2_IMPORTAR_EJECUCION'!$J$9:$J$1208,0)),""),'CAT_ESTADOS_ERP'!$A$4:$A$7,0)),"Pendiente"))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IF($J328="","",$P328&amp;"-"&amp;TEXT($Q328,"00"))</f>
        <v/>
      </c>
      <c r="S328" s="5">
        <f>IF($J328="","",INDEX(lista_dias,WEEKDAY($J328,2)))</f>
        <v/>
      </c>
      <c r="T328" s="5">
        <f>IF($J328="","",IFERROR(INDEX('CALENDARIO'!$C$15:$C$214,MATCH(TEXT($J328,"yyyy-mm-dd")&amp;"|"&amp;$X328&amp;"|"&amp;$Y328,'CALENDARIO'!$G$15:$G$214,0)),IFERROR(INDEX('CALENDARIO'!$C$15:$C$214,MATCH(TEXT($J328,"yyyy-mm-dd")&amp;"|"&amp;$X328&amp;"|",'CALENDARIO'!$G$15:$G$214,0)),IFERROR(INDEX('CALENDARIO'!$C$15:$C$214,MATCH(TEXT($J328,"yyyy-mm-dd")&amp;"||",'CALENDARIO'!$G$15:$G$214,0)),INDEX(patronHabil,WEEKDAY($J328,2))))))</f>
        <v/>
      </c>
      <c r="U328" s="5">
        <f>IF($I328="","",IFERROR(INDEX('CAT_TIPOS_OT'!$C$4:$C$8,MATCH($I328,'CAT_TIPOS_OT'!$A$4:$A$8,0)),"sin_clasificar"))</f>
        <v/>
      </c>
      <c r="V328" s="5">
        <f>IF($I328="","",IF(IFERROR(INDEX('CAT_TIPOS_OT'!$D$4:$D$8,MATCH($I328,'CAT_TIPOS_OT'!$A$4:$A$8,0)),"SIN CLASIFICAR")="","SIN CLASIFICAR",IFERROR(INDEX('CAT_TIPOS_OT'!$D$4:$D$8,MATCH($I328,'CAT_TIPOS_OT'!$A$4:$A$8,0)),"SIN CLASIFICAR")))</f>
        <v/>
      </c>
      <c r="W328" s="5">
        <f>IF($F328="","",IFERROR(INDEX('CAT_CENTROS_COSTO'!$F$4:$F$13,MATCH($F328,'CAT_CENTROS_COSTO'!$A$4:$A$13,0)),"(sin catálogo)"))</f>
        <v/>
      </c>
      <c r="X328" s="5">
        <f>IF($F328="","",IFERROR(INDEX('CAT_CENTROS_COSTO'!$D$4:$D$13,MATCH($F328,'CAT_CENTROS_COSTO'!$A$4:$A$13,0)),"(sin catálogo)"))</f>
        <v/>
      </c>
      <c r="Y328" s="5">
        <f>IF($F328="","",IF((IFERROR(INDEX('CAT_CENTROS_COSTO'!$E$4:$E$13,MATCH($F328,'CAT_CENTROS_COSTO'!$A$4:$A$13,0)),""))&lt;&gt;"",IFERROR(INDEX('CAT_CENTROS_COSTO'!$E$4:$E$13,MATCH($F328,'CAT_CENTROS_COSTO'!$A$4:$A$13,0)),""),$X328))</f>
        <v/>
      </c>
      <c r="Z328" s="5">
        <f>IF($F328="","",IFERROR(INDEX('CAT_CENTROS_COSTO'!$G$4:$G$13,MATCH($F328,'CAT_CENTROS_COSTO'!$A$4:$A$13,0)),"(sin catálogo)"))</f>
        <v/>
      </c>
      <c r="AA328" s="5">
        <f>IF($G328="","",IFERROR(INDEX('CAT_PUESTOS'!$B$4:$B$8,MATCH($G328,'CAT_PUESTOS'!$A$4:$A$8,0)),"(sin catálogo)"))</f>
        <v/>
      </c>
      <c r="AB328" s="5">
        <f>IF($H328="","",IFERROR(INDEX('CAT_ACTIVIDADES'!$B$4:$B$11,MATCH($H328,'CAT_ACTIVIDADES'!$A$4:$A$11,0)),"(sin catálogo)"))</f>
        <v/>
      </c>
      <c r="AC328" s="20">
        <f>IF($J328="","",TODAY()-$J328)</f>
        <v/>
      </c>
      <c r="AD328" s="20">
        <f>IF($J328="","",IF($J328&lt;=TODAY(),COUNTIFS(cal_fechas,"&gt;="&amp;$J328,cal_fechas,"&lt;"&amp;TODAY(),cal_habil,"sí"),-COUNTIFS(cal_fechas,"&gt;="&amp;TODAY(),cal_fechas,"&lt;"&amp;$J328,cal_habil,"sí")))</f>
        <v/>
      </c>
      <c r="AE328" s="5">
        <f>IF($AD328="","",IF($AD328&lt;0,"FUTURO",IF($AD328&gt;p_dias_backlog_max,"BACKLOG","MES CORRIENTE")))</f>
        <v/>
      </c>
      <c r="AF328" s="5">
        <f>IF($AD328="",FALSE,AND($AD328&gt;p_dias_backlog_min,$AD328&lt;=p_dias_backlog_max))</f>
        <v/>
      </c>
      <c r="AG328" s="4" t="n"/>
      <c r="AH328" s="5">
        <f>IF($AG328="","",IF((IFERROR(INDEX('ASIGNACIONES'!$J$4:$J$451,MATCH($O328&amp;"|"&amp;$S328&amp;"|"&amp;$AG328,'ASIGNACIONES'!$N$4:$N$451,0)),""))=0,"",IFERROR(INDEX('ASIGNACIONES'!$J$4:$J$451,MATCH($O328&amp;"|"&amp;$S328&amp;"|"&amp;$AG328,'ASIGNACIONES'!$N$4:$N$451,0)),"")))</f>
        <v/>
      </c>
      <c r="AI328" s="25">
        <f>IF($AG328="","",SUMIFS('ORDENES'!$M$4:$M$1203,'ORDENES'!$AG$4:$AG$1203,$AG328,'ORDENES'!$O$4:$O$1203,$O328,'ORDENES'!$S$4:$S$1203,$S328))</f>
        <v/>
      </c>
      <c r="AJ328" s="25">
        <f>IF($AI328="","",p_factor_productividad*IFERROR(INDEX('ASIGNACIONES'!$M$4:$M$451,MATCH($O328&amp;"|"&amp;$S328&amp;"|"&amp;$AG328,'ASIGNACIONES'!$N$4:$N$451,0)),0)-$AI328)</f>
        <v/>
      </c>
      <c r="AK328" s="18">
        <f>IF($A328="","",IFERROR(INDEX('2_IMPORTAR_EJECUCION'!$F$9:$F$1208,MATCH($AT328,'2_IMPORTAR_EJECUCION'!$J$9:$J$1208,0)),0))</f>
        <v/>
      </c>
      <c r="AL328" s="18">
        <f>IF($A328="","",MAX(0,IFERROR(INDEX('2_IMPORTAR_EJECUCION'!$H$9:$H$1208,MATCH($AT328,'2_IMPORTAR_EJECUCION'!$J$9:$J$1208,0)),0)-$AK328))</f>
        <v/>
      </c>
      <c r="AM328" s="18">
        <f>IF($A328="","",$AK328+$AL328)</f>
        <v/>
      </c>
      <c r="AN328" s="5">
        <f>IF($A328="","",IF(OR((IFERROR(INDEX('CAT_ACTIVIDADES'!$D$4:$D$11,MATCH($H328,'CAT_ACTIVIDADES'!$A$4:$A$11,0)),""))=0,(IFERROR(INDEX('CAT_ACTIVIDADES'!$D$4:$D$11,MATCH($H328,'CAT_ACTIVIDADES'!$A$4:$A$11,0)),""))=""),"SIN CLASIFICAR",IFERROR(INDEX('CAT_ACTIVIDADES'!$D$4:$D$11,MATCH($H328,'CAT_ACTIVIDADES'!$A$4:$A$11,0)),"")))</f>
        <v/>
      </c>
      <c r="AO328" s="4" t="n"/>
      <c r="AP328" s="4" t="n"/>
      <c r="AQ328" s="4" t="n"/>
      <c r="AR328" s="5">
        <f>IF($AQ328="","",HYPERLINK(p_ruta_base_checklists&amp;$AQ328,"abrir"))</f>
        <v/>
      </c>
      <c r="AS328" s="4" t="n"/>
      <c r="AT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2" t="n"/>
      <c r="K329" s="5" t="n"/>
      <c r="L329" s="18" t="n"/>
      <c r="M329" s="5">
        <f>IF($A329="","",IFERROR(INDEX('AJUSTES'!$B$4:$B$303,MATCH($AT329,'AJUSTES'!$A$4:$A$303,0)),IF($K329="","",$K329)))</f>
        <v/>
      </c>
      <c r="N329" s="5">
        <f>IF($A329="","",IFERROR(INDEX('CAT_ESTADOS_ERP'!$B$4:$B$7,MATCH(IFERROR(INDEX('2_IMPORTAR_EJECUCION'!$C$9:$C$1208,MATCH($AT329,'2_IMPORTAR_EJECUCION'!$J$9:$J$1208,0)),""),'CAT_ESTADOS_ERP'!$A$4:$A$7,0)),"Pendiente"))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IF($J329="","",$P329&amp;"-"&amp;TEXT($Q329,"00"))</f>
        <v/>
      </c>
      <c r="S329" s="5">
        <f>IF($J329="","",INDEX(lista_dias,WEEKDAY($J329,2)))</f>
        <v/>
      </c>
      <c r="T329" s="5">
        <f>IF($J329="","",IFERROR(INDEX('CALENDARIO'!$C$15:$C$214,MATCH(TEXT($J329,"yyyy-mm-dd")&amp;"|"&amp;$X329&amp;"|"&amp;$Y329,'CALENDARIO'!$G$15:$G$214,0)),IFERROR(INDEX('CALENDARIO'!$C$15:$C$214,MATCH(TEXT($J329,"yyyy-mm-dd")&amp;"|"&amp;$X329&amp;"|",'CALENDARIO'!$G$15:$G$214,0)),IFERROR(INDEX('CALENDARIO'!$C$15:$C$214,MATCH(TEXT($J329,"yyyy-mm-dd")&amp;"||",'CALENDARIO'!$G$15:$G$214,0)),INDEX(patronHabil,WEEKDAY($J329,2))))))</f>
        <v/>
      </c>
      <c r="U329" s="5">
        <f>IF($I329="","",IFERROR(INDEX('CAT_TIPOS_OT'!$C$4:$C$8,MATCH($I329,'CAT_TIPOS_OT'!$A$4:$A$8,0)),"sin_clasificar"))</f>
        <v/>
      </c>
      <c r="V329" s="5">
        <f>IF($I329="","",IF(IFERROR(INDEX('CAT_TIPOS_OT'!$D$4:$D$8,MATCH($I329,'CAT_TIPOS_OT'!$A$4:$A$8,0)),"SIN CLASIFICAR")="","SIN CLASIFICAR",IFERROR(INDEX('CAT_TIPOS_OT'!$D$4:$D$8,MATCH($I329,'CAT_TIPOS_OT'!$A$4:$A$8,0)),"SIN CLASIFICAR")))</f>
        <v/>
      </c>
      <c r="W329" s="5">
        <f>IF($F329="","",IFERROR(INDEX('CAT_CENTROS_COSTO'!$F$4:$F$13,MATCH($F329,'CAT_CENTROS_COSTO'!$A$4:$A$13,0)),"(sin catálogo)"))</f>
        <v/>
      </c>
      <c r="X329" s="5">
        <f>IF($F329="","",IFERROR(INDEX('CAT_CENTROS_COSTO'!$D$4:$D$13,MATCH($F329,'CAT_CENTROS_COSTO'!$A$4:$A$13,0)),"(sin catálogo)"))</f>
        <v/>
      </c>
      <c r="Y329" s="5">
        <f>IF($F329="","",IF((IFERROR(INDEX('CAT_CENTROS_COSTO'!$E$4:$E$13,MATCH($F329,'CAT_CENTROS_COSTO'!$A$4:$A$13,0)),""))&lt;&gt;"",IFERROR(INDEX('CAT_CENTROS_COSTO'!$E$4:$E$13,MATCH($F329,'CAT_CENTROS_COSTO'!$A$4:$A$13,0)),""),$X329))</f>
        <v/>
      </c>
      <c r="Z329" s="5">
        <f>IF($F329="","",IFERROR(INDEX('CAT_CENTROS_COSTO'!$G$4:$G$13,MATCH($F329,'CAT_CENTROS_COSTO'!$A$4:$A$13,0)),"(sin catálogo)"))</f>
        <v/>
      </c>
      <c r="AA329" s="5">
        <f>IF($G329="","",IFERROR(INDEX('CAT_PUESTOS'!$B$4:$B$8,MATCH($G329,'CAT_PUESTOS'!$A$4:$A$8,0)),"(sin catálogo)"))</f>
        <v/>
      </c>
      <c r="AB329" s="5">
        <f>IF($H329="","",IFERROR(INDEX('CAT_ACTIVIDADES'!$B$4:$B$11,MATCH($H329,'CAT_ACTIVIDADES'!$A$4:$A$11,0)),"(sin catálogo)"))</f>
        <v/>
      </c>
      <c r="AC329" s="20">
        <f>IF($J329="","",TODAY()-$J329)</f>
        <v/>
      </c>
      <c r="AD329" s="20">
        <f>IF($J329="","",IF($J329&lt;=TODAY(),COUNTIFS(cal_fechas,"&gt;="&amp;$J329,cal_fechas,"&lt;"&amp;TODAY(),cal_habil,"sí"),-COUNTIFS(cal_fechas,"&gt;="&amp;TODAY(),cal_fechas,"&lt;"&amp;$J329,cal_habil,"sí")))</f>
        <v/>
      </c>
      <c r="AE329" s="5">
        <f>IF($AD329="","",IF($AD329&lt;0,"FUTURO",IF($AD329&gt;p_dias_backlog_max,"BACKLOG","MES CORRIENTE")))</f>
        <v/>
      </c>
      <c r="AF329" s="5">
        <f>IF($AD329="",FALSE,AND($AD329&gt;p_dias_backlog_min,$AD329&lt;=p_dias_backlog_max))</f>
        <v/>
      </c>
      <c r="AG329" s="4" t="n"/>
      <c r="AH329" s="5">
        <f>IF($AG329="","",IF((IFERROR(INDEX('ASIGNACIONES'!$J$4:$J$451,MATCH($O329&amp;"|"&amp;$S329&amp;"|"&amp;$AG329,'ASIGNACIONES'!$N$4:$N$451,0)),""))=0,"",IFERROR(INDEX('ASIGNACIONES'!$J$4:$J$451,MATCH($O329&amp;"|"&amp;$S329&amp;"|"&amp;$AG329,'ASIGNACIONES'!$N$4:$N$451,0)),"")))</f>
        <v/>
      </c>
      <c r="AI329" s="25">
        <f>IF($AG329="","",SUMIFS('ORDENES'!$M$4:$M$1203,'ORDENES'!$AG$4:$AG$1203,$AG329,'ORDENES'!$O$4:$O$1203,$O329,'ORDENES'!$S$4:$S$1203,$S329))</f>
        <v/>
      </c>
      <c r="AJ329" s="25">
        <f>IF($AI329="","",p_factor_productividad*IFERROR(INDEX('ASIGNACIONES'!$M$4:$M$451,MATCH($O329&amp;"|"&amp;$S329&amp;"|"&amp;$AG329,'ASIGNACIONES'!$N$4:$N$451,0)),0)-$AI329)</f>
        <v/>
      </c>
      <c r="AK329" s="18">
        <f>IF($A329="","",IFERROR(INDEX('2_IMPORTAR_EJECUCION'!$F$9:$F$1208,MATCH($AT329,'2_IMPORTAR_EJECUCION'!$J$9:$J$1208,0)),0))</f>
        <v/>
      </c>
      <c r="AL329" s="18">
        <f>IF($A329="","",MAX(0,IFERROR(INDEX('2_IMPORTAR_EJECUCION'!$H$9:$H$1208,MATCH($AT329,'2_IMPORTAR_EJECUCION'!$J$9:$J$1208,0)),0)-$AK329))</f>
        <v/>
      </c>
      <c r="AM329" s="18">
        <f>IF($A329="","",$AK329+$AL329)</f>
        <v/>
      </c>
      <c r="AN329" s="5">
        <f>IF($A329="","",IF(OR((IFERROR(INDEX('CAT_ACTIVIDADES'!$D$4:$D$11,MATCH($H329,'CAT_ACTIVIDADES'!$A$4:$A$11,0)),""))=0,(IFERROR(INDEX('CAT_ACTIVIDADES'!$D$4:$D$11,MATCH($H329,'CAT_ACTIVIDADES'!$A$4:$A$11,0)),""))=""),"SIN CLASIFICAR",IFERROR(INDEX('CAT_ACTIVIDADES'!$D$4:$D$11,MATCH($H329,'CAT_ACTIVIDADES'!$A$4:$A$11,0)),"")))</f>
        <v/>
      </c>
      <c r="AO329" s="4" t="n"/>
      <c r="AP329" s="4" t="n"/>
      <c r="AQ329" s="4" t="n"/>
      <c r="AR329" s="5">
        <f>IF($AQ329="","",HYPERLINK(p_ruta_base_checklists&amp;$AQ329,"abrir"))</f>
        <v/>
      </c>
      <c r="AS329" s="4" t="n"/>
      <c r="AT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2" t="n"/>
      <c r="K330" s="5" t="n"/>
      <c r="L330" s="18" t="n"/>
      <c r="M330" s="5">
        <f>IF($A330="","",IFERROR(INDEX('AJUSTES'!$B$4:$B$303,MATCH($AT330,'AJUSTES'!$A$4:$A$303,0)),IF($K330="","",$K330)))</f>
        <v/>
      </c>
      <c r="N330" s="5">
        <f>IF($A330="","",IFERROR(INDEX('CAT_ESTADOS_ERP'!$B$4:$B$7,MATCH(IFERROR(INDEX('2_IMPORTAR_EJECUCION'!$C$9:$C$1208,MATCH($AT330,'2_IMPORTAR_EJECUCION'!$J$9:$J$1208,0)),""),'CAT_ESTADOS_ERP'!$A$4:$A$7,0)),"Pendiente"))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IF($J330="","",$P330&amp;"-"&amp;TEXT($Q330,"00"))</f>
        <v/>
      </c>
      <c r="S330" s="5">
        <f>IF($J330="","",INDEX(lista_dias,WEEKDAY($J330,2)))</f>
        <v/>
      </c>
      <c r="T330" s="5">
        <f>IF($J330="","",IFERROR(INDEX('CALENDARIO'!$C$15:$C$214,MATCH(TEXT($J330,"yyyy-mm-dd")&amp;"|"&amp;$X330&amp;"|"&amp;$Y330,'CALENDARIO'!$G$15:$G$214,0)),IFERROR(INDEX('CALENDARIO'!$C$15:$C$214,MATCH(TEXT($J330,"yyyy-mm-dd")&amp;"|"&amp;$X330&amp;"|",'CALENDARIO'!$G$15:$G$214,0)),IFERROR(INDEX('CALENDARIO'!$C$15:$C$214,MATCH(TEXT($J330,"yyyy-mm-dd")&amp;"||",'CALENDARIO'!$G$15:$G$214,0)),INDEX(patronHabil,WEEKDAY($J330,2))))))</f>
        <v/>
      </c>
      <c r="U330" s="5">
        <f>IF($I330="","",IFERROR(INDEX('CAT_TIPOS_OT'!$C$4:$C$8,MATCH($I330,'CAT_TIPOS_OT'!$A$4:$A$8,0)),"sin_clasificar"))</f>
        <v/>
      </c>
      <c r="V330" s="5">
        <f>IF($I330="","",IF(IFERROR(INDEX('CAT_TIPOS_OT'!$D$4:$D$8,MATCH($I330,'CAT_TIPOS_OT'!$A$4:$A$8,0)),"SIN CLASIFICAR")="","SIN CLASIFICAR",IFERROR(INDEX('CAT_TIPOS_OT'!$D$4:$D$8,MATCH($I330,'CAT_TIPOS_OT'!$A$4:$A$8,0)),"SIN CLASIFICAR")))</f>
        <v/>
      </c>
      <c r="W330" s="5">
        <f>IF($F330="","",IFERROR(INDEX('CAT_CENTROS_COSTO'!$F$4:$F$13,MATCH($F330,'CAT_CENTROS_COSTO'!$A$4:$A$13,0)),"(sin catálogo)"))</f>
        <v/>
      </c>
      <c r="X330" s="5">
        <f>IF($F330="","",IFERROR(INDEX('CAT_CENTROS_COSTO'!$D$4:$D$13,MATCH($F330,'CAT_CENTROS_COSTO'!$A$4:$A$13,0)),"(sin catálogo)"))</f>
        <v/>
      </c>
      <c r="Y330" s="5">
        <f>IF($F330="","",IF((IFERROR(INDEX('CAT_CENTROS_COSTO'!$E$4:$E$13,MATCH($F330,'CAT_CENTROS_COSTO'!$A$4:$A$13,0)),""))&lt;&gt;"",IFERROR(INDEX('CAT_CENTROS_COSTO'!$E$4:$E$13,MATCH($F330,'CAT_CENTROS_COSTO'!$A$4:$A$13,0)),""),$X330))</f>
        <v/>
      </c>
      <c r="Z330" s="5">
        <f>IF($F330="","",IFERROR(INDEX('CAT_CENTROS_COSTO'!$G$4:$G$13,MATCH($F330,'CAT_CENTROS_COSTO'!$A$4:$A$13,0)),"(sin catálogo)"))</f>
        <v/>
      </c>
      <c r="AA330" s="5">
        <f>IF($G330="","",IFERROR(INDEX('CAT_PUESTOS'!$B$4:$B$8,MATCH($G330,'CAT_PUESTOS'!$A$4:$A$8,0)),"(sin catálogo)"))</f>
        <v/>
      </c>
      <c r="AB330" s="5">
        <f>IF($H330="","",IFERROR(INDEX('CAT_ACTIVIDADES'!$B$4:$B$11,MATCH($H330,'CAT_ACTIVIDADES'!$A$4:$A$11,0)),"(sin catálogo)"))</f>
        <v/>
      </c>
      <c r="AC330" s="20">
        <f>IF($J330="","",TODAY()-$J330)</f>
        <v/>
      </c>
      <c r="AD330" s="20">
        <f>IF($J330="","",IF($J330&lt;=TODAY(),COUNTIFS(cal_fechas,"&gt;="&amp;$J330,cal_fechas,"&lt;"&amp;TODAY(),cal_habil,"sí"),-COUNTIFS(cal_fechas,"&gt;="&amp;TODAY(),cal_fechas,"&lt;"&amp;$J330,cal_habil,"sí")))</f>
        <v/>
      </c>
      <c r="AE330" s="5">
        <f>IF($AD330="","",IF($AD330&lt;0,"FUTURO",IF($AD330&gt;p_dias_backlog_max,"BACKLOG","MES CORRIENTE")))</f>
        <v/>
      </c>
      <c r="AF330" s="5">
        <f>IF($AD330="",FALSE,AND($AD330&gt;p_dias_backlog_min,$AD330&lt;=p_dias_backlog_max))</f>
        <v/>
      </c>
      <c r="AG330" s="4" t="n"/>
      <c r="AH330" s="5">
        <f>IF($AG330="","",IF((IFERROR(INDEX('ASIGNACIONES'!$J$4:$J$451,MATCH($O330&amp;"|"&amp;$S330&amp;"|"&amp;$AG330,'ASIGNACIONES'!$N$4:$N$451,0)),""))=0,"",IFERROR(INDEX('ASIGNACIONES'!$J$4:$J$451,MATCH($O330&amp;"|"&amp;$S330&amp;"|"&amp;$AG330,'ASIGNACIONES'!$N$4:$N$451,0)),"")))</f>
        <v/>
      </c>
      <c r="AI330" s="25">
        <f>IF($AG330="","",SUMIFS('ORDENES'!$M$4:$M$1203,'ORDENES'!$AG$4:$AG$1203,$AG330,'ORDENES'!$O$4:$O$1203,$O330,'ORDENES'!$S$4:$S$1203,$S330))</f>
        <v/>
      </c>
      <c r="AJ330" s="25">
        <f>IF($AI330="","",p_factor_productividad*IFERROR(INDEX('ASIGNACIONES'!$M$4:$M$451,MATCH($O330&amp;"|"&amp;$S330&amp;"|"&amp;$AG330,'ASIGNACIONES'!$N$4:$N$451,0)),0)-$AI330)</f>
        <v/>
      </c>
      <c r="AK330" s="18">
        <f>IF($A330="","",IFERROR(INDEX('2_IMPORTAR_EJECUCION'!$F$9:$F$1208,MATCH($AT330,'2_IMPORTAR_EJECUCION'!$J$9:$J$1208,0)),0))</f>
        <v/>
      </c>
      <c r="AL330" s="18">
        <f>IF($A330="","",MAX(0,IFERROR(INDEX('2_IMPORTAR_EJECUCION'!$H$9:$H$1208,MATCH($AT330,'2_IMPORTAR_EJECUCION'!$J$9:$J$1208,0)),0)-$AK330))</f>
        <v/>
      </c>
      <c r="AM330" s="18">
        <f>IF($A330="","",$AK330+$AL330)</f>
        <v/>
      </c>
      <c r="AN330" s="5">
        <f>IF($A330="","",IF(OR((IFERROR(INDEX('CAT_ACTIVIDADES'!$D$4:$D$11,MATCH($H330,'CAT_ACTIVIDADES'!$A$4:$A$11,0)),""))=0,(IFERROR(INDEX('CAT_ACTIVIDADES'!$D$4:$D$11,MATCH($H330,'CAT_ACTIVIDADES'!$A$4:$A$11,0)),""))=""),"SIN CLASIFICAR",IFERROR(INDEX('CAT_ACTIVIDADES'!$D$4:$D$11,MATCH($H330,'CAT_ACTIVIDADES'!$A$4:$A$11,0)),"")))</f>
        <v/>
      </c>
      <c r="AO330" s="4" t="n"/>
      <c r="AP330" s="4" t="n"/>
      <c r="AQ330" s="4" t="n"/>
      <c r="AR330" s="5">
        <f>IF($AQ330="","",HYPERLINK(p_ruta_base_checklists&amp;$AQ330,"abrir"))</f>
        <v/>
      </c>
      <c r="AS330" s="4" t="n"/>
      <c r="AT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2" t="n"/>
      <c r="K331" s="5" t="n"/>
      <c r="L331" s="18" t="n"/>
      <c r="M331" s="5">
        <f>IF($A331="","",IFERROR(INDEX('AJUSTES'!$B$4:$B$303,MATCH($AT331,'AJUSTES'!$A$4:$A$303,0)),IF($K331="","",$K331)))</f>
        <v/>
      </c>
      <c r="N331" s="5">
        <f>IF($A331="","",IFERROR(INDEX('CAT_ESTADOS_ERP'!$B$4:$B$7,MATCH(IFERROR(INDEX('2_IMPORTAR_EJECUCION'!$C$9:$C$1208,MATCH($AT331,'2_IMPORTAR_EJECUCION'!$J$9:$J$1208,0)),""),'CAT_ESTADOS_ERP'!$A$4:$A$7,0)),"Pendiente"))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IF($J331="","",$P331&amp;"-"&amp;TEXT($Q331,"00"))</f>
        <v/>
      </c>
      <c r="S331" s="5">
        <f>IF($J331="","",INDEX(lista_dias,WEEKDAY($J331,2)))</f>
        <v/>
      </c>
      <c r="T331" s="5">
        <f>IF($J331="","",IFERROR(INDEX('CALENDARIO'!$C$15:$C$214,MATCH(TEXT($J331,"yyyy-mm-dd")&amp;"|"&amp;$X331&amp;"|"&amp;$Y331,'CALENDARIO'!$G$15:$G$214,0)),IFERROR(INDEX('CALENDARIO'!$C$15:$C$214,MATCH(TEXT($J331,"yyyy-mm-dd")&amp;"|"&amp;$X331&amp;"|",'CALENDARIO'!$G$15:$G$214,0)),IFERROR(INDEX('CALENDARIO'!$C$15:$C$214,MATCH(TEXT($J331,"yyyy-mm-dd")&amp;"||",'CALENDARIO'!$G$15:$G$214,0)),INDEX(patronHabil,WEEKDAY($J331,2))))))</f>
        <v/>
      </c>
      <c r="U331" s="5">
        <f>IF($I331="","",IFERROR(INDEX('CAT_TIPOS_OT'!$C$4:$C$8,MATCH($I331,'CAT_TIPOS_OT'!$A$4:$A$8,0)),"sin_clasificar"))</f>
        <v/>
      </c>
      <c r="V331" s="5">
        <f>IF($I331="","",IF(IFERROR(INDEX('CAT_TIPOS_OT'!$D$4:$D$8,MATCH($I331,'CAT_TIPOS_OT'!$A$4:$A$8,0)),"SIN CLASIFICAR")="","SIN CLASIFICAR",IFERROR(INDEX('CAT_TIPOS_OT'!$D$4:$D$8,MATCH($I331,'CAT_TIPOS_OT'!$A$4:$A$8,0)),"SIN CLASIFICAR")))</f>
        <v/>
      </c>
      <c r="W331" s="5">
        <f>IF($F331="","",IFERROR(INDEX('CAT_CENTROS_COSTO'!$F$4:$F$13,MATCH($F331,'CAT_CENTROS_COSTO'!$A$4:$A$13,0)),"(sin catálogo)"))</f>
        <v/>
      </c>
      <c r="X331" s="5">
        <f>IF($F331="","",IFERROR(INDEX('CAT_CENTROS_COSTO'!$D$4:$D$13,MATCH($F331,'CAT_CENTROS_COSTO'!$A$4:$A$13,0)),"(sin catálogo)"))</f>
        <v/>
      </c>
      <c r="Y331" s="5">
        <f>IF($F331="","",IF((IFERROR(INDEX('CAT_CENTROS_COSTO'!$E$4:$E$13,MATCH($F331,'CAT_CENTROS_COSTO'!$A$4:$A$13,0)),""))&lt;&gt;"",IFERROR(INDEX('CAT_CENTROS_COSTO'!$E$4:$E$13,MATCH($F331,'CAT_CENTROS_COSTO'!$A$4:$A$13,0)),""),$X331))</f>
        <v/>
      </c>
      <c r="Z331" s="5">
        <f>IF($F331="","",IFERROR(INDEX('CAT_CENTROS_COSTO'!$G$4:$G$13,MATCH($F331,'CAT_CENTROS_COSTO'!$A$4:$A$13,0)),"(sin catálogo)"))</f>
        <v/>
      </c>
      <c r="AA331" s="5">
        <f>IF($G331="","",IFERROR(INDEX('CAT_PUESTOS'!$B$4:$B$8,MATCH($G331,'CAT_PUESTOS'!$A$4:$A$8,0)),"(sin catálogo)"))</f>
        <v/>
      </c>
      <c r="AB331" s="5">
        <f>IF($H331="","",IFERROR(INDEX('CAT_ACTIVIDADES'!$B$4:$B$11,MATCH($H331,'CAT_ACTIVIDADES'!$A$4:$A$11,0)),"(sin catálogo)"))</f>
        <v/>
      </c>
      <c r="AC331" s="20">
        <f>IF($J331="","",TODAY()-$J331)</f>
        <v/>
      </c>
      <c r="AD331" s="20">
        <f>IF($J331="","",IF($J331&lt;=TODAY(),COUNTIFS(cal_fechas,"&gt;="&amp;$J331,cal_fechas,"&lt;"&amp;TODAY(),cal_habil,"sí"),-COUNTIFS(cal_fechas,"&gt;="&amp;TODAY(),cal_fechas,"&lt;"&amp;$J331,cal_habil,"sí")))</f>
        <v/>
      </c>
      <c r="AE331" s="5">
        <f>IF($AD331="","",IF($AD331&lt;0,"FUTURO",IF($AD331&gt;p_dias_backlog_max,"BACKLOG","MES CORRIENTE")))</f>
        <v/>
      </c>
      <c r="AF331" s="5">
        <f>IF($AD331="",FALSE,AND($AD331&gt;p_dias_backlog_min,$AD331&lt;=p_dias_backlog_max))</f>
        <v/>
      </c>
      <c r="AG331" s="4" t="n"/>
      <c r="AH331" s="5">
        <f>IF($AG331="","",IF((IFERROR(INDEX('ASIGNACIONES'!$J$4:$J$451,MATCH($O331&amp;"|"&amp;$S331&amp;"|"&amp;$AG331,'ASIGNACIONES'!$N$4:$N$451,0)),""))=0,"",IFERROR(INDEX('ASIGNACIONES'!$J$4:$J$451,MATCH($O331&amp;"|"&amp;$S331&amp;"|"&amp;$AG331,'ASIGNACIONES'!$N$4:$N$451,0)),"")))</f>
        <v/>
      </c>
      <c r="AI331" s="25">
        <f>IF($AG331="","",SUMIFS('ORDENES'!$M$4:$M$1203,'ORDENES'!$AG$4:$AG$1203,$AG331,'ORDENES'!$O$4:$O$1203,$O331,'ORDENES'!$S$4:$S$1203,$S331))</f>
        <v/>
      </c>
      <c r="AJ331" s="25">
        <f>IF($AI331="","",p_factor_productividad*IFERROR(INDEX('ASIGNACIONES'!$M$4:$M$451,MATCH($O331&amp;"|"&amp;$S331&amp;"|"&amp;$AG331,'ASIGNACIONES'!$N$4:$N$451,0)),0)-$AI331)</f>
        <v/>
      </c>
      <c r="AK331" s="18">
        <f>IF($A331="","",IFERROR(INDEX('2_IMPORTAR_EJECUCION'!$F$9:$F$1208,MATCH($AT331,'2_IMPORTAR_EJECUCION'!$J$9:$J$1208,0)),0))</f>
        <v/>
      </c>
      <c r="AL331" s="18">
        <f>IF($A331="","",MAX(0,IFERROR(INDEX('2_IMPORTAR_EJECUCION'!$H$9:$H$1208,MATCH($AT331,'2_IMPORTAR_EJECUCION'!$J$9:$J$1208,0)),0)-$AK331))</f>
        <v/>
      </c>
      <c r="AM331" s="18">
        <f>IF($A331="","",$AK331+$AL331)</f>
        <v/>
      </c>
      <c r="AN331" s="5">
        <f>IF($A331="","",IF(OR((IFERROR(INDEX('CAT_ACTIVIDADES'!$D$4:$D$11,MATCH($H331,'CAT_ACTIVIDADES'!$A$4:$A$11,0)),""))=0,(IFERROR(INDEX('CAT_ACTIVIDADES'!$D$4:$D$11,MATCH($H331,'CAT_ACTIVIDADES'!$A$4:$A$11,0)),""))=""),"SIN CLASIFICAR",IFERROR(INDEX('CAT_ACTIVIDADES'!$D$4:$D$11,MATCH($H331,'CAT_ACTIVIDADES'!$A$4:$A$11,0)),"")))</f>
        <v/>
      </c>
      <c r="AO331" s="4" t="n"/>
      <c r="AP331" s="4" t="n"/>
      <c r="AQ331" s="4" t="n"/>
      <c r="AR331" s="5">
        <f>IF($AQ331="","",HYPERLINK(p_ruta_base_checklists&amp;$AQ331,"abrir"))</f>
        <v/>
      </c>
      <c r="AS331" s="4" t="n"/>
      <c r="AT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2" t="n"/>
      <c r="K332" s="5" t="n"/>
      <c r="L332" s="18" t="n"/>
      <c r="M332" s="5">
        <f>IF($A332="","",IFERROR(INDEX('AJUSTES'!$B$4:$B$303,MATCH($AT332,'AJUSTES'!$A$4:$A$303,0)),IF($K332="","",$K332)))</f>
        <v/>
      </c>
      <c r="N332" s="5">
        <f>IF($A332="","",IFERROR(INDEX('CAT_ESTADOS_ERP'!$B$4:$B$7,MATCH(IFERROR(INDEX('2_IMPORTAR_EJECUCION'!$C$9:$C$1208,MATCH($AT332,'2_IMPORTAR_EJECUCION'!$J$9:$J$1208,0)),""),'CAT_ESTADOS_ERP'!$A$4:$A$7,0)),"Pendiente"))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IF($J332="","",$P332&amp;"-"&amp;TEXT($Q332,"00"))</f>
        <v/>
      </c>
      <c r="S332" s="5">
        <f>IF($J332="","",INDEX(lista_dias,WEEKDAY($J332,2)))</f>
        <v/>
      </c>
      <c r="T332" s="5">
        <f>IF($J332="","",IFERROR(INDEX('CALENDARIO'!$C$15:$C$214,MATCH(TEXT($J332,"yyyy-mm-dd")&amp;"|"&amp;$X332&amp;"|"&amp;$Y332,'CALENDARIO'!$G$15:$G$214,0)),IFERROR(INDEX('CALENDARIO'!$C$15:$C$214,MATCH(TEXT($J332,"yyyy-mm-dd")&amp;"|"&amp;$X332&amp;"|",'CALENDARIO'!$G$15:$G$214,0)),IFERROR(INDEX('CALENDARIO'!$C$15:$C$214,MATCH(TEXT($J332,"yyyy-mm-dd")&amp;"||",'CALENDARIO'!$G$15:$G$214,0)),INDEX(patronHabil,WEEKDAY($J332,2))))))</f>
        <v/>
      </c>
      <c r="U332" s="5">
        <f>IF($I332="","",IFERROR(INDEX('CAT_TIPOS_OT'!$C$4:$C$8,MATCH($I332,'CAT_TIPOS_OT'!$A$4:$A$8,0)),"sin_clasificar"))</f>
        <v/>
      </c>
      <c r="V332" s="5">
        <f>IF($I332="","",IF(IFERROR(INDEX('CAT_TIPOS_OT'!$D$4:$D$8,MATCH($I332,'CAT_TIPOS_OT'!$A$4:$A$8,0)),"SIN CLASIFICAR")="","SIN CLASIFICAR",IFERROR(INDEX('CAT_TIPOS_OT'!$D$4:$D$8,MATCH($I332,'CAT_TIPOS_OT'!$A$4:$A$8,0)),"SIN CLASIFICAR")))</f>
        <v/>
      </c>
      <c r="W332" s="5">
        <f>IF($F332="","",IFERROR(INDEX('CAT_CENTROS_COSTO'!$F$4:$F$13,MATCH($F332,'CAT_CENTROS_COSTO'!$A$4:$A$13,0)),"(sin catálogo)"))</f>
        <v/>
      </c>
      <c r="X332" s="5">
        <f>IF($F332="","",IFERROR(INDEX('CAT_CENTROS_COSTO'!$D$4:$D$13,MATCH($F332,'CAT_CENTROS_COSTO'!$A$4:$A$13,0)),"(sin catálogo)"))</f>
        <v/>
      </c>
      <c r="Y332" s="5">
        <f>IF($F332="","",IF((IFERROR(INDEX('CAT_CENTROS_COSTO'!$E$4:$E$13,MATCH($F332,'CAT_CENTROS_COSTO'!$A$4:$A$13,0)),""))&lt;&gt;"",IFERROR(INDEX('CAT_CENTROS_COSTO'!$E$4:$E$13,MATCH($F332,'CAT_CENTROS_COSTO'!$A$4:$A$13,0)),""),$X332))</f>
        <v/>
      </c>
      <c r="Z332" s="5">
        <f>IF($F332="","",IFERROR(INDEX('CAT_CENTROS_COSTO'!$G$4:$G$13,MATCH($F332,'CAT_CENTROS_COSTO'!$A$4:$A$13,0)),"(sin catálogo)"))</f>
        <v/>
      </c>
      <c r="AA332" s="5">
        <f>IF($G332="","",IFERROR(INDEX('CAT_PUESTOS'!$B$4:$B$8,MATCH($G332,'CAT_PUESTOS'!$A$4:$A$8,0)),"(sin catálogo)"))</f>
        <v/>
      </c>
      <c r="AB332" s="5">
        <f>IF($H332="","",IFERROR(INDEX('CAT_ACTIVIDADES'!$B$4:$B$11,MATCH($H332,'CAT_ACTIVIDADES'!$A$4:$A$11,0)),"(sin catálogo)"))</f>
        <v/>
      </c>
      <c r="AC332" s="20">
        <f>IF($J332="","",TODAY()-$J332)</f>
        <v/>
      </c>
      <c r="AD332" s="20">
        <f>IF($J332="","",IF($J332&lt;=TODAY(),COUNTIFS(cal_fechas,"&gt;="&amp;$J332,cal_fechas,"&lt;"&amp;TODAY(),cal_habil,"sí"),-COUNTIFS(cal_fechas,"&gt;="&amp;TODAY(),cal_fechas,"&lt;"&amp;$J332,cal_habil,"sí")))</f>
        <v/>
      </c>
      <c r="AE332" s="5">
        <f>IF($AD332="","",IF($AD332&lt;0,"FUTURO",IF($AD332&gt;p_dias_backlog_max,"BACKLOG","MES CORRIENTE")))</f>
        <v/>
      </c>
      <c r="AF332" s="5">
        <f>IF($AD332="",FALSE,AND($AD332&gt;p_dias_backlog_min,$AD332&lt;=p_dias_backlog_max))</f>
        <v/>
      </c>
      <c r="AG332" s="4" t="n"/>
      <c r="AH332" s="5">
        <f>IF($AG332="","",IF((IFERROR(INDEX('ASIGNACIONES'!$J$4:$J$451,MATCH($O332&amp;"|"&amp;$S332&amp;"|"&amp;$AG332,'ASIGNACIONES'!$N$4:$N$451,0)),""))=0,"",IFERROR(INDEX('ASIGNACIONES'!$J$4:$J$451,MATCH($O332&amp;"|"&amp;$S332&amp;"|"&amp;$AG332,'ASIGNACIONES'!$N$4:$N$451,0)),"")))</f>
        <v/>
      </c>
      <c r="AI332" s="25">
        <f>IF($AG332="","",SUMIFS('ORDENES'!$M$4:$M$1203,'ORDENES'!$AG$4:$AG$1203,$AG332,'ORDENES'!$O$4:$O$1203,$O332,'ORDENES'!$S$4:$S$1203,$S332))</f>
        <v/>
      </c>
      <c r="AJ332" s="25">
        <f>IF($AI332="","",p_factor_productividad*IFERROR(INDEX('ASIGNACIONES'!$M$4:$M$451,MATCH($O332&amp;"|"&amp;$S332&amp;"|"&amp;$AG332,'ASIGNACIONES'!$N$4:$N$451,0)),0)-$AI332)</f>
        <v/>
      </c>
      <c r="AK332" s="18">
        <f>IF($A332="","",IFERROR(INDEX('2_IMPORTAR_EJECUCION'!$F$9:$F$1208,MATCH($AT332,'2_IMPORTAR_EJECUCION'!$J$9:$J$1208,0)),0))</f>
        <v/>
      </c>
      <c r="AL332" s="18">
        <f>IF($A332="","",MAX(0,IFERROR(INDEX('2_IMPORTAR_EJECUCION'!$H$9:$H$1208,MATCH($AT332,'2_IMPORTAR_EJECUCION'!$J$9:$J$1208,0)),0)-$AK332))</f>
        <v/>
      </c>
      <c r="AM332" s="18">
        <f>IF($A332="","",$AK332+$AL332)</f>
        <v/>
      </c>
      <c r="AN332" s="5">
        <f>IF($A332="","",IF(OR((IFERROR(INDEX('CAT_ACTIVIDADES'!$D$4:$D$11,MATCH($H332,'CAT_ACTIVIDADES'!$A$4:$A$11,0)),""))=0,(IFERROR(INDEX('CAT_ACTIVIDADES'!$D$4:$D$11,MATCH($H332,'CAT_ACTIVIDADES'!$A$4:$A$11,0)),""))=""),"SIN CLASIFICAR",IFERROR(INDEX('CAT_ACTIVIDADES'!$D$4:$D$11,MATCH($H332,'CAT_ACTIVIDADES'!$A$4:$A$11,0)),"")))</f>
        <v/>
      </c>
      <c r="AO332" s="4" t="n"/>
      <c r="AP332" s="4" t="n"/>
      <c r="AQ332" s="4" t="n"/>
      <c r="AR332" s="5">
        <f>IF($AQ332="","",HYPERLINK(p_ruta_base_checklists&amp;$AQ332,"abrir"))</f>
        <v/>
      </c>
      <c r="AS332" s="4" t="n"/>
      <c r="AT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2" t="n"/>
      <c r="K333" s="5" t="n"/>
      <c r="L333" s="18" t="n"/>
      <c r="M333" s="5">
        <f>IF($A333="","",IFERROR(INDEX('AJUSTES'!$B$4:$B$303,MATCH($AT333,'AJUSTES'!$A$4:$A$303,0)),IF($K333="","",$K333)))</f>
        <v/>
      </c>
      <c r="N333" s="5">
        <f>IF($A333="","",IFERROR(INDEX('CAT_ESTADOS_ERP'!$B$4:$B$7,MATCH(IFERROR(INDEX('2_IMPORTAR_EJECUCION'!$C$9:$C$1208,MATCH($AT333,'2_IMPORTAR_EJECUCION'!$J$9:$J$1208,0)),""),'CAT_ESTADOS_ERP'!$A$4:$A$7,0)),"Pendiente"))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IF($J333="","",$P333&amp;"-"&amp;TEXT($Q333,"00"))</f>
        <v/>
      </c>
      <c r="S333" s="5">
        <f>IF($J333="","",INDEX(lista_dias,WEEKDAY($J333,2)))</f>
        <v/>
      </c>
      <c r="T333" s="5">
        <f>IF($J333="","",IFERROR(INDEX('CALENDARIO'!$C$15:$C$214,MATCH(TEXT($J333,"yyyy-mm-dd")&amp;"|"&amp;$X333&amp;"|"&amp;$Y333,'CALENDARIO'!$G$15:$G$214,0)),IFERROR(INDEX('CALENDARIO'!$C$15:$C$214,MATCH(TEXT($J333,"yyyy-mm-dd")&amp;"|"&amp;$X333&amp;"|",'CALENDARIO'!$G$15:$G$214,0)),IFERROR(INDEX('CALENDARIO'!$C$15:$C$214,MATCH(TEXT($J333,"yyyy-mm-dd")&amp;"||",'CALENDARIO'!$G$15:$G$214,0)),INDEX(patronHabil,WEEKDAY($J333,2))))))</f>
        <v/>
      </c>
      <c r="U333" s="5">
        <f>IF($I333="","",IFERROR(INDEX('CAT_TIPOS_OT'!$C$4:$C$8,MATCH($I333,'CAT_TIPOS_OT'!$A$4:$A$8,0)),"sin_clasificar"))</f>
        <v/>
      </c>
      <c r="V333" s="5">
        <f>IF($I333="","",IF(IFERROR(INDEX('CAT_TIPOS_OT'!$D$4:$D$8,MATCH($I333,'CAT_TIPOS_OT'!$A$4:$A$8,0)),"SIN CLASIFICAR")="","SIN CLASIFICAR",IFERROR(INDEX('CAT_TIPOS_OT'!$D$4:$D$8,MATCH($I333,'CAT_TIPOS_OT'!$A$4:$A$8,0)),"SIN CLASIFICAR")))</f>
        <v/>
      </c>
      <c r="W333" s="5">
        <f>IF($F333="","",IFERROR(INDEX('CAT_CENTROS_COSTO'!$F$4:$F$13,MATCH($F333,'CAT_CENTROS_COSTO'!$A$4:$A$13,0)),"(sin catálogo)"))</f>
        <v/>
      </c>
      <c r="X333" s="5">
        <f>IF($F333="","",IFERROR(INDEX('CAT_CENTROS_COSTO'!$D$4:$D$13,MATCH($F333,'CAT_CENTROS_COSTO'!$A$4:$A$13,0)),"(sin catálogo)"))</f>
        <v/>
      </c>
      <c r="Y333" s="5">
        <f>IF($F333="","",IF((IFERROR(INDEX('CAT_CENTROS_COSTO'!$E$4:$E$13,MATCH($F333,'CAT_CENTROS_COSTO'!$A$4:$A$13,0)),""))&lt;&gt;"",IFERROR(INDEX('CAT_CENTROS_COSTO'!$E$4:$E$13,MATCH($F333,'CAT_CENTROS_COSTO'!$A$4:$A$13,0)),""),$X333))</f>
        <v/>
      </c>
      <c r="Z333" s="5">
        <f>IF($F333="","",IFERROR(INDEX('CAT_CENTROS_COSTO'!$G$4:$G$13,MATCH($F333,'CAT_CENTROS_COSTO'!$A$4:$A$13,0)),"(sin catálogo)"))</f>
        <v/>
      </c>
      <c r="AA333" s="5">
        <f>IF($G333="","",IFERROR(INDEX('CAT_PUESTOS'!$B$4:$B$8,MATCH($G333,'CAT_PUESTOS'!$A$4:$A$8,0)),"(sin catálogo)"))</f>
        <v/>
      </c>
      <c r="AB333" s="5">
        <f>IF($H333="","",IFERROR(INDEX('CAT_ACTIVIDADES'!$B$4:$B$11,MATCH($H333,'CAT_ACTIVIDADES'!$A$4:$A$11,0)),"(sin catálogo)"))</f>
        <v/>
      </c>
      <c r="AC333" s="20">
        <f>IF($J333="","",TODAY()-$J333)</f>
        <v/>
      </c>
      <c r="AD333" s="20">
        <f>IF($J333="","",IF($J333&lt;=TODAY(),COUNTIFS(cal_fechas,"&gt;="&amp;$J333,cal_fechas,"&lt;"&amp;TODAY(),cal_habil,"sí"),-COUNTIFS(cal_fechas,"&gt;="&amp;TODAY(),cal_fechas,"&lt;"&amp;$J333,cal_habil,"sí")))</f>
        <v/>
      </c>
      <c r="AE333" s="5">
        <f>IF($AD333="","",IF($AD333&lt;0,"FUTURO",IF($AD333&gt;p_dias_backlog_max,"BACKLOG","MES CORRIENTE")))</f>
        <v/>
      </c>
      <c r="AF333" s="5">
        <f>IF($AD333="",FALSE,AND($AD333&gt;p_dias_backlog_min,$AD333&lt;=p_dias_backlog_max))</f>
        <v/>
      </c>
      <c r="AG333" s="4" t="n"/>
      <c r="AH333" s="5">
        <f>IF($AG333="","",IF((IFERROR(INDEX('ASIGNACIONES'!$J$4:$J$451,MATCH($O333&amp;"|"&amp;$S333&amp;"|"&amp;$AG333,'ASIGNACIONES'!$N$4:$N$451,0)),""))=0,"",IFERROR(INDEX('ASIGNACIONES'!$J$4:$J$451,MATCH($O333&amp;"|"&amp;$S333&amp;"|"&amp;$AG333,'ASIGNACIONES'!$N$4:$N$451,0)),"")))</f>
        <v/>
      </c>
      <c r="AI333" s="25">
        <f>IF($AG333="","",SUMIFS('ORDENES'!$M$4:$M$1203,'ORDENES'!$AG$4:$AG$1203,$AG333,'ORDENES'!$O$4:$O$1203,$O333,'ORDENES'!$S$4:$S$1203,$S333))</f>
        <v/>
      </c>
      <c r="AJ333" s="25">
        <f>IF($AI333="","",p_factor_productividad*IFERROR(INDEX('ASIGNACIONES'!$M$4:$M$451,MATCH($O333&amp;"|"&amp;$S333&amp;"|"&amp;$AG333,'ASIGNACIONES'!$N$4:$N$451,0)),0)-$AI333)</f>
        <v/>
      </c>
      <c r="AK333" s="18">
        <f>IF($A333="","",IFERROR(INDEX('2_IMPORTAR_EJECUCION'!$F$9:$F$1208,MATCH($AT333,'2_IMPORTAR_EJECUCION'!$J$9:$J$1208,0)),0))</f>
        <v/>
      </c>
      <c r="AL333" s="18">
        <f>IF($A333="","",MAX(0,IFERROR(INDEX('2_IMPORTAR_EJECUCION'!$H$9:$H$1208,MATCH($AT333,'2_IMPORTAR_EJECUCION'!$J$9:$J$1208,0)),0)-$AK333))</f>
        <v/>
      </c>
      <c r="AM333" s="18">
        <f>IF($A333="","",$AK333+$AL333)</f>
        <v/>
      </c>
      <c r="AN333" s="5">
        <f>IF($A333="","",IF(OR((IFERROR(INDEX('CAT_ACTIVIDADES'!$D$4:$D$11,MATCH($H333,'CAT_ACTIVIDADES'!$A$4:$A$11,0)),""))=0,(IFERROR(INDEX('CAT_ACTIVIDADES'!$D$4:$D$11,MATCH($H333,'CAT_ACTIVIDADES'!$A$4:$A$11,0)),""))=""),"SIN CLASIFICAR",IFERROR(INDEX('CAT_ACTIVIDADES'!$D$4:$D$11,MATCH($H333,'CAT_ACTIVIDADES'!$A$4:$A$11,0)),"")))</f>
        <v/>
      </c>
      <c r="AO333" s="4" t="n"/>
      <c r="AP333" s="4" t="n"/>
      <c r="AQ333" s="4" t="n"/>
      <c r="AR333" s="5">
        <f>IF($AQ333="","",HYPERLINK(p_ruta_base_checklists&amp;$AQ333,"abrir"))</f>
        <v/>
      </c>
      <c r="AS333" s="4" t="n"/>
      <c r="AT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2" t="n"/>
      <c r="K334" s="5" t="n"/>
      <c r="L334" s="18" t="n"/>
      <c r="M334" s="5">
        <f>IF($A334="","",IFERROR(INDEX('AJUSTES'!$B$4:$B$303,MATCH($AT334,'AJUSTES'!$A$4:$A$303,0)),IF($K334="","",$K334)))</f>
        <v/>
      </c>
      <c r="N334" s="5">
        <f>IF($A334="","",IFERROR(INDEX('CAT_ESTADOS_ERP'!$B$4:$B$7,MATCH(IFERROR(INDEX('2_IMPORTAR_EJECUCION'!$C$9:$C$1208,MATCH($AT334,'2_IMPORTAR_EJECUCION'!$J$9:$J$1208,0)),""),'CAT_ESTADOS_ERP'!$A$4:$A$7,0)),"Pendiente"))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IF($J334="","",$P334&amp;"-"&amp;TEXT($Q334,"00"))</f>
        <v/>
      </c>
      <c r="S334" s="5">
        <f>IF($J334="","",INDEX(lista_dias,WEEKDAY($J334,2)))</f>
        <v/>
      </c>
      <c r="T334" s="5">
        <f>IF($J334="","",IFERROR(INDEX('CALENDARIO'!$C$15:$C$214,MATCH(TEXT($J334,"yyyy-mm-dd")&amp;"|"&amp;$X334&amp;"|"&amp;$Y334,'CALENDARIO'!$G$15:$G$214,0)),IFERROR(INDEX('CALENDARIO'!$C$15:$C$214,MATCH(TEXT($J334,"yyyy-mm-dd")&amp;"|"&amp;$X334&amp;"|",'CALENDARIO'!$G$15:$G$214,0)),IFERROR(INDEX('CALENDARIO'!$C$15:$C$214,MATCH(TEXT($J334,"yyyy-mm-dd")&amp;"||",'CALENDARIO'!$G$15:$G$214,0)),INDEX(patronHabil,WEEKDAY($J334,2))))))</f>
        <v/>
      </c>
      <c r="U334" s="5">
        <f>IF($I334="","",IFERROR(INDEX('CAT_TIPOS_OT'!$C$4:$C$8,MATCH($I334,'CAT_TIPOS_OT'!$A$4:$A$8,0)),"sin_clasificar"))</f>
        <v/>
      </c>
      <c r="V334" s="5">
        <f>IF($I334="","",IF(IFERROR(INDEX('CAT_TIPOS_OT'!$D$4:$D$8,MATCH($I334,'CAT_TIPOS_OT'!$A$4:$A$8,0)),"SIN CLASIFICAR")="","SIN CLASIFICAR",IFERROR(INDEX('CAT_TIPOS_OT'!$D$4:$D$8,MATCH($I334,'CAT_TIPOS_OT'!$A$4:$A$8,0)),"SIN CLASIFICAR")))</f>
        <v/>
      </c>
      <c r="W334" s="5">
        <f>IF($F334="","",IFERROR(INDEX('CAT_CENTROS_COSTO'!$F$4:$F$13,MATCH($F334,'CAT_CENTROS_COSTO'!$A$4:$A$13,0)),"(sin catálogo)"))</f>
        <v/>
      </c>
      <c r="X334" s="5">
        <f>IF($F334="","",IFERROR(INDEX('CAT_CENTROS_COSTO'!$D$4:$D$13,MATCH($F334,'CAT_CENTROS_COSTO'!$A$4:$A$13,0)),"(sin catálogo)"))</f>
        <v/>
      </c>
      <c r="Y334" s="5">
        <f>IF($F334="","",IF((IFERROR(INDEX('CAT_CENTROS_COSTO'!$E$4:$E$13,MATCH($F334,'CAT_CENTROS_COSTO'!$A$4:$A$13,0)),""))&lt;&gt;"",IFERROR(INDEX('CAT_CENTROS_COSTO'!$E$4:$E$13,MATCH($F334,'CAT_CENTROS_COSTO'!$A$4:$A$13,0)),""),$X334))</f>
        <v/>
      </c>
      <c r="Z334" s="5">
        <f>IF($F334="","",IFERROR(INDEX('CAT_CENTROS_COSTO'!$G$4:$G$13,MATCH($F334,'CAT_CENTROS_COSTO'!$A$4:$A$13,0)),"(sin catálogo)"))</f>
        <v/>
      </c>
      <c r="AA334" s="5">
        <f>IF($G334="","",IFERROR(INDEX('CAT_PUESTOS'!$B$4:$B$8,MATCH($G334,'CAT_PUESTOS'!$A$4:$A$8,0)),"(sin catálogo)"))</f>
        <v/>
      </c>
      <c r="AB334" s="5">
        <f>IF($H334="","",IFERROR(INDEX('CAT_ACTIVIDADES'!$B$4:$B$11,MATCH($H334,'CAT_ACTIVIDADES'!$A$4:$A$11,0)),"(sin catálogo)"))</f>
        <v/>
      </c>
      <c r="AC334" s="20">
        <f>IF($J334="","",TODAY()-$J334)</f>
        <v/>
      </c>
      <c r="AD334" s="20">
        <f>IF($J334="","",IF($J334&lt;=TODAY(),COUNTIFS(cal_fechas,"&gt;="&amp;$J334,cal_fechas,"&lt;"&amp;TODAY(),cal_habil,"sí"),-COUNTIFS(cal_fechas,"&gt;="&amp;TODAY(),cal_fechas,"&lt;"&amp;$J334,cal_habil,"sí")))</f>
        <v/>
      </c>
      <c r="AE334" s="5">
        <f>IF($AD334="","",IF($AD334&lt;0,"FUTURO",IF($AD334&gt;p_dias_backlog_max,"BACKLOG","MES CORRIENTE")))</f>
        <v/>
      </c>
      <c r="AF334" s="5">
        <f>IF($AD334="",FALSE,AND($AD334&gt;p_dias_backlog_min,$AD334&lt;=p_dias_backlog_max))</f>
        <v/>
      </c>
      <c r="AG334" s="4" t="n"/>
      <c r="AH334" s="5">
        <f>IF($AG334="","",IF((IFERROR(INDEX('ASIGNACIONES'!$J$4:$J$451,MATCH($O334&amp;"|"&amp;$S334&amp;"|"&amp;$AG334,'ASIGNACIONES'!$N$4:$N$451,0)),""))=0,"",IFERROR(INDEX('ASIGNACIONES'!$J$4:$J$451,MATCH($O334&amp;"|"&amp;$S334&amp;"|"&amp;$AG334,'ASIGNACIONES'!$N$4:$N$451,0)),"")))</f>
        <v/>
      </c>
      <c r="AI334" s="25">
        <f>IF($AG334="","",SUMIFS('ORDENES'!$M$4:$M$1203,'ORDENES'!$AG$4:$AG$1203,$AG334,'ORDENES'!$O$4:$O$1203,$O334,'ORDENES'!$S$4:$S$1203,$S334))</f>
        <v/>
      </c>
      <c r="AJ334" s="25">
        <f>IF($AI334="","",p_factor_productividad*IFERROR(INDEX('ASIGNACIONES'!$M$4:$M$451,MATCH($O334&amp;"|"&amp;$S334&amp;"|"&amp;$AG334,'ASIGNACIONES'!$N$4:$N$451,0)),0)-$AI334)</f>
        <v/>
      </c>
      <c r="AK334" s="18">
        <f>IF($A334="","",IFERROR(INDEX('2_IMPORTAR_EJECUCION'!$F$9:$F$1208,MATCH($AT334,'2_IMPORTAR_EJECUCION'!$J$9:$J$1208,0)),0))</f>
        <v/>
      </c>
      <c r="AL334" s="18">
        <f>IF($A334="","",MAX(0,IFERROR(INDEX('2_IMPORTAR_EJECUCION'!$H$9:$H$1208,MATCH($AT334,'2_IMPORTAR_EJECUCION'!$J$9:$J$1208,0)),0)-$AK334))</f>
        <v/>
      </c>
      <c r="AM334" s="18">
        <f>IF($A334="","",$AK334+$AL334)</f>
        <v/>
      </c>
      <c r="AN334" s="5">
        <f>IF($A334="","",IF(OR((IFERROR(INDEX('CAT_ACTIVIDADES'!$D$4:$D$11,MATCH($H334,'CAT_ACTIVIDADES'!$A$4:$A$11,0)),""))=0,(IFERROR(INDEX('CAT_ACTIVIDADES'!$D$4:$D$11,MATCH($H334,'CAT_ACTIVIDADES'!$A$4:$A$11,0)),""))=""),"SIN CLASIFICAR",IFERROR(INDEX('CAT_ACTIVIDADES'!$D$4:$D$11,MATCH($H334,'CAT_ACTIVIDADES'!$A$4:$A$11,0)),"")))</f>
        <v/>
      </c>
      <c r="AO334" s="4" t="n"/>
      <c r="AP334" s="4" t="n"/>
      <c r="AQ334" s="4" t="n"/>
      <c r="AR334" s="5">
        <f>IF($AQ334="","",HYPERLINK(p_ruta_base_checklists&amp;$AQ334,"abrir"))</f>
        <v/>
      </c>
      <c r="AS334" s="4" t="n"/>
      <c r="AT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2" t="n"/>
      <c r="K335" s="5" t="n"/>
      <c r="L335" s="18" t="n"/>
      <c r="M335" s="5">
        <f>IF($A335="","",IFERROR(INDEX('AJUSTES'!$B$4:$B$303,MATCH($AT335,'AJUSTES'!$A$4:$A$303,0)),IF($K335="","",$K335)))</f>
        <v/>
      </c>
      <c r="N335" s="5">
        <f>IF($A335="","",IFERROR(INDEX('CAT_ESTADOS_ERP'!$B$4:$B$7,MATCH(IFERROR(INDEX('2_IMPORTAR_EJECUCION'!$C$9:$C$1208,MATCH($AT335,'2_IMPORTAR_EJECUCION'!$J$9:$J$1208,0)),""),'CAT_ESTADOS_ERP'!$A$4:$A$7,0)),"Pendiente"))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IF($J335="","",$P335&amp;"-"&amp;TEXT($Q335,"00"))</f>
        <v/>
      </c>
      <c r="S335" s="5">
        <f>IF($J335="","",INDEX(lista_dias,WEEKDAY($J335,2)))</f>
        <v/>
      </c>
      <c r="T335" s="5">
        <f>IF($J335="","",IFERROR(INDEX('CALENDARIO'!$C$15:$C$214,MATCH(TEXT($J335,"yyyy-mm-dd")&amp;"|"&amp;$X335&amp;"|"&amp;$Y335,'CALENDARIO'!$G$15:$G$214,0)),IFERROR(INDEX('CALENDARIO'!$C$15:$C$214,MATCH(TEXT($J335,"yyyy-mm-dd")&amp;"|"&amp;$X335&amp;"|",'CALENDARIO'!$G$15:$G$214,0)),IFERROR(INDEX('CALENDARIO'!$C$15:$C$214,MATCH(TEXT($J335,"yyyy-mm-dd")&amp;"||",'CALENDARIO'!$G$15:$G$214,0)),INDEX(patronHabil,WEEKDAY($J335,2))))))</f>
        <v/>
      </c>
      <c r="U335" s="5">
        <f>IF($I335="","",IFERROR(INDEX('CAT_TIPOS_OT'!$C$4:$C$8,MATCH($I335,'CAT_TIPOS_OT'!$A$4:$A$8,0)),"sin_clasificar"))</f>
        <v/>
      </c>
      <c r="V335" s="5">
        <f>IF($I335="","",IF(IFERROR(INDEX('CAT_TIPOS_OT'!$D$4:$D$8,MATCH($I335,'CAT_TIPOS_OT'!$A$4:$A$8,0)),"SIN CLASIFICAR")="","SIN CLASIFICAR",IFERROR(INDEX('CAT_TIPOS_OT'!$D$4:$D$8,MATCH($I335,'CAT_TIPOS_OT'!$A$4:$A$8,0)),"SIN CLASIFICAR")))</f>
        <v/>
      </c>
      <c r="W335" s="5">
        <f>IF($F335="","",IFERROR(INDEX('CAT_CENTROS_COSTO'!$F$4:$F$13,MATCH($F335,'CAT_CENTROS_COSTO'!$A$4:$A$13,0)),"(sin catálogo)"))</f>
        <v/>
      </c>
      <c r="X335" s="5">
        <f>IF($F335="","",IFERROR(INDEX('CAT_CENTROS_COSTO'!$D$4:$D$13,MATCH($F335,'CAT_CENTROS_COSTO'!$A$4:$A$13,0)),"(sin catálogo)"))</f>
        <v/>
      </c>
      <c r="Y335" s="5">
        <f>IF($F335="","",IF((IFERROR(INDEX('CAT_CENTROS_COSTO'!$E$4:$E$13,MATCH($F335,'CAT_CENTROS_COSTO'!$A$4:$A$13,0)),""))&lt;&gt;"",IFERROR(INDEX('CAT_CENTROS_COSTO'!$E$4:$E$13,MATCH($F335,'CAT_CENTROS_COSTO'!$A$4:$A$13,0)),""),$X335))</f>
        <v/>
      </c>
      <c r="Z335" s="5">
        <f>IF($F335="","",IFERROR(INDEX('CAT_CENTROS_COSTO'!$G$4:$G$13,MATCH($F335,'CAT_CENTROS_COSTO'!$A$4:$A$13,0)),"(sin catálogo)"))</f>
        <v/>
      </c>
      <c r="AA335" s="5">
        <f>IF($G335="","",IFERROR(INDEX('CAT_PUESTOS'!$B$4:$B$8,MATCH($G335,'CAT_PUESTOS'!$A$4:$A$8,0)),"(sin catálogo)"))</f>
        <v/>
      </c>
      <c r="AB335" s="5">
        <f>IF($H335="","",IFERROR(INDEX('CAT_ACTIVIDADES'!$B$4:$B$11,MATCH($H335,'CAT_ACTIVIDADES'!$A$4:$A$11,0)),"(sin catálogo)"))</f>
        <v/>
      </c>
      <c r="AC335" s="20">
        <f>IF($J335="","",TODAY()-$J335)</f>
        <v/>
      </c>
      <c r="AD335" s="20">
        <f>IF($J335="","",IF($J335&lt;=TODAY(),COUNTIFS(cal_fechas,"&gt;="&amp;$J335,cal_fechas,"&lt;"&amp;TODAY(),cal_habil,"sí"),-COUNTIFS(cal_fechas,"&gt;="&amp;TODAY(),cal_fechas,"&lt;"&amp;$J335,cal_habil,"sí")))</f>
        <v/>
      </c>
      <c r="AE335" s="5">
        <f>IF($AD335="","",IF($AD335&lt;0,"FUTURO",IF($AD335&gt;p_dias_backlog_max,"BACKLOG","MES CORRIENTE")))</f>
        <v/>
      </c>
      <c r="AF335" s="5">
        <f>IF($AD335="",FALSE,AND($AD335&gt;p_dias_backlog_min,$AD335&lt;=p_dias_backlog_max))</f>
        <v/>
      </c>
      <c r="AG335" s="4" t="n"/>
      <c r="AH335" s="5">
        <f>IF($AG335="","",IF((IFERROR(INDEX('ASIGNACIONES'!$J$4:$J$451,MATCH($O335&amp;"|"&amp;$S335&amp;"|"&amp;$AG335,'ASIGNACIONES'!$N$4:$N$451,0)),""))=0,"",IFERROR(INDEX('ASIGNACIONES'!$J$4:$J$451,MATCH($O335&amp;"|"&amp;$S335&amp;"|"&amp;$AG335,'ASIGNACIONES'!$N$4:$N$451,0)),"")))</f>
        <v/>
      </c>
      <c r="AI335" s="25">
        <f>IF($AG335="","",SUMIFS('ORDENES'!$M$4:$M$1203,'ORDENES'!$AG$4:$AG$1203,$AG335,'ORDENES'!$O$4:$O$1203,$O335,'ORDENES'!$S$4:$S$1203,$S335))</f>
        <v/>
      </c>
      <c r="AJ335" s="25">
        <f>IF($AI335="","",p_factor_productividad*IFERROR(INDEX('ASIGNACIONES'!$M$4:$M$451,MATCH($O335&amp;"|"&amp;$S335&amp;"|"&amp;$AG335,'ASIGNACIONES'!$N$4:$N$451,0)),0)-$AI335)</f>
        <v/>
      </c>
      <c r="AK335" s="18">
        <f>IF($A335="","",IFERROR(INDEX('2_IMPORTAR_EJECUCION'!$F$9:$F$1208,MATCH($AT335,'2_IMPORTAR_EJECUCION'!$J$9:$J$1208,0)),0))</f>
        <v/>
      </c>
      <c r="AL335" s="18">
        <f>IF($A335="","",MAX(0,IFERROR(INDEX('2_IMPORTAR_EJECUCION'!$H$9:$H$1208,MATCH($AT335,'2_IMPORTAR_EJECUCION'!$J$9:$J$1208,0)),0)-$AK335))</f>
        <v/>
      </c>
      <c r="AM335" s="18">
        <f>IF($A335="","",$AK335+$AL335)</f>
        <v/>
      </c>
      <c r="AN335" s="5">
        <f>IF($A335="","",IF(OR((IFERROR(INDEX('CAT_ACTIVIDADES'!$D$4:$D$11,MATCH($H335,'CAT_ACTIVIDADES'!$A$4:$A$11,0)),""))=0,(IFERROR(INDEX('CAT_ACTIVIDADES'!$D$4:$D$11,MATCH($H335,'CAT_ACTIVIDADES'!$A$4:$A$11,0)),""))=""),"SIN CLASIFICAR",IFERROR(INDEX('CAT_ACTIVIDADES'!$D$4:$D$11,MATCH($H335,'CAT_ACTIVIDADES'!$A$4:$A$11,0)),"")))</f>
        <v/>
      </c>
      <c r="AO335" s="4" t="n"/>
      <c r="AP335" s="4" t="n"/>
      <c r="AQ335" s="4" t="n"/>
      <c r="AR335" s="5">
        <f>IF($AQ335="","",HYPERLINK(p_ruta_base_checklists&amp;$AQ335,"abrir"))</f>
        <v/>
      </c>
      <c r="AS335" s="4" t="n"/>
      <c r="AT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2" t="n"/>
      <c r="K336" s="5" t="n"/>
      <c r="L336" s="18" t="n"/>
      <c r="M336" s="5">
        <f>IF($A336="","",IFERROR(INDEX('AJUSTES'!$B$4:$B$303,MATCH($AT336,'AJUSTES'!$A$4:$A$303,0)),IF($K336="","",$K336)))</f>
        <v/>
      </c>
      <c r="N336" s="5">
        <f>IF($A336="","",IFERROR(INDEX('CAT_ESTADOS_ERP'!$B$4:$B$7,MATCH(IFERROR(INDEX('2_IMPORTAR_EJECUCION'!$C$9:$C$1208,MATCH($AT336,'2_IMPORTAR_EJECUCION'!$J$9:$J$1208,0)),""),'CAT_ESTADOS_ERP'!$A$4:$A$7,0)),"Pendiente"))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IF($J336="","",$P336&amp;"-"&amp;TEXT($Q336,"00"))</f>
        <v/>
      </c>
      <c r="S336" s="5">
        <f>IF($J336="","",INDEX(lista_dias,WEEKDAY($J336,2)))</f>
        <v/>
      </c>
      <c r="T336" s="5">
        <f>IF($J336="","",IFERROR(INDEX('CALENDARIO'!$C$15:$C$214,MATCH(TEXT($J336,"yyyy-mm-dd")&amp;"|"&amp;$X336&amp;"|"&amp;$Y336,'CALENDARIO'!$G$15:$G$214,0)),IFERROR(INDEX('CALENDARIO'!$C$15:$C$214,MATCH(TEXT($J336,"yyyy-mm-dd")&amp;"|"&amp;$X336&amp;"|",'CALENDARIO'!$G$15:$G$214,0)),IFERROR(INDEX('CALENDARIO'!$C$15:$C$214,MATCH(TEXT($J336,"yyyy-mm-dd")&amp;"||",'CALENDARIO'!$G$15:$G$214,0)),INDEX(patronHabil,WEEKDAY($J336,2))))))</f>
        <v/>
      </c>
      <c r="U336" s="5">
        <f>IF($I336="","",IFERROR(INDEX('CAT_TIPOS_OT'!$C$4:$C$8,MATCH($I336,'CAT_TIPOS_OT'!$A$4:$A$8,0)),"sin_clasificar"))</f>
        <v/>
      </c>
      <c r="V336" s="5">
        <f>IF($I336="","",IF(IFERROR(INDEX('CAT_TIPOS_OT'!$D$4:$D$8,MATCH($I336,'CAT_TIPOS_OT'!$A$4:$A$8,0)),"SIN CLASIFICAR")="","SIN CLASIFICAR",IFERROR(INDEX('CAT_TIPOS_OT'!$D$4:$D$8,MATCH($I336,'CAT_TIPOS_OT'!$A$4:$A$8,0)),"SIN CLASIFICAR")))</f>
        <v/>
      </c>
      <c r="W336" s="5">
        <f>IF($F336="","",IFERROR(INDEX('CAT_CENTROS_COSTO'!$F$4:$F$13,MATCH($F336,'CAT_CENTROS_COSTO'!$A$4:$A$13,0)),"(sin catálogo)"))</f>
        <v/>
      </c>
      <c r="X336" s="5">
        <f>IF($F336="","",IFERROR(INDEX('CAT_CENTROS_COSTO'!$D$4:$D$13,MATCH($F336,'CAT_CENTROS_COSTO'!$A$4:$A$13,0)),"(sin catálogo)"))</f>
        <v/>
      </c>
      <c r="Y336" s="5">
        <f>IF($F336="","",IF((IFERROR(INDEX('CAT_CENTROS_COSTO'!$E$4:$E$13,MATCH($F336,'CAT_CENTROS_COSTO'!$A$4:$A$13,0)),""))&lt;&gt;"",IFERROR(INDEX('CAT_CENTROS_COSTO'!$E$4:$E$13,MATCH($F336,'CAT_CENTROS_COSTO'!$A$4:$A$13,0)),""),$X336))</f>
        <v/>
      </c>
      <c r="Z336" s="5">
        <f>IF($F336="","",IFERROR(INDEX('CAT_CENTROS_COSTO'!$G$4:$G$13,MATCH($F336,'CAT_CENTROS_COSTO'!$A$4:$A$13,0)),"(sin catálogo)"))</f>
        <v/>
      </c>
      <c r="AA336" s="5">
        <f>IF($G336="","",IFERROR(INDEX('CAT_PUESTOS'!$B$4:$B$8,MATCH($G336,'CAT_PUESTOS'!$A$4:$A$8,0)),"(sin catálogo)"))</f>
        <v/>
      </c>
      <c r="AB336" s="5">
        <f>IF($H336="","",IFERROR(INDEX('CAT_ACTIVIDADES'!$B$4:$B$11,MATCH($H336,'CAT_ACTIVIDADES'!$A$4:$A$11,0)),"(sin catálogo)"))</f>
        <v/>
      </c>
      <c r="AC336" s="20">
        <f>IF($J336="","",TODAY()-$J336)</f>
        <v/>
      </c>
      <c r="AD336" s="20">
        <f>IF($J336="","",IF($J336&lt;=TODAY(),COUNTIFS(cal_fechas,"&gt;="&amp;$J336,cal_fechas,"&lt;"&amp;TODAY(),cal_habil,"sí"),-COUNTIFS(cal_fechas,"&gt;="&amp;TODAY(),cal_fechas,"&lt;"&amp;$J336,cal_habil,"sí")))</f>
        <v/>
      </c>
      <c r="AE336" s="5">
        <f>IF($AD336="","",IF($AD336&lt;0,"FUTURO",IF($AD336&gt;p_dias_backlog_max,"BACKLOG","MES CORRIENTE")))</f>
        <v/>
      </c>
      <c r="AF336" s="5">
        <f>IF($AD336="",FALSE,AND($AD336&gt;p_dias_backlog_min,$AD336&lt;=p_dias_backlog_max))</f>
        <v/>
      </c>
      <c r="AG336" s="4" t="n"/>
      <c r="AH336" s="5">
        <f>IF($AG336="","",IF((IFERROR(INDEX('ASIGNACIONES'!$J$4:$J$451,MATCH($O336&amp;"|"&amp;$S336&amp;"|"&amp;$AG336,'ASIGNACIONES'!$N$4:$N$451,0)),""))=0,"",IFERROR(INDEX('ASIGNACIONES'!$J$4:$J$451,MATCH($O336&amp;"|"&amp;$S336&amp;"|"&amp;$AG336,'ASIGNACIONES'!$N$4:$N$451,0)),"")))</f>
        <v/>
      </c>
      <c r="AI336" s="25">
        <f>IF($AG336="","",SUMIFS('ORDENES'!$M$4:$M$1203,'ORDENES'!$AG$4:$AG$1203,$AG336,'ORDENES'!$O$4:$O$1203,$O336,'ORDENES'!$S$4:$S$1203,$S336))</f>
        <v/>
      </c>
      <c r="AJ336" s="25">
        <f>IF($AI336="","",p_factor_productividad*IFERROR(INDEX('ASIGNACIONES'!$M$4:$M$451,MATCH($O336&amp;"|"&amp;$S336&amp;"|"&amp;$AG336,'ASIGNACIONES'!$N$4:$N$451,0)),0)-$AI336)</f>
        <v/>
      </c>
      <c r="AK336" s="18">
        <f>IF($A336="","",IFERROR(INDEX('2_IMPORTAR_EJECUCION'!$F$9:$F$1208,MATCH($AT336,'2_IMPORTAR_EJECUCION'!$J$9:$J$1208,0)),0))</f>
        <v/>
      </c>
      <c r="AL336" s="18">
        <f>IF($A336="","",MAX(0,IFERROR(INDEX('2_IMPORTAR_EJECUCION'!$H$9:$H$1208,MATCH($AT336,'2_IMPORTAR_EJECUCION'!$J$9:$J$1208,0)),0)-$AK336))</f>
        <v/>
      </c>
      <c r="AM336" s="18">
        <f>IF($A336="","",$AK336+$AL336)</f>
        <v/>
      </c>
      <c r="AN336" s="5">
        <f>IF($A336="","",IF(OR((IFERROR(INDEX('CAT_ACTIVIDADES'!$D$4:$D$11,MATCH($H336,'CAT_ACTIVIDADES'!$A$4:$A$11,0)),""))=0,(IFERROR(INDEX('CAT_ACTIVIDADES'!$D$4:$D$11,MATCH($H336,'CAT_ACTIVIDADES'!$A$4:$A$11,0)),""))=""),"SIN CLASIFICAR",IFERROR(INDEX('CAT_ACTIVIDADES'!$D$4:$D$11,MATCH($H336,'CAT_ACTIVIDADES'!$A$4:$A$11,0)),"")))</f>
        <v/>
      </c>
      <c r="AO336" s="4" t="n"/>
      <c r="AP336" s="4" t="n"/>
      <c r="AQ336" s="4" t="n"/>
      <c r="AR336" s="5">
        <f>IF($AQ336="","",HYPERLINK(p_ruta_base_checklists&amp;$AQ336,"abrir"))</f>
        <v/>
      </c>
      <c r="AS336" s="4" t="n"/>
      <c r="AT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2" t="n"/>
      <c r="K337" s="5" t="n"/>
      <c r="L337" s="18" t="n"/>
      <c r="M337" s="5">
        <f>IF($A337="","",IFERROR(INDEX('AJUSTES'!$B$4:$B$303,MATCH($AT337,'AJUSTES'!$A$4:$A$303,0)),IF($K337="","",$K337)))</f>
        <v/>
      </c>
      <c r="N337" s="5">
        <f>IF($A337="","",IFERROR(INDEX('CAT_ESTADOS_ERP'!$B$4:$B$7,MATCH(IFERROR(INDEX('2_IMPORTAR_EJECUCION'!$C$9:$C$1208,MATCH($AT337,'2_IMPORTAR_EJECUCION'!$J$9:$J$1208,0)),""),'CAT_ESTADOS_ERP'!$A$4:$A$7,0)),"Pendiente"))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IF($J337="","",$P337&amp;"-"&amp;TEXT($Q337,"00"))</f>
        <v/>
      </c>
      <c r="S337" s="5">
        <f>IF($J337="","",INDEX(lista_dias,WEEKDAY($J337,2)))</f>
        <v/>
      </c>
      <c r="T337" s="5">
        <f>IF($J337="","",IFERROR(INDEX('CALENDARIO'!$C$15:$C$214,MATCH(TEXT($J337,"yyyy-mm-dd")&amp;"|"&amp;$X337&amp;"|"&amp;$Y337,'CALENDARIO'!$G$15:$G$214,0)),IFERROR(INDEX('CALENDARIO'!$C$15:$C$214,MATCH(TEXT($J337,"yyyy-mm-dd")&amp;"|"&amp;$X337&amp;"|",'CALENDARIO'!$G$15:$G$214,0)),IFERROR(INDEX('CALENDARIO'!$C$15:$C$214,MATCH(TEXT($J337,"yyyy-mm-dd")&amp;"||",'CALENDARIO'!$G$15:$G$214,0)),INDEX(patronHabil,WEEKDAY($J337,2))))))</f>
        <v/>
      </c>
      <c r="U337" s="5">
        <f>IF($I337="","",IFERROR(INDEX('CAT_TIPOS_OT'!$C$4:$C$8,MATCH($I337,'CAT_TIPOS_OT'!$A$4:$A$8,0)),"sin_clasificar"))</f>
        <v/>
      </c>
      <c r="V337" s="5">
        <f>IF($I337="","",IF(IFERROR(INDEX('CAT_TIPOS_OT'!$D$4:$D$8,MATCH($I337,'CAT_TIPOS_OT'!$A$4:$A$8,0)),"SIN CLASIFICAR")="","SIN CLASIFICAR",IFERROR(INDEX('CAT_TIPOS_OT'!$D$4:$D$8,MATCH($I337,'CAT_TIPOS_OT'!$A$4:$A$8,0)),"SIN CLASIFICAR")))</f>
        <v/>
      </c>
      <c r="W337" s="5">
        <f>IF($F337="","",IFERROR(INDEX('CAT_CENTROS_COSTO'!$F$4:$F$13,MATCH($F337,'CAT_CENTROS_COSTO'!$A$4:$A$13,0)),"(sin catálogo)"))</f>
        <v/>
      </c>
      <c r="X337" s="5">
        <f>IF($F337="","",IFERROR(INDEX('CAT_CENTROS_COSTO'!$D$4:$D$13,MATCH($F337,'CAT_CENTROS_COSTO'!$A$4:$A$13,0)),"(sin catálogo)"))</f>
        <v/>
      </c>
      <c r="Y337" s="5">
        <f>IF($F337="","",IF((IFERROR(INDEX('CAT_CENTROS_COSTO'!$E$4:$E$13,MATCH($F337,'CAT_CENTROS_COSTO'!$A$4:$A$13,0)),""))&lt;&gt;"",IFERROR(INDEX('CAT_CENTROS_COSTO'!$E$4:$E$13,MATCH($F337,'CAT_CENTROS_COSTO'!$A$4:$A$13,0)),""),$X337))</f>
        <v/>
      </c>
      <c r="Z337" s="5">
        <f>IF($F337="","",IFERROR(INDEX('CAT_CENTROS_COSTO'!$G$4:$G$13,MATCH($F337,'CAT_CENTROS_COSTO'!$A$4:$A$13,0)),"(sin catálogo)"))</f>
        <v/>
      </c>
      <c r="AA337" s="5">
        <f>IF($G337="","",IFERROR(INDEX('CAT_PUESTOS'!$B$4:$B$8,MATCH($G337,'CAT_PUESTOS'!$A$4:$A$8,0)),"(sin catálogo)"))</f>
        <v/>
      </c>
      <c r="AB337" s="5">
        <f>IF($H337="","",IFERROR(INDEX('CAT_ACTIVIDADES'!$B$4:$B$11,MATCH($H337,'CAT_ACTIVIDADES'!$A$4:$A$11,0)),"(sin catálogo)"))</f>
        <v/>
      </c>
      <c r="AC337" s="20">
        <f>IF($J337="","",TODAY()-$J337)</f>
        <v/>
      </c>
      <c r="AD337" s="20">
        <f>IF($J337="","",IF($J337&lt;=TODAY(),COUNTIFS(cal_fechas,"&gt;="&amp;$J337,cal_fechas,"&lt;"&amp;TODAY(),cal_habil,"sí"),-COUNTIFS(cal_fechas,"&gt;="&amp;TODAY(),cal_fechas,"&lt;"&amp;$J337,cal_habil,"sí")))</f>
        <v/>
      </c>
      <c r="AE337" s="5">
        <f>IF($AD337="","",IF($AD337&lt;0,"FUTURO",IF($AD337&gt;p_dias_backlog_max,"BACKLOG","MES CORRIENTE")))</f>
        <v/>
      </c>
      <c r="AF337" s="5">
        <f>IF($AD337="",FALSE,AND($AD337&gt;p_dias_backlog_min,$AD337&lt;=p_dias_backlog_max))</f>
        <v/>
      </c>
      <c r="AG337" s="4" t="n"/>
      <c r="AH337" s="5">
        <f>IF($AG337="","",IF((IFERROR(INDEX('ASIGNACIONES'!$J$4:$J$451,MATCH($O337&amp;"|"&amp;$S337&amp;"|"&amp;$AG337,'ASIGNACIONES'!$N$4:$N$451,0)),""))=0,"",IFERROR(INDEX('ASIGNACIONES'!$J$4:$J$451,MATCH($O337&amp;"|"&amp;$S337&amp;"|"&amp;$AG337,'ASIGNACIONES'!$N$4:$N$451,0)),"")))</f>
        <v/>
      </c>
      <c r="AI337" s="25">
        <f>IF($AG337="","",SUMIFS('ORDENES'!$M$4:$M$1203,'ORDENES'!$AG$4:$AG$1203,$AG337,'ORDENES'!$O$4:$O$1203,$O337,'ORDENES'!$S$4:$S$1203,$S337))</f>
        <v/>
      </c>
      <c r="AJ337" s="25">
        <f>IF($AI337="","",p_factor_productividad*IFERROR(INDEX('ASIGNACIONES'!$M$4:$M$451,MATCH($O337&amp;"|"&amp;$S337&amp;"|"&amp;$AG337,'ASIGNACIONES'!$N$4:$N$451,0)),0)-$AI337)</f>
        <v/>
      </c>
      <c r="AK337" s="18">
        <f>IF($A337="","",IFERROR(INDEX('2_IMPORTAR_EJECUCION'!$F$9:$F$1208,MATCH($AT337,'2_IMPORTAR_EJECUCION'!$J$9:$J$1208,0)),0))</f>
        <v/>
      </c>
      <c r="AL337" s="18">
        <f>IF($A337="","",MAX(0,IFERROR(INDEX('2_IMPORTAR_EJECUCION'!$H$9:$H$1208,MATCH($AT337,'2_IMPORTAR_EJECUCION'!$J$9:$J$1208,0)),0)-$AK337))</f>
        <v/>
      </c>
      <c r="AM337" s="18">
        <f>IF($A337="","",$AK337+$AL337)</f>
        <v/>
      </c>
      <c r="AN337" s="5">
        <f>IF($A337="","",IF(OR((IFERROR(INDEX('CAT_ACTIVIDADES'!$D$4:$D$11,MATCH($H337,'CAT_ACTIVIDADES'!$A$4:$A$11,0)),""))=0,(IFERROR(INDEX('CAT_ACTIVIDADES'!$D$4:$D$11,MATCH($H337,'CAT_ACTIVIDADES'!$A$4:$A$11,0)),""))=""),"SIN CLASIFICAR",IFERROR(INDEX('CAT_ACTIVIDADES'!$D$4:$D$11,MATCH($H337,'CAT_ACTIVIDADES'!$A$4:$A$11,0)),"")))</f>
        <v/>
      </c>
      <c r="AO337" s="4" t="n"/>
      <c r="AP337" s="4" t="n"/>
      <c r="AQ337" s="4" t="n"/>
      <c r="AR337" s="5">
        <f>IF($AQ337="","",HYPERLINK(p_ruta_base_checklists&amp;$AQ337,"abrir"))</f>
        <v/>
      </c>
      <c r="AS337" s="4" t="n"/>
      <c r="AT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2" t="n"/>
      <c r="K338" s="5" t="n"/>
      <c r="L338" s="18" t="n"/>
      <c r="M338" s="5">
        <f>IF($A338="","",IFERROR(INDEX('AJUSTES'!$B$4:$B$303,MATCH($AT338,'AJUSTES'!$A$4:$A$303,0)),IF($K338="","",$K338)))</f>
        <v/>
      </c>
      <c r="N338" s="5">
        <f>IF($A338="","",IFERROR(INDEX('CAT_ESTADOS_ERP'!$B$4:$B$7,MATCH(IFERROR(INDEX('2_IMPORTAR_EJECUCION'!$C$9:$C$1208,MATCH($AT338,'2_IMPORTAR_EJECUCION'!$J$9:$J$1208,0)),""),'CAT_ESTADOS_ERP'!$A$4:$A$7,0)),"Pendiente"))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IF($J338="","",$P338&amp;"-"&amp;TEXT($Q338,"00"))</f>
        <v/>
      </c>
      <c r="S338" s="5">
        <f>IF($J338="","",INDEX(lista_dias,WEEKDAY($J338,2)))</f>
        <v/>
      </c>
      <c r="T338" s="5">
        <f>IF($J338="","",IFERROR(INDEX('CALENDARIO'!$C$15:$C$214,MATCH(TEXT($J338,"yyyy-mm-dd")&amp;"|"&amp;$X338&amp;"|"&amp;$Y338,'CALENDARIO'!$G$15:$G$214,0)),IFERROR(INDEX('CALENDARIO'!$C$15:$C$214,MATCH(TEXT($J338,"yyyy-mm-dd")&amp;"|"&amp;$X338&amp;"|",'CALENDARIO'!$G$15:$G$214,0)),IFERROR(INDEX('CALENDARIO'!$C$15:$C$214,MATCH(TEXT($J338,"yyyy-mm-dd")&amp;"||",'CALENDARIO'!$G$15:$G$214,0)),INDEX(patronHabil,WEEKDAY($J338,2))))))</f>
        <v/>
      </c>
      <c r="U338" s="5">
        <f>IF($I338="","",IFERROR(INDEX('CAT_TIPOS_OT'!$C$4:$C$8,MATCH($I338,'CAT_TIPOS_OT'!$A$4:$A$8,0)),"sin_clasificar"))</f>
        <v/>
      </c>
      <c r="V338" s="5">
        <f>IF($I338="","",IF(IFERROR(INDEX('CAT_TIPOS_OT'!$D$4:$D$8,MATCH($I338,'CAT_TIPOS_OT'!$A$4:$A$8,0)),"SIN CLASIFICAR")="","SIN CLASIFICAR",IFERROR(INDEX('CAT_TIPOS_OT'!$D$4:$D$8,MATCH($I338,'CAT_TIPOS_OT'!$A$4:$A$8,0)),"SIN CLASIFICAR")))</f>
        <v/>
      </c>
      <c r="W338" s="5">
        <f>IF($F338="","",IFERROR(INDEX('CAT_CENTROS_COSTO'!$F$4:$F$13,MATCH($F338,'CAT_CENTROS_COSTO'!$A$4:$A$13,0)),"(sin catálogo)"))</f>
        <v/>
      </c>
      <c r="X338" s="5">
        <f>IF($F338="","",IFERROR(INDEX('CAT_CENTROS_COSTO'!$D$4:$D$13,MATCH($F338,'CAT_CENTROS_COSTO'!$A$4:$A$13,0)),"(sin catálogo)"))</f>
        <v/>
      </c>
      <c r="Y338" s="5">
        <f>IF($F338="","",IF((IFERROR(INDEX('CAT_CENTROS_COSTO'!$E$4:$E$13,MATCH($F338,'CAT_CENTROS_COSTO'!$A$4:$A$13,0)),""))&lt;&gt;"",IFERROR(INDEX('CAT_CENTROS_COSTO'!$E$4:$E$13,MATCH($F338,'CAT_CENTROS_COSTO'!$A$4:$A$13,0)),""),$X338))</f>
        <v/>
      </c>
      <c r="Z338" s="5">
        <f>IF($F338="","",IFERROR(INDEX('CAT_CENTROS_COSTO'!$G$4:$G$13,MATCH($F338,'CAT_CENTROS_COSTO'!$A$4:$A$13,0)),"(sin catálogo)"))</f>
        <v/>
      </c>
      <c r="AA338" s="5">
        <f>IF($G338="","",IFERROR(INDEX('CAT_PUESTOS'!$B$4:$B$8,MATCH($G338,'CAT_PUESTOS'!$A$4:$A$8,0)),"(sin catálogo)"))</f>
        <v/>
      </c>
      <c r="AB338" s="5">
        <f>IF($H338="","",IFERROR(INDEX('CAT_ACTIVIDADES'!$B$4:$B$11,MATCH($H338,'CAT_ACTIVIDADES'!$A$4:$A$11,0)),"(sin catálogo)"))</f>
        <v/>
      </c>
      <c r="AC338" s="20">
        <f>IF($J338="","",TODAY()-$J338)</f>
        <v/>
      </c>
      <c r="AD338" s="20">
        <f>IF($J338="","",IF($J338&lt;=TODAY(),COUNTIFS(cal_fechas,"&gt;="&amp;$J338,cal_fechas,"&lt;"&amp;TODAY(),cal_habil,"sí"),-COUNTIFS(cal_fechas,"&gt;="&amp;TODAY(),cal_fechas,"&lt;"&amp;$J338,cal_habil,"sí")))</f>
        <v/>
      </c>
      <c r="AE338" s="5">
        <f>IF($AD338="","",IF($AD338&lt;0,"FUTURO",IF($AD338&gt;p_dias_backlog_max,"BACKLOG","MES CORRIENTE")))</f>
        <v/>
      </c>
      <c r="AF338" s="5">
        <f>IF($AD338="",FALSE,AND($AD338&gt;p_dias_backlog_min,$AD338&lt;=p_dias_backlog_max))</f>
        <v/>
      </c>
      <c r="AG338" s="4" t="n"/>
      <c r="AH338" s="5">
        <f>IF($AG338="","",IF((IFERROR(INDEX('ASIGNACIONES'!$J$4:$J$451,MATCH($O338&amp;"|"&amp;$S338&amp;"|"&amp;$AG338,'ASIGNACIONES'!$N$4:$N$451,0)),""))=0,"",IFERROR(INDEX('ASIGNACIONES'!$J$4:$J$451,MATCH($O338&amp;"|"&amp;$S338&amp;"|"&amp;$AG338,'ASIGNACIONES'!$N$4:$N$451,0)),"")))</f>
        <v/>
      </c>
      <c r="AI338" s="25">
        <f>IF($AG338="","",SUMIFS('ORDENES'!$M$4:$M$1203,'ORDENES'!$AG$4:$AG$1203,$AG338,'ORDENES'!$O$4:$O$1203,$O338,'ORDENES'!$S$4:$S$1203,$S338))</f>
        <v/>
      </c>
      <c r="AJ338" s="25">
        <f>IF($AI338="","",p_factor_productividad*IFERROR(INDEX('ASIGNACIONES'!$M$4:$M$451,MATCH($O338&amp;"|"&amp;$S338&amp;"|"&amp;$AG338,'ASIGNACIONES'!$N$4:$N$451,0)),0)-$AI338)</f>
        <v/>
      </c>
      <c r="AK338" s="18">
        <f>IF($A338="","",IFERROR(INDEX('2_IMPORTAR_EJECUCION'!$F$9:$F$1208,MATCH($AT338,'2_IMPORTAR_EJECUCION'!$J$9:$J$1208,0)),0))</f>
        <v/>
      </c>
      <c r="AL338" s="18">
        <f>IF($A338="","",MAX(0,IFERROR(INDEX('2_IMPORTAR_EJECUCION'!$H$9:$H$1208,MATCH($AT338,'2_IMPORTAR_EJECUCION'!$J$9:$J$1208,0)),0)-$AK338))</f>
        <v/>
      </c>
      <c r="AM338" s="18">
        <f>IF($A338="","",$AK338+$AL338)</f>
        <v/>
      </c>
      <c r="AN338" s="5">
        <f>IF($A338="","",IF(OR((IFERROR(INDEX('CAT_ACTIVIDADES'!$D$4:$D$11,MATCH($H338,'CAT_ACTIVIDADES'!$A$4:$A$11,0)),""))=0,(IFERROR(INDEX('CAT_ACTIVIDADES'!$D$4:$D$11,MATCH($H338,'CAT_ACTIVIDADES'!$A$4:$A$11,0)),""))=""),"SIN CLASIFICAR",IFERROR(INDEX('CAT_ACTIVIDADES'!$D$4:$D$11,MATCH($H338,'CAT_ACTIVIDADES'!$A$4:$A$11,0)),"")))</f>
        <v/>
      </c>
      <c r="AO338" s="4" t="n"/>
      <c r="AP338" s="4" t="n"/>
      <c r="AQ338" s="4" t="n"/>
      <c r="AR338" s="5">
        <f>IF($AQ338="","",HYPERLINK(p_ruta_base_checklists&amp;$AQ338,"abrir"))</f>
        <v/>
      </c>
      <c r="AS338" s="4" t="n"/>
      <c r="AT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2" t="n"/>
      <c r="K339" s="5" t="n"/>
      <c r="L339" s="18" t="n"/>
      <c r="M339" s="5">
        <f>IF($A339="","",IFERROR(INDEX('AJUSTES'!$B$4:$B$303,MATCH($AT339,'AJUSTES'!$A$4:$A$303,0)),IF($K339="","",$K339)))</f>
        <v/>
      </c>
      <c r="N339" s="5">
        <f>IF($A339="","",IFERROR(INDEX('CAT_ESTADOS_ERP'!$B$4:$B$7,MATCH(IFERROR(INDEX('2_IMPORTAR_EJECUCION'!$C$9:$C$1208,MATCH($AT339,'2_IMPORTAR_EJECUCION'!$J$9:$J$1208,0)),""),'CAT_ESTADOS_ERP'!$A$4:$A$7,0)),"Pendiente"))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IF($J339="","",$P339&amp;"-"&amp;TEXT($Q339,"00"))</f>
        <v/>
      </c>
      <c r="S339" s="5">
        <f>IF($J339="","",INDEX(lista_dias,WEEKDAY($J339,2)))</f>
        <v/>
      </c>
      <c r="T339" s="5">
        <f>IF($J339="","",IFERROR(INDEX('CALENDARIO'!$C$15:$C$214,MATCH(TEXT($J339,"yyyy-mm-dd")&amp;"|"&amp;$X339&amp;"|"&amp;$Y339,'CALENDARIO'!$G$15:$G$214,0)),IFERROR(INDEX('CALENDARIO'!$C$15:$C$214,MATCH(TEXT($J339,"yyyy-mm-dd")&amp;"|"&amp;$X339&amp;"|",'CALENDARIO'!$G$15:$G$214,0)),IFERROR(INDEX('CALENDARIO'!$C$15:$C$214,MATCH(TEXT($J339,"yyyy-mm-dd")&amp;"||",'CALENDARIO'!$G$15:$G$214,0)),INDEX(patronHabil,WEEKDAY($J339,2))))))</f>
        <v/>
      </c>
      <c r="U339" s="5">
        <f>IF($I339="","",IFERROR(INDEX('CAT_TIPOS_OT'!$C$4:$C$8,MATCH($I339,'CAT_TIPOS_OT'!$A$4:$A$8,0)),"sin_clasificar"))</f>
        <v/>
      </c>
      <c r="V339" s="5">
        <f>IF($I339="","",IF(IFERROR(INDEX('CAT_TIPOS_OT'!$D$4:$D$8,MATCH($I339,'CAT_TIPOS_OT'!$A$4:$A$8,0)),"SIN CLASIFICAR")="","SIN CLASIFICAR",IFERROR(INDEX('CAT_TIPOS_OT'!$D$4:$D$8,MATCH($I339,'CAT_TIPOS_OT'!$A$4:$A$8,0)),"SIN CLASIFICAR")))</f>
        <v/>
      </c>
      <c r="W339" s="5">
        <f>IF($F339="","",IFERROR(INDEX('CAT_CENTROS_COSTO'!$F$4:$F$13,MATCH($F339,'CAT_CENTROS_COSTO'!$A$4:$A$13,0)),"(sin catálogo)"))</f>
        <v/>
      </c>
      <c r="X339" s="5">
        <f>IF($F339="","",IFERROR(INDEX('CAT_CENTROS_COSTO'!$D$4:$D$13,MATCH($F339,'CAT_CENTROS_COSTO'!$A$4:$A$13,0)),"(sin catálogo)"))</f>
        <v/>
      </c>
      <c r="Y339" s="5">
        <f>IF($F339="","",IF((IFERROR(INDEX('CAT_CENTROS_COSTO'!$E$4:$E$13,MATCH($F339,'CAT_CENTROS_COSTO'!$A$4:$A$13,0)),""))&lt;&gt;"",IFERROR(INDEX('CAT_CENTROS_COSTO'!$E$4:$E$13,MATCH($F339,'CAT_CENTROS_COSTO'!$A$4:$A$13,0)),""),$X339))</f>
        <v/>
      </c>
      <c r="Z339" s="5">
        <f>IF($F339="","",IFERROR(INDEX('CAT_CENTROS_COSTO'!$G$4:$G$13,MATCH($F339,'CAT_CENTROS_COSTO'!$A$4:$A$13,0)),"(sin catálogo)"))</f>
        <v/>
      </c>
      <c r="AA339" s="5">
        <f>IF($G339="","",IFERROR(INDEX('CAT_PUESTOS'!$B$4:$B$8,MATCH($G339,'CAT_PUESTOS'!$A$4:$A$8,0)),"(sin catálogo)"))</f>
        <v/>
      </c>
      <c r="AB339" s="5">
        <f>IF($H339="","",IFERROR(INDEX('CAT_ACTIVIDADES'!$B$4:$B$11,MATCH($H339,'CAT_ACTIVIDADES'!$A$4:$A$11,0)),"(sin catálogo)"))</f>
        <v/>
      </c>
      <c r="AC339" s="20">
        <f>IF($J339="","",TODAY()-$J339)</f>
        <v/>
      </c>
      <c r="AD339" s="20">
        <f>IF($J339="","",IF($J339&lt;=TODAY(),COUNTIFS(cal_fechas,"&gt;="&amp;$J339,cal_fechas,"&lt;"&amp;TODAY(),cal_habil,"sí"),-COUNTIFS(cal_fechas,"&gt;="&amp;TODAY(),cal_fechas,"&lt;"&amp;$J339,cal_habil,"sí")))</f>
        <v/>
      </c>
      <c r="AE339" s="5">
        <f>IF($AD339="","",IF($AD339&lt;0,"FUTURO",IF($AD339&gt;p_dias_backlog_max,"BACKLOG","MES CORRIENTE")))</f>
        <v/>
      </c>
      <c r="AF339" s="5">
        <f>IF($AD339="",FALSE,AND($AD339&gt;p_dias_backlog_min,$AD339&lt;=p_dias_backlog_max))</f>
        <v/>
      </c>
      <c r="AG339" s="4" t="n"/>
      <c r="AH339" s="5">
        <f>IF($AG339="","",IF((IFERROR(INDEX('ASIGNACIONES'!$J$4:$J$451,MATCH($O339&amp;"|"&amp;$S339&amp;"|"&amp;$AG339,'ASIGNACIONES'!$N$4:$N$451,0)),""))=0,"",IFERROR(INDEX('ASIGNACIONES'!$J$4:$J$451,MATCH($O339&amp;"|"&amp;$S339&amp;"|"&amp;$AG339,'ASIGNACIONES'!$N$4:$N$451,0)),"")))</f>
        <v/>
      </c>
      <c r="AI339" s="25">
        <f>IF($AG339="","",SUMIFS('ORDENES'!$M$4:$M$1203,'ORDENES'!$AG$4:$AG$1203,$AG339,'ORDENES'!$O$4:$O$1203,$O339,'ORDENES'!$S$4:$S$1203,$S339))</f>
        <v/>
      </c>
      <c r="AJ339" s="25">
        <f>IF($AI339="","",p_factor_productividad*IFERROR(INDEX('ASIGNACIONES'!$M$4:$M$451,MATCH($O339&amp;"|"&amp;$S339&amp;"|"&amp;$AG339,'ASIGNACIONES'!$N$4:$N$451,0)),0)-$AI339)</f>
        <v/>
      </c>
      <c r="AK339" s="18">
        <f>IF($A339="","",IFERROR(INDEX('2_IMPORTAR_EJECUCION'!$F$9:$F$1208,MATCH($AT339,'2_IMPORTAR_EJECUCION'!$J$9:$J$1208,0)),0))</f>
        <v/>
      </c>
      <c r="AL339" s="18">
        <f>IF($A339="","",MAX(0,IFERROR(INDEX('2_IMPORTAR_EJECUCION'!$H$9:$H$1208,MATCH($AT339,'2_IMPORTAR_EJECUCION'!$J$9:$J$1208,0)),0)-$AK339))</f>
        <v/>
      </c>
      <c r="AM339" s="18">
        <f>IF($A339="","",$AK339+$AL339)</f>
        <v/>
      </c>
      <c r="AN339" s="5">
        <f>IF($A339="","",IF(OR((IFERROR(INDEX('CAT_ACTIVIDADES'!$D$4:$D$11,MATCH($H339,'CAT_ACTIVIDADES'!$A$4:$A$11,0)),""))=0,(IFERROR(INDEX('CAT_ACTIVIDADES'!$D$4:$D$11,MATCH($H339,'CAT_ACTIVIDADES'!$A$4:$A$11,0)),""))=""),"SIN CLASIFICAR",IFERROR(INDEX('CAT_ACTIVIDADES'!$D$4:$D$11,MATCH($H339,'CAT_ACTIVIDADES'!$A$4:$A$11,0)),"")))</f>
        <v/>
      </c>
      <c r="AO339" s="4" t="n"/>
      <c r="AP339" s="4" t="n"/>
      <c r="AQ339" s="4" t="n"/>
      <c r="AR339" s="5">
        <f>IF($AQ339="","",HYPERLINK(p_ruta_base_checklists&amp;$AQ339,"abrir"))</f>
        <v/>
      </c>
      <c r="AS339" s="4" t="n"/>
      <c r="AT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2" t="n"/>
      <c r="K340" s="5" t="n"/>
      <c r="L340" s="18" t="n"/>
      <c r="M340" s="5">
        <f>IF($A340="","",IFERROR(INDEX('AJUSTES'!$B$4:$B$303,MATCH($AT340,'AJUSTES'!$A$4:$A$303,0)),IF($K340="","",$K340)))</f>
        <v/>
      </c>
      <c r="N340" s="5">
        <f>IF($A340="","",IFERROR(INDEX('CAT_ESTADOS_ERP'!$B$4:$B$7,MATCH(IFERROR(INDEX('2_IMPORTAR_EJECUCION'!$C$9:$C$1208,MATCH($AT340,'2_IMPORTAR_EJECUCION'!$J$9:$J$1208,0)),""),'CAT_ESTADOS_ERP'!$A$4:$A$7,0)),"Pendiente"))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IF($J340="","",$P340&amp;"-"&amp;TEXT($Q340,"00"))</f>
        <v/>
      </c>
      <c r="S340" s="5">
        <f>IF($J340="","",INDEX(lista_dias,WEEKDAY($J340,2)))</f>
        <v/>
      </c>
      <c r="T340" s="5">
        <f>IF($J340="","",IFERROR(INDEX('CALENDARIO'!$C$15:$C$214,MATCH(TEXT($J340,"yyyy-mm-dd")&amp;"|"&amp;$X340&amp;"|"&amp;$Y340,'CALENDARIO'!$G$15:$G$214,0)),IFERROR(INDEX('CALENDARIO'!$C$15:$C$214,MATCH(TEXT($J340,"yyyy-mm-dd")&amp;"|"&amp;$X340&amp;"|",'CALENDARIO'!$G$15:$G$214,0)),IFERROR(INDEX('CALENDARIO'!$C$15:$C$214,MATCH(TEXT($J340,"yyyy-mm-dd")&amp;"||",'CALENDARIO'!$G$15:$G$214,0)),INDEX(patronHabil,WEEKDAY($J340,2))))))</f>
        <v/>
      </c>
      <c r="U340" s="5">
        <f>IF($I340="","",IFERROR(INDEX('CAT_TIPOS_OT'!$C$4:$C$8,MATCH($I340,'CAT_TIPOS_OT'!$A$4:$A$8,0)),"sin_clasificar"))</f>
        <v/>
      </c>
      <c r="V340" s="5">
        <f>IF($I340="","",IF(IFERROR(INDEX('CAT_TIPOS_OT'!$D$4:$D$8,MATCH($I340,'CAT_TIPOS_OT'!$A$4:$A$8,0)),"SIN CLASIFICAR")="","SIN CLASIFICAR",IFERROR(INDEX('CAT_TIPOS_OT'!$D$4:$D$8,MATCH($I340,'CAT_TIPOS_OT'!$A$4:$A$8,0)),"SIN CLASIFICAR")))</f>
        <v/>
      </c>
      <c r="W340" s="5">
        <f>IF($F340="","",IFERROR(INDEX('CAT_CENTROS_COSTO'!$F$4:$F$13,MATCH($F340,'CAT_CENTROS_COSTO'!$A$4:$A$13,0)),"(sin catálogo)"))</f>
        <v/>
      </c>
      <c r="X340" s="5">
        <f>IF($F340="","",IFERROR(INDEX('CAT_CENTROS_COSTO'!$D$4:$D$13,MATCH($F340,'CAT_CENTROS_COSTO'!$A$4:$A$13,0)),"(sin catálogo)"))</f>
        <v/>
      </c>
      <c r="Y340" s="5">
        <f>IF($F340="","",IF((IFERROR(INDEX('CAT_CENTROS_COSTO'!$E$4:$E$13,MATCH($F340,'CAT_CENTROS_COSTO'!$A$4:$A$13,0)),""))&lt;&gt;"",IFERROR(INDEX('CAT_CENTROS_COSTO'!$E$4:$E$13,MATCH($F340,'CAT_CENTROS_COSTO'!$A$4:$A$13,0)),""),$X340))</f>
        <v/>
      </c>
      <c r="Z340" s="5">
        <f>IF($F340="","",IFERROR(INDEX('CAT_CENTROS_COSTO'!$G$4:$G$13,MATCH($F340,'CAT_CENTROS_COSTO'!$A$4:$A$13,0)),"(sin catálogo)"))</f>
        <v/>
      </c>
      <c r="AA340" s="5">
        <f>IF($G340="","",IFERROR(INDEX('CAT_PUESTOS'!$B$4:$B$8,MATCH($G340,'CAT_PUESTOS'!$A$4:$A$8,0)),"(sin catálogo)"))</f>
        <v/>
      </c>
      <c r="AB340" s="5">
        <f>IF($H340="","",IFERROR(INDEX('CAT_ACTIVIDADES'!$B$4:$B$11,MATCH($H340,'CAT_ACTIVIDADES'!$A$4:$A$11,0)),"(sin catálogo)"))</f>
        <v/>
      </c>
      <c r="AC340" s="20">
        <f>IF($J340="","",TODAY()-$J340)</f>
        <v/>
      </c>
      <c r="AD340" s="20">
        <f>IF($J340="","",IF($J340&lt;=TODAY(),COUNTIFS(cal_fechas,"&gt;="&amp;$J340,cal_fechas,"&lt;"&amp;TODAY(),cal_habil,"sí"),-COUNTIFS(cal_fechas,"&gt;="&amp;TODAY(),cal_fechas,"&lt;"&amp;$J340,cal_habil,"sí")))</f>
        <v/>
      </c>
      <c r="AE340" s="5">
        <f>IF($AD340="","",IF($AD340&lt;0,"FUTURO",IF($AD340&gt;p_dias_backlog_max,"BACKLOG","MES CORRIENTE")))</f>
        <v/>
      </c>
      <c r="AF340" s="5">
        <f>IF($AD340="",FALSE,AND($AD340&gt;p_dias_backlog_min,$AD340&lt;=p_dias_backlog_max))</f>
        <v/>
      </c>
      <c r="AG340" s="4" t="n"/>
      <c r="AH340" s="5">
        <f>IF($AG340="","",IF((IFERROR(INDEX('ASIGNACIONES'!$J$4:$J$451,MATCH($O340&amp;"|"&amp;$S340&amp;"|"&amp;$AG340,'ASIGNACIONES'!$N$4:$N$451,0)),""))=0,"",IFERROR(INDEX('ASIGNACIONES'!$J$4:$J$451,MATCH($O340&amp;"|"&amp;$S340&amp;"|"&amp;$AG340,'ASIGNACIONES'!$N$4:$N$451,0)),"")))</f>
        <v/>
      </c>
      <c r="AI340" s="25">
        <f>IF($AG340="","",SUMIFS('ORDENES'!$M$4:$M$1203,'ORDENES'!$AG$4:$AG$1203,$AG340,'ORDENES'!$O$4:$O$1203,$O340,'ORDENES'!$S$4:$S$1203,$S340))</f>
        <v/>
      </c>
      <c r="AJ340" s="25">
        <f>IF($AI340="","",p_factor_productividad*IFERROR(INDEX('ASIGNACIONES'!$M$4:$M$451,MATCH($O340&amp;"|"&amp;$S340&amp;"|"&amp;$AG340,'ASIGNACIONES'!$N$4:$N$451,0)),0)-$AI340)</f>
        <v/>
      </c>
      <c r="AK340" s="18">
        <f>IF($A340="","",IFERROR(INDEX('2_IMPORTAR_EJECUCION'!$F$9:$F$1208,MATCH($AT340,'2_IMPORTAR_EJECUCION'!$J$9:$J$1208,0)),0))</f>
        <v/>
      </c>
      <c r="AL340" s="18">
        <f>IF($A340="","",MAX(0,IFERROR(INDEX('2_IMPORTAR_EJECUCION'!$H$9:$H$1208,MATCH($AT340,'2_IMPORTAR_EJECUCION'!$J$9:$J$1208,0)),0)-$AK340))</f>
        <v/>
      </c>
      <c r="AM340" s="18">
        <f>IF($A340="","",$AK340+$AL340)</f>
        <v/>
      </c>
      <c r="AN340" s="5">
        <f>IF($A340="","",IF(OR((IFERROR(INDEX('CAT_ACTIVIDADES'!$D$4:$D$11,MATCH($H340,'CAT_ACTIVIDADES'!$A$4:$A$11,0)),""))=0,(IFERROR(INDEX('CAT_ACTIVIDADES'!$D$4:$D$11,MATCH($H340,'CAT_ACTIVIDADES'!$A$4:$A$11,0)),""))=""),"SIN CLASIFICAR",IFERROR(INDEX('CAT_ACTIVIDADES'!$D$4:$D$11,MATCH($H340,'CAT_ACTIVIDADES'!$A$4:$A$11,0)),"")))</f>
        <v/>
      </c>
      <c r="AO340" s="4" t="n"/>
      <c r="AP340" s="4" t="n"/>
      <c r="AQ340" s="4" t="n"/>
      <c r="AR340" s="5">
        <f>IF($AQ340="","",HYPERLINK(p_ruta_base_checklists&amp;$AQ340,"abrir"))</f>
        <v/>
      </c>
      <c r="AS340" s="4" t="n"/>
      <c r="AT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2" t="n"/>
      <c r="K341" s="5" t="n"/>
      <c r="L341" s="18" t="n"/>
      <c r="M341" s="5">
        <f>IF($A341="","",IFERROR(INDEX('AJUSTES'!$B$4:$B$303,MATCH($AT341,'AJUSTES'!$A$4:$A$303,0)),IF($K341="","",$K341)))</f>
        <v/>
      </c>
      <c r="N341" s="5">
        <f>IF($A341="","",IFERROR(INDEX('CAT_ESTADOS_ERP'!$B$4:$B$7,MATCH(IFERROR(INDEX('2_IMPORTAR_EJECUCION'!$C$9:$C$1208,MATCH($AT341,'2_IMPORTAR_EJECUCION'!$J$9:$J$1208,0)),""),'CAT_ESTADOS_ERP'!$A$4:$A$7,0)),"Pendiente"))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IF($J341="","",$P341&amp;"-"&amp;TEXT($Q341,"00"))</f>
        <v/>
      </c>
      <c r="S341" s="5">
        <f>IF($J341="","",INDEX(lista_dias,WEEKDAY($J341,2)))</f>
        <v/>
      </c>
      <c r="T341" s="5">
        <f>IF($J341="","",IFERROR(INDEX('CALENDARIO'!$C$15:$C$214,MATCH(TEXT($J341,"yyyy-mm-dd")&amp;"|"&amp;$X341&amp;"|"&amp;$Y341,'CALENDARIO'!$G$15:$G$214,0)),IFERROR(INDEX('CALENDARIO'!$C$15:$C$214,MATCH(TEXT($J341,"yyyy-mm-dd")&amp;"|"&amp;$X341&amp;"|",'CALENDARIO'!$G$15:$G$214,0)),IFERROR(INDEX('CALENDARIO'!$C$15:$C$214,MATCH(TEXT($J341,"yyyy-mm-dd")&amp;"||",'CALENDARIO'!$G$15:$G$214,0)),INDEX(patronHabil,WEEKDAY($J341,2))))))</f>
        <v/>
      </c>
      <c r="U341" s="5">
        <f>IF($I341="","",IFERROR(INDEX('CAT_TIPOS_OT'!$C$4:$C$8,MATCH($I341,'CAT_TIPOS_OT'!$A$4:$A$8,0)),"sin_clasificar"))</f>
        <v/>
      </c>
      <c r="V341" s="5">
        <f>IF($I341="","",IF(IFERROR(INDEX('CAT_TIPOS_OT'!$D$4:$D$8,MATCH($I341,'CAT_TIPOS_OT'!$A$4:$A$8,0)),"SIN CLASIFICAR")="","SIN CLASIFICAR",IFERROR(INDEX('CAT_TIPOS_OT'!$D$4:$D$8,MATCH($I341,'CAT_TIPOS_OT'!$A$4:$A$8,0)),"SIN CLASIFICAR")))</f>
        <v/>
      </c>
      <c r="W341" s="5">
        <f>IF($F341="","",IFERROR(INDEX('CAT_CENTROS_COSTO'!$F$4:$F$13,MATCH($F341,'CAT_CENTROS_COSTO'!$A$4:$A$13,0)),"(sin catálogo)"))</f>
        <v/>
      </c>
      <c r="X341" s="5">
        <f>IF($F341="","",IFERROR(INDEX('CAT_CENTROS_COSTO'!$D$4:$D$13,MATCH($F341,'CAT_CENTROS_COSTO'!$A$4:$A$13,0)),"(sin catálogo)"))</f>
        <v/>
      </c>
      <c r="Y341" s="5">
        <f>IF($F341="","",IF((IFERROR(INDEX('CAT_CENTROS_COSTO'!$E$4:$E$13,MATCH($F341,'CAT_CENTROS_COSTO'!$A$4:$A$13,0)),""))&lt;&gt;"",IFERROR(INDEX('CAT_CENTROS_COSTO'!$E$4:$E$13,MATCH($F341,'CAT_CENTROS_COSTO'!$A$4:$A$13,0)),""),$X341))</f>
        <v/>
      </c>
      <c r="Z341" s="5">
        <f>IF($F341="","",IFERROR(INDEX('CAT_CENTROS_COSTO'!$G$4:$G$13,MATCH($F341,'CAT_CENTROS_COSTO'!$A$4:$A$13,0)),"(sin catálogo)"))</f>
        <v/>
      </c>
      <c r="AA341" s="5">
        <f>IF($G341="","",IFERROR(INDEX('CAT_PUESTOS'!$B$4:$B$8,MATCH($G341,'CAT_PUESTOS'!$A$4:$A$8,0)),"(sin catálogo)"))</f>
        <v/>
      </c>
      <c r="AB341" s="5">
        <f>IF($H341="","",IFERROR(INDEX('CAT_ACTIVIDADES'!$B$4:$B$11,MATCH($H341,'CAT_ACTIVIDADES'!$A$4:$A$11,0)),"(sin catálogo)"))</f>
        <v/>
      </c>
      <c r="AC341" s="20">
        <f>IF($J341="","",TODAY()-$J341)</f>
        <v/>
      </c>
      <c r="AD341" s="20">
        <f>IF($J341="","",IF($J341&lt;=TODAY(),COUNTIFS(cal_fechas,"&gt;="&amp;$J341,cal_fechas,"&lt;"&amp;TODAY(),cal_habil,"sí"),-COUNTIFS(cal_fechas,"&gt;="&amp;TODAY(),cal_fechas,"&lt;"&amp;$J341,cal_habil,"sí")))</f>
        <v/>
      </c>
      <c r="AE341" s="5">
        <f>IF($AD341="","",IF($AD341&lt;0,"FUTURO",IF($AD341&gt;p_dias_backlog_max,"BACKLOG","MES CORRIENTE")))</f>
        <v/>
      </c>
      <c r="AF341" s="5">
        <f>IF($AD341="",FALSE,AND($AD341&gt;p_dias_backlog_min,$AD341&lt;=p_dias_backlog_max))</f>
        <v/>
      </c>
      <c r="AG341" s="4" t="n"/>
      <c r="AH341" s="5">
        <f>IF($AG341="","",IF((IFERROR(INDEX('ASIGNACIONES'!$J$4:$J$451,MATCH($O341&amp;"|"&amp;$S341&amp;"|"&amp;$AG341,'ASIGNACIONES'!$N$4:$N$451,0)),""))=0,"",IFERROR(INDEX('ASIGNACIONES'!$J$4:$J$451,MATCH($O341&amp;"|"&amp;$S341&amp;"|"&amp;$AG341,'ASIGNACIONES'!$N$4:$N$451,0)),"")))</f>
        <v/>
      </c>
      <c r="AI341" s="25">
        <f>IF($AG341="","",SUMIFS('ORDENES'!$M$4:$M$1203,'ORDENES'!$AG$4:$AG$1203,$AG341,'ORDENES'!$O$4:$O$1203,$O341,'ORDENES'!$S$4:$S$1203,$S341))</f>
        <v/>
      </c>
      <c r="AJ341" s="25">
        <f>IF($AI341="","",p_factor_productividad*IFERROR(INDEX('ASIGNACIONES'!$M$4:$M$451,MATCH($O341&amp;"|"&amp;$S341&amp;"|"&amp;$AG341,'ASIGNACIONES'!$N$4:$N$451,0)),0)-$AI341)</f>
        <v/>
      </c>
      <c r="AK341" s="18">
        <f>IF($A341="","",IFERROR(INDEX('2_IMPORTAR_EJECUCION'!$F$9:$F$1208,MATCH($AT341,'2_IMPORTAR_EJECUCION'!$J$9:$J$1208,0)),0))</f>
        <v/>
      </c>
      <c r="AL341" s="18">
        <f>IF($A341="","",MAX(0,IFERROR(INDEX('2_IMPORTAR_EJECUCION'!$H$9:$H$1208,MATCH($AT341,'2_IMPORTAR_EJECUCION'!$J$9:$J$1208,0)),0)-$AK341))</f>
        <v/>
      </c>
      <c r="AM341" s="18">
        <f>IF($A341="","",$AK341+$AL341)</f>
        <v/>
      </c>
      <c r="AN341" s="5">
        <f>IF($A341="","",IF(OR((IFERROR(INDEX('CAT_ACTIVIDADES'!$D$4:$D$11,MATCH($H341,'CAT_ACTIVIDADES'!$A$4:$A$11,0)),""))=0,(IFERROR(INDEX('CAT_ACTIVIDADES'!$D$4:$D$11,MATCH($H341,'CAT_ACTIVIDADES'!$A$4:$A$11,0)),""))=""),"SIN CLASIFICAR",IFERROR(INDEX('CAT_ACTIVIDADES'!$D$4:$D$11,MATCH($H341,'CAT_ACTIVIDADES'!$A$4:$A$11,0)),"")))</f>
        <v/>
      </c>
      <c r="AO341" s="4" t="n"/>
      <c r="AP341" s="4" t="n"/>
      <c r="AQ341" s="4" t="n"/>
      <c r="AR341" s="5">
        <f>IF($AQ341="","",HYPERLINK(p_ruta_base_checklists&amp;$AQ341,"abrir"))</f>
        <v/>
      </c>
      <c r="AS341" s="4" t="n"/>
      <c r="AT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2" t="n"/>
      <c r="K342" s="5" t="n"/>
      <c r="L342" s="18" t="n"/>
      <c r="M342" s="5">
        <f>IF($A342="","",IFERROR(INDEX('AJUSTES'!$B$4:$B$303,MATCH($AT342,'AJUSTES'!$A$4:$A$303,0)),IF($K342="","",$K342)))</f>
        <v/>
      </c>
      <c r="N342" s="5">
        <f>IF($A342="","",IFERROR(INDEX('CAT_ESTADOS_ERP'!$B$4:$B$7,MATCH(IFERROR(INDEX('2_IMPORTAR_EJECUCION'!$C$9:$C$1208,MATCH($AT342,'2_IMPORTAR_EJECUCION'!$J$9:$J$1208,0)),""),'CAT_ESTADOS_ERP'!$A$4:$A$7,0)),"Pendiente"))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IF($J342="","",$P342&amp;"-"&amp;TEXT($Q342,"00"))</f>
        <v/>
      </c>
      <c r="S342" s="5">
        <f>IF($J342="","",INDEX(lista_dias,WEEKDAY($J342,2)))</f>
        <v/>
      </c>
      <c r="T342" s="5">
        <f>IF($J342="","",IFERROR(INDEX('CALENDARIO'!$C$15:$C$214,MATCH(TEXT($J342,"yyyy-mm-dd")&amp;"|"&amp;$X342&amp;"|"&amp;$Y342,'CALENDARIO'!$G$15:$G$214,0)),IFERROR(INDEX('CALENDARIO'!$C$15:$C$214,MATCH(TEXT($J342,"yyyy-mm-dd")&amp;"|"&amp;$X342&amp;"|",'CALENDARIO'!$G$15:$G$214,0)),IFERROR(INDEX('CALENDARIO'!$C$15:$C$214,MATCH(TEXT($J342,"yyyy-mm-dd")&amp;"||",'CALENDARIO'!$G$15:$G$214,0)),INDEX(patronHabil,WEEKDAY($J342,2))))))</f>
        <v/>
      </c>
      <c r="U342" s="5">
        <f>IF($I342="","",IFERROR(INDEX('CAT_TIPOS_OT'!$C$4:$C$8,MATCH($I342,'CAT_TIPOS_OT'!$A$4:$A$8,0)),"sin_clasificar"))</f>
        <v/>
      </c>
      <c r="V342" s="5">
        <f>IF($I342="","",IF(IFERROR(INDEX('CAT_TIPOS_OT'!$D$4:$D$8,MATCH($I342,'CAT_TIPOS_OT'!$A$4:$A$8,0)),"SIN CLASIFICAR")="","SIN CLASIFICAR",IFERROR(INDEX('CAT_TIPOS_OT'!$D$4:$D$8,MATCH($I342,'CAT_TIPOS_OT'!$A$4:$A$8,0)),"SIN CLASIFICAR")))</f>
        <v/>
      </c>
      <c r="W342" s="5">
        <f>IF($F342="","",IFERROR(INDEX('CAT_CENTROS_COSTO'!$F$4:$F$13,MATCH($F342,'CAT_CENTROS_COSTO'!$A$4:$A$13,0)),"(sin catálogo)"))</f>
        <v/>
      </c>
      <c r="X342" s="5">
        <f>IF($F342="","",IFERROR(INDEX('CAT_CENTROS_COSTO'!$D$4:$D$13,MATCH($F342,'CAT_CENTROS_COSTO'!$A$4:$A$13,0)),"(sin catálogo)"))</f>
        <v/>
      </c>
      <c r="Y342" s="5">
        <f>IF($F342="","",IF((IFERROR(INDEX('CAT_CENTROS_COSTO'!$E$4:$E$13,MATCH($F342,'CAT_CENTROS_COSTO'!$A$4:$A$13,0)),""))&lt;&gt;"",IFERROR(INDEX('CAT_CENTROS_COSTO'!$E$4:$E$13,MATCH($F342,'CAT_CENTROS_COSTO'!$A$4:$A$13,0)),""),$X342))</f>
        <v/>
      </c>
      <c r="Z342" s="5">
        <f>IF($F342="","",IFERROR(INDEX('CAT_CENTROS_COSTO'!$G$4:$G$13,MATCH($F342,'CAT_CENTROS_COSTO'!$A$4:$A$13,0)),"(sin catálogo)"))</f>
        <v/>
      </c>
      <c r="AA342" s="5">
        <f>IF($G342="","",IFERROR(INDEX('CAT_PUESTOS'!$B$4:$B$8,MATCH($G342,'CAT_PUESTOS'!$A$4:$A$8,0)),"(sin catálogo)"))</f>
        <v/>
      </c>
      <c r="AB342" s="5">
        <f>IF($H342="","",IFERROR(INDEX('CAT_ACTIVIDADES'!$B$4:$B$11,MATCH($H342,'CAT_ACTIVIDADES'!$A$4:$A$11,0)),"(sin catálogo)"))</f>
        <v/>
      </c>
      <c r="AC342" s="20">
        <f>IF($J342="","",TODAY()-$J342)</f>
        <v/>
      </c>
      <c r="AD342" s="20">
        <f>IF($J342="","",IF($J342&lt;=TODAY(),COUNTIFS(cal_fechas,"&gt;="&amp;$J342,cal_fechas,"&lt;"&amp;TODAY(),cal_habil,"sí"),-COUNTIFS(cal_fechas,"&gt;="&amp;TODAY(),cal_fechas,"&lt;"&amp;$J342,cal_habil,"sí")))</f>
        <v/>
      </c>
      <c r="AE342" s="5">
        <f>IF($AD342="","",IF($AD342&lt;0,"FUTURO",IF($AD342&gt;p_dias_backlog_max,"BACKLOG","MES CORRIENTE")))</f>
        <v/>
      </c>
      <c r="AF342" s="5">
        <f>IF($AD342="",FALSE,AND($AD342&gt;p_dias_backlog_min,$AD342&lt;=p_dias_backlog_max))</f>
        <v/>
      </c>
      <c r="AG342" s="4" t="n"/>
      <c r="AH342" s="5">
        <f>IF($AG342="","",IF((IFERROR(INDEX('ASIGNACIONES'!$J$4:$J$451,MATCH($O342&amp;"|"&amp;$S342&amp;"|"&amp;$AG342,'ASIGNACIONES'!$N$4:$N$451,0)),""))=0,"",IFERROR(INDEX('ASIGNACIONES'!$J$4:$J$451,MATCH($O342&amp;"|"&amp;$S342&amp;"|"&amp;$AG342,'ASIGNACIONES'!$N$4:$N$451,0)),"")))</f>
        <v/>
      </c>
      <c r="AI342" s="25">
        <f>IF($AG342="","",SUMIFS('ORDENES'!$M$4:$M$1203,'ORDENES'!$AG$4:$AG$1203,$AG342,'ORDENES'!$O$4:$O$1203,$O342,'ORDENES'!$S$4:$S$1203,$S342))</f>
        <v/>
      </c>
      <c r="AJ342" s="25">
        <f>IF($AI342="","",p_factor_productividad*IFERROR(INDEX('ASIGNACIONES'!$M$4:$M$451,MATCH($O342&amp;"|"&amp;$S342&amp;"|"&amp;$AG342,'ASIGNACIONES'!$N$4:$N$451,0)),0)-$AI342)</f>
        <v/>
      </c>
      <c r="AK342" s="18">
        <f>IF($A342="","",IFERROR(INDEX('2_IMPORTAR_EJECUCION'!$F$9:$F$1208,MATCH($AT342,'2_IMPORTAR_EJECUCION'!$J$9:$J$1208,0)),0))</f>
        <v/>
      </c>
      <c r="AL342" s="18">
        <f>IF($A342="","",MAX(0,IFERROR(INDEX('2_IMPORTAR_EJECUCION'!$H$9:$H$1208,MATCH($AT342,'2_IMPORTAR_EJECUCION'!$J$9:$J$1208,0)),0)-$AK342))</f>
        <v/>
      </c>
      <c r="AM342" s="18">
        <f>IF($A342="","",$AK342+$AL342)</f>
        <v/>
      </c>
      <c r="AN342" s="5">
        <f>IF($A342="","",IF(OR((IFERROR(INDEX('CAT_ACTIVIDADES'!$D$4:$D$11,MATCH($H342,'CAT_ACTIVIDADES'!$A$4:$A$11,0)),""))=0,(IFERROR(INDEX('CAT_ACTIVIDADES'!$D$4:$D$11,MATCH($H342,'CAT_ACTIVIDADES'!$A$4:$A$11,0)),""))=""),"SIN CLASIFICAR",IFERROR(INDEX('CAT_ACTIVIDADES'!$D$4:$D$11,MATCH($H342,'CAT_ACTIVIDADES'!$A$4:$A$11,0)),"")))</f>
        <v/>
      </c>
      <c r="AO342" s="4" t="n"/>
      <c r="AP342" s="4" t="n"/>
      <c r="AQ342" s="4" t="n"/>
      <c r="AR342" s="5">
        <f>IF($AQ342="","",HYPERLINK(p_ruta_base_checklists&amp;$AQ342,"abrir"))</f>
        <v/>
      </c>
      <c r="AS342" s="4" t="n"/>
      <c r="AT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2" t="n"/>
      <c r="K343" s="5" t="n"/>
      <c r="L343" s="18" t="n"/>
      <c r="M343" s="5">
        <f>IF($A343="","",IFERROR(INDEX('AJUSTES'!$B$4:$B$303,MATCH($AT343,'AJUSTES'!$A$4:$A$303,0)),IF($K343="","",$K343)))</f>
        <v/>
      </c>
      <c r="N343" s="5">
        <f>IF($A343="","",IFERROR(INDEX('CAT_ESTADOS_ERP'!$B$4:$B$7,MATCH(IFERROR(INDEX('2_IMPORTAR_EJECUCION'!$C$9:$C$1208,MATCH($AT343,'2_IMPORTAR_EJECUCION'!$J$9:$J$1208,0)),""),'CAT_ESTADOS_ERP'!$A$4:$A$7,0)),"Pendiente"))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IF($J343="","",$P343&amp;"-"&amp;TEXT($Q343,"00"))</f>
        <v/>
      </c>
      <c r="S343" s="5">
        <f>IF($J343="","",INDEX(lista_dias,WEEKDAY($J343,2)))</f>
        <v/>
      </c>
      <c r="T343" s="5">
        <f>IF($J343="","",IFERROR(INDEX('CALENDARIO'!$C$15:$C$214,MATCH(TEXT($J343,"yyyy-mm-dd")&amp;"|"&amp;$X343&amp;"|"&amp;$Y343,'CALENDARIO'!$G$15:$G$214,0)),IFERROR(INDEX('CALENDARIO'!$C$15:$C$214,MATCH(TEXT($J343,"yyyy-mm-dd")&amp;"|"&amp;$X343&amp;"|",'CALENDARIO'!$G$15:$G$214,0)),IFERROR(INDEX('CALENDARIO'!$C$15:$C$214,MATCH(TEXT($J343,"yyyy-mm-dd")&amp;"||",'CALENDARIO'!$G$15:$G$214,0)),INDEX(patronHabil,WEEKDAY($J343,2))))))</f>
        <v/>
      </c>
      <c r="U343" s="5">
        <f>IF($I343="","",IFERROR(INDEX('CAT_TIPOS_OT'!$C$4:$C$8,MATCH($I343,'CAT_TIPOS_OT'!$A$4:$A$8,0)),"sin_clasificar"))</f>
        <v/>
      </c>
      <c r="V343" s="5">
        <f>IF($I343="","",IF(IFERROR(INDEX('CAT_TIPOS_OT'!$D$4:$D$8,MATCH($I343,'CAT_TIPOS_OT'!$A$4:$A$8,0)),"SIN CLASIFICAR")="","SIN CLASIFICAR",IFERROR(INDEX('CAT_TIPOS_OT'!$D$4:$D$8,MATCH($I343,'CAT_TIPOS_OT'!$A$4:$A$8,0)),"SIN CLASIFICAR")))</f>
        <v/>
      </c>
      <c r="W343" s="5">
        <f>IF($F343="","",IFERROR(INDEX('CAT_CENTROS_COSTO'!$F$4:$F$13,MATCH($F343,'CAT_CENTROS_COSTO'!$A$4:$A$13,0)),"(sin catálogo)"))</f>
        <v/>
      </c>
      <c r="X343" s="5">
        <f>IF($F343="","",IFERROR(INDEX('CAT_CENTROS_COSTO'!$D$4:$D$13,MATCH($F343,'CAT_CENTROS_COSTO'!$A$4:$A$13,0)),"(sin catálogo)"))</f>
        <v/>
      </c>
      <c r="Y343" s="5">
        <f>IF($F343="","",IF((IFERROR(INDEX('CAT_CENTROS_COSTO'!$E$4:$E$13,MATCH($F343,'CAT_CENTROS_COSTO'!$A$4:$A$13,0)),""))&lt;&gt;"",IFERROR(INDEX('CAT_CENTROS_COSTO'!$E$4:$E$13,MATCH($F343,'CAT_CENTROS_COSTO'!$A$4:$A$13,0)),""),$X343))</f>
        <v/>
      </c>
      <c r="Z343" s="5">
        <f>IF($F343="","",IFERROR(INDEX('CAT_CENTROS_COSTO'!$G$4:$G$13,MATCH($F343,'CAT_CENTROS_COSTO'!$A$4:$A$13,0)),"(sin catálogo)"))</f>
        <v/>
      </c>
      <c r="AA343" s="5">
        <f>IF($G343="","",IFERROR(INDEX('CAT_PUESTOS'!$B$4:$B$8,MATCH($G343,'CAT_PUESTOS'!$A$4:$A$8,0)),"(sin catálogo)"))</f>
        <v/>
      </c>
      <c r="AB343" s="5">
        <f>IF($H343="","",IFERROR(INDEX('CAT_ACTIVIDADES'!$B$4:$B$11,MATCH($H343,'CAT_ACTIVIDADES'!$A$4:$A$11,0)),"(sin catálogo)"))</f>
        <v/>
      </c>
      <c r="AC343" s="20">
        <f>IF($J343="","",TODAY()-$J343)</f>
        <v/>
      </c>
      <c r="AD343" s="20">
        <f>IF($J343="","",IF($J343&lt;=TODAY(),COUNTIFS(cal_fechas,"&gt;="&amp;$J343,cal_fechas,"&lt;"&amp;TODAY(),cal_habil,"sí"),-COUNTIFS(cal_fechas,"&gt;="&amp;TODAY(),cal_fechas,"&lt;"&amp;$J343,cal_habil,"sí")))</f>
        <v/>
      </c>
      <c r="AE343" s="5">
        <f>IF($AD343="","",IF($AD343&lt;0,"FUTURO",IF($AD343&gt;p_dias_backlog_max,"BACKLOG","MES CORRIENTE")))</f>
        <v/>
      </c>
      <c r="AF343" s="5">
        <f>IF($AD343="",FALSE,AND($AD343&gt;p_dias_backlog_min,$AD343&lt;=p_dias_backlog_max))</f>
        <v/>
      </c>
      <c r="AG343" s="4" t="n"/>
      <c r="AH343" s="5">
        <f>IF($AG343="","",IF((IFERROR(INDEX('ASIGNACIONES'!$J$4:$J$451,MATCH($O343&amp;"|"&amp;$S343&amp;"|"&amp;$AG343,'ASIGNACIONES'!$N$4:$N$451,0)),""))=0,"",IFERROR(INDEX('ASIGNACIONES'!$J$4:$J$451,MATCH($O343&amp;"|"&amp;$S343&amp;"|"&amp;$AG343,'ASIGNACIONES'!$N$4:$N$451,0)),"")))</f>
        <v/>
      </c>
      <c r="AI343" s="25">
        <f>IF($AG343="","",SUMIFS('ORDENES'!$M$4:$M$1203,'ORDENES'!$AG$4:$AG$1203,$AG343,'ORDENES'!$O$4:$O$1203,$O343,'ORDENES'!$S$4:$S$1203,$S343))</f>
        <v/>
      </c>
      <c r="AJ343" s="25">
        <f>IF($AI343="","",p_factor_productividad*IFERROR(INDEX('ASIGNACIONES'!$M$4:$M$451,MATCH($O343&amp;"|"&amp;$S343&amp;"|"&amp;$AG343,'ASIGNACIONES'!$N$4:$N$451,0)),0)-$AI343)</f>
        <v/>
      </c>
      <c r="AK343" s="18">
        <f>IF($A343="","",IFERROR(INDEX('2_IMPORTAR_EJECUCION'!$F$9:$F$1208,MATCH($AT343,'2_IMPORTAR_EJECUCION'!$J$9:$J$1208,0)),0))</f>
        <v/>
      </c>
      <c r="AL343" s="18">
        <f>IF($A343="","",MAX(0,IFERROR(INDEX('2_IMPORTAR_EJECUCION'!$H$9:$H$1208,MATCH($AT343,'2_IMPORTAR_EJECUCION'!$J$9:$J$1208,0)),0)-$AK343))</f>
        <v/>
      </c>
      <c r="AM343" s="18">
        <f>IF($A343="","",$AK343+$AL343)</f>
        <v/>
      </c>
      <c r="AN343" s="5">
        <f>IF($A343="","",IF(OR((IFERROR(INDEX('CAT_ACTIVIDADES'!$D$4:$D$11,MATCH($H343,'CAT_ACTIVIDADES'!$A$4:$A$11,0)),""))=0,(IFERROR(INDEX('CAT_ACTIVIDADES'!$D$4:$D$11,MATCH($H343,'CAT_ACTIVIDADES'!$A$4:$A$11,0)),""))=""),"SIN CLASIFICAR",IFERROR(INDEX('CAT_ACTIVIDADES'!$D$4:$D$11,MATCH($H343,'CAT_ACTIVIDADES'!$A$4:$A$11,0)),"")))</f>
        <v/>
      </c>
      <c r="AO343" s="4" t="n"/>
      <c r="AP343" s="4" t="n"/>
      <c r="AQ343" s="4" t="n"/>
      <c r="AR343" s="5">
        <f>IF($AQ343="","",HYPERLINK(p_ruta_base_checklists&amp;$AQ343,"abrir"))</f>
        <v/>
      </c>
      <c r="AS343" s="4" t="n"/>
      <c r="AT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2" t="n"/>
      <c r="K344" s="5" t="n"/>
      <c r="L344" s="18" t="n"/>
      <c r="M344" s="5">
        <f>IF($A344="","",IFERROR(INDEX('AJUSTES'!$B$4:$B$303,MATCH($AT344,'AJUSTES'!$A$4:$A$303,0)),IF($K344="","",$K344)))</f>
        <v/>
      </c>
      <c r="N344" s="5">
        <f>IF($A344="","",IFERROR(INDEX('CAT_ESTADOS_ERP'!$B$4:$B$7,MATCH(IFERROR(INDEX('2_IMPORTAR_EJECUCION'!$C$9:$C$1208,MATCH($AT344,'2_IMPORTAR_EJECUCION'!$J$9:$J$1208,0)),""),'CAT_ESTADOS_ERP'!$A$4:$A$7,0)),"Pendiente"))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IF($J344="","",$P344&amp;"-"&amp;TEXT($Q344,"00"))</f>
        <v/>
      </c>
      <c r="S344" s="5">
        <f>IF($J344="","",INDEX(lista_dias,WEEKDAY($J344,2)))</f>
        <v/>
      </c>
      <c r="T344" s="5">
        <f>IF($J344="","",IFERROR(INDEX('CALENDARIO'!$C$15:$C$214,MATCH(TEXT($J344,"yyyy-mm-dd")&amp;"|"&amp;$X344&amp;"|"&amp;$Y344,'CALENDARIO'!$G$15:$G$214,0)),IFERROR(INDEX('CALENDARIO'!$C$15:$C$214,MATCH(TEXT($J344,"yyyy-mm-dd")&amp;"|"&amp;$X344&amp;"|",'CALENDARIO'!$G$15:$G$214,0)),IFERROR(INDEX('CALENDARIO'!$C$15:$C$214,MATCH(TEXT($J344,"yyyy-mm-dd")&amp;"||",'CALENDARIO'!$G$15:$G$214,0)),INDEX(patronHabil,WEEKDAY($J344,2))))))</f>
        <v/>
      </c>
      <c r="U344" s="5">
        <f>IF($I344="","",IFERROR(INDEX('CAT_TIPOS_OT'!$C$4:$C$8,MATCH($I344,'CAT_TIPOS_OT'!$A$4:$A$8,0)),"sin_clasificar"))</f>
        <v/>
      </c>
      <c r="V344" s="5">
        <f>IF($I344="","",IF(IFERROR(INDEX('CAT_TIPOS_OT'!$D$4:$D$8,MATCH($I344,'CAT_TIPOS_OT'!$A$4:$A$8,0)),"SIN CLASIFICAR")="","SIN CLASIFICAR",IFERROR(INDEX('CAT_TIPOS_OT'!$D$4:$D$8,MATCH($I344,'CAT_TIPOS_OT'!$A$4:$A$8,0)),"SIN CLASIFICAR")))</f>
        <v/>
      </c>
      <c r="W344" s="5">
        <f>IF($F344="","",IFERROR(INDEX('CAT_CENTROS_COSTO'!$F$4:$F$13,MATCH($F344,'CAT_CENTROS_COSTO'!$A$4:$A$13,0)),"(sin catálogo)"))</f>
        <v/>
      </c>
      <c r="X344" s="5">
        <f>IF($F344="","",IFERROR(INDEX('CAT_CENTROS_COSTO'!$D$4:$D$13,MATCH($F344,'CAT_CENTROS_COSTO'!$A$4:$A$13,0)),"(sin catálogo)"))</f>
        <v/>
      </c>
      <c r="Y344" s="5">
        <f>IF($F344="","",IF((IFERROR(INDEX('CAT_CENTROS_COSTO'!$E$4:$E$13,MATCH($F344,'CAT_CENTROS_COSTO'!$A$4:$A$13,0)),""))&lt;&gt;"",IFERROR(INDEX('CAT_CENTROS_COSTO'!$E$4:$E$13,MATCH($F344,'CAT_CENTROS_COSTO'!$A$4:$A$13,0)),""),$X344))</f>
        <v/>
      </c>
      <c r="Z344" s="5">
        <f>IF($F344="","",IFERROR(INDEX('CAT_CENTROS_COSTO'!$G$4:$G$13,MATCH($F344,'CAT_CENTROS_COSTO'!$A$4:$A$13,0)),"(sin catálogo)"))</f>
        <v/>
      </c>
      <c r="AA344" s="5">
        <f>IF($G344="","",IFERROR(INDEX('CAT_PUESTOS'!$B$4:$B$8,MATCH($G344,'CAT_PUESTOS'!$A$4:$A$8,0)),"(sin catálogo)"))</f>
        <v/>
      </c>
      <c r="AB344" s="5">
        <f>IF($H344="","",IFERROR(INDEX('CAT_ACTIVIDADES'!$B$4:$B$11,MATCH($H344,'CAT_ACTIVIDADES'!$A$4:$A$11,0)),"(sin catálogo)"))</f>
        <v/>
      </c>
      <c r="AC344" s="20">
        <f>IF($J344="","",TODAY()-$J344)</f>
        <v/>
      </c>
      <c r="AD344" s="20">
        <f>IF($J344="","",IF($J344&lt;=TODAY(),COUNTIFS(cal_fechas,"&gt;="&amp;$J344,cal_fechas,"&lt;"&amp;TODAY(),cal_habil,"sí"),-COUNTIFS(cal_fechas,"&gt;="&amp;TODAY(),cal_fechas,"&lt;"&amp;$J344,cal_habil,"sí")))</f>
        <v/>
      </c>
      <c r="AE344" s="5">
        <f>IF($AD344="","",IF($AD344&lt;0,"FUTURO",IF($AD344&gt;p_dias_backlog_max,"BACKLOG","MES CORRIENTE")))</f>
        <v/>
      </c>
      <c r="AF344" s="5">
        <f>IF($AD344="",FALSE,AND($AD344&gt;p_dias_backlog_min,$AD344&lt;=p_dias_backlog_max))</f>
        <v/>
      </c>
      <c r="AG344" s="4" t="n"/>
      <c r="AH344" s="5">
        <f>IF($AG344="","",IF((IFERROR(INDEX('ASIGNACIONES'!$J$4:$J$451,MATCH($O344&amp;"|"&amp;$S344&amp;"|"&amp;$AG344,'ASIGNACIONES'!$N$4:$N$451,0)),""))=0,"",IFERROR(INDEX('ASIGNACIONES'!$J$4:$J$451,MATCH($O344&amp;"|"&amp;$S344&amp;"|"&amp;$AG344,'ASIGNACIONES'!$N$4:$N$451,0)),"")))</f>
        <v/>
      </c>
      <c r="AI344" s="25">
        <f>IF($AG344="","",SUMIFS('ORDENES'!$M$4:$M$1203,'ORDENES'!$AG$4:$AG$1203,$AG344,'ORDENES'!$O$4:$O$1203,$O344,'ORDENES'!$S$4:$S$1203,$S344))</f>
        <v/>
      </c>
      <c r="AJ344" s="25">
        <f>IF($AI344="","",p_factor_productividad*IFERROR(INDEX('ASIGNACIONES'!$M$4:$M$451,MATCH($O344&amp;"|"&amp;$S344&amp;"|"&amp;$AG344,'ASIGNACIONES'!$N$4:$N$451,0)),0)-$AI344)</f>
        <v/>
      </c>
      <c r="AK344" s="18">
        <f>IF($A344="","",IFERROR(INDEX('2_IMPORTAR_EJECUCION'!$F$9:$F$1208,MATCH($AT344,'2_IMPORTAR_EJECUCION'!$J$9:$J$1208,0)),0))</f>
        <v/>
      </c>
      <c r="AL344" s="18">
        <f>IF($A344="","",MAX(0,IFERROR(INDEX('2_IMPORTAR_EJECUCION'!$H$9:$H$1208,MATCH($AT344,'2_IMPORTAR_EJECUCION'!$J$9:$J$1208,0)),0)-$AK344))</f>
        <v/>
      </c>
      <c r="AM344" s="18">
        <f>IF($A344="","",$AK344+$AL344)</f>
        <v/>
      </c>
      <c r="AN344" s="5">
        <f>IF($A344="","",IF(OR((IFERROR(INDEX('CAT_ACTIVIDADES'!$D$4:$D$11,MATCH($H344,'CAT_ACTIVIDADES'!$A$4:$A$11,0)),""))=0,(IFERROR(INDEX('CAT_ACTIVIDADES'!$D$4:$D$11,MATCH($H344,'CAT_ACTIVIDADES'!$A$4:$A$11,0)),""))=""),"SIN CLASIFICAR",IFERROR(INDEX('CAT_ACTIVIDADES'!$D$4:$D$11,MATCH($H344,'CAT_ACTIVIDADES'!$A$4:$A$11,0)),"")))</f>
        <v/>
      </c>
      <c r="AO344" s="4" t="n"/>
      <c r="AP344" s="4" t="n"/>
      <c r="AQ344" s="4" t="n"/>
      <c r="AR344" s="5">
        <f>IF($AQ344="","",HYPERLINK(p_ruta_base_checklists&amp;$AQ344,"abrir"))</f>
        <v/>
      </c>
      <c r="AS344" s="4" t="n"/>
      <c r="AT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2" t="n"/>
      <c r="K345" s="5" t="n"/>
      <c r="L345" s="18" t="n"/>
      <c r="M345" s="5">
        <f>IF($A345="","",IFERROR(INDEX('AJUSTES'!$B$4:$B$303,MATCH($AT345,'AJUSTES'!$A$4:$A$303,0)),IF($K345="","",$K345)))</f>
        <v/>
      </c>
      <c r="N345" s="5">
        <f>IF($A345="","",IFERROR(INDEX('CAT_ESTADOS_ERP'!$B$4:$B$7,MATCH(IFERROR(INDEX('2_IMPORTAR_EJECUCION'!$C$9:$C$1208,MATCH($AT345,'2_IMPORTAR_EJECUCION'!$J$9:$J$1208,0)),""),'CAT_ESTADOS_ERP'!$A$4:$A$7,0)),"Pendiente"))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IF($J345="","",$P345&amp;"-"&amp;TEXT($Q345,"00"))</f>
        <v/>
      </c>
      <c r="S345" s="5">
        <f>IF($J345="","",INDEX(lista_dias,WEEKDAY($J345,2)))</f>
        <v/>
      </c>
      <c r="T345" s="5">
        <f>IF($J345="","",IFERROR(INDEX('CALENDARIO'!$C$15:$C$214,MATCH(TEXT($J345,"yyyy-mm-dd")&amp;"|"&amp;$X345&amp;"|"&amp;$Y345,'CALENDARIO'!$G$15:$G$214,0)),IFERROR(INDEX('CALENDARIO'!$C$15:$C$214,MATCH(TEXT($J345,"yyyy-mm-dd")&amp;"|"&amp;$X345&amp;"|",'CALENDARIO'!$G$15:$G$214,0)),IFERROR(INDEX('CALENDARIO'!$C$15:$C$214,MATCH(TEXT($J345,"yyyy-mm-dd")&amp;"||",'CALENDARIO'!$G$15:$G$214,0)),INDEX(patronHabil,WEEKDAY($J345,2))))))</f>
        <v/>
      </c>
      <c r="U345" s="5">
        <f>IF($I345="","",IFERROR(INDEX('CAT_TIPOS_OT'!$C$4:$C$8,MATCH($I345,'CAT_TIPOS_OT'!$A$4:$A$8,0)),"sin_clasificar"))</f>
        <v/>
      </c>
      <c r="V345" s="5">
        <f>IF($I345="","",IF(IFERROR(INDEX('CAT_TIPOS_OT'!$D$4:$D$8,MATCH($I345,'CAT_TIPOS_OT'!$A$4:$A$8,0)),"SIN CLASIFICAR")="","SIN CLASIFICAR",IFERROR(INDEX('CAT_TIPOS_OT'!$D$4:$D$8,MATCH($I345,'CAT_TIPOS_OT'!$A$4:$A$8,0)),"SIN CLASIFICAR")))</f>
        <v/>
      </c>
      <c r="W345" s="5">
        <f>IF($F345="","",IFERROR(INDEX('CAT_CENTROS_COSTO'!$F$4:$F$13,MATCH($F345,'CAT_CENTROS_COSTO'!$A$4:$A$13,0)),"(sin catálogo)"))</f>
        <v/>
      </c>
      <c r="X345" s="5">
        <f>IF($F345="","",IFERROR(INDEX('CAT_CENTROS_COSTO'!$D$4:$D$13,MATCH($F345,'CAT_CENTROS_COSTO'!$A$4:$A$13,0)),"(sin catálogo)"))</f>
        <v/>
      </c>
      <c r="Y345" s="5">
        <f>IF($F345="","",IF((IFERROR(INDEX('CAT_CENTROS_COSTO'!$E$4:$E$13,MATCH($F345,'CAT_CENTROS_COSTO'!$A$4:$A$13,0)),""))&lt;&gt;"",IFERROR(INDEX('CAT_CENTROS_COSTO'!$E$4:$E$13,MATCH($F345,'CAT_CENTROS_COSTO'!$A$4:$A$13,0)),""),$X345))</f>
        <v/>
      </c>
      <c r="Z345" s="5">
        <f>IF($F345="","",IFERROR(INDEX('CAT_CENTROS_COSTO'!$G$4:$G$13,MATCH($F345,'CAT_CENTROS_COSTO'!$A$4:$A$13,0)),"(sin catálogo)"))</f>
        <v/>
      </c>
      <c r="AA345" s="5">
        <f>IF($G345="","",IFERROR(INDEX('CAT_PUESTOS'!$B$4:$B$8,MATCH($G345,'CAT_PUESTOS'!$A$4:$A$8,0)),"(sin catálogo)"))</f>
        <v/>
      </c>
      <c r="AB345" s="5">
        <f>IF($H345="","",IFERROR(INDEX('CAT_ACTIVIDADES'!$B$4:$B$11,MATCH($H345,'CAT_ACTIVIDADES'!$A$4:$A$11,0)),"(sin catálogo)"))</f>
        <v/>
      </c>
      <c r="AC345" s="20">
        <f>IF($J345="","",TODAY()-$J345)</f>
        <v/>
      </c>
      <c r="AD345" s="20">
        <f>IF($J345="","",IF($J345&lt;=TODAY(),COUNTIFS(cal_fechas,"&gt;="&amp;$J345,cal_fechas,"&lt;"&amp;TODAY(),cal_habil,"sí"),-COUNTIFS(cal_fechas,"&gt;="&amp;TODAY(),cal_fechas,"&lt;"&amp;$J345,cal_habil,"sí")))</f>
        <v/>
      </c>
      <c r="AE345" s="5">
        <f>IF($AD345="","",IF($AD345&lt;0,"FUTURO",IF($AD345&gt;p_dias_backlog_max,"BACKLOG","MES CORRIENTE")))</f>
        <v/>
      </c>
      <c r="AF345" s="5">
        <f>IF($AD345="",FALSE,AND($AD345&gt;p_dias_backlog_min,$AD345&lt;=p_dias_backlog_max))</f>
        <v/>
      </c>
      <c r="AG345" s="4" t="n"/>
      <c r="AH345" s="5">
        <f>IF($AG345="","",IF((IFERROR(INDEX('ASIGNACIONES'!$J$4:$J$451,MATCH($O345&amp;"|"&amp;$S345&amp;"|"&amp;$AG345,'ASIGNACIONES'!$N$4:$N$451,0)),""))=0,"",IFERROR(INDEX('ASIGNACIONES'!$J$4:$J$451,MATCH($O345&amp;"|"&amp;$S345&amp;"|"&amp;$AG345,'ASIGNACIONES'!$N$4:$N$451,0)),"")))</f>
        <v/>
      </c>
      <c r="AI345" s="25">
        <f>IF($AG345="","",SUMIFS('ORDENES'!$M$4:$M$1203,'ORDENES'!$AG$4:$AG$1203,$AG345,'ORDENES'!$O$4:$O$1203,$O345,'ORDENES'!$S$4:$S$1203,$S345))</f>
        <v/>
      </c>
      <c r="AJ345" s="25">
        <f>IF($AI345="","",p_factor_productividad*IFERROR(INDEX('ASIGNACIONES'!$M$4:$M$451,MATCH($O345&amp;"|"&amp;$S345&amp;"|"&amp;$AG345,'ASIGNACIONES'!$N$4:$N$451,0)),0)-$AI345)</f>
        <v/>
      </c>
      <c r="AK345" s="18">
        <f>IF($A345="","",IFERROR(INDEX('2_IMPORTAR_EJECUCION'!$F$9:$F$1208,MATCH($AT345,'2_IMPORTAR_EJECUCION'!$J$9:$J$1208,0)),0))</f>
        <v/>
      </c>
      <c r="AL345" s="18">
        <f>IF($A345="","",MAX(0,IFERROR(INDEX('2_IMPORTAR_EJECUCION'!$H$9:$H$1208,MATCH($AT345,'2_IMPORTAR_EJECUCION'!$J$9:$J$1208,0)),0)-$AK345))</f>
        <v/>
      </c>
      <c r="AM345" s="18">
        <f>IF($A345="","",$AK345+$AL345)</f>
        <v/>
      </c>
      <c r="AN345" s="5">
        <f>IF($A345="","",IF(OR((IFERROR(INDEX('CAT_ACTIVIDADES'!$D$4:$D$11,MATCH($H345,'CAT_ACTIVIDADES'!$A$4:$A$11,0)),""))=0,(IFERROR(INDEX('CAT_ACTIVIDADES'!$D$4:$D$11,MATCH($H345,'CAT_ACTIVIDADES'!$A$4:$A$11,0)),""))=""),"SIN CLASIFICAR",IFERROR(INDEX('CAT_ACTIVIDADES'!$D$4:$D$11,MATCH($H345,'CAT_ACTIVIDADES'!$A$4:$A$11,0)),"")))</f>
        <v/>
      </c>
      <c r="AO345" s="4" t="n"/>
      <c r="AP345" s="4" t="n"/>
      <c r="AQ345" s="4" t="n"/>
      <c r="AR345" s="5">
        <f>IF($AQ345="","",HYPERLINK(p_ruta_base_checklists&amp;$AQ345,"abrir"))</f>
        <v/>
      </c>
      <c r="AS345" s="4" t="n"/>
      <c r="AT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2" t="n"/>
      <c r="K346" s="5" t="n"/>
      <c r="L346" s="18" t="n"/>
      <c r="M346" s="5">
        <f>IF($A346="","",IFERROR(INDEX('AJUSTES'!$B$4:$B$303,MATCH($AT346,'AJUSTES'!$A$4:$A$303,0)),IF($K346="","",$K346)))</f>
        <v/>
      </c>
      <c r="N346" s="5">
        <f>IF($A346="","",IFERROR(INDEX('CAT_ESTADOS_ERP'!$B$4:$B$7,MATCH(IFERROR(INDEX('2_IMPORTAR_EJECUCION'!$C$9:$C$1208,MATCH($AT346,'2_IMPORTAR_EJECUCION'!$J$9:$J$1208,0)),""),'CAT_ESTADOS_ERP'!$A$4:$A$7,0)),"Pendiente"))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IF($J346="","",$P346&amp;"-"&amp;TEXT($Q346,"00"))</f>
        <v/>
      </c>
      <c r="S346" s="5">
        <f>IF($J346="","",INDEX(lista_dias,WEEKDAY($J346,2)))</f>
        <v/>
      </c>
      <c r="T346" s="5">
        <f>IF($J346="","",IFERROR(INDEX('CALENDARIO'!$C$15:$C$214,MATCH(TEXT($J346,"yyyy-mm-dd")&amp;"|"&amp;$X346&amp;"|"&amp;$Y346,'CALENDARIO'!$G$15:$G$214,0)),IFERROR(INDEX('CALENDARIO'!$C$15:$C$214,MATCH(TEXT($J346,"yyyy-mm-dd")&amp;"|"&amp;$X346&amp;"|",'CALENDARIO'!$G$15:$G$214,0)),IFERROR(INDEX('CALENDARIO'!$C$15:$C$214,MATCH(TEXT($J346,"yyyy-mm-dd")&amp;"||",'CALENDARIO'!$G$15:$G$214,0)),INDEX(patronHabil,WEEKDAY($J346,2))))))</f>
        <v/>
      </c>
      <c r="U346" s="5">
        <f>IF($I346="","",IFERROR(INDEX('CAT_TIPOS_OT'!$C$4:$C$8,MATCH($I346,'CAT_TIPOS_OT'!$A$4:$A$8,0)),"sin_clasificar"))</f>
        <v/>
      </c>
      <c r="V346" s="5">
        <f>IF($I346="","",IF(IFERROR(INDEX('CAT_TIPOS_OT'!$D$4:$D$8,MATCH($I346,'CAT_TIPOS_OT'!$A$4:$A$8,0)),"SIN CLASIFICAR")="","SIN CLASIFICAR",IFERROR(INDEX('CAT_TIPOS_OT'!$D$4:$D$8,MATCH($I346,'CAT_TIPOS_OT'!$A$4:$A$8,0)),"SIN CLASIFICAR")))</f>
        <v/>
      </c>
      <c r="W346" s="5">
        <f>IF($F346="","",IFERROR(INDEX('CAT_CENTROS_COSTO'!$F$4:$F$13,MATCH($F346,'CAT_CENTROS_COSTO'!$A$4:$A$13,0)),"(sin catálogo)"))</f>
        <v/>
      </c>
      <c r="X346" s="5">
        <f>IF($F346="","",IFERROR(INDEX('CAT_CENTROS_COSTO'!$D$4:$D$13,MATCH($F346,'CAT_CENTROS_COSTO'!$A$4:$A$13,0)),"(sin catálogo)"))</f>
        <v/>
      </c>
      <c r="Y346" s="5">
        <f>IF($F346="","",IF((IFERROR(INDEX('CAT_CENTROS_COSTO'!$E$4:$E$13,MATCH($F346,'CAT_CENTROS_COSTO'!$A$4:$A$13,0)),""))&lt;&gt;"",IFERROR(INDEX('CAT_CENTROS_COSTO'!$E$4:$E$13,MATCH($F346,'CAT_CENTROS_COSTO'!$A$4:$A$13,0)),""),$X346))</f>
        <v/>
      </c>
      <c r="Z346" s="5">
        <f>IF($F346="","",IFERROR(INDEX('CAT_CENTROS_COSTO'!$G$4:$G$13,MATCH($F346,'CAT_CENTROS_COSTO'!$A$4:$A$13,0)),"(sin catálogo)"))</f>
        <v/>
      </c>
      <c r="AA346" s="5">
        <f>IF($G346="","",IFERROR(INDEX('CAT_PUESTOS'!$B$4:$B$8,MATCH($G346,'CAT_PUESTOS'!$A$4:$A$8,0)),"(sin catálogo)"))</f>
        <v/>
      </c>
      <c r="AB346" s="5">
        <f>IF($H346="","",IFERROR(INDEX('CAT_ACTIVIDADES'!$B$4:$B$11,MATCH($H346,'CAT_ACTIVIDADES'!$A$4:$A$11,0)),"(sin catálogo)"))</f>
        <v/>
      </c>
      <c r="AC346" s="20">
        <f>IF($J346="","",TODAY()-$J346)</f>
        <v/>
      </c>
      <c r="AD346" s="20">
        <f>IF($J346="","",IF($J346&lt;=TODAY(),COUNTIFS(cal_fechas,"&gt;="&amp;$J346,cal_fechas,"&lt;"&amp;TODAY(),cal_habil,"sí"),-COUNTIFS(cal_fechas,"&gt;="&amp;TODAY(),cal_fechas,"&lt;"&amp;$J346,cal_habil,"sí")))</f>
        <v/>
      </c>
      <c r="AE346" s="5">
        <f>IF($AD346="","",IF($AD346&lt;0,"FUTURO",IF($AD346&gt;p_dias_backlog_max,"BACKLOG","MES CORRIENTE")))</f>
        <v/>
      </c>
      <c r="AF346" s="5">
        <f>IF($AD346="",FALSE,AND($AD346&gt;p_dias_backlog_min,$AD346&lt;=p_dias_backlog_max))</f>
        <v/>
      </c>
      <c r="AG346" s="4" t="n"/>
      <c r="AH346" s="5">
        <f>IF($AG346="","",IF((IFERROR(INDEX('ASIGNACIONES'!$J$4:$J$451,MATCH($O346&amp;"|"&amp;$S346&amp;"|"&amp;$AG346,'ASIGNACIONES'!$N$4:$N$451,0)),""))=0,"",IFERROR(INDEX('ASIGNACIONES'!$J$4:$J$451,MATCH($O346&amp;"|"&amp;$S346&amp;"|"&amp;$AG346,'ASIGNACIONES'!$N$4:$N$451,0)),"")))</f>
        <v/>
      </c>
      <c r="AI346" s="25">
        <f>IF($AG346="","",SUMIFS('ORDENES'!$M$4:$M$1203,'ORDENES'!$AG$4:$AG$1203,$AG346,'ORDENES'!$O$4:$O$1203,$O346,'ORDENES'!$S$4:$S$1203,$S346))</f>
        <v/>
      </c>
      <c r="AJ346" s="25">
        <f>IF($AI346="","",p_factor_productividad*IFERROR(INDEX('ASIGNACIONES'!$M$4:$M$451,MATCH($O346&amp;"|"&amp;$S346&amp;"|"&amp;$AG346,'ASIGNACIONES'!$N$4:$N$451,0)),0)-$AI346)</f>
        <v/>
      </c>
      <c r="AK346" s="18">
        <f>IF($A346="","",IFERROR(INDEX('2_IMPORTAR_EJECUCION'!$F$9:$F$1208,MATCH($AT346,'2_IMPORTAR_EJECUCION'!$J$9:$J$1208,0)),0))</f>
        <v/>
      </c>
      <c r="AL346" s="18">
        <f>IF($A346="","",MAX(0,IFERROR(INDEX('2_IMPORTAR_EJECUCION'!$H$9:$H$1208,MATCH($AT346,'2_IMPORTAR_EJECUCION'!$J$9:$J$1208,0)),0)-$AK346))</f>
        <v/>
      </c>
      <c r="AM346" s="18">
        <f>IF($A346="","",$AK346+$AL346)</f>
        <v/>
      </c>
      <c r="AN346" s="5">
        <f>IF($A346="","",IF(OR((IFERROR(INDEX('CAT_ACTIVIDADES'!$D$4:$D$11,MATCH($H346,'CAT_ACTIVIDADES'!$A$4:$A$11,0)),""))=0,(IFERROR(INDEX('CAT_ACTIVIDADES'!$D$4:$D$11,MATCH($H346,'CAT_ACTIVIDADES'!$A$4:$A$11,0)),""))=""),"SIN CLASIFICAR",IFERROR(INDEX('CAT_ACTIVIDADES'!$D$4:$D$11,MATCH($H346,'CAT_ACTIVIDADES'!$A$4:$A$11,0)),"")))</f>
        <v/>
      </c>
      <c r="AO346" s="4" t="n"/>
      <c r="AP346" s="4" t="n"/>
      <c r="AQ346" s="4" t="n"/>
      <c r="AR346" s="5">
        <f>IF($AQ346="","",HYPERLINK(p_ruta_base_checklists&amp;$AQ346,"abrir"))</f>
        <v/>
      </c>
      <c r="AS346" s="4" t="n"/>
      <c r="AT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2" t="n"/>
      <c r="K347" s="5" t="n"/>
      <c r="L347" s="18" t="n"/>
      <c r="M347" s="5">
        <f>IF($A347="","",IFERROR(INDEX('AJUSTES'!$B$4:$B$303,MATCH($AT347,'AJUSTES'!$A$4:$A$303,0)),IF($K347="","",$K347)))</f>
        <v/>
      </c>
      <c r="N347" s="5">
        <f>IF($A347="","",IFERROR(INDEX('CAT_ESTADOS_ERP'!$B$4:$B$7,MATCH(IFERROR(INDEX('2_IMPORTAR_EJECUCION'!$C$9:$C$1208,MATCH($AT347,'2_IMPORTAR_EJECUCION'!$J$9:$J$1208,0)),""),'CAT_ESTADOS_ERP'!$A$4:$A$7,0)),"Pendiente"))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IF($J347="","",$P347&amp;"-"&amp;TEXT($Q347,"00"))</f>
        <v/>
      </c>
      <c r="S347" s="5">
        <f>IF($J347="","",INDEX(lista_dias,WEEKDAY($J347,2)))</f>
        <v/>
      </c>
      <c r="T347" s="5">
        <f>IF($J347="","",IFERROR(INDEX('CALENDARIO'!$C$15:$C$214,MATCH(TEXT($J347,"yyyy-mm-dd")&amp;"|"&amp;$X347&amp;"|"&amp;$Y347,'CALENDARIO'!$G$15:$G$214,0)),IFERROR(INDEX('CALENDARIO'!$C$15:$C$214,MATCH(TEXT($J347,"yyyy-mm-dd")&amp;"|"&amp;$X347&amp;"|",'CALENDARIO'!$G$15:$G$214,0)),IFERROR(INDEX('CALENDARIO'!$C$15:$C$214,MATCH(TEXT($J347,"yyyy-mm-dd")&amp;"||",'CALENDARIO'!$G$15:$G$214,0)),INDEX(patronHabil,WEEKDAY($J347,2))))))</f>
        <v/>
      </c>
      <c r="U347" s="5">
        <f>IF($I347="","",IFERROR(INDEX('CAT_TIPOS_OT'!$C$4:$C$8,MATCH($I347,'CAT_TIPOS_OT'!$A$4:$A$8,0)),"sin_clasificar"))</f>
        <v/>
      </c>
      <c r="V347" s="5">
        <f>IF($I347="","",IF(IFERROR(INDEX('CAT_TIPOS_OT'!$D$4:$D$8,MATCH($I347,'CAT_TIPOS_OT'!$A$4:$A$8,0)),"SIN CLASIFICAR")="","SIN CLASIFICAR",IFERROR(INDEX('CAT_TIPOS_OT'!$D$4:$D$8,MATCH($I347,'CAT_TIPOS_OT'!$A$4:$A$8,0)),"SIN CLASIFICAR")))</f>
        <v/>
      </c>
      <c r="W347" s="5">
        <f>IF($F347="","",IFERROR(INDEX('CAT_CENTROS_COSTO'!$F$4:$F$13,MATCH($F347,'CAT_CENTROS_COSTO'!$A$4:$A$13,0)),"(sin catálogo)"))</f>
        <v/>
      </c>
      <c r="X347" s="5">
        <f>IF($F347="","",IFERROR(INDEX('CAT_CENTROS_COSTO'!$D$4:$D$13,MATCH($F347,'CAT_CENTROS_COSTO'!$A$4:$A$13,0)),"(sin catálogo)"))</f>
        <v/>
      </c>
      <c r="Y347" s="5">
        <f>IF($F347="","",IF((IFERROR(INDEX('CAT_CENTROS_COSTO'!$E$4:$E$13,MATCH($F347,'CAT_CENTROS_COSTO'!$A$4:$A$13,0)),""))&lt;&gt;"",IFERROR(INDEX('CAT_CENTROS_COSTO'!$E$4:$E$13,MATCH($F347,'CAT_CENTROS_COSTO'!$A$4:$A$13,0)),""),$X347))</f>
        <v/>
      </c>
      <c r="Z347" s="5">
        <f>IF($F347="","",IFERROR(INDEX('CAT_CENTROS_COSTO'!$G$4:$G$13,MATCH($F347,'CAT_CENTROS_COSTO'!$A$4:$A$13,0)),"(sin catálogo)"))</f>
        <v/>
      </c>
      <c r="AA347" s="5">
        <f>IF($G347="","",IFERROR(INDEX('CAT_PUESTOS'!$B$4:$B$8,MATCH($G347,'CAT_PUESTOS'!$A$4:$A$8,0)),"(sin catálogo)"))</f>
        <v/>
      </c>
      <c r="AB347" s="5">
        <f>IF($H347="","",IFERROR(INDEX('CAT_ACTIVIDADES'!$B$4:$B$11,MATCH($H347,'CAT_ACTIVIDADES'!$A$4:$A$11,0)),"(sin catálogo)"))</f>
        <v/>
      </c>
      <c r="AC347" s="20">
        <f>IF($J347="","",TODAY()-$J347)</f>
        <v/>
      </c>
      <c r="AD347" s="20">
        <f>IF($J347="","",IF($J347&lt;=TODAY(),COUNTIFS(cal_fechas,"&gt;="&amp;$J347,cal_fechas,"&lt;"&amp;TODAY(),cal_habil,"sí"),-COUNTIFS(cal_fechas,"&gt;="&amp;TODAY(),cal_fechas,"&lt;"&amp;$J347,cal_habil,"sí")))</f>
        <v/>
      </c>
      <c r="AE347" s="5">
        <f>IF($AD347="","",IF($AD347&lt;0,"FUTURO",IF($AD347&gt;p_dias_backlog_max,"BACKLOG","MES CORRIENTE")))</f>
        <v/>
      </c>
      <c r="AF347" s="5">
        <f>IF($AD347="",FALSE,AND($AD347&gt;p_dias_backlog_min,$AD347&lt;=p_dias_backlog_max))</f>
        <v/>
      </c>
      <c r="AG347" s="4" t="n"/>
      <c r="AH347" s="5">
        <f>IF($AG347="","",IF((IFERROR(INDEX('ASIGNACIONES'!$J$4:$J$451,MATCH($O347&amp;"|"&amp;$S347&amp;"|"&amp;$AG347,'ASIGNACIONES'!$N$4:$N$451,0)),""))=0,"",IFERROR(INDEX('ASIGNACIONES'!$J$4:$J$451,MATCH($O347&amp;"|"&amp;$S347&amp;"|"&amp;$AG347,'ASIGNACIONES'!$N$4:$N$451,0)),"")))</f>
        <v/>
      </c>
      <c r="AI347" s="25">
        <f>IF($AG347="","",SUMIFS('ORDENES'!$M$4:$M$1203,'ORDENES'!$AG$4:$AG$1203,$AG347,'ORDENES'!$O$4:$O$1203,$O347,'ORDENES'!$S$4:$S$1203,$S347))</f>
        <v/>
      </c>
      <c r="AJ347" s="25">
        <f>IF($AI347="","",p_factor_productividad*IFERROR(INDEX('ASIGNACIONES'!$M$4:$M$451,MATCH($O347&amp;"|"&amp;$S347&amp;"|"&amp;$AG347,'ASIGNACIONES'!$N$4:$N$451,0)),0)-$AI347)</f>
        <v/>
      </c>
      <c r="AK347" s="18">
        <f>IF($A347="","",IFERROR(INDEX('2_IMPORTAR_EJECUCION'!$F$9:$F$1208,MATCH($AT347,'2_IMPORTAR_EJECUCION'!$J$9:$J$1208,0)),0))</f>
        <v/>
      </c>
      <c r="AL347" s="18">
        <f>IF($A347="","",MAX(0,IFERROR(INDEX('2_IMPORTAR_EJECUCION'!$H$9:$H$1208,MATCH($AT347,'2_IMPORTAR_EJECUCION'!$J$9:$J$1208,0)),0)-$AK347))</f>
        <v/>
      </c>
      <c r="AM347" s="18">
        <f>IF($A347="","",$AK347+$AL347)</f>
        <v/>
      </c>
      <c r="AN347" s="5">
        <f>IF($A347="","",IF(OR((IFERROR(INDEX('CAT_ACTIVIDADES'!$D$4:$D$11,MATCH($H347,'CAT_ACTIVIDADES'!$A$4:$A$11,0)),""))=0,(IFERROR(INDEX('CAT_ACTIVIDADES'!$D$4:$D$11,MATCH($H347,'CAT_ACTIVIDADES'!$A$4:$A$11,0)),""))=""),"SIN CLASIFICAR",IFERROR(INDEX('CAT_ACTIVIDADES'!$D$4:$D$11,MATCH($H347,'CAT_ACTIVIDADES'!$A$4:$A$11,0)),"")))</f>
        <v/>
      </c>
      <c r="AO347" s="4" t="n"/>
      <c r="AP347" s="4" t="n"/>
      <c r="AQ347" s="4" t="n"/>
      <c r="AR347" s="5">
        <f>IF($AQ347="","",HYPERLINK(p_ruta_base_checklists&amp;$AQ347,"abrir"))</f>
        <v/>
      </c>
      <c r="AS347" s="4" t="n"/>
      <c r="AT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2" t="n"/>
      <c r="K348" s="5" t="n"/>
      <c r="L348" s="18" t="n"/>
      <c r="M348" s="5">
        <f>IF($A348="","",IFERROR(INDEX('AJUSTES'!$B$4:$B$303,MATCH($AT348,'AJUSTES'!$A$4:$A$303,0)),IF($K348="","",$K348)))</f>
        <v/>
      </c>
      <c r="N348" s="5">
        <f>IF($A348="","",IFERROR(INDEX('CAT_ESTADOS_ERP'!$B$4:$B$7,MATCH(IFERROR(INDEX('2_IMPORTAR_EJECUCION'!$C$9:$C$1208,MATCH($AT348,'2_IMPORTAR_EJECUCION'!$J$9:$J$1208,0)),""),'CAT_ESTADOS_ERP'!$A$4:$A$7,0)),"Pendiente"))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IF($J348="","",$P348&amp;"-"&amp;TEXT($Q348,"00"))</f>
        <v/>
      </c>
      <c r="S348" s="5">
        <f>IF($J348="","",INDEX(lista_dias,WEEKDAY($J348,2)))</f>
        <v/>
      </c>
      <c r="T348" s="5">
        <f>IF($J348="","",IFERROR(INDEX('CALENDARIO'!$C$15:$C$214,MATCH(TEXT($J348,"yyyy-mm-dd")&amp;"|"&amp;$X348&amp;"|"&amp;$Y348,'CALENDARIO'!$G$15:$G$214,0)),IFERROR(INDEX('CALENDARIO'!$C$15:$C$214,MATCH(TEXT($J348,"yyyy-mm-dd")&amp;"|"&amp;$X348&amp;"|",'CALENDARIO'!$G$15:$G$214,0)),IFERROR(INDEX('CALENDARIO'!$C$15:$C$214,MATCH(TEXT($J348,"yyyy-mm-dd")&amp;"||",'CALENDARIO'!$G$15:$G$214,0)),INDEX(patronHabil,WEEKDAY($J348,2))))))</f>
        <v/>
      </c>
      <c r="U348" s="5">
        <f>IF($I348="","",IFERROR(INDEX('CAT_TIPOS_OT'!$C$4:$C$8,MATCH($I348,'CAT_TIPOS_OT'!$A$4:$A$8,0)),"sin_clasificar"))</f>
        <v/>
      </c>
      <c r="V348" s="5">
        <f>IF($I348="","",IF(IFERROR(INDEX('CAT_TIPOS_OT'!$D$4:$D$8,MATCH($I348,'CAT_TIPOS_OT'!$A$4:$A$8,0)),"SIN CLASIFICAR")="","SIN CLASIFICAR",IFERROR(INDEX('CAT_TIPOS_OT'!$D$4:$D$8,MATCH($I348,'CAT_TIPOS_OT'!$A$4:$A$8,0)),"SIN CLASIFICAR")))</f>
        <v/>
      </c>
      <c r="W348" s="5">
        <f>IF($F348="","",IFERROR(INDEX('CAT_CENTROS_COSTO'!$F$4:$F$13,MATCH($F348,'CAT_CENTROS_COSTO'!$A$4:$A$13,0)),"(sin catálogo)"))</f>
        <v/>
      </c>
      <c r="X348" s="5">
        <f>IF($F348="","",IFERROR(INDEX('CAT_CENTROS_COSTO'!$D$4:$D$13,MATCH($F348,'CAT_CENTROS_COSTO'!$A$4:$A$13,0)),"(sin catálogo)"))</f>
        <v/>
      </c>
      <c r="Y348" s="5">
        <f>IF($F348="","",IF((IFERROR(INDEX('CAT_CENTROS_COSTO'!$E$4:$E$13,MATCH($F348,'CAT_CENTROS_COSTO'!$A$4:$A$13,0)),""))&lt;&gt;"",IFERROR(INDEX('CAT_CENTROS_COSTO'!$E$4:$E$13,MATCH($F348,'CAT_CENTROS_COSTO'!$A$4:$A$13,0)),""),$X348))</f>
        <v/>
      </c>
      <c r="Z348" s="5">
        <f>IF($F348="","",IFERROR(INDEX('CAT_CENTROS_COSTO'!$G$4:$G$13,MATCH($F348,'CAT_CENTROS_COSTO'!$A$4:$A$13,0)),"(sin catálogo)"))</f>
        <v/>
      </c>
      <c r="AA348" s="5">
        <f>IF($G348="","",IFERROR(INDEX('CAT_PUESTOS'!$B$4:$B$8,MATCH($G348,'CAT_PUESTOS'!$A$4:$A$8,0)),"(sin catálogo)"))</f>
        <v/>
      </c>
      <c r="AB348" s="5">
        <f>IF($H348="","",IFERROR(INDEX('CAT_ACTIVIDADES'!$B$4:$B$11,MATCH($H348,'CAT_ACTIVIDADES'!$A$4:$A$11,0)),"(sin catálogo)"))</f>
        <v/>
      </c>
      <c r="AC348" s="20">
        <f>IF($J348="","",TODAY()-$J348)</f>
        <v/>
      </c>
      <c r="AD348" s="20">
        <f>IF($J348="","",IF($J348&lt;=TODAY(),COUNTIFS(cal_fechas,"&gt;="&amp;$J348,cal_fechas,"&lt;"&amp;TODAY(),cal_habil,"sí"),-COUNTIFS(cal_fechas,"&gt;="&amp;TODAY(),cal_fechas,"&lt;"&amp;$J348,cal_habil,"sí")))</f>
        <v/>
      </c>
      <c r="AE348" s="5">
        <f>IF($AD348="","",IF($AD348&lt;0,"FUTURO",IF($AD348&gt;p_dias_backlog_max,"BACKLOG","MES CORRIENTE")))</f>
        <v/>
      </c>
      <c r="AF348" s="5">
        <f>IF($AD348="",FALSE,AND($AD348&gt;p_dias_backlog_min,$AD348&lt;=p_dias_backlog_max))</f>
        <v/>
      </c>
      <c r="AG348" s="4" t="n"/>
      <c r="AH348" s="5">
        <f>IF($AG348="","",IF((IFERROR(INDEX('ASIGNACIONES'!$J$4:$J$451,MATCH($O348&amp;"|"&amp;$S348&amp;"|"&amp;$AG348,'ASIGNACIONES'!$N$4:$N$451,0)),""))=0,"",IFERROR(INDEX('ASIGNACIONES'!$J$4:$J$451,MATCH($O348&amp;"|"&amp;$S348&amp;"|"&amp;$AG348,'ASIGNACIONES'!$N$4:$N$451,0)),"")))</f>
        <v/>
      </c>
      <c r="AI348" s="25">
        <f>IF($AG348="","",SUMIFS('ORDENES'!$M$4:$M$1203,'ORDENES'!$AG$4:$AG$1203,$AG348,'ORDENES'!$O$4:$O$1203,$O348,'ORDENES'!$S$4:$S$1203,$S348))</f>
        <v/>
      </c>
      <c r="AJ348" s="25">
        <f>IF($AI348="","",p_factor_productividad*IFERROR(INDEX('ASIGNACIONES'!$M$4:$M$451,MATCH($O348&amp;"|"&amp;$S348&amp;"|"&amp;$AG348,'ASIGNACIONES'!$N$4:$N$451,0)),0)-$AI348)</f>
        <v/>
      </c>
      <c r="AK348" s="18">
        <f>IF($A348="","",IFERROR(INDEX('2_IMPORTAR_EJECUCION'!$F$9:$F$1208,MATCH($AT348,'2_IMPORTAR_EJECUCION'!$J$9:$J$1208,0)),0))</f>
        <v/>
      </c>
      <c r="AL348" s="18">
        <f>IF($A348="","",MAX(0,IFERROR(INDEX('2_IMPORTAR_EJECUCION'!$H$9:$H$1208,MATCH($AT348,'2_IMPORTAR_EJECUCION'!$J$9:$J$1208,0)),0)-$AK348))</f>
        <v/>
      </c>
      <c r="AM348" s="18">
        <f>IF($A348="","",$AK348+$AL348)</f>
        <v/>
      </c>
      <c r="AN348" s="5">
        <f>IF($A348="","",IF(OR((IFERROR(INDEX('CAT_ACTIVIDADES'!$D$4:$D$11,MATCH($H348,'CAT_ACTIVIDADES'!$A$4:$A$11,0)),""))=0,(IFERROR(INDEX('CAT_ACTIVIDADES'!$D$4:$D$11,MATCH($H348,'CAT_ACTIVIDADES'!$A$4:$A$11,0)),""))=""),"SIN CLASIFICAR",IFERROR(INDEX('CAT_ACTIVIDADES'!$D$4:$D$11,MATCH($H348,'CAT_ACTIVIDADES'!$A$4:$A$11,0)),"")))</f>
        <v/>
      </c>
      <c r="AO348" s="4" t="n"/>
      <c r="AP348" s="4" t="n"/>
      <c r="AQ348" s="4" t="n"/>
      <c r="AR348" s="5">
        <f>IF($AQ348="","",HYPERLINK(p_ruta_base_checklists&amp;$AQ348,"abrir"))</f>
        <v/>
      </c>
      <c r="AS348" s="4" t="n"/>
      <c r="AT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2" t="n"/>
      <c r="K349" s="5" t="n"/>
      <c r="L349" s="18" t="n"/>
      <c r="M349" s="5">
        <f>IF($A349="","",IFERROR(INDEX('AJUSTES'!$B$4:$B$303,MATCH($AT349,'AJUSTES'!$A$4:$A$303,0)),IF($K349="","",$K349)))</f>
        <v/>
      </c>
      <c r="N349" s="5">
        <f>IF($A349="","",IFERROR(INDEX('CAT_ESTADOS_ERP'!$B$4:$B$7,MATCH(IFERROR(INDEX('2_IMPORTAR_EJECUCION'!$C$9:$C$1208,MATCH($AT349,'2_IMPORTAR_EJECUCION'!$J$9:$J$1208,0)),""),'CAT_ESTADOS_ERP'!$A$4:$A$7,0)),"Pendiente"))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IF($J349="","",$P349&amp;"-"&amp;TEXT($Q349,"00"))</f>
        <v/>
      </c>
      <c r="S349" s="5">
        <f>IF($J349="","",INDEX(lista_dias,WEEKDAY($J349,2)))</f>
        <v/>
      </c>
      <c r="T349" s="5">
        <f>IF($J349="","",IFERROR(INDEX('CALENDARIO'!$C$15:$C$214,MATCH(TEXT($J349,"yyyy-mm-dd")&amp;"|"&amp;$X349&amp;"|"&amp;$Y349,'CALENDARIO'!$G$15:$G$214,0)),IFERROR(INDEX('CALENDARIO'!$C$15:$C$214,MATCH(TEXT($J349,"yyyy-mm-dd")&amp;"|"&amp;$X349&amp;"|",'CALENDARIO'!$G$15:$G$214,0)),IFERROR(INDEX('CALENDARIO'!$C$15:$C$214,MATCH(TEXT($J349,"yyyy-mm-dd")&amp;"||",'CALENDARIO'!$G$15:$G$214,0)),INDEX(patronHabil,WEEKDAY($J349,2))))))</f>
        <v/>
      </c>
      <c r="U349" s="5">
        <f>IF($I349="","",IFERROR(INDEX('CAT_TIPOS_OT'!$C$4:$C$8,MATCH($I349,'CAT_TIPOS_OT'!$A$4:$A$8,0)),"sin_clasificar"))</f>
        <v/>
      </c>
      <c r="V349" s="5">
        <f>IF($I349="","",IF(IFERROR(INDEX('CAT_TIPOS_OT'!$D$4:$D$8,MATCH($I349,'CAT_TIPOS_OT'!$A$4:$A$8,0)),"SIN CLASIFICAR")="","SIN CLASIFICAR",IFERROR(INDEX('CAT_TIPOS_OT'!$D$4:$D$8,MATCH($I349,'CAT_TIPOS_OT'!$A$4:$A$8,0)),"SIN CLASIFICAR")))</f>
        <v/>
      </c>
      <c r="W349" s="5">
        <f>IF($F349="","",IFERROR(INDEX('CAT_CENTROS_COSTO'!$F$4:$F$13,MATCH($F349,'CAT_CENTROS_COSTO'!$A$4:$A$13,0)),"(sin catálogo)"))</f>
        <v/>
      </c>
      <c r="X349" s="5">
        <f>IF($F349="","",IFERROR(INDEX('CAT_CENTROS_COSTO'!$D$4:$D$13,MATCH($F349,'CAT_CENTROS_COSTO'!$A$4:$A$13,0)),"(sin catálogo)"))</f>
        <v/>
      </c>
      <c r="Y349" s="5">
        <f>IF($F349="","",IF((IFERROR(INDEX('CAT_CENTROS_COSTO'!$E$4:$E$13,MATCH($F349,'CAT_CENTROS_COSTO'!$A$4:$A$13,0)),""))&lt;&gt;"",IFERROR(INDEX('CAT_CENTROS_COSTO'!$E$4:$E$13,MATCH($F349,'CAT_CENTROS_COSTO'!$A$4:$A$13,0)),""),$X349))</f>
        <v/>
      </c>
      <c r="Z349" s="5">
        <f>IF($F349="","",IFERROR(INDEX('CAT_CENTROS_COSTO'!$G$4:$G$13,MATCH($F349,'CAT_CENTROS_COSTO'!$A$4:$A$13,0)),"(sin catálogo)"))</f>
        <v/>
      </c>
      <c r="AA349" s="5">
        <f>IF($G349="","",IFERROR(INDEX('CAT_PUESTOS'!$B$4:$B$8,MATCH($G349,'CAT_PUESTOS'!$A$4:$A$8,0)),"(sin catálogo)"))</f>
        <v/>
      </c>
      <c r="AB349" s="5">
        <f>IF($H349="","",IFERROR(INDEX('CAT_ACTIVIDADES'!$B$4:$B$11,MATCH($H349,'CAT_ACTIVIDADES'!$A$4:$A$11,0)),"(sin catálogo)"))</f>
        <v/>
      </c>
      <c r="AC349" s="20">
        <f>IF($J349="","",TODAY()-$J349)</f>
        <v/>
      </c>
      <c r="AD349" s="20">
        <f>IF($J349="","",IF($J349&lt;=TODAY(),COUNTIFS(cal_fechas,"&gt;="&amp;$J349,cal_fechas,"&lt;"&amp;TODAY(),cal_habil,"sí"),-COUNTIFS(cal_fechas,"&gt;="&amp;TODAY(),cal_fechas,"&lt;"&amp;$J349,cal_habil,"sí")))</f>
        <v/>
      </c>
      <c r="AE349" s="5">
        <f>IF($AD349="","",IF($AD349&lt;0,"FUTURO",IF($AD349&gt;p_dias_backlog_max,"BACKLOG","MES CORRIENTE")))</f>
        <v/>
      </c>
      <c r="AF349" s="5">
        <f>IF($AD349="",FALSE,AND($AD349&gt;p_dias_backlog_min,$AD349&lt;=p_dias_backlog_max))</f>
        <v/>
      </c>
      <c r="AG349" s="4" t="n"/>
      <c r="AH349" s="5">
        <f>IF($AG349="","",IF((IFERROR(INDEX('ASIGNACIONES'!$J$4:$J$451,MATCH($O349&amp;"|"&amp;$S349&amp;"|"&amp;$AG349,'ASIGNACIONES'!$N$4:$N$451,0)),""))=0,"",IFERROR(INDEX('ASIGNACIONES'!$J$4:$J$451,MATCH($O349&amp;"|"&amp;$S349&amp;"|"&amp;$AG349,'ASIGNACIONES'!$N$4:$N$451,0)),"")))</f>
        <v/>
      </c>
      <c r="AI349" s="25">
        <f>IF($AG349="","",SUMIFS('ORDENES'!$M$4:$M$1203,'ORDENES'!$AG$4:$AG$1203,$AG349,'ORDENES'!$O$4:$O$1203,$O349,'ORDENES'!$S$4:$S$1203,$S349))</f>
        <v/>
      </c>
      <c r="AJ349" s="25">
        <f>IF($AI349="","",p_factor_productividad*IFERROR(INDEX('ASIGNACIONES'!$M$4:$M$451,MATCH($O349&amp;"|"&amp;$S349&amp;"|"&amp;$AG349,'ASIGNACIONES'!$N$4:$N$451,0)),0)-$AI349)</f>
        <v/>
      </c>
      <c r="AK349" s="18">
        <f>IF($A349="","",IFERROR(INDEX('2_IMPORTAR_EJECUCION'!$F$9:$F$1208,MATCH($AT349,'2_IMPORTAR_EJECUCION'!$J$9:$J$1208,0)),0))</f>
        <v/>
      </c>
      <c r="AL349" s="18">
        <f>IF($A349="","",MAX(0,IFERROR(INDEX('2_IMPORTAR_EJECUCION'!$H$9:$H$1208,MATCH($AT349,'2_IMPORTAR_EJECUCION'!$J$9:$J$1208,0)),0)-$AK349))</f>
        <v/>
      </c>
      <c r="AM349" s="18">
        <f>IF($A349="","",$AK349+$AL349)</f>
        <v/>
      </c>
      <c r="AN349" s="5">
        <f>IF($A349="","",IF(OR((IFERROR(INDEX('CAT_ACTIVIDADES'!$D$4:$D$11,MATCH($H349,'CAT_ACTIVIDADES'!$A$4:$A$11,0)),""))=0,(IFERROR(INDEX('CAT_ACTIVIDADES'!$D$4:$D$11,MATCH($H349,'CAT_ACTIVIDADES'!$A$4:$A$11,0)),""))=""),"SIN CLASIFICAR",IFERROR(INDEX('CAT_ACTIVIDADES'!$D$4:$D$11,MATCH($H349,'CAT_ACTIVIDADES'!$A$4:$A$11,0)),"")))</f>
        <v/>
      </c>
      <c r="AO349" s="4" t="n"/>
      <c r="AP349" s="4" t="n"/>
      <c r="AQ349" s="4" t="n"/>
      <c r="AR349" s="5">
        <f>IF($AQ349="","",HYPERLINK(p_ruta_base_checklists&amp;$AQ349,"abrir"))</f>
        <v/>
      </c>
      <c r="AS349" s="4" t="n"/>
      <c r="AT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2" t="n"/>
      <c r="K350" s="5" t="n"/>
      <c r="L350" s="18" t="n"/>
      <c r="M350" s="5">
        <f>IF($A350="","",IFERROR(INDEX('AJUSTES'!$B$4:$B$303,MATCH($AT350,'AJUSTES'!$A$4:$A$303,0)),IF($K350="","",$K350)))</f>
        <v/>
      </c>
      <c r="N350" s="5">
        <f>IF($A350="","",IFERROR(INDEX('CAT_ESTADOS_ERP'!$B$4:$B$7,MATCH(IFERROR(INDEX('2_IMPORTAR_EJECUCION'!$C$9:$C$1208,MATCH($AT350,'2_IMPORTAR_EJECUCION'!$J$9:$J$1208,0)),""),'CAT_ESTADOS_ERP'!$A$4:$A$7,0)),"Pendiente"))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IF($J350="","",$P350&amp;"-"&amp;TEXT($Q350,"00"))</f>
        <v/>
      </c>
      <c r="S350" s="5">
        <f>IF($J350="","",INDEX(lista_dias,WEEKDAY($J350,2)))</f>
        <v/>
      </c>
      <c r="T350" s="5">
        <f>IF($J350="","",IFERROR(INDEX('CALENDARIO'!$C$15:$C$214,MATCH(TEXT($J350,"yyyy-mm-dd")&amp;"|"&amp;$X350&amp;"|"&amp;$Y350,'CALENDARIO'!$G$15:$G$214,0)),IFERROR(INDEX('CALENDARIO'!$C$15:$C$214,MATCH(TEXT($J350,"yyyy-mm-dd")&amp;"|"&amp;$X350&amp;"|",'CALENDARIO'!$G$15:$G$214,0)),IFERROR(INDEX('CALENDARIO'!$C$15:$C$214,MATCH(TEXT($J350,"yyyy-mm-dd")&amp;"||",'CALENDARIO'!$G$15:$G$214,0)),INDEX(patronHabil,WEEKDAY($J350,2))))))</f>
        <v/>
      </c>
      <c r="U350" s="5">
        <f>IF($I350="","",IFERROR(INDEX('CAT_TIPOS_OT'!$C$4:$C$8,MATCH($I350,'CAT_TIPOS_OT'!$A$4:$A$8,0)),"sin_clasificar"))</f>
        <v/>
      </c>
      <c r="V350" s="5">
        <f>IF($I350="","",IF(IFERROR(INDEX('CAT_TIPOS_OT'!$D$4:$D$8,MATCH($I350,'CAT_TIPOS_OT'!$A$4:$A$8,0)),"SIN CLASIFICAR")="","SIN CLASIFICAR",IFERROR(INDEX('CAT_TIPOS_OT'!$D$4:$D$8,MATCH($I350,'CAT_TIPOS_OT'!$A$4:$A$8,0)),"SIN CLASIFICAR")))</f>
        <v/>
      </c>
      <c r="W350" s="5">
        <f>IF($F350="","",IFERROR(INDEX('CAT_CENTROS_COSTO'!$F$4:$F$13,MATCH($F350,'CAT_CENTROS_COSTO'!$A$4:$A$13,0)),"(sin catálogo)"))</f>
        <v/>
      </c>
      <c r="X350" s="5">
        <f>IF($F350="","",IFERROR(INDEX('CAT_CENTROS_COSTO'!$D$4:$D$13,MATCH($F350,'CAT_CENTROS_COSTO'!$A$4:$A$13,0)),"(sin catálogo)"))</f>
        <v/>
      </c>
      <c r="Y350" s="5">
        <f>IF($F350="","",IF((IFERROR(INDEX('CAT_CENTROS_COSTO'!$E$4:$E$13,MATCH($F350,'CAT_CENTROS_COSTO'!$A$4:$A$13,0)),""))&lt;&gt;"",IFERROR(INDEX('CAT_CENTROS_COSTO'!$E$4:$E$13,MATCH($F350,'CAT_CENTROS_COSTO'!$A$4:$A$13,0)),""),$X350))</f>
        <v/>
      </c>
      <c r="Z350" s="5">
        <f>IF($F350="","",IFERROR(INDEX('CAT_CENTROS_COSTO'!$G$4:$G$13,MATCH($F350,'CAT_CENTROS_COSTO'!$A$4:$A$13,0)),"(sin catálogo)"))</f>
        <v/>
      </c>
      <c r="AA350" s="5">
        <f>IF($G350="","",IFERROR(INDEX('CAT_PUESTOS'!$B$4:$B$8,MATCH($G350,'CAT_PUESTOS'!$A$4:$A$8,0)),"(sin catálogo)"))</f>
        <v/>
      </c>
      <c r="AB350" s="5">
        <f>IF($H350="","",IFERROR(INDEX('CAT_ACTIVIDADES'!$B$4:$B$11,MATCH($H350,'CAT_ACTIVIDADES'!$A$4:$A$11,0)),"(sin catálogo)"))</f>
        <v/>
      </c>
      <c r="AC350" s="20">
        <f>IF($J350="","",TODAY()-$J350)</f>
        <v/>
      </c>
      <c r="AD350" s="20">
        <f>IF($J350="","",IF($J350&lt;=TODAY(),COUNTIFS(cal_fechas,"&gt;="&amp;$J350,cal_fechas,"&lt;"&amp;TODAY(),cal_habil,"sí"),-COUNTIFS(cal_fechas,"&gt;="&amp;TODAY(),cal_fechas,"&lt;"&amp;$J350,cal_habil,"sí")))</f>
        <v/>
      </c>
      <c r="AE350" s="5">
        <f>IF($AD350="","",IF($AD350&lt;0,"FUTURO",IF($AD350&gt;p_dias_backlog_max,"BACKLOG","MES CORRIENTE")))</f>
        <v/>
      </c>
      <c r="AF350" s="5">
        <f>IF($AD350="",FALSE,AND($AD350&gt;p_dias_backlog_min,$AD350&lt;=p_dias_backlog_max))</f>
        <v/>
      </c>
      <c r="AG350" s="4" t="n"/>
      <c r="AH350" s="5">
        <f>IF($AG350="","",IF((IFERROR(INDEX('ASIGNACIONES'!$J$4:$J$451,MATCH($O350&amp;"|"&amp;$S350&amp;"|"&amp;$AG350,'ASIGNACIONES'!$N$4:$N$451,0)),""))=0,"",IFERROR(INDEX('ASIGNACIONES'!$J$4:$J$451,MATCH($O350&amp;"|"&amp;$S350&amp;"|"&amp;$AG350,'ASIGNACIONES'!$N$4:$N$451,0)),"")))</f>
        <v/>
      </c>
      <c r="AI350" s="25">
        <f>IF($AG350="","",SUMIFS('ORDENES'!$M$4:$M$1203,'ORDENES'!$AG$4:$AG$1203,$AG350,'ORDENES'!$O$4:$O$1203,$O350,'ORDENES'!$S$4:$S$1203,$S350))</f>
        <v/>
      </c>
      <c r="AJ350" s="25">
        <f>IF($AI350="","",p_factor_productividad*IFERROR(INDEX('ASIGNACIONES'!$M$4:$M$451,MATCH($O350&amp;"|"&amp;$S350&amp;"|"&amp;$AG350,'ASIGNACIONES'!$N$4:$N$451,0)),0)-$AI350)</f>
        <v/>
      </c>
      <c r="AK350" s="18">
        <f>IF($A350="","",IFERROR(INDEX('2_IMPORTAR_EJECUCION'!$F$9:$F$1208,MATCH($AT350,'2_IMPORTAR_EJECUCION'!$J$9:$J$1208,0)),0))</f>
        <v/>
      </c>
      <c r="AL350" s="18">
        <f>IF($A350="","",MAX(0,IFERROR(INDEX('2_IMPORTAR_EJECUCION'!$H$9:$H$1208,MATCH($AT350,'2_IMPORTAR_EJECUCION'!$J$9:$J$1208,0)),0)-$AK350))</f>
        <v/>
      </c>
      <c r="AM350" s="18">
        <f>IF($A350="","",$AK350+$AL350)</f>
        <v/>
      </c>
      <c r="AN350" s="5">
        <f>IF($A350="","",IF(OR((IFERROR(INDEX('CAT_ACTIVIDADES'!$D$4:$D$11,MATCH($H350,'CAT_ACTIVIDADES'!$A$4:$A$11,0)),""))=0,(IFERROR(INDEX('CAT_ACTIVIDADES'!$D$4:$D$11,MATCH($H350,'CAT_ACTIVIDADES'!$A$4:$A$11,0)),""))=""),"SIN CLASIFICAR",IFERROR(INDEX('CAT_ACTIVIDADES'!$D$4:$D$11,MATCH($H350,'CAT_ACTIVIDADES'!$A$4:$A$11,0)),"")))</f>
        <v/>
      </c>
      <c r="AO350" s="4" t="n"/>
      <c r="AP350" s="4" t="n"/>
      <c r="AQ350" s="4" t="n"/>
      <c r="AR350" s="5">
        <f>IF($AQ350="","",HYPERLINK(p_ruta_base_checklists&amp;$AQ350,"abrir"))</f>
        <v/>
      </c>
      <c r="AS350" s="4" t="n"/>
      <c r="AT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2" t="n"/>
      <c r="K351" s="5" t="n"/>
      <c r="L351" s="18" t="n"/>
      <c r="M351" s="5">
        <f>IF($A351="","",IFERROR(INDEX('AJUSTES'!$B$4:$B$303,MATCH($AT351,'AJUSTES'!$A$4:$A$303,0)),IF($K351="","",$K351)))</f>
        <v/>
      </c>
      <c r="N351" s="5">
        <f>IF($A351="","",IFERROR(INDEX('CAT_ESTADOS_ERP'!$B$4:$B$7,MATCH(IFERROR(INDEX('2_IMPORTAR_EJECUCION'!$C$9:$C$1208,MATCH($AT351,'2_IMPORTAR_EJECUCION'!$J$9:$J$1208,0)),""),'CAT_ESTADOS_ERP'!$A$4:$A$7,0)),"Pendiente"))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IF($J351="","",$P351&amp;"-"&amp;TEXT($Q351,"00"))</f>
        <v/>
      </c>
      <c r="S351" s="5">
        <f>IF($J351="","",INDEX(lista_dias,WEEKDAY($J351,2)))</f>
        <v/>
      </c>
      <c r="T351" s="5">
        <f>IF($J351="","",IFERROR(INDEX('CALENDARIO'!$C$15:$C$214,MATCH(TEXT($J351,"yyyy-mm-dd")&amp;"|"&amp;$X351&amp;"|"&amp;$Y351,'CALENDARIO'!$G$15:$G$214,0)),IFERROR(INDEX('CALENDARIO'!$C$15:$C$214,MATCH(TEXT($J351,"yyyy-mm-dd")&amp;"|"&amp;$X351&amp;"|",'CALENDARIO'!$G$15:$G$214,0)),IFERROR(INDEX('CALENDARIO'!$C$15:$C$214,MATCH(TEXT($J351,"yyyy-mm-dd")&amp;"||",'CALENDARIO'!$G$15:$G$214,0)),INDEX(patronHabil,WEEKDAY($J351,2))))))</f>
        <v/>
      </c>
      <c r="U351" s="5">
        <f>IF($I351="","",IFERROR(INDEX('CAT_TIPOS_OT'!$C$4:$C$8,MATCH($I351,'CAT_TIPOS_OT'!$A$4:$A$8,0)),"sin_clasificar"))</f>
        <v/>
      </c>
      <c r="V351" s="5">
        <f>IF($I351="","",IF(IFERROR(INDEX('CAT_TIPOS_OT'!$D$4:$D$8,MATCH($I351,'CAT_TIPOS_OT'!$A$4:$A$8,0)),"SIN CLASIFICAR")="","SIN CLASIFICAR",IFERROR(INDEX('CAT_TIPOS_OT'!$D$4:$D$8,MATCH($I351,'CAT_TIPOS_OT'!$A$4:$A$8,0)),"SIN CLASIFICAR")))</f>
        <v/>
      </c>
      <c r="W351" s="5">
        <f>IF($F351="","",IFERROR(INDEX('CAT_CENTROS_COSTO'!$F$4:$F$13,MATCH($F351,'CAT_CENTROS_COSTO'!$A$4:$A$13,0)),"(sin catálogo)"))</f>
        <v/>
      </c>
      <c r="X351" s="5">
        <f>IF($F351="","",IFERROR(INDEX('CAT_CENTROS_COSTO'!$D$4:$D$13,MATCH($F351,'CAT_CENTROS_COSTO'!$A$4:$A$13,0)),"(sin catálogo)"))</f>
        <v/>
      </c>
      <c r="Y351" s="5">
        <f>IF($F351="","",IF((IFERROR(INDEX('CAT_CENTROS_COSTO'!$E$4:$E$13,MATCH($F351,'CAT_CENTROS_COSTO'!$A$4:$A$13,0)),""))&lt;&gt;"",IFERROR(INDEX('CAT_CENTROS_COSTO'!$E$4:$E$13,MATCH($F351,'CAT_CENTROS_COSTO'!$A$4:$A$13,0)),""),$X351))</f>
        <v/>
      </c>
      <c r="Z351" s="5">
        <f>IF($F351="","",IFERROR(INDEX('CAT_CENTROS_COSTO'!$G$4:$G$13,MATCH($F351,'CAT_CENTROS_COSTO'!$A$4:$A$13,0)),"(sin catálogo)"))</f>
        <v/>
      </c>
      <c r="AA351" s="5">
        <f>IF($G351="","",IFERROR(INDEX('CAT_PUESTOS'!$B$4:$B$8,MATCH($G351,'CAT_PUESTOS'!$A$4:$A$8,0)),"(sin catálogo)"))</f>
        <v/>
      </c>
      <c r="AB351" s="5">
        <f>IF($H351="","",IFERROR(INDEX('CAT_ACTIVIDADES'!$B$4:$B$11,MATCH($H351,'CAT_ACTIVIDADES'!$A$4:$A$11,0)),"(sin catálogo)"))</f>
        <v/>
      </c>
      <c r="AC351" s="20">
        <f>IF($J351="","",TODAY()-$J351)</f>
        <v/>
      </c>
      <c r="AD351" s="20">
        <f>IF($J351="","",IF($J351&lt;=TODAY(),COUNTIFS(cal_fechas,"&gt;="&amp;$J351,cal_fechas,"&lt;"&amp;TODAY(),cal_habil,"sí"),-COUNTIFS(cal_fechas,"&gt;="&amp;TODAY(),cal_fechas,"&lt;"&amp;$J351,cal_habil,"sí")))</f>
        <v/>
      </c>
      <c r="AE351" s="5">
        <f>IF($AD351="","",IF($AD351&lt;0,"FUTURO",IF($AD351&gt;p_dias_backlog_max,"BACKLOG","MES CORRIENTE")))</f>
        <v/>
      </c>
      <c r="AF351" s="5">
        <f>IF($AD351="",FALSE,AND($AD351&gt;p_dias_backlog_min,$AD351&lt;=p_dias_backlog_max))</f>
        <v/>
      </c>
      <c r="AG351" s="4" t="n"/>
      <c r="AH351" s="5">
        <f>IF($AG351="","",IF((IFERROR(INDEX('ASIGNACIONES'!$J$4:$J$451,MATCH($O351&amp;"|"&amp;$S351&amp;"|"&amp;$AG351,'ASIGNACIONES'!$N$4:$N$451,0)),""))=0,"",IFERROR(INDEX('ASIGNACIONES'!$J$4:$J$451,MATCH($O351&amp;"|"&amp;$S351&amp;"|"&amp;$AG351,'ASIGNACIONES'!$N$4:$N$451,0)),"")))</f>
        <v/>
      </c>
      <c r="AI351" s="25">
        <f>IF($AG351="","",SUMIFS('ORDENES'!$M$4:$M$1203,'ORDENES'!$AG$4:$AG$1203,$AG351,'ORDENES'!$O$4:$O$1203,$O351,'ORDENES'!$S$4:$S$1203,$S351))</f>
        <v/>
      </c>
      <c r="AJ351" s="25">
        <f>IF($AI351="","",p_factor_productividad*IFERROR(INDEX('ASIGNACIONES'!$M$4:$M$451,MATCH($O351&amp;"|"&amp;$S351&amp;"|"&amp;$AG351,'ASIGNACIONES'!$N$4:$N$451,0)),0)-$AI351)</f>
        <v/>
      </c>
      <c r="AK351" s="18">
        <f>IF($A351="","",IFERROR(INDEX('2_IMPORTAR_EJECUCION'!$F$9:$F$1208,MATCH($AT351,'2_IMPORTAR_EJECUCION'!$J$9:$J$1208,0)),0))</f>
        <v/>
      </c>
      <c r="AL351" s="18">
        <f>IF($A351="","",MAX(0,IFERROR(INDEX('2_IMPORTAR_EJECUCION'!$H$9:$H$1208,MATCH($AT351,'2_IMPORTAR_EJECUCION'!$J$9:$J$1208,0)),0)-$AK351))</f>
        <v/>
      </c>
      <c r="AM351" s="18">
        <f>IF($A351="","",$AK351+$AL351)</f>
        <v/>
      </c>
      <c r="AN351" s="5">
        <f>IF($A351="","",IF(OR((IFERROR(INDEX('CAT_ACTIVIDADES'!$D$4:$D$11,MATCH($H351,'CAT_ACTIVIDADES'!$A$4:$A$11,0)),""))=0,(IFERROR(INDEX('CAT_ACTIVIDADES'!$D$4:$D$11,MATCH($H351,'CAT_ACTIVIDADES'!$A$4:$A$11,0)),""))=""),"SIN CLASIFICAR",IFERROR(INDEX('CAT_ACTIVIDADES'!$D$4:$D$11,MATCH($H351,'CAT_ACTIVIDADES'!$A$4:$A$11,0)),"")))</f>
        <v/>
      </c>
      <c r="AO351" s="4" t="n"/>
      <c r="AP351" s="4" t="n"/>
      <c r="AQ351" s="4" t="n"/>
      <c r="AR351" s="5">
        <f>IF($AQ351="","",HYPERLINK(p_ruta_base_checklists&amp;$AQ351,"abrir"))</f>
        <v/>
      </c>
      <c r="AS351" s="4" t="n"/>
      <c r="AT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2" t="n"/>
      <c r="K352" s="5" t="n"/>
      <c r="L352" s="18" t="n"/>
      <c r="M352" s="5">
        <f>IF($A352="","",IFERROR(INDEX('AJUSTES'!$B$4:$B$303,MATCH($AT352,'AJUSTES'!$A$4:$A$303,0)),IF($K352="","",$K352)))</f>
        <v/>
      </c>
      <c r="N352" s="5">
        <f>IF($A352="","",IFERROR(INDEX('CAT_ESTADOS_ERP'!$B$4:$B$7,MATCH(IFERROR(INDEX('2_IMPORTAR_EJECUCION'!$C$9:$C$1208,MATCH($AT352,'2_IMPORTAR_EJECUCION'!$J$9:$J$1208,0)),""),'CAT_ESTADOS_ERP'!$A$4:$A$7,0)),"Pendiente"))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IF($J352="","",$P352&amp;"-"&amp;TEXT($Q352,"00"))</f>
        <v/>
      </c>
      <c r="S352" s="5">
        <f>IF($J352="","",INDEX(lista_dias,WEEKDAY($J352,2)))</f>
        <v/>
      </c>
      <c r="T352" s="5">
        <f>IF($J352="","",IFERROR(INDEX('CALENDARIO'!$C$15:$C$214,MATCH(TEXT($J352,"yyyy-mm-dd")&amp;"|"&amp;$X352&amp;"|"&amp;$Y352,'CALENDARIO'!$G$15:$G$214,0)),IFERROR(INDEX('CALENDARIO'!$C$15:$C$214,MATCH(TEXT($J352,"yyyy-mm-dd")&amp;"|"&amp;$X352&amp;"|",'CALENDARIO'!$G$15:$G$214,0)),IFERROR(INDEX('CALENDARIO'!$C$15:$C$214,MATCH(TEXT($J352,"yyyy-mm-dd")&amp;"||",'CALENDARIO'!$G$15:$G$214,0)),INDEX(patronHabil,WEEKDAY($J352,2))))))</f>
        <v/>
      </c>
      <c r="U352" s="5">
        <f>IF($I352="","",IFERROR(INDEX('CAT_TIPOS_OT'!$C$4:$C$8,MATCH($I352,'CAT_TIPOS_OT'!$A$4:$A$8,0)),"sin_clasificar"))</f>
        <v/>
      </c>
      <c r="V352" s="5">
        <f>IF($I352="","",IF(IFERROR(INDEX('CAT_TIPOS_OT'!$D$4:$D$8,MATCH($I352,'CAT_TIPOS_OT'!$A$4:$A$8,0)),"SIN CLASIFICAR")="","SIN CLASIFICAR",IFERROR(INDEX('CAT_TIPOS_OT'!$D$4:$D$8,MATCH($I352,'CAT_TIPOS_OT'!$A$4:$A$8,0)),"SIN CLASIFICAR")))</f>
        <v/>
      </c>
      <c r="W352" s="5">
        <f>IF($F352="","",IFERROR(INDEX('CAT_CENTROS_COSTO'!$F$4:$F$13,MATCH($F352,'CAT_CENTROS_COSTO'!$A$4:$A$13,0)),"(sin catálogo)"))</f>
        <v/>
      </c>
      <c r="X352" s="5">
        <f>IF($F352="","",IFERROR(INDEX('CAT_CENTROS_COSTO'!$D$4:$D$13,MATCH($F352,'CAT_CENTROS_COSTO'!$A$4:$A$13,0)),"(sin catálogo)"))</f>
        <v/>
      </c>
      <c r="Y352" s="5">
        <f>IF($F352="","",IF((IFERROR(INDEX('CAT_CENTROS_COSTO'!$E$4:$E$13,MATCH($F352,'CAT_CENTROS_COSTO'!$A$4:$A$13,0)),""))&lt;&gt;"",IFERROR(INDEX('CAT_CENTROS_COSTO'!$E$4:$E$13,MATCH($F352,'CAT_CENTROS_COSTO'!$A$4:$A$13,0)),""),$X352))</f>
        <v/>
      </c>
      <c r="Z352" s="5">
        <f>IF($F352="","",IFERROR(INDEX('CAT_CENTROS_COSTO'!$G$4:$G$13,MATCH($F352,'CAT_CENTROS_COSTO'!$A$4:$A$13,0)),"(sin catálogo)"))</f>
        <v/>
      </c>
      <c r="AA352" s="5">
        <f>IF($G352="","",IFERROR(INDEX('CAT_PUESTOS'!$B$4:$B$8,MATCH($G352,'CAT_PUESTOS'!$A$4:$A$8,0)),"(sin catálogo)"))</f>
        <v/>
      </c>
      <c r="AB352" s="5">
        <f>IF($H352="","",IFERROR(INDEX('CAT_ACTIVIDADES'!$B$4:$B$11,MATCH($H352,'CAT_ACTIVIDADES'!$A$4:$A$11,0)),"(sin catálogo)"))</f>
        <v/>
      </c>
      <c r="AC352" s="20">
        <f>IF($J352="","",TODAY()-$J352)</f>
        <v/>
      </c>
      <c r="AD352" s="20">
        <f>IF($J352="","",IF($J352&lt;=TODAY(),COUNTIFS(cal_fechas,"&gt;="&amp;$J352,cal_fechas,"&lt;"&amp;TODAY(),cal_habil,"sí"),-COUNTIFS(cal_fechas,"&gt;="&amp;TODAY(),cal_fechas,"&lt;"&amp;$J352,cal_habil,"sí")))</f>
        <v/>
      </c>
      <c r="AE352" s="5">
        <f>IF($AD352="","",IF($AD352&lt;0,"FUTURO",IF($AD352&gt;p_dias_backlog_max,"BACKLOG","MES CORRIENTE")))</f>
        <v/>
      </c>
      <c r="AF352" s="5">
        <f>IF($AD352="",FALSE,AND($AD352&gt;p_dias_backlog_min,$AD352&lt;=p_dias_backlog_max))</f>
        <v/>
      </c>
      <c r="AG352" s="4" t="n"/>
      <c r="AH352" s="5">
        <f>IF($AG352="","",IF((IFERROR(INDEX('ASIGNACIONES'!$J$4:$J$451,MATCH($O352&amp;"|"&amp;$S352&amp;"|"&amp;$AG352,'ASIGNACIONES'!$N$4:$N$451,0)),""))=0,"",IFERROR(INDEX('ASIGNACIONES'!$J$4:$J$451,MATCH($O352&amp;"|"&amp;$S352&amp;"|"&amp;$AG352,'ASIGNACIONES'!$N$4:$N$451,0)),"")))</f>
        <v/>
      </c>
      <c r="AI352" s="25">
        <f>IF($AG352="","",SUMIFS('ORDENES'!$M$4:$M$1203,'ORDENES'!$AG$4:$AG$1203,$AG352,'ORDENES'!$O$4:$O$1203,$O352,'ORDENES'!$S$4:$S$1203,$S352))</f>
        <v/>
      </c>
      <c r="AJ352" s="25">
        <f>IF($AI352="","",p_factor_productividad*IFERROR(INDEX('ASIGNACIONES'!$M$4:$M$451,MATCH($O352&amp;"|"&amp;$S352&amp;"|"&amp;$AG352,'ASIGNACIONES'!$N$4:$N$451,0)),0)-$AI352)</f>
        <v/>
      </c>
      <c r="AK352" s="18">
        <f>IF($A352="","",IFERROR(INDEX('2_IMPORTAR_EJECUCION'!$F$9:$F$1208,MATCH($AT352,'2_IMPORTAR_EJECUCION'!$J$9:$J$1208,0)),0))</f>
        <v/>
      </c>
      <c r="AL352" s="18">
        <f>IF($A352="","",MAX(0,IFERROR(INDEX('2_IMPORTAR_EJECUCION'!$H$9:$H$1208,MATCH($AT352,'2_IMPORTAR_EJECUCION'!$J$9:$J$1208,0)),0)-$AK352))</f>
        <v/>
      </c>
      <c r="AM352" s="18">
        <f>IF($A352="","",$AK352+$AL352)</f>
        <v/>
      </c>
      <c r="AN352" s="5">
        <f>IF($A352="","",IF(OR((IFERROR(INDEX('CAT_ACTIVIDADES'!$D$4:$D$11,MATCH($H352,'CAT_ACTIVIDADES'!$A$4:$A$11,0)),""))=0,(IFERROR(INDEX('CAT_ACTIVIDADES'!$D$4:$D$11,MATCH($H352,'CAT_ACTIVIDADES'!$A$4:$A$11,0)),""))=""),"SIN CLASIFICAR",IFERROR(INDEX('CAT_ACTIVIDADES'!$D$4:$D$11,MATCH($H352,'CAT_ACTIVIDADES'!$A$4:$A$11,0)),"")))</f>
        <v/>
      </c>
      <c r="AO352" s="4" t="n"/>
      <c r="AP352" s="4" t="n"/>
      <c r="AQ352" s="4" t="n"/>
      <c r="AR352" s="5">
        <f>IF($AQ352="","",HYPERLINK(p_ruta_base_checklists&amp;$AQ352,"abrir"))</f>
        <v/>
      </c>
      <c r="AS352" s="4" t="n"/>
      <c r="AT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2" t="n"/>
      <c r="K353" s="5" t="n"/>
      <c r="L353" s="18" t="n"/>
      <c r="M353" s="5">
        <f>IF($A353="","",IFERROR(INDEX('AJUSTES'!$B$4:$B$303,MATCH($AT353,'AJUSTES'!$A$4:$A$303,0)),IF($K353="","",$K353)))</f>
        <v/>
      </c>
      <c r="N353" s="5">
        <f>IF($A353="","",IFERROR(INDEX('CAT_ESTADOS_ERP'!$B$4:$B$7,MATCH(IFERROR(INDEX('2_IMPORTAR_EJECUCION'!$C$9:$C$1208,MATCH($AT353,'2_IMPORTAR_EJECUCION'!$J$9:$J$1208,0)),""),'CAT_ESTADOS_ERP'!$A$4:$A$7,0)),"Pendiente"))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IF($J353="","",$P353&amp;"-"&amp;TEXT($Q353,"00"))</f>
        <v/>
      </c>
      <c r="S353" s="5">
        <f>IF($J353="","",INDEX(lista_dias,WEEKDAY($J353,2)))</f>
        <v/>
      </c>
      <c r="T353" s="5">
        <f>IF($J353="","",IFERROR(INDEX('CALENDARIO'!$C$15:$C$214,MATCH(TEXT($J353,"yyyy-mm-dd")&amp;"|"&amp;$X353&amp;"|"&amp;$Y353,'CALENDARIO'!$G$15:$G$214,0)),IFERROR(INDEX('CALENDARIO'!$C$15:$C$214,MATCH(TEXT($J353,"yyyy-mm-dd")&amp;"|"&amp;$X353&amp;"|",'CALENDARIO'!$G$15:$G$214,0)),IFERROR(INDEX('CALENDARIO'!$C$15:$C$214,MATCH(TEXT($J353,"yyyy-mm-dd")&amp;"||",'CALENDARIO'!$G$15:$G$214,0)),INDEX(patronHabil,WEEKDAY($J353,2))))))</f>
        <v/>
      </c>
      <c r="U353" s="5">
        <f>IF($I353="","",IFERROR(INDEX('CAT_TIPOS_OT'!$C$4:$C$8,MATCH($I353,'CAT_TIPOS_OT'!$A$4:$A$8,0)),"sin_clasificar"))</f>
        <v/>
      </c>
      <c r="V353" s="5">
        <f>IF($I353="","",IF(IFERROR(INDEX('CAT_TIPOS_OT'!$D$4:$D$8,MATCH($I353,'CAT_TIPOS_OT'!$A$4:$A$8,0)),"SIN CLASIFICAR")="","SIN CLASIFICAR",IFERROR(INDEX('CAT_TIPOS_OT'!$D$4:$D$8,MATCH($I353,'CAT_TIPOS_OT'!$A$4:$A$8,0)),"SIN CLASIFICAR")))</f>
        <v/>
      </c>
      <c r="W353" s="5">
        <f>IF($F353="","",IFERROR(INDEX('CAT_CENTROS_COSTO'!$F$4:$F$13,MATCH($F353,'CAT_CENTROS_COSTO'!$A$4:$A$13,0)),"(sin catálogo)"))</f>
        <v/>
      </c>
      <c r="X353" s="5">
        <f>IF($F353="","",IFERROR(INDEX('CAT_CENTROS_COSTO'!$D$4:$D$13,MATCH($F353,'CAT_CENTROS_COSTO'!$A$4:$A$13,0)),"(sin catálogo)"))</f>
        <v/>
      </c>
      <c r="Y353" s="5">
        <f>IF($F353="","",IF((IFERROR(INDEX('CAT_CENTROS_COSTO'!$E$4:$E$13,MATCH($F353,'CAT_CENTROS_COSTO'!$A$4:$A$13,0)),""))&lt;&gt;"",IFERROR(INDEX('CAT_CENTROS_COSTO'!$E$4:$E$13,MATCH($F353,'CAT_CENTROS_COSTO'!$A$4:$A$13,0)),""),$X353))</f>
        <v/>
      </c>
      <c r="Z353" s="5">
        <f>IF($F353="","",IFERROR(INDEX('CAT_CENTROS_COSTO'!$G$4:$G$13,MATCH($F353,'CAT_CENTROS_COSTO'!$A$4:$A$13,0)),"(sin catálogo)"))</f>
        <v/>
      </c>
      <c r="AA353" s="5">
        <f>IF($G353="","",IFERROR(INDEX('CAT_PUESTOS'!$B$4:$B$8,MATCH($G353,'CAT_PUESTOS'!$A$4:$A$8,0)),"(sin catálogo)"))</f>
        <v/>
      </c>
      <c r="AB353" s="5">
        <f>IF($H353="","",IFERROR(INDEX('CAT_ACTIVIDADES'!$B$4:$B$11,MATCH($H353,'CAT_ACTIVIDADES'!$A$4:$A$11,0)),"(sin catálogo)"))</f>
        <v/>
      </c>
      <c r="AC353" s="20">
        <f>IF($J353="","",TODAY()-$J353)</f>
        <v/>
      </c>
      <c r="AD353" s="20">
        <f>IF($J353="","",IF($J353&lt;=TODAY(),COUNTIFS(cal_fechas,"&gt;="&amp;$J353,cal_fechas,"&lt;"&amp;TODAY(),cal_habil,"sí"),-COUNTIFS(cal_fechas,"&gt;="&amp;TODAY(),cal_fechas,"&lt;"&amp;$J353,cal_habil,"sí")))</f>
        <v/>
      </c>
      <c r="AE353" s="5">
        <f>IF($AD353="","",IF($AD353&lt;0,"FUTURO",IF($AD353&gt;p_dias_backlog_max,"BACKLOG","MES CORRIENTE")))</f>
        <v/>
      </c>
      <c r="AF353" s="5">
        <f>IF($AD353="",FALSE,AND($AD353&gt;p_dias_backlog_min,$AD353&lt;=p_dias_backlog_max))</f>
        <v/>
      </c>
      <c r="AG353" s="4" t="n"/>
      <c r="AH353" s="5">
        <f>IF($AG353="","",IF((IFERROR(INDEX('ASIGNACIONES'!$J$4:$J$451,MATCH($O353&amp;"|"&amp;$S353&amp;"|"&amp;$AG353,'ASIGNACIONES'!$N$4:$N$451,0)),""))=0,"",IFERROR(INDEX('ASIGNACIONES'!$J$4:$J$451,MATCH($O353&amp;"|"&amp;$S353&amp;"|"&amp;$AG353,'ASIGNACIONES'!$N$4:$N$451,0)),"")))</f>
        <v/>
      </c>
      <c r="AI353" s="25">
        <f>IF($AG353="","",SUMIFS('ORDENES'!$M$4:$M$1203,'ORDENES'!$AG$4:$AG$1203,$AG353,'ORDENES'!$O$4:$O$1203,$O353,'ORDENES'!$S$4:$S$1203,$S353))</f>
        <v/>
      </c>
      <c r="AJ353" s="25">
        <f>IF($AI353="","",p_factor_productividad*IFERROR(INDEX('ASIGNACIONES'!$M$4:$M$451,MATCH($O353&amp;"|"&amp;$S353&amp;"|"&amp;$AG353,'ASIGNACIONES'!$N$4:$N$451,0)),0)-$AI353)</f>
        <v/>
      </c>
      <c r="AK353" s="18">
        <f>IF($A353="","",IFERROR(INDEX('2_IMPORTAR_EJECUCION'!$F$9:$F$1208,MATCH($AT353,'2_IMPORTAR_EJECUCION'!$J$9:$J$1208,0)),0))</f>
        <v/>
      </c>
      <c r="AL353" s="18">
        <f>IF($A353="","",MAX(0,IFERROR(INDEX('2_IMPORTAR_EJECUCION'!$H$9:$H$1208,MATCH($AT353,'2_IMPORTAR_EJECUCION'!$J$9:$J$1208,0)),0)-$AK353))</f>
        <v/>
      </c>
      <c r="AM353" s="18">
        <f>IF($A353="","",$AK353+$AL353)</f>
        <v/>
      </c>
      <c r="AN353" s="5">
        <f>IF($A353="","",IF(OR((IFERROR(INDEX('CAT_ACTIVIDADES'!$D$4:$D$11,MATCH($H353,'CAT_ACTIVIDADES'!$A$4:$A$11,0)),""))=0,(IFERROR(INDEX('CAT_ACTIVIDADES'!$D$4:$D$11,MATCH($H353,'CAT_ACTIVIDADES'!$A$4:$A$11,0)),""))=""),"SIN CLASIFICAR",IFERROR(INDEX('CAT_ACTIVIDADES'!$D$4:$D$11,MATCH($H353,'CAT_ACTIVIDADES'!$A$4:$A$11,0)),"")))</f>
        <v/>
      </c>
      <c r="AO353" s="4" t="n"/>
      <c r="AP353" s="4" t="n"/>
      <c r="AQ353" s="4" t="n"/>
      <c r="AR353" s="5">
        <f>IF($AQ353="","",HYPERLINK(p_ruta_base_checklists&amp;$AQ353,"abrir"))</f>
        <v/>
      </c>
      <c r="AS353" s="4" t="n"/>
      <c r="AT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2" t="n"/>
      <c r="K354" s="5" t="n"/>
      <c r="L354" s="18" t="n"/>
      <c r="M354" s="5">
        <f>IF($A354="","",IFERROR(INDEX('AJUSTES'!$B$4:$B$303,MATCH($AT354,'AJUSTES'!$A$4:$A$303,0)),IF($K354="","",$K354)))</f>
        <v/>
      </c>
      <c r="N354" s="5">
        <f>IF($A354="","",IFERROR(INDEX('CAT_ESTADOS_ERP'!$B$4:$B$7,MATCH(IFERROR(INDEX('2_IMPORTAR_EJECUCION'!$C$9:$C$1208,MATCH($AT354,'2_IMPORTAR_EJECUCION'!$J$9:$J$1208,0)),""),'CAT_ESTADOS_ERP'!$A$4:$A$7,0)),"Pendiente"))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IF($J354="","",$P354&amp;"-"&amp;TEXT($Q354,"00"))</f>
        <v/>
      </c>
      <c r="S354" s="5">
        <f>IF($J354="","",INDEX(lista_dias,WEEKDAY($J354,2)))</f>
        <v/>
      </c>
      <c r="T354" s="5">
        <f>IF($J354="","",IFERROR(INDEX('CALENDARIO'!$C$15:$C$214,MATCH(TEXT($J354,"yyyy-mm-dd")&amp;"|"&amp;$X354&amp;"|"&amp;$Y354,'CALENDARIO'!$G$15:$G$214,0)),IFERROR(INDEX('CALENDARIO'!$C$15:$C$214,MATCH(TEXT($J354,"yyyy-mm-dd")&amp;"|"&amp;$X354&amp;"|",'CALENDARIO'!$G$15:$G$214,0)),IFERROR(INDEX('CALENDARIO'!$C$15:$C$214,MATCH(TEXT($J354,"yyyy-mm-dd")&amp;"||",'CALENDARIO'!$G$15:$G$214,0)),INDEX(patronHabil,WEEKDAY($J354,2))))))</f>
        <v/>
      </c>
      <c r="U354" s="5">
        <f>IF($I354="","",IFERROR(INDEX('CAT_TIPOS_OT'!$C$4:$C$8,MATCH($I354,'CAT_TIPOS_OT'!$A$4:$A$8,0)),"sin_clasificar"))</f>
        <v/>
      </c>
      <c r="V354" s="5">
        <f>IF($I354="","",IF(IFERROR(INDEX('CAT_TIPOS_OT'!$D$4:$D$8,MATCH($I354,'CAT_TIPOS_OT'!$A$4:$A$8,0)),"SIN CLASIFICAR")="","SIN CLASIFICAR",IFERROR(INDEX('CAT_TIPOS_OT'!$D$4:$D$8,MATCH($I354,'CAT_TIPOS_OT'!$A$4:$A$8,0)),"SIN CLASIFICAR")))</f>
        <v/>
      </c>
      <c r="W354" s="5">
        <f>IF($F354="","",IFERROR(INDEX('CAT_CENTROS_COSTO'!$F$4:$F$13,MATCH($F354,'CAT_CENTROS_COSTO'!$A$4:$A$13,0)),"(sin catálogo)"))</f>
        <v/>
      </c>
      <c r="X354" s="5">
        <f>IF($F354="","",IFERROR(INDEX('CAT_CENTROS_COSTO'!$D$4:$D$13,MATCH($F354,'CAT_CENTROS_COSTO'!$A$4:$A$13,0)),"(sin catálogo)"))</f>
        <v/>
      </c>
      <c r="Y354" s="5">
        <f>IF($F354="","",IF((IFERROR(INDEX('CAT_CENTROS_COSTO'!$E$4:$E$13,MATCH($F354,'CAT_CENTROS_COSTO'!$A$4:$A$13,0)),""))&lt;&gt;"",IFERROR(INDEX('CAT_CENTROS_COSTO'!$E$4:$E$13,MATCH($F354,'CAT_CENTROS_COSTO'!$A$4:$A$13,0)),""),$X354))</f>
        <v/>
      </c>
      <c r="Z354" s="5">
        <f>IF($F354="","",IFERROR(INDEX('CAT_CENTROS_COSTO'!$G$4:$G$13,MATCH($F354,'CAT_CENTROS_COSTO'!$A$4:$A$13,0)),"(sin catálogo)"))</f>
        <v/>
      </c>
      <c r="AA354" s="5">
        <f>IF($G354="","",IFERROR(INDEX('CAT_PUESTOS'!$B$4:$B$8,MATCH($G354,'CAT_PUESTOS'!$A$4:$A$8,0)),"(sin catálogo)"))</f>
        <v/>
      </c>
      <c r="AB354" s="5">
        <f>IF($H354="","",IFERROR(INDEX('CAT_ACTIVIDADES'!$B$4:$B$11,MATCH($H354,'CAT_ACTIVIDADES'!$A$4:$A$11,0)),"(sin catálogo)"))</f>
        <v/>
      </c>
      <c r="AC354" s="20">
        <f>IF($J354="","",TODAY()-$J354)</f>
        <v/>
      </c>
      <c r="AD354" s="20">
        <f>IF($J354="","",IF($J354&lt;=TODAY(),COUNTIFS(cal_fechas,"&gt;="&amp;$J354,cal_fechas,"&lt;"&amp;TODAY(),cal_habil,"sí"),-COUNTIFS(cal_fechas,"&gt;="&amp;TODAY(),cal_fechas,"&lt;"&amp;$J354,cal_habil,"sí")))</f>
        <v/>
      </c>
      <c r="AE354" s="5">
        <f>IF($AD354="","",IF($AD354&lt;0,"FUTURO",IF($AD354&gt;p_dias_backlog_max,"BACKLOG","MES CORRIENTE")))</f>
        <v/>
      </c>
      <c r="AF354" s="5">
        <f>IF($AD354="",FALSE,AND($AD354&gt;p_dias_backlog_min,$AD354&lt;=p_dias_backlog_max))</f>
        <v/>
      </c>
      <c r="AG354" s="4" t="n"/>
      <c r="AH354" s="5">
        <f>IF($AG354="","",IF((IFERROR(INDEX('ASIGNACIONES'!$J$4:$J$451,MATCH($O354&amp;"|"&amp;$S354&amp;"|"&amp;$AG354,'ASIGNACIONES'!$N$4:$N$451,0)),""))=0,"",IFERROR(INDEX('ASIGNACIONES'!$J$4:$J$451,MATCH($O354&amp;"|"&amp;$S354&amp;"|"&amp;$AG354,'ASIGNACIONES'!$N$4:$N$451,0)),"")))</f>
        <v/>
      </c>
      <c r="AI354" s="25">
        <f>IF($AG354="","",SUMIFS('ORDENES'!$M$4:$M$1203,'ORDENES'!$AG$4:$AG$1203,$AG354,'ORDENES'!$O$4:$O$1203,$O354,'ORDENES'!$S$4:$S$1203,$S354))</f>
        <v/>
      </c>
      <c r="AJ354" s="25">
        <f>IF($AI354="","",p_factor_productividad*IFERROR(INDEX('ASIGNACIONES'!$M$4:$M$451,MATCH($O354&amp;"|"&amp;$S354&amp;"|"&amp;$AG354,'ASIGNACIONES'!$N$4:$N$451,0)),0)-$AI354)</f>
        <v/>
      </c>
      <c r="AK354" s="18">
        <f>IF($A354="","",IFERROR(INDEX('2_IMPORTAR_EJECUCION'!$F$9:$F$1208,MATCH($AT354,'2_IMPORTAR_EJECUCION'!$J$9:$J$1208,0)),0))</f>
        <v/>
      </c>
      <c r="AL354" s="18">
        <f>IF($A354="","",MAX(0,IFERROR(INDEX('2_IMPORTAR_EJECUCION'!$H$9:$H$1208,MATCH($AT354,'2_IMPORTAR_EJECUCION'!$J$9:$J$1208,0)),0)-$AK354))</f>
        <v/>
      </c>
      <c r="AM354" s="18">
        <f>IF($A354="","",$AK354+$AL354)</f>
        <v/>
      </c>
      <c r="AN354" s="5">
        <f>IF($A354="","",IF(OR((IFERROR(INDEX('CAT_ACTIVIDADES'!$D$4:$D$11,MATCH($H354,'CAT_ACTIVIDADES'!$A$4:$A$11,0)),""))=0,(IFERROR(INDEX('CAT_ACTIVIDADES'!$D$4:$D$11,MATCH($H354,'CAT_ACTIVIDADES'!$A$4:$A$11,0)),""))=""),"SIN CLASIFICAR",IFERROR(INDEX('CAT_ACTIVIDADES'!$D$4:$D$11,MATCH($H354,'CAT_ACTIVIDADES'!$A$4:$A$11,0)),"")))</f>
        <v/>
      </c>
      <c r="AO354" s="4" t="n"/>
      <c r="AP354" s="4" t="n"/>
      <c r="AQ354" s="4" t="n"/>
      <c r="AR354" s="5">
        <f>IF($AQ354="","",HYPERLINK(p_ruta_base_checklists&amp;$AQ354,"abrir"))</f>
        <v/>
      </c>
      <c r="AS354" s="4" t="n"/>
      <c r="AT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2" t="n"/>
      <c r="K355" s="5" t="n"/>
      <c r="L355" s="18" t="n"/>
      <c r="M355" s="5">
        <f>IF($A355="","",IFERROR(INDEX('AJUSTES'!$B$4:$B$303,MATCH($AT355,'AJUSTES'!$A$4:$A$303,0)),IF($K355="","",$K355)))</f>
        <v/>
      </c>
      <c r="N355" s="5">
        <f>IF($A355="","",IFERROR(INDEX('CAT_ESTADOS_ERP'!$B$4:$B$7,MATCH(IFERROR(INDEX('2_IMPORTAR_EJECUCION'!$C$9:$C$1208,MATCH($AT355,'2_IMPORTAR_EJECUCION'!$J$9:$J$1208,0)),""),'CAT_ESTADOS_ERP'!$A$4:$A$7,0)),"Pendiente"))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IF($J355="","",$P355&amp;"-"&amp;TEXT($Q355,"00"))</f>
        <v/>
      </c>
      <c r="S355" s="5">
        <f>IF($J355="","",INDEX(lista_dias,WEEKDAY($J355,2)))</f>
        <v/>
      </c>
      <c r="T355" s="5">
        <f>IF($J355="","",IFERROR(INDEX('CALENDARIO'!$C$15:$C$214,MATCH(TEXT($J355,"yyyy-mm-dd")&amp;"|"&amp;$X355&amp;"|"&amp;$Y355,'CALENDARIO'!$G$15:$G$214,0)),IFERROR(INDEX('CALENDARIO'!$C$15:$C$214,MATCH(TEXT($J355,"yyyy-mm-dd")&amp;"|"&amp;$X355&amp;"|",'CALENDARIO'!$G$15:$G$214,0)),IFERROR(INDEX('CALENDARIO'!$C$15:$C$214,MATCH(TEXT($J355,"yyyy-mm-dd")&amp;"||",'CALENDARIO'!$G$15:$G$214,0)),INDEX(patronHabil,WEEKDAY($J355,2))))))</f>
        <v/>
      </c>
      <c r="U355" s="5">
        <f>IF($I355="","",IFERROR(INDEX('CAT_TIPOS_OT'!$C$4:$C$8,MATCH($I355,'CAT_TIPOS_OT'!$A$4:$A$8,0)),"sin_clasificar"))</f>
        <v/>
      </c>
      <c r="V355" s="5">
        <f>IF($I355="","",IF(IFERROR(INDEX('CAT_TIPOS_OT'!$D$4:$D$8,MATCH($I355,'CAT_TIPOS_OT'!$A$4:$A$8,0)),"SIN CLASIFICAR")="","SIN CLASIFICAR",IFERROR(INDEX('CAT_TIPOS_OT'!$D$4:$D$8,MATCH($I355,'CAT_TIPOS_OT'!$A$4:$A$8,0)),"SIN CLASIFICAR")))</f>
        <v/>
      </c>
      <c r="W355" s="5">
        <f>IF($F355="","",IFERROR(INDEX('CAT_CENTROS_COSTO'!$F$4:$F$13,MATCH($F355,'CAT_CENTROS_COSTO'!$A$4:$A$13,0)),"(sin catálogo)"))</f>
        <v/>
      </c>
      <c r="X355" s="5">
        <f>IF($F355="","",IFERROR(INDEX('CAT_CENTROS_COSTO'!$D$4:$D$13,MATCH($F355,'CAT_CENTROS_COSTO'!$A$4:$A$13,0)),"(sin catálogo)"))</f>
        <v/>
      </c>
      <c r="Y355" s="5">
        <f>IF($F355="","",IF((IFERROR(INDEX('CAT_CENTROS_COSTO'!$E$4:$E$13,MATCH($F355,'CAT_CENTROS_COSTO'!$A$4:$A$13,0)),""))&lt;&gt;"",IFERROR(INDEX('CAT_CENTROS_COSTO'!$E$4:$E$13,MATCH($F355,'CAT_CENTROS_COSTO'!$A$4:$A$13,0)),""),$X355))</f>
        <v/>
      </c>
      <c r="Z355" s="5">
        <f>IF($F355="","",IFERROR(INDEX('CAT_CENTROS_COSTO'!$G$4:$G$13,MATCH($F355,'CAT_CENTROS_COSTO'!$A$4:$A$13,0)),"(sin catálogo)"))</f>
        <v/>
      </c>
      <c r="AA355" s="5">
        <f>IF($G355="","",IFERROR(INDEX('CAT_PUESTOS'!$B$4:$B$8,MATCH($G355,'CAT_PUESTOS'!$A$4:$A$8,0)),"(sin catálogo)"))</f>
        <v/>
      </c>
      <c r="AB355" s="5">
        <f>IF($H355="","",IFERROR(INDEX('CAT_ACTIVIDADES'!$B$4:$B$11,MATCH($H355,'CAT_ACTIVIDADES'!$A$4:$A$11,0)),"(sin catálogo)"))</f>
        <v/>
      </c>
      <c r="AC355" s="20">
        <f>IF($J355="","",TODAY()-$J355)</f>
        <v/>
      </c>
      <c r="AD355" s="20">
        <f>IF($J355="","",IF($J355&lt;=TODAY(),COUNTIFS(cal_fechas,"&gt;="&amp;$J355,cal_fechas,"&lt;"&amp;TODAY(),cal_habil,"sí"),-COUNTIFS(cal_fechas,"&gt;="&amp;TODAY(),cal_fechas,"&lt;"&amp;$J355,cal_habil,"sí")))</f>
        <v/>
      </c>
      <c r="AE355" s="5">
        <f>IF($AD355="","",IF($AD355&lt;0,"FUTURO",IF($AD355&gt;p_dias_backlog_max,"BACKLOG","MES CORRIENTE")))</f>
        <v/>
      </c>
      <c r="AF355" s="5">
        <f>IF($AD355="",FALSE,AND($AD355&gt;p_dias_backlog_min,$AD355&lt;=p_dias_backlog_max))</f>
        <v/>
      </c>
      <c r="AG355" s="4" t="n"/>
      <c r="AH355" s="5">
        <f>IF($AG355="","",IF((IFERROR(INDEX('ASIGNACIONES'!$J$4:$J$451,MATCH($O355&amp;"|"&amp;$S355&amp;"|"&amp;$AG355,'ASIGNACIONES'!$N$4:$N$451,0)),""))=0,"",IFERROR(INDEX('ASIGNACIONES'!$J$4:$J$451,MATCH($O355&amp;"|"&amp;$S355&amp;"|"&amp;$AG355,'ASIGNACIONES'!$N$4:$N$451,0)),"")))</f>
        <v/>
      </c>
      <c r="AI355" s="25">
        <f>IF($AG355="","",SUMIFS('ORDENES'!$M$4:$M$1203,'ORDENES'!$AG$4:$AG$1203,$AG355,'ORDENES'!$O$4:$O$1203,$O355,'ORDENES'!$S$4:$S$1203,$S355))</f>
        <v/>
      </c>
      <c r="AJ355" s="25">
        <f>IF($AI355="","",p_factor_productividad*IFERROR(INDEX('ASIGNACIONES'!$M$4:$M$451,MATCH($O355&amp;"|"&amp;$S355&amp;"|"&amp;$AG355,'ASIGNACIONES'!$N$4:$N$451,0)),0)-$AI355)</f>
        <v/>
      </c>
      <c r="AK355" s="18">
        <f>IF($A355="","",IFERROR(INDEX('2_IMPORTAR_EJECUCION'!$F$9:$F$1208,MATCH($AT355,'2_IMPORTAR_EJECUCION'!$J$9:$J$1208,0)),0))</f>
        <v/>
      </c>
      <c r="AL355" s="18">
        <f>IF($A355="","",MAX(0,IFERROR(INDEX('2_IMPORTAR_EJECUCION'!$H$9:$H$1208,MATCH($AT355,'2_IMPORTAR_EJECUCION'!$J$9:$J$1208,0)),0)-$AK355))</f>
        <v/>
      </c>
      <c r="AM355" s="18">
        <f>IF($A355="","",$AK355+$AL355)</f>
        <v/>
      </c>
      <c r="AN355" s="5">
        <f>IF($A355="","",IF(OR((IFERROR(INDEX('CAT_ACTIVIDADES'!$D$4:$D$11,MATCH($H355,'CAT_ACTIVIDADES'!$A$4:$A$11,0)),""))=0,(IFERROR(INDEX('CAT_ACTIVIDADES'!$D$4:$D$11,MATCH($H355,'CAT_ACTIVIDADES'!$A$4:$A$11,0)),""))=""),"SIN CLASIFICAR",IFERROR(INDEX('CAT_ACTIVIDADES'!$D$4:$D$11,MATCH($H355,'CAT_ACTIVIDADES'!$A$4:$A$11,0)),"")))</f>
        <v/>
      </c>
      <c r="AO355" s="4" t="n"/>
      <c r="AP355" s="4" t="n"/>
      <c r="AQ355" s="4" t="n"/>
      <c r="AR355" s="5">
        <f>IF($AQ355="","",HYPERLINK(p_ruta_base_checklists&amp;$AQ355,"abrir"))</f>
        <v/>
      </c>
      <c r="AS355" s="4" t="n"/>
      <c r="AT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2" t="n"/>
      <c r="K356" s="5" t="n"/>
      <c r="L356" s="18" t="n"/>
      <c r="M356" s="5">
        <f>IF($A356="","",IFERROR(INDEX('AJUSTES'!$B$4:$B$303,MATCH($AT356,'AJUSTES'!$A$4:$A$303,0)),IF($K356="","",$K356)))</f>
        <v/>
      </c>
      <c r="N356" s="5">
        <f>IF($A356="","",IFERROR(INDEX('CAT_ESTADOS_ERP'!$B$4:$B$7,MATCH(IFERROR(INDEX('2_IMPORTAR_EJECUCION'!$C$9:$C$1208,MATCH($AT356,'2_IMPORTAR_EJECUCION'!$J$9:$J$1208,0)),""),'CAT_ESTADOS_ERP'!$A$4:$A$7,0)),"Pendiente"))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IF($J356="","",$P356&amp;"-"&amp;TEXT($Q356,"00"))</f>
        <v/>
      </c>
      <c r="S356" s="5">
        <f>IF($J356="","",INDEX(lista_dias,WEEKDAY($J356,2)))</f>
        <v/>
      </c>
      <c r="T356" s="5">
        <f>IF($J356="","",IFERROR(INDEX('CALENDARIO'!$C$15:$C$214,MATCH(TEXT($J356,"yyyy-mm-dd")&amp;"|"&amp;$X356&amp;"|"&amp;$Y356,'CALENDARIO'!$G$15:$G$214,0)),IFERROR(INDEX('CALENDARIO'!$C$15:$C$214,MATCH(TEXT($J356,"yyyy-mm-dd")&amp;"|"&amp;$X356&amp;"|",'CALENDARIO'!$G$15:$G$214,0)),IFERROR(INDEX('CALENDARIO'!$C$15:$C$214,MATCH(TEXT($J356,"yyyy-mm-dd")&amp;"||",'CALENDARIO'!$G$15:$G$214,0)),INDEX(patronHabil,WEEKDAY($J356,2))))))</f>
        <v/>
      </c>
      <c r="U356" s="5">
        <f>IF($I356="","",IFERROR(INDEX('CAT_TIPOS_OT'!$C$4:$C$8,MATCH($I356,'CAT_TIPOS_OT'!$A$4:$A$8,0)),"sin_clasificar"))</f>
        <v/>
      </c>
      <c r="V356" s="5">
        <f>IF($I356="","",IF(IFERROR(INDEX('CAT_TIPOS_OT'!$D$4:$D$8,MATCH($I356,'CAT_TIPOS_OT'!$A$4:$A$8,0)),"SIN CLASIFICAR")="","SIN CLASIFICAR",IFERROR(INDEX('CAT_TIPOS_OT'!$D$4:$D$8,MATCH($I356,'CAT_TIPOS_OT'!$A$4:$A$8,0)),"SIN CLASIFICAR")))</f>
        <v/>
      </c>
      <c r="W356" s="5">
        <f>IF($F356="","",IFERROR(INDEX('CAT_CENTROS_COSTO'!$F$4:$F$13,MATCH($F356,'CAT_CENTROS_COSTO'!$A$4:$A$13,0)),"(sin catálogo)"))</f>
        <v/>
      </c>
      <c r="X356" s="5">
        <f>IF($F356="","",IFERROR(INDEX('CAT_CENTROS_COSTO'!$D$4:$D$13,MATCH($F356,'CAT_CENTROS_COSTO'!$A$4:$A$13,0)),"(sin catálogo)"))</f>
        <v/>
      </c>
      <c r="Y356" s="5">
        <f>IF($F356="","",IF((IFERROR(INDEX('CAT_CENTROS_COSTO'!$E$4:$E$13,MATCH($F356,'CAT_CENTROS_COSTO'!$A$4:$A$13,0)),""))&lt;&gt;"",IFERROR(INDEX('CAT_CENTROS_COSTO'!$E$4:$E$13,MATCH($F356,'CAT_CENTROS_COSTO'!$A$4:$A$13,0)),""),$X356))</f>
        <v/>
      </c>
      <c r="Z356" s="5">
        <f>IF($F356="","",IFERROR(INDEX('CAT_CENTROS_COSTO'!$G$4:$G$13,MATCH($F356,'CAT_CENTROS_COSTO'!$A$4:$A$13,0)),"(sin catálogo)"))</f>
        <v/>
      </c>
      <c r="AA356" s="5">
        <f>IF($G356="","",IFERROR(INDEX('CAT_PUESTOS'!$B$4:$B$8,MATCH($G356,'CAT_PUESTOS'!$A$4:$A$8,0)),"(sin catálogo)"))</f>
        <v/>
      </c>
      <c r="AB356" s="5">
        <f>IF($H356="","",IFERROR(INDEX('CAT_ACTIVIDADES'!$B$4:$B$11,MATCH($H356,'CAT_ACTIVIDADES'!$A$4:$A$11,0)),"(sin catálogo)"))</f>
        <v/>
      </c>
      <c r="AC356" s="20">
        <f>IF($J356="","",TODAY()-$J356)</f>
        <v/>
      </c>
      <c r="AD356" s="20">
        <f>IF($J356="","",IF($J356&lt;=TODAY(),COUNTIFS(cal_fechas,"&gt;="&amp;$J356,cal_fechas,"&lt;"&amp;TODAY(),cal_habil,"sí"),-COUNTIFS(cal_fechas,"&gt;="&amp;TODAY(),cal_fechas,"&lt;"&amp;$J356,cal_habil,"sí")))</f>
        <v/>
      </c>
      <c r="AE356" s="5">
        <f>IF($AD356="","",IF($AD356&lt;0,"FUTURO",IF($AD356&gt;p_dias_backlog_max,"BACKLOG","MES CORRIENTE")))</f>
        <v/>
      </c>
      <c r="AF356" s="5">
        <f>IF($AD356="",FALSE,AND($AD356&gt;p_dias_backlog_min,$AD356&lt;=p_dias_backlog_max))</f>
        <v/>
      </c>
      <c r="AG356" s="4" t="n"/>
      <c r="AH356" s="5">
        <f>IF($AG356="","",IF((IFERROR(INDEX('ASIGNACIONES'!$J$4:$J$451,MATCH($O356&amp;"|"&amp;$S356&amp;"|"&amp;$AG356,'ASIGNACIONES'!$N$4:$N$451,0)),""))=0,"",IFERROR(INDEX('ASIGNACIONES'!$J$4:$J$451,MATCH($O356&amp;"|"&amp;$S356&amp;"|"&amp;$AG356,'ASIGNACIONES'!$N$4:$N$451,0)),"")))</f>
        <v/>
      </c>
      <c r="AI356" s="25">
        <f>IF($AG356="","",SUMIFS('ORDENES'!$M$4:$M$1203,'ORDENES'!$AG$4:$AG$1203,$AG356,'ORDENES'!$O$4:$O$1203,$O356,'ORDENES'!$S$4:$S$1203,$S356))</f>
        <v/>
      </c>
      <c r="AJ356" s="25">
        <f>IF($AI356="","",p_factor_productividad*IFERROR(INDEX('ASIGNACIONES'!$M$4:$M$451,MATCH($O356&amp;"|"&amp;$S356&amp;"|"&amp;$AG356,'ASIGNACIONES'!$N$4:$N$451,0)),0)-$AI356)</f>
        <v/>
      </c>
      <c r="AK356" s="18">
        <f>IF($A356="","",IFERROR(INDEX('2_IMPORTAR_EJECUCION'!$F$9:$F$1208,MATCH($AT356,'2_IMPORTAR_EJECUCION'!$J$9:$J$1208,0)),0))</f>
        <v/>
      </c>
      <c r="AL356" s="18">
        <f>IF($A356="","",MAX(0,IFERROR(INDEX('2_IMPORTAR_EJECUCION'!$H$9:$H$1208,MATCH($AT356,'2_IMPORTAR_EJECUCION'!$J$9:$J$1208,0)),0)-$AK356))</f>
        <v/>
      </c>
      <c r="AM356" s="18">
        <f>IF($A356="","",$AK356+$AL356)</f>
        <v/>
      </c>
      <c r="AN356" s="5">
        <f>IF($A356="","",IF(OR((IFERROR(INDEX('CAT_ACTIVIDADES'!$D$4:$D$11,MATCH($H356,'CAT_ACTIVIDADES'!$A$4:$A$11,0)),""))=0,(IFERROR(INDEX('CAT_ACTIVIDADES'!$D$4:$D$11,MATCH($H356,'CAT_ACTIVIDADES'!$A$4:$A$11,0)),""))=""),"SIN CLASIFICAR",IFERROR(INDEX('CAT_ACTIVIDADES'!$D$4:$D$11,MATCH($H356,'CAT_ACTIVIDADES'!$A$4:$A$11,0)),"")))</f>
        <v/>
      </c>
      <c r="AO356" s="4" t="n"/>
      <c r="AP356" s="4" t="n"/>
      <c r="AQ356" s="4" t="n"/>
      <c r="AR356" s="5">
        <f>IF($AQ356="","",HYPERLINK(p_ruta_base_checklists&amp;$AQ356,"abrir"))</f>
        <v/>
      </c>
      <c r="AS356" s="4" t="n"/>
      <c r="AT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2" t="n"/>
      <c r="K357" s="5" t="n"/>
      <c r="L357" s="18" t="n"/>
      <c r="M357" s="5">
        <f>IF($A357="","",IFERROR(INDEX('AJUSTES'!$B$4:$B$303,MATCH($AT357,'AJUSTES'!$A$4:$A$303,0)),IF($K357="","",$K357)))</f>
        <v/>
      </c>
      <c r="N357" s="5">
        <f>IF($A357="","",IFERROR(INDEX('CAT_ESTADOS_ERP'!$B$4:$B$7,MATCH(IFERROR(INDEX('2_IMPORTAR_EJECUCION'!$C$9:$C$1208,MATCH($AT357,'2_IMPORTAR_EJECUCION'!$J$9:$J$1208,0)),""),'CAT_ESTADOS_ERP'!$A$4:$A$7,0)),"Pendiente"))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IF($J357="","",$P357&amp;"-"&amp;TEXT($Q357,"00"))</f>
        <v/>
      </c>
      <c r="S357" s="5">
        <f>IF($J357="","",INDEX(lista_dias,WEEKDAY($J357,2)))</f>
        <v/>
      </c>
      <c r="T357" s="5">
        <f>IF($J357="","",IFERROR(INDEX('CALENDARIO'!$C$15:$C$214,MATCH(TEXT($J357,"yyyy-mm-dd")&amp;"|"&amp;$X357&amp;"|"&amp;$Y357,'CALENDARIO'!$G$15:$G$214,0)),IFERROR(INDEX('CALENDARIO'!$C$15:$C$214,MATCH(TEXT($J357,"yyyy-mm-dd")&amp;"|"&amp;$X357&amp;"|",'CALENDARIO'!$G$15:$G$214,0)),IFERROR(INDEX('CALENDARIO'!$C$15:$C$214,MATCH(TEXT($J357,"yyyy-mm-dd")&amp;"||",'CALENDARIO'!$G$15:$G$214,0)),INDEX(patronHabil,WEEKDAY($J357,2))))))</f>
        <v/>
      </c>
      <c r="U357" s="5">
        <f>IF($I357="","",IFERROR(INDEX('CAT_TIPOS_OT'!$C$4:$C$8,MATCH($I357,'CAT_TIPOS_OT'!$A$4:$A$8,0)),"sin_clasificar"))</f>
        <v/>
      </c>
      <c r="V357" s="5">
        <f>IF($I357="","",IF(IFERROR(INDEX('CAT_TIPOS_OT'!$D$4:$D$8,MATCH($I357,'CAT_TIPOS_OT'!$A$4:$A$8,0)),"SIN CLASIFICAR")="","SIN CLASIFICAR",IFERROR(INDEX('CAT_TIPOS_OT'!$D$4:$D$8,MATCH($I357,'CAT_TIPOS_OT'!$A$4:$A$8,0)),"SIN CLASIFICAR")))</f>
        <v/>
      </c>
      <c r="W357" s="5">
        <f>IF($F357="","",IFERROR(INDEX('CAT_CENTROS_COSTO'!$F$4:$F$13,MATCH($F357,'CAT_CENTROS_COSTO'!$A$4:$A$13,0)),"(sin catálogo)"))</f>
        <v/>
      </c>
      <c r="X357" s="5">
        <f>IF($F357="","",IFERROR(INDEX('CAT_CENTROS_COSTO'!$D$4:$D$13,MATCH($F357,'CAT_CENTROS_COSTO'!$A$4:$A$13,0)),"(sin catálogo)"))</f>
        <v/>
      </c>
      <c r="Y357" s="5">
        <f>IF($F357="","",IF((IFERROR(INDEX('CAT_CENTROS_COSTO'!$E$4:$E$13,MATCH($F357,'CAT_CENTROS_COSTO'!$A$4:$A$13,0)),""))&lt;&gt;"",IFERROR(INDEX('CAT_CENTROS_COSTO'!$E$4:$E$13,MATCH($F357,'CAT_CENTROS_COSTO'!$A$4:$A$13,0)),""),$X357))</f>
        <v/>
      </c>
      <c r="Z357" s="5">
        <f>IF($F357="","",IFERROR(INDEX('CAT_CENTROS_COSTO'!$G$4:$G$13,MATCH($F357,'CAT_CENTROS_COSTO'!$A$4:$A$13,0)),"(sin catálogo)"))</f>
        <v/>
      </c>
      <c r="AA357" s="5">
        <f>IF($G357="","",IFERROR(INDEX('CAT_PUESTOS'!$B$4:$B$8,MATCH($G357,'CAT_PUESTOS'!$A$4:$A$8,0)),"(sin catálogo)"))</f>
        <v/>
      </c>
      <c r="AB357" s="5">
        <f>IF($H357="","",IFERROR(INDEX('CAT_ACTIVIDADES'!$B$4:$B$11,MATCH($H357,'CAT_ACTIVIDADES'!$A$4:$A$11,0)),"(sin catálogo)"))</f>
        <v/>
      </c>
      <c r="AC357" s="20">
        <f>IF($J357="","",TODAY()-$J357)</f>
        <v/>
      </c>
      <c r="AD357" s="20">
        <f>IF($J357="","",IF($J357&lt;=TODAY(),COUNTIFS(cal_fechas,"&gt;="&amp;$J357,cal_fechas,"&lt;"&amp;TODAY(),cal_habil,"sí"),-COUNTIFS(cal_fechas,"&gt;="&amp;TODAY(),cal_fechas,"&lt;"&amp;$J357,cal_habil,"sí")))</f>
        <v/>
      </c>
      <c r="AE357" s="5">
        <f>IF($AD357="","",IF($AD357&lt;0,"FUTURO",IF($AD357&gt;p_dias_backlog_max,"BACKLOG","MES CORRIENTE")))</f>
        <v/>
      </c>
      <c r="AF357" s="5">
        <f>IF($AD357="",FALSE,AND($AD357&gt;p_dias_backlog_min,$AD357&lt;=p_dias_backlog_max))</f>
        <v/>
      </c>
      <c r="AG357" s="4" t="n"/>
      <c r="AH357" s="5">
        <f>IF($AG357="","",IF((IFERROR(INDEX('ASIGNACIONES'!$J$4:$J$451,MATCH($O357&amp;"|"&amp;$S357&amp;"|"&amp;$AG357,'ASIGNACIONES'!$N$4:$N$451,0)),""))=0,"",IFERROR(INDEX('ASIGNACIONES'!$J$4:$J$451,MATCH($O357&amp;"|"&amp;$S357&amp;"|"&amp;$AG357,'ASIGNACIONES'!$N$4:$N$451,0)),"")))</f>
        <v/>
      </c>
      <c r="AI357" s="25">
        <f>IF($AG357="","",SUMIFS('ORDENES'!$M$4:$M$1203,'ORDENES'!$AG$4:$AG$1203,$AG357,'ORDENES'!$O$4:$O$1203,$O357,'ORDENES'!$S$4:$S$1203,$S357))</f>
        <v/>
      </c>
      <c r="AJ357" s="25">
        <f>IF($AI357="","",p_factor_productividad*IFERROR(INDEX('ASIGNACIONES'!$M$4:$M$451,MATCH($O357&amp;"|"&amp;$S357&amp;"|"&amp;$AG357,'ASIGNACIONES'!$N$4:$N$451,0)),0)-$AI357)</f>
        <v/>
      </c>
      <c r="AK357" s="18">
        <f>IF($A357="","",IFERROR(INDEX('2_IMPORTAR_EJECUCION'!$F$9:$F$1208,MATCH($AT357,'2_IMPORTAR_EJECUCION'!$J$9:$J$1208,0)),0))</f>
        <v/>
      </c>
      <c r="AL357" s="18">
        <f>IF($A357="","",MAX(0,IFERROR(INDEX('2_IMPORTAR_EJECUCION'!$H$9:$H$1208,MATCH($AT357,'2_IMPORTAR_EJECUCION'!$J$9:$J$1208,0)),0)-$AK357))</f>
        <v/>
      </c>
      <c r="AM357" s="18">
        <f>IF($A357="","",$AK357+$AL357)</f>
        <v/>
      </c>
      <c r="AN357" s="5">
        <f>IF($A357="","",IF(OR((IFERROR(INDEX('CAT_ACTIVIDADES'!$D$4:$D$11,MATCH($H357,'CAT_ACTIVIDADES'!$A$4:$A$11,0)),""))=0,(IFERROR(INDEX('CAT_ACTIVIDADES'!$D$4:$D$11,MATCH($H357,'CAT_ACTIVIDADES'!$A$4:$A$11,0)),""))=""),"SIN CLASIFICAR",IFERROR(INDEX('CAT_ACTIVIDADES'!$D$4:$D$11,MATCH($H357,'CAT_ACTIVIDADES'!$A$4:$A$11,0)),"")))</f>
        <v/>
      </c>
      <c r="AO357" s="4" t="n"/>
      <c r="AP357" s="4" t="n"/>
      <c r="AQ357" s="4" t="n"/>
      <c r="AR357" s="5">
        <f>IF($AQ357="","",HYPERLINK(p_ruta_base_checklists&amp;$AQ357,"abrir"))</f>
        <v/>
      </c>
      <c r="AS357" s="4" t="n"/>
      <c r="AT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2" t="n"/>
      <c r="K358" s="5" t="n"/>
      <c r="L358" s="18" t="n"/>
      <c r="M358" s="5">
        <f>IF($A358="","",IFERROR(INDEX('AJUSTES'!$B$4:$B$303,MATCH($AT358,'AJUSTES'!$A$4:$A$303,0)),IF($K358="","",$K358)))</f>
        <v/>
      </c>
      <c r="N358" s="5">
        <f>IF($A358="","",IFERROR(INDEX('CAT_ESTADOS_ERP'!$B$4:$B$7,MATCH(IFERROR(INDEX('2_IMPORTAR_EJECUCION'!$C$9:$C$1208,MATCH($AT358,'2_IMPORTAR_EJECUCION'!$J$9:$J$1208,0)),""),'CAT_ESTADOS_ERP'!$A$4:$A$7,0)),"Pendiente"))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IF($J358="","",$P358&amp;"-"&amp;TEXT($Q358,"00"))</f>
        <v/>
      </c>
      <c r="S358" s="5">
        <f>IF($J358="","",INDEX(lista_dias,WEEKDAY($J358,2)))</f>
        <v/>
      </c>
      <c r="T358" s="5">
        <f>IF($J358="","",IFERROR(INDEX('CALENDARIO'!$C$15:$C$214,MATCH(TEXT($J358,"yyyy-mm-dd")&amp;"|"&amp;$X358&amp;"|"&amp;$Y358,'CALENDARIO'!$G$15:$G$214,0)),IFERROR(INDEX('CALENDARIO'!$C$15:$C$214,MATCH(TEXT($J358,"yyyy-mm-dd")&amp;"|"&amp;$X358&amp;"|",'CALENDARIO'!$G$15:$G$214,0)),IFERROR(INDEX('CALENDARIO'!$C$15:$C$214,MATCH(TEXT($J358,"yyyy-mm-dd")&amp;"||",'CALENDARIO'!$G$15:$G$214,0)),INDEX(patronHabil,WEEKDAY($J358,2))))))</f>
        <v/>
      </c>
      <c r="U358" s="5">
        <f>IF($I358="","",IFERROR(INDEX('CAT_TIPOS_OT'!$C$4:$C$8,MATCH($I358,'CAT_TIPOS_OT'!$A$4:$A$8,0)),"sin_clasificar"))</f>
        <v/>
      </c>
      <c r="V358" s="5">
        <f>IF($I358="","",IF(IFERROR(INDEX('CAT_TIPOS_OT'!$D$4:$D$8,MATCH($I358,'CAT_TIPOS_OT'!$A$4:$A$8,0)),"SIN CLASIFICAR")="","SIN CLASIFICAR",IFERROR(INDEX('CAT_TIPOS_OT'!$D$4:$D$8,MATCH($I358,'CAT_TIPOS_OT'!$A$4:$A$8,0)),"SIN CLASIFICAR")))</f>
        <v/>
      </c>
      <c r="W358" s="5">
        <f>IF($F358="","",IFERROR(INDEX('CAT_CENTROS_COSTO'!$F$4:$F$13,MATCH($F358,'CAT_CENTROS_COSTO'!$A$4:$A$13,0)),"(sin catálogo)"))</f>
        <v/>
      </c>
      <c r="X358" s="5">
        <f>IF($F358="","",IFERROR(INDEX('CAT_CENTROS_COSTO'!$D$4:$D$13,MATCH($F358,'CAT_CENTROS_COSTO'!$A$4:$A$13,0)),"(sin catálogo)"))</f>
        <v/>
      </c>
      <c r="Y358" s="5">
        <f>IF($F358="","",IF((IFERROR(INDEX('CAT_CENTROS_COSTO'!$E$4:$E$13,MATCH($F358,'CAT_CENTROS_COSTO'!$A$4:$A$13,0)),""))&lt;&gt;"",IFERROR(INDEX('CAT_CENTROS_COSTO'!$E$4:$E$13,MATCH($F358,'CAT_CENTROS_COSTO'!$A$4:$A$13,0)),""),$X358))</f>
        <v/>
      </c>
      <c r="Z358" s="5">
        <f>IF($F358="","",IFERROR(INDEX('CAT_CENTROS_COSTO'!$G$4:$G$13,MATCH($F358,'CAT_CENTROS_COSTO'!$A$4:$A$13,0)),"(sin catálogo)"))</f>
        <v/>
      </c>
      <c r="AA358" s="5">
        <f>IF($G358="","",IFERROR(INDEX('CAT_PUESTOS'!$B$4:$B$8,MATCH($G358,'CAT_PUESTOS'!$A$4:$A$8,0)),"(sin catálogo)"))</f>
        <v/>
      </c>
      <c r="AB358" s="5">
        <f>IF($H358="","",IFERROR(INDEX('CAT_ACTIVIDADES'!$B$4:$B$11,MATCH($H358,'CAT_ACTIVIDADES'!$A$4:$A$11,0)),"(sin catálogo)"))</f>
        <v/>
      </c>
      <c r="AC358" s="20">
        <f>IF($J358="","",TODAY()-$J358)</f>
        <v/>
      </c>
      <c r="AD358" s="20">
        <f>IF($J358="","",IF($J358&lt;=TODAY(),COUNTIFS(cal_fechas,"&gt;="&amp;$J358,cal_fechas,"&lt;"&amp;TODAY(),cal_habil,"sí"),-COUNTIFS(cal_fechas,"&gt;="&amp;TODAY(),cal_fechas,"&lt;"&amp;$J358,cal_habil,"sí")))</f>
        <v/>
      </c>
      <c r="AE358" s="5">
        <f>IF($AD358="","",IF($AD358&lt;0,"FUTURO",IF($AD358&gt;p_dias_backlog_max,"BACKLOG","MES CORRIENTE")))</f>
        <v/>
      </c>
      <c r="AF358" s="5">
        <f>IF($AD358="",FALSE,AND($AD358&gt;p_dias_backlog_min,$AD358&lt;=p_dias_backlog_max))</f>
        <v/>
      </c>
      <c r="AG358" s="4" t="n"/>
      <c r="AH358" s="5">
        <f>IF($AG358="","",IF((IFERROR(INDEX('ASIGNACIONES'!$J$4:$J$451,MATCH($O358&amp;"|"&amp;$S358&amp;"|"&amp;$AG358,'ASIGNACIONES'!$N$4:$N$451,0)),""))=0,"",IFERROR(INDEX('ASIGNACIONES'!$J$4:$J$451,MATCH($O358&amp;"|"&amp;$S358&amp;"|"&amp;$AG358,'ASIGNACIONES'!$N$4:$N$451,0)),"")))</f>
        <v/>
      </c>
      <c r="AI358" s="25">
        <f>IF($AG358="","",SUMIFS('ORDENES'!$M$4:$M$1203,'ORDENES'!$AG$4:$AG$1203,$AG358,'ORDENES'!$O$4:$O$1203,$O358,'ORDENES'!$S$4:$S$1203,$S358))</f>
        <v/>
      </c>
      <c r="AJ358" s="25">
        <f>IF($AI358="","",p_factor_productividad*IFERROR(INDEX('ASIGNACIONES'!$M$4:$M$451,MATCH($O358&amp;"|"&amp;$S358&amp;"|"&amp;$AG358,'ASIGNACIONES'!$N$4:$N$451,0)),0)-$AI358)</f>
        <v/>
      </c>
      <c r="AK358" s="18">
        <f>IF($A358="","",IFERROR(INDEX('2_IMPORTAR_EJECUCION'!$F$9:$F$1208,MATCH($AT358,'2_IMPORTAR_EJECUCION'!$J$9:$J$1208,0)),0))</f>
        <v/>
      </c>
      <c r="AL358" s="18">
        <f>IF($A358="","",MAX(0,IFERROR(INDEX('2_IMPORTAR_EJECUCION'!$H$9:$H$1208,MATCH($AT358,'2_IMPORTAR_EJECUCION'!$J$9:$J$1208,0)),0)-$AK358))</f>
        <v/>
      </c>
      <c r="AM358" s="18">
        <f>IF($A358="","",$AK358+$AL358)</f>
        <v/>
      </c>
      <c r="AN358" s="5">
        <f>IF($A358="","",IF(OR((IFERROR(INDEX('CAT_ACTIVIDADES'!$D$4:$D$11,MATCH($H358,'CAT_ACTIVIDADES'!$A$4:$A$11,0)),""))=0,(IFERROR(INDEX('CAT_ACTIVIDADES'!$D$4:$D$11,MATCH($H358,'CAT_ACTIVIDADES'!$A$4:$A$11,0)),""))=""),"SIN CLASIFICAR",IFERROR(INDEX('CAT_ACTIVIDADES'!$D$4:$D$11,MATCH($H358,'CAT_ACTIVIDADES'!$A$4:$A$11,0)),"")))</f>
        <v/>
      </c>
      <c r="AO358" s="4" t="n"/>
      <c r="AP358" s="4" t="n"/>
      <c r="AQ358" s="4" t="n"/>
      <c r="AR358" s="5">
        <f>IF($AQ358="","",HYPERLINK(p_ruta_base_checklists&amp;$AQ358,"abrir"))</f>
        <v/>
      </c>
      <c r="AS358" s="4" t="n"/>
      <c r="AT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2" t="n"/>
      <c r="K359" s="5" t="n"/>
      <c r="L359" s="18" t="n"/>
      <c r="M359" s="5">
        <f>IF($A359="","",IFERROR(INDEX('AJUSTES'!$B$4:$B$303,MATCH($AT359,'AJUSTES'!$A$4:$A$303,0)),IF($K359="","",$K359)))</f>
        <v/>
      </c>
      <c r="N359" s="5">
        <f>IF($A359="","",IFERROR(INDEX('CAT_ESTADOS_ERP'!$B$4:$B$7,MATCH(IFERROR(INDEX('2_IMPORTAR_EJECUCION'!$C$9:$C$1208,MATCH($AT359,'2_IMPORTAR_EJECUCION'!$J$9:$J$1208,0)),""),'CAT_ESTADOS_ERP'!$A$4:$A$7,0)),"Pendiente"))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IF($J359="","",$P359&amp;"-"&amp;TEXT($Q359,"00"))</f>
        <v/>
      </c>
      <c r="S359" s="5">
        <f>IF($J359="","",INDEX(lista_dias,WEEKDAY($J359,2)))</f>
        <v/>
      </c>
      <c r="T359" s="5">
        <f>IF($J359="","",IFERROR(INDEX('CALENDARIO'!$C$15:$C$214,MATCH(TEXT($J359,"yyyy-mm-dd")&amp;"|"&amp;$X359&amp;"|"&amp;$Y359,'CALENDARIO'!$G$15:$G$214,0)),IFERROR(INDEX('CALENDARIO'!$C$15:$C$214,MATCH(TEXT($J359,"yyyy-mm-dd")&amp;"|"&amp;$X359&amp;"|",'CALENDARIO'!$G$15:$G$214,0)),IFERROR(INDEX('CALENDARIO'!$C$15:$C$214,MATCH(TEXT($J359,"yyyy-mm-dd")&amp;"||",'CALENDARIO'!$G$15:$G$214,0)),INDEX(patronHabil,WEEKDAY($J359,2))))))</f>
        <v/>
      </c>
      <c r="U359" s="5">
        <f>IF($I359="","",IFERROR(INDEX('CAT_TIPOS_OT'!$C$4:$C$8,MATCH($I359,'CAT_TIPOS_OT'!$A$4:$A$8,0)),"sin_clasificar"))</f>
        <v/>
      </c>
      <c r="V359" s="5">
        <f>IF($I359="","",IF(IFERROR(INDEX('CAT_TIPOS_OT'!$D$4:$D$8,MATCH($I359,'CAT_TIPOS_OT'!$A$4:$A$8,0)),"SIN CLASIFICAR")="","SIN CLASIFICAR",IFERROR(INDEX('CAT_TIPOS_OT'!$D$4:$D$8,MATCH($I359,'CAT_TIPOS_OT'!$A$4:$A$8,0)),"SIN CLASIFICAR")))</f>
        <v/>
      </c>
      <c r="W359" s="5">
        <f>IF($F359="","",IFERROR(INDEX('CAT_CENTROS_COSTO'!$F$4:$F$13,MATCH($F359,'CAT_CENTROS_COSTO'!$A$4:$A$13,0)),"(sin catálogo)"))</f>
        <v/>
      </c>
      <c r="X359" s="5">
        <f>IF($F359="","",IFERROR(INDEX('CAT_CENTROS_COSTO'!$D$4:$D$13,MATCH($F359,'CAT_CENTROS_COSTO'!$A$4:$A$13,0)),"(sin catálogo)"))</f>
        <v/>
      </c>
      <c r="Y359" s="5">
        <f>IF($F359="","",IF((IFERROR(INDEX('CAT_CENTROS_COSTO'!$E$4:$E$13,MATCH($F359,'CAT_CENTROS_COSTO'!$A$4:$A$13,0)),""))&lt;&gt;"",IFERROR(INDEX('CAT_CENTROS_COSTO'!$E$4:$E$13,MATCH($F359,'CAT_CENTROS_COSTO'!$A$4:$A$13,0)),""),$X359))</f>
        <v/>
      </c>
      <c r="Z359" s="5">
        <f>IF($F359="","",IFERROR(INDEX('CAT_CENTROS_COSTO'!$G$4:$G$13,MATCH($F359,'CAT_CENTROS_COSTO'!$A$4:$A$13,0)),"(sin catálogo)"))</f>
        <v/>
      </c>
      <c r="AA359" s="5">
        <f>IF($G359="","",IFERROR(INDEX('CAT_PUESTOS'!$B$4:$B$8,MATCH($G359,'CAT_PUESTOS'!$A$4:$A$8,0)),"(sin catálogo)"))</f>
        <v/>
      </c>
      <c r="AB359" s="5">
        <f>IF($H359="","",IFERROR(INDEX('CAT_ACTIVIDADES'!$B$4:$B$11,MATCH($H359,'CAT_ACTIVIDADES'!$A$4:$A$11,0)),"(sin catálogo)"))</f>
        <v/>
      </c>
      <c r="AC359" s="20">
        <f>IF($J359="","",TODAY()-$J359)</f>
        <v/>
      </c>
      <c r="AD359" s="20">
        <f>IF($J359="","",IF($J359&lt;=TODAY(),COUNTIFS(cal_fechas,"&gt;="&amp;$J359,cal_fechas,"&lt;"&amp;TODAY(),cal_habil,"sí"),-COUNTIFS(cal_fechas,"&gt;="&amp;TODAY(),cal_fechas,"&lt;"&amp;$J359,cal_habil,"sí")))</f>
        <v/>
      </c>
      <c r="AE359" s="5">
        <f>IF($AD359="","",IF($AD359&lt;0,"FUTURO",IF($AD359&gt;p_dias_backlog_max,"BACKLOG","MES CORRIENTE")))</f>
        <v/>
      </c>
      <c r="AF359" s="5">
        <f>IF($AD359="",FALSE,AND($AD359&gt;p_dias_backlog_min,$AD359&lt;=p_dias_backlog_max))</f>
        <v/>
      </c>
      <c r="AG359" s="4" t="n"/>
      <c r="AH359" s="5">
        <f>IF($AG359="","",IF((IFERROR(INDEX('ASIGNACIONES'!$J$4:$J$451,MATCH($O359&amp;"|"&amp;$S359&amp;"|"&amp;$AG359,'ASIGNACIONES'!$N$4:$N$451,0)),""))=0,"",IFERROR(INDEX('ASIGNACIONES'!$J$4:$J$451,MATCH($O359&amp;"|"&amp;$S359&amp;"|"&amp;$AG359,'ASIGNACIONES'!$N$4:$N$451,0)),"")))</f>
        <v/>
      </c>
      <c r="AI359" s="25">
        <f>IF($AG359="","",SUMIFS('ORDENES'!$M$4:$M$1203,'ORDENES'!$AG$4:$AG$1203,$AG359,'ORDENES'!$O$4:$O$1203,$O359,'ORDENES'!$S$4:$S$1203,$S359))</f>
        <v/>
      </c>
      <c r="AJ359" s="25">
        <f>IF($AI359="","",p_factor_productividad*IFERROR(INDEX('ASIGNACIONES'!$M$4:$M$451,MATCH($O359&amp;"|"&amp;$S359&amp;"|"&amp;$AG359,'ASIGNACIONES'!$N$4:$N$451,0)),0)-$AI359)</f>
        <v/>
      </c>
      <c r="AK359" s="18">
        <f>IF($A359="","",IFERROR(INDEX('2_IMPORTAR_EJECUCION'!$F$9:$F$1208,MATCH($AT359,'2_IMPORTAR_EJECUCION'!$J$9:$J$1208,0)),0))</f>
        <v/>
      </c>
      <c r="AL359" s="18">
        <f>IF($A359="","",MAX(0,IFERROR(INDEX('2_IMPORTAR_EJECUCION'!$H$9:$H$1208,MATCH($AT359,'2_IMPORTAR_EJECUCION'!$J$9:$J$1208,0)),0)-$AK359))</f>
        <v/>
      </c>
      <c r="AM359" s="18">
        <f>IF($A359="","",$AK359+$AL359)</f>
        <v/>
      </c>
      <c r="AN359" s="5">
        <f>IF($A359="","",IF(OR((IFERROR(INDEX('CAT_ACTIVIDADES'!$D$4:$D$11,MATCH($H359,'CAT_ACTIVIDADES'!$A$4:$A$11,0)),""))=0,(IFERROR(INDEX('CAT_ACTIVIDADES'!$D$4:$D$11,MATCH($H359,'CAT_ACTIVIDADES'!$A$4:$A$11,0)),""))=""),"SIN CLASIFICAR",IFERROR(INDEX('CAT_ACTIVIDADES'!$D$4:$D$11,MATCH($H359,'CAT_ACTIVIDADES'!$A$4:$A$11,0)),"")))</f>
        <v/>
      </c>
      <c r="AO359" s="4" t="n"/>
      <c r="AP359" s="4" t="n"/>
      <c r="AQ359" s="4" t="n"/>
      <c r="AR359" s="5">
        <f>IF($AQ359="","",HYPERLINK(p_ruta_base_checklists&amp;$AQ359,"abrir"))</f>
        <v/>
      </c>
      <c r="AS359" s="4" t="n"/>
      <c r="AT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2" t="n"/>
      <c r="K360" s="5" t="n"/>
      <c r="L360" s="18" t="n"/>
      <c r="M360" s="5">
        <f>IF($A360="","",IFERROR(INDEX('AJUSTES'!$B$4:$B$303,MATCH($AT360,'AJUSTES'!$A$4:$A$303,0)),IF($K360="","",$K360)))</f>
        <v/>
      </c>
      <c r="N360" s="5">
        <f>IF($A360="","",IFERROR(INDEX('CAT_ESTADOS_ERP'!$B$4:$B$7,MATCH(IFERROR(INDEX('2_IMPORTAR_EJECUCION'!$C$9:$C$1208,MATCH($AT360,'2_IMPORTAR_EJECUCION'!$J$9:$J$1208,0)),""),'CAT_ESTADOS_ERP'!$A$4:$A$7,0)),"Pendiente"))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IF($J360="","",$P360&amp;"-"&amp;TEXT($Q360,"00"))</f>
        <v/>
      </c>
      <c r="S360" s="5">
        <f>IF($J360="","",INDEX(lista_dias,WEEKDAY($J360,2)))</f>
        <v/>
      </c>
      <c r="T360" s="5">
        <f>IF($J360="","",IFERROR(INDEX('CALENDARIO'!$C$15:$C$214,MATCH(TEXT($J360,"yyyy-mm-dd")&amp;"|"&amp;$X360&amp;"|"&amp;$Y360,'CALENDARIO'!$G$15:$G$214,0)),IFERROR(INDEX('CALENDARIO'!$C$15:$C$214,MATCH(TEXT($J360,"yyyy-mm-dd")&amp;"|"&amp;$X360&amp;"|",'CALENDARIO'!$G$15:$G$214,0)),IFERROR(INDEX('CALENDARIO'!$C$15:$C$214,MATCH(TEXT($J360,"yyyy-mm-dd")&amp;"||",'CALENDARIO'!$G$15:$G$214,0)),INDEX(patronHabil,WEEKDAY($J360,2))))))</f>
        <v/>
      </c>
      <c r="U360" s="5">
        <f>IF($I360="","",IFERROR(INDEX('CAT_TIPOS_OT'!$C$4:$C$8,MATCH($I360,'CAT_TIPOS_OT'!$A$4:$A$8,0)),"sin_clasificar"))</f>
        <v/>
      </c>
      <c r="V360" s="5">
        <f>IF($I360="","",IF(IFERROR(INDEX('CAT_TIPOS_OT'!$D$4:$D$8,MATCH($I360,'CAT_TIPOS_OT'!$A$4:$A$8,0)),"SIN CLASIFICAR")="","SIN CLASIFICAR",IFERROR(INDEX('CAT_TIPOS_OT'!$D$4:$D$8,MATCH($I360,'CAT_TIPOS_OT'!$A$4:$A$8,0)),"SIN CLASIFICAR")))</f>
        <v/>
      </c>
      <c r="W360" s="5">
        <f>IF($F360="","",IFERROR(INDEX('CAT_CENTROS_COSTO'!$F$4:$F$13,MATCH($F360,'CAT_CENTROS_COSTO'!$A$4:$A$13,0)),"(sin catálogo)"))</f>
        <v/>
      </c>
      <c r="X360" s="5">
        <f>IF($F360="","",IFERROR(INDEX('CAT_CENTROS_COSTO'!$D$4:$D$13,MATCH($F360,'CAT_CENTROS_COSTO'!$A$4:$A$13,0)),"(sin catálogo)"))</f>
        <v/>
      </c>
      <c r="Y360" s="5">
        <f>IF($F360="","",IF((IFERROR(INDEX('CAT_CENTROS_COSTO'!$E$4:$E$13,MATCH($F360,'CAT_CENTROS_COSTO'!$A$4:$A$13,0)),""))&lt;&gt;"",IFERROR(INDEX('CAT_CENTROS_COSTO'!$E$4:$E$13,MATCH($F360,'CAT_CENTROS_COSTO'!$A$4:$A$13,0)),""),$X360))</f>
        <v/>
      </c>
      <c r="Z360" s="5">
        <f>IF($F360="","",IFERROR(INDEX('CAT_CENTROS_COSTO'!$G$4:$G$13,MATCH($F360,'CAT_CENTROS_COSTO'!$A$4:$A$13,0)),"(sin catálogo)"))</f>
        <v/>
      </c>
      <c r="AA360" s="5">
        <f>IF($G360="","",IFERROR(INDEX('CAT_PUESTOS'!$B$4:$B$8,MATCH($G360,'CAT_PUESTOS'!$A$4:$A$8,0)),"(sin catálogo)"))</f>
        <v/>
      </c>
      <c r="AB360" s="5">
        <f>IF($H360="","",IFERROR(INDEX('CAT_ACTIVIDADES'!$B$4:$B$11,MATCH($H360,'CAT_ACTIVIDADES'!$A$4:$A$11,0)),"(sin catálogo)"))</f>
        <v/>
      </c>
      <c r="AC360" s="20">
        <f>IF($J360="","",TODAY()-$J360)</f>
        <v/>
      </c>
      <c r="AD360" s="20">
        <f>IF($J360="","",IF($J360&lt;=TODAY(),COUNTIFS(cal_fechas,"&gt;="&amp;$J360,cal_fechas,"&lt;"&amp;TODAY(),cal_habil,"sí"),-COUNTIFS(cal_fechas,"&gt;="&amp;TODAY(),cal_fechas,"&lt;"&amp;$J360,cal_habil,"sí")))</f>
        <v/>
      </c>
      <c r="AE360" s="5">
        <f>IF($AD360="","",IF($AD360&lt;0,"FUTURO",IF($AD360&gt;p_dias_backlog_max,"BACKLOG","MES CORRIENTE")))</f>
        <v/>
      </c>
      <c r="AF360" s="5">
        <f>IF($AD360="",FALSE,AND($AD360&gt;p_dias_backlog_min,$AD360&lt;=p_dias_backlog_max))</f>
        <v/>
      </c>
      <c r="AG360" s="4" t="n"/>
      <c r="AH360" s="5">
        <f>IF($AG360="","",IF((IFERROR(INDEX('ASIGNACIONES'!$J$4:$J$451,MATCH($O360&amp;"|"&amp;$S360&amp;"|"&amp;$AG360,'ASIGNACIONES'!$N$4:$N$451,0)),""))=0,"",IFERROR(INDEX('ASIGNACIONES'!$J$4:$J$451,MATCH($O360&amp;"|"&amp;$S360&amp;"|"&amp;$AG360,'ASIGNACIONES'!$N$4:$N$451,0)),"")))</f>
        <v/>
      </c>
      <c r="AI360" s="25">
        <f>IF($AG360="","",SUMIFS('ORDENES'!$M$4:$M$1203,'ORDENES'!$AG$4:$AG$1203,$AG360,'ORDENES'!$O$4:$O$1203,$O360,'ORDENES'!$S$4:$S$1203,$S360))</f>
        <v/>
      </c>
      <c r="AJ360" s="25">
        <f>IF($AI360="","",p_factor_productividad*IFERROR(INDEX('ASIGNACIONES'!$M$4:$M$451,MATCH($O360&amp;"|"&amp;$S360&amp;"|"&amp;$AG360,'ASIGNACIONES'!$N$4:$N$451,0)),0)-$AI360)</f>
        <v/>
      </c>
      <c r="AK360" s="18">
        <f>IF($A360="","",IFERROR(INDEX('2_IMPORTAR_EJECUCION'!$F$9:$F$1208,MATCH($AT360,'2_IMPORTAR_EJECUCION'!$J$9:$J$1208,0)),0))</f>
        <v/>
      </c>
      <c r="AL360" s="18">
        <f>IF($A360="","",MAX(0,IFERROR(INDEX('2_IMPORTAR_EJECUCION'!$H$9:$H$1208,MATCH($AT360,'2_IMPORTAR_EJECUCION'!$J$9:$J$1208,0)),0)-$AK360))</f>
        <v/>
      </c>
      <c r="AM360" s="18">
        <f>IF($A360="","",$AK360+$AL360)</f>
        <v/>
      </c>
      <c r="AN360" s="5">
        <f>IF($A360="","",IF(OR((IFERROR(INDEX('CAT_ACTIVIDADES'!$D$4:$D$11,MATCH($H360,'CAT_ACTIVIDADES'!$A$4:$A$11,0)),""))=0,(IFERROR(INDEX('CAT_ACTIVIDADES'!$D$4:$D$11,MATCH($H360,'CAT_ACTIVIDADES'!$A$4:$A$11,0)),""))=""),"SIN CLASIFICAR",IFERROR(INDEX('CAT_ACTIVIDADES'!$D$4:$D$11,MATCH($H360,'CAT_ACTIVIDADES'!$A$4:$A$11,0)),"")))</f>
        <v/>
      </c>
      <c r="AO360" s="4" t="n"/>
      <c r="AP360" s="4" t="n"/>
      <c r="AQ360" s="4" t="n"/>
      <c r="AR360" s="5">
        <f>IF($AQ360="","",HYPERLINK(p_ruta_base_checklists&amp;$AQ360,"abrir"))</f>
        <v/>
      </c>
      <c r="AS360" s="4" t="n"/>
      <c r="AT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2" t="n"/>
      <c r="K361" s="5" t="n"/>
      <c r="L361" s="18" t="n"/>
      <c r="M361" s="5">
        <f>IF($A361="","",IFERROR(INDEX('AJUSTES'!$B$4:$B$303,MATCH($AT361,'AJUSTES'!$A$4:$A$303,0)),IF($K361="","",$K361)))</f>
        <v/>
      </c>
      <c r="N361" s="5">
        <f>IF($A361="","",IFERROR(INDEX('CAT_ESTADOS_ERP'!$B$4:$B$7,MATCH(IFERROR(INDEX('2_IMPORTAR_EJECUCION'!$C$9:$C$1208,MATCH($AT361,'2_IMPORTAR_EJECUCION'!$J$9:$J$1208,0)),""),'CAT_ESTADOS_ERP'!$A$4:$A$7,0)),"Pendiente"))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IF($J361="","",$P361&amp;"-"&amp;TEXT($Q361,"00"))</f>
        <v/>
      </c>
      <c r="S361" s="5">
        <f>IF($J361="","",INDEX(lista_dias,WEEKDAY($J361,2)))</f>
        <v/>
      </c>
      <c r="T361" s="5">
        <f>IF($J361="","",IFERROR(INDEX('CALENDARIO'!$C$15:$C$214,MATCH(TEXT($J361,"yyyy-mm-dd")&amp;"|"&amp;$X361&amp;"|"&amp;$Y361,'CALENDARIO'!$G$15:$G$214,0)),IFERROR(INDEX('CALENDARIO'!$C$15:$C$214,MATCH(TEXT($J361,"yyyy-mm-dd")&amp;"|"&amp;$X361&amp;"|",'CALENDARIO'!$G$15:$G$214,0)),IFERROR(INDEX('CALENDARIO'!$C$15:$C$214,MATCH(TEXT($J361,"yyyy-mm-dd")&amp;"||",'CALENDARIO'!$G$15:$G$214,0)),INDEX(patronHabil,WEEKDAY($J361,2))))))</f>
        <v/>
      </c>
      <c r="U361" s="5">
        <f>IF($I361="","",IFERROR(INDEX('CAT_TIPOS_OT'!$C$4:$C$8,MATCH($I361,'CAT_TIPOS_OT'!$A$4:$A$8,0)),"sin_clasificar"))</f>
        <v/>
      </c>
      <c r="V361" s="5">
        <f>IF($I361="","",IF(IFERROR(INDEX('CAT_TIPOS_OT'!$D$4:$D$8,MATCH($I361,'CAT_TIPOS_OT'!$A$4:$A$8,0)),"SIN CLASIFICAR")="","SIN CLASIFICAR",IFERROR(INDEX('CAT_TIPOS_OT'!$D$4:$D$8,MATCH($I361,'CAT_TIPOS_OT'!$A$4:$A$8,0)),"SIN CLASIFICAR")))</f>
        <v/>
      </c>
      <c r="W361" s="5">
        <f>IF($F361="","",IFERROR(INDEX('CAT_CENTROS_COSTO'!$F$4:$F$13,MATCH($F361,'CAT_CENTROS_COSTO'!$A$4:$A$13,0)),"(sin catálogo)"))</f>
        <v/>
      </c>
      <c r="X361" s="5">
        <f>IF($F361="","",IFERROR(INDEX('CAT_CENTROS_COSTO'!$D$4:$D$13,MATCH($F361,'CAT_CENTROS_COSTO'!$A$4:$A$13,0)),"(sin catálogo)"))</f>
        <v/>
      </c>
      <c r="Y361" s="5">
        <f>IF($F361="","",IF((IFERROR(INDEX('CAT_CENTROS_COSTO'!$E$4:$E$13,MATCH($F361,'CAT_CENTROS_COSTO'!$A$4:$A$13,0)),""))&lt;&gt;"",IFERROR(INDEX('CAT_CENTROS_COSTO'!$E$4:$E$13,MATCH($F361,'CAT_CENTROS_COSTO'!$A$4:$A$13,0)),""),$X361))</f>
        <v/>
      </c>
      <c r="Z361" s="5">
        <f>IF($F361="","",IFERROR(INDEX('CAT_CENTROS_COSTO'!$G$4:$G$13,MATCH($F361,'CAT_CENTROS_COSTO'!$A$4:$A$13,0)),"(sin catálogo)"))</f>
        <v/>
      </c>
      <c r="AA361" s="5">
        <f>IF($G361="","",IFERROR(INDEX('CAT_PUESTOS'!$B$4:$B$8,MATCH($G361,'CAT_PUESTOS'!$A$4:$A$8,0)),"(sin catálogo)"))</f>
        <v/>
      </c>
      <c r="AB361" s="5">
        <f>IF($H361="","",IFERROR(INDEX('CAT_ACTIVIDADES'!$B$4:$B$11,MATCH($H361,'CAT_ACTIVIDADES'!$A$4:$A$11,0)),"(sin catálogo)"))</f>
        <v/>
      </c>
      <c r="AC361" s="20">
        <f>IF($J361="","",TODAY()-$J361)</f>
        <v/>
      </c>
      <c r="AD361" s="20">
        <f>IF($J361="","",IF($J361&lt;=TODAY(),COUNTIFS(cal_fechas,"&gt;="&amp;$J361,cal_fechas,"&lt;"&amp;TODAY(),cal_habil,"sí"),-COUNTIFS(cal_fechas,"&gt;="&amp;TODAY(),cal_fechas,"&lt;"&amp;$J361,cal_habil,"sí")))</f>
        <v/>
      </c>
      <c r="AE361" s="5">
        <f>IF($AD361="","",IF($AD361&lt;0,"FUTURO",IF($AD361&gt;p_dias_backlog_max,"BACKLOG","MES CORRIENTE")))</f>
        <v/>
      </c>
      <c r="AF361" s="5">
        <f>IF($AD361="",FALSE,AND($AD361&gt;p_dias_backlog_min,$AD361&lt;=p_dias_backlog_max))</f>
        <v/>
      </c>
      <c r="AG361" s="4" t="n"/>
      <c r="AH361" s="5">
        <f>IF($AG361="","",IF((IFERROR(INDEX('ASIGNACIONES'!$J$4:$J$451,MATCH($O361&amp;"|"&amp;$S361&amp;"|"&amp;$AG361,'ASIGNACIONES'!$N$4:$N$451,0)),""))=0,"",IFERROR(INDEX('ASIGNACIONES'!$J$4:$J$451,MATCH($O361&amp;"|"&amp;$S361&amp;"|"&amp;$AG361,'ASIGNACIONES'!$N$4:$N$451,0)),"")))</f>
        <v/>
      </c>
      <c r="AI361" s="25">
        <f>IF($AG361="","",SUMIFS('ORDENES'!$M$4:$M$1203,'ORDENES'!$AG$4:$AG$1203,$AG361,'ORDENES'!$O$4:$O$1203,$O361,'ORDENES'!$S$4:$S$1203,$S361))</f>
        <v/>
      </c>
      <c r="AJ361" s="25">
        <f>IF($AI361="","",p_factor_productividad*IFERROR(INDEX('ASIGNACIONES'!$M$4:$M$451,MATCH($O361&amp;"|"&amp;$S361&amp;"|"&amp;$AG361,'ASIGNACIONES'!$N$4:$N$451,0)),0)-$AI361)</f>
        <v/>
      </c>
      <c r="AK361" s="18">
        <f>IF($A361="","",IFERROR(INDEX('2_IMPORTAR_EJECUCION'!$F$9:$F$1208,MATCH($AT361,'2_IMPORTAR_EJECUCION'!$J$9:$J$1208,0)),0))</f>
        <v/>
      </c>
      <c r="AL361" s="18">
        <f>IF($A361="","",MAX(0,IFERROR(INDEX('2_IMPORTAR_EJECUCION'!$H$9:$H$1208,MATCH($AT361,'2_IMPORTAR_EJECUCION'!$J$9:$J$1208,0)),0)-$AK361))</f>
        <v/>
      </c>
      <c r="AM361" s="18">
        <f>IF($A361="","",$AK361+$AL361)</f>
        <v/>
      </c>
      <c r="AN361" s="5">
        <f>IF($A361="","",IF(OR((IFERROR(INDEX('CAT_ACTIVIDADES'!$D$4:$D$11,MATCH($H361,'CAT_ACTIVIDADES'!$A$4:$A$11,0)),""))=0,(IFERROR(INDEX('CAT_ACTIVIDADES'!$D$4:$D$11,MATCH($H361,'CAT_ACTIVIDADES'!$A$4:$A$11,0)),""))=""),"SIN CLASIFICAR",IFERROR(INDEX('CAT_ACTIVIDADES'!$D$4:$D$11,MATCH($H361,'CAT_ACTIVIDADES'!$A$4:$A$11,0)),"")))</f>
        <v/>
      </c>
      <c r="AO361" s="4" t="n"/>
      <c r="AP361" s="4" t="n"/>
      <c r="AQ361" s="4" t="n"/>
      <c r="AR361" s="5">
        <f>IF($AQ361="","",HYPERLINK(p_ruta_base_checklists&amp;$AQ361,"abrir"))</f>
        <v/>
      </c>
      <c r="AS361" s="4" t="n"/>
      <c r="AT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2" t="n"/>
      <c r="K362" s="5" t="n"/>
      <c r="L362" s="18" t="n"/>
      <c r="M362" s="5">
        <f>IF($A362="","",IFERROR(INDEX('AJUSTES'!$B$4:$B$303,MATCH($AT362,'AJUSTES'!$A$4:$A$303,0)),IF($K362="","",$K362)))</f>
        <v/>
      </c>
      <c r="N362" s="5">
        <f>IF($A362="","",IFERROR(INDEX('CAT_ESTADOS_ERP'!$B$4:$B$7,MATCH(IFERROR(INDEX('2_IMPORTAR_EJECUCION'!$C$9:$C$1208,MATCH($AT362,'2_IMPORTAR_EJECUCION'!$J$9:$J$1208,0)),""),'CAT_ESTADOS_ERP'!$A$4:$A$7,0)),"Pendiente"))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IF($J362="","",$P362&amp;"-"&amp;TEXT($Q362,"00"))</f>
        <v/>
      </c>
      <c r="S362" s="5">
        <f>IF($J362="","",INDEX(lista_dias,WEEKDAY($J362,2)))</f>
        <v/>
      </c>
      <c r="T362" s="5">
        <f>IF($J362="","",IFERROR(INDEX('CALENDARIO'!$C$15:$C$214,MATCH(TEXT($J362,"yyyy-mm-dd")&amp;"|"&amp;$X362&amp;"|"&amp;$Y362,'CALENDARIO'!$G$15:$G$214,0)),IFERROR(INDEX('CALENDARIO'!$C$15:$C$214,MATCH(TEXT($J362,"yyyy-mm-dd")&amp;"|"&amp;$X362&amp;"|",'CALENDARIO'!$G$15:$G$214,0)),IFERROR(INDEX('CALENDARIO'!$C$15:$C$214,MATCH(TEXT($J362,"yyyy-mm-dd")&amp;"||",'CALENDARIO'!$G$15:$G$214,0)),INDEX(patronHabil,WEEKDAY($J362,2))))))</f>
        <v/>
      </c>
      <c r="U362" s="5">
        <f>IF($I362="","",IFERROR(INDEX('CAT_TIPOS_OT'!$C$4:$C$8,MATCH($I362,'CAT_TIPOS_OT'!$A$4:$A$8,0)),"sin_clasificar"))</f>
        <v/>
      </c>
      <c r="V362" s="5">
        <f>IF($I362="","",IF(IFERROR(INDEX('CAT_TIPOS_OT'!$D$4:$D$8,MATCH($I362,'CAT_TIPOS_OT'!$A$4:$A$8,0)),"SIN CLASIFICAR")="","SIN CLASIFICAR",IFERROR(INDEX('CAT_TIPOS_OT'!$D$4:$D$8,MATCH($I362,'CAT_TIPOS_OT'!$A$4:$A$8,0)),"SIN CLASIFICAR")))</f>
        <v/>
      </c>
      <c r="W362" s="5">
        <f>IF($F362="","",IFERROR(INDEX('CAT_CENTROS_COSTO'!$F$4:$F$13,MATCH($F362,'CAT_CENTROS_COSTO'!$A$4:$A$13,0)),"(sin catálogo)"))</f>
        <v/>
      </c>
      <c r="X362" s="5">
        <f>IF($F362="","",IFERROR(INDEX('CAT_CENTROS_COSTO'!$D$4:$D$13,MATCH($F362,'CAT_CENTROS_COSTO'!$A$4:$A$13,0)),"(sin catálogo)"))</f>
        <v/>
      </c>
      <c r="Y362" s="5">
        <f>IF($F362="","",IF((IFERROR(INDEX('CAT_CENTROS_COSTO'!$E$4:$E$13,MATCH($F362,'CAT_CENTROS_COSTO'!$A$4:$A$13,0)),""))&lt;&gt;"",IFERROR(INDEX('CAT_CENTROS_COSTO'!$E$4:$E$13,MATCH($F362,'CAT_CENTROS_COSTO'!$A$4:$A$13,0)),""),$X362))</f>
        <v/>
      </c>
      <c r="Z362" s="5">
        <f>IF($F362="","",IFERROR(INDEX('CAT_CENTROS_COSTO'!$G$4:$G$13,MATCH($F362,'CAT_CENTROS_COSTO'!$A$4:$A$13,0)),"(sin catálogo)"))</f>
        <v/>
      </c>
      <c r="AA362" s="5">
        <f>IF($G362="","",IFERROR(INDEX('CAT_PUESTOS'!$B$4:$B$8,MATCH($G362,'CAT_PUESTOS'!$A$4:$A$8,0)),"(sin catálogo)"))</f>
        <v/>
      </c>
      <c r="AB362" s="5">
        <f>IF($H362="","",IFERROR(INDEX('CAT_ACTIVIDADES'!$B$4:$B$11,MATCH($H362,'CAT_ACTIVIDADES'!$A$4:$A$11,0)),"(sin catálogo)"))</f>
        <v/>
      </c>
      <c r="AC362" s="20">
        <f>IF($J362="","",TODAY()-$J362)</f>
        <v/>
      </c>
      <c r="AD362" s="20">
        <f>IF($J362="","",IF($J362&lt;=TODAY(),COUNTIFS(cal_fechas,"&gt;="&amp;$J362,cal_fechas,"&lt;"&amp;TODAY(),cal_habil,"sí"),-COUNTIFS(cal_fechas,"&gt;="&amp;TODAY(),cal_fechas,"&lt;"&amp;$J362,cal_habil,"sí")))</f>
        <v/>
      </c>
      <c r="AE362" s="5">
        <f>IF($AD362="","",IF($AD362&lt;0,"FUTURO",IF($AD362&gt;p_dias_backlog_max,"BACKLOG","MES CORRIENTE")))</f>
        <v/>
      </c>
      <c r="AF362" s="5">
        <f>IF($AD362="",FALSE,AND($AD362&gt;p_dias_backlog_min,$AD362&lt;=p_dias_backlog_max))</f>
        <v/>
      </c>
      <c r="AG362" s="4" t="n"/>
      <c r="AH362" s="5">
        <f>IF($AG362="","",IF((IFERROR(INDEX('ASIGNACIONES'!$J$4:$J$451,MATCH($O362&amp;"|"&amp;$S362&amp;"|"&amp;$AG362,'ASIGNACIONES'!$N$4:$N$451,0)),""))=0,"",IFERROR(INDEX('ASIGNACIONES'!$J$4:$J$451,MATCH($O362&amp;"|"&amp;$S362&amp;"|"&amp;$AG362,'ASIGNACIONES'!$N$4:$N$451,0)),"")))</f>
        <v/>
      </c>
      <c r="AI362" s="25">
        <f>IF($AG362="","",SUMIFS('ORDENES'!$M$4:$M$1203,'ORDENES'!$AG$4:$AG$1203,$AG362,'ORDENES'!$O$4:$O$1203,$O362,'ORDENES'!$S$4:$S$1203,$S362))</f>
        <v/>
      </c>
      <c r="AJ362" s="25">
        <f>IF($AI362="","",p_factor_productividad*IFERROR(INDEX('ASIGNACIONES'!$M$4:$M$451,MATCH($O362&amp;"|"&amp;$S362&amp;"|"&amp;$AG362,'ASIGNACIONES'!$N$4:$N$451,0)),0)-$AI362)</f>
        <v/>
      </c>
      <c r="AK362" s="18">
        <f>IF($A362="","",IFERROR(INDEX('2_IMPORTAR_EJECUCION'!$F$9:$F$1208,MATCH($AT362,'2_IMPORTAR_EJECUCION'!$J$9:$J$1208,0)),0))</f>
        <v/>
      </c>
      <c r="AL362" s="18">
        <f>IF($A362="","",MAX(0,IFERROR(INDEX('2_IMPORTAR_EJECUCION'!$H$9:$H$1208,MATCH($AT362,'2_IMPORTAR_EJECUCION'!$J$9:$J$1208,0)),0)-$AK362))</f>
        <v/>
      </c>
      <c r="AM362" s="18">
        <f>IF($A362="","",$AK362+$AL362)</f>
        <v/>
      </c>
      <c r="AN362" s="5">
        <f>IF($A362="","",IF(OR((IFERROR(INDEX('CAT_ACTIVIDADES'!$D$4:$D$11,MATCH($H362,'CAT_ACTIVIDADES'!$A$4:$A$11,0)),""))=0,(IFERROR(INDEX('CAT_ACTIVIDADES'!$D$4:$D$11,MATCH($H362,'CAT_ACTIVIDADES'!$A$4:$A$11,0)),""))=""),"SIN CLASIFICAR",IFERROR(INDEX('CAT_ACTIVIDADES'!$D$4:$D$11,MATCH($H362,'CAT_ACTIVIDADES'!$A$4:$A$11,0)),"")))</f>
        <v/>
      </c>
      <c r="AO362" s="4" t="n"/>
      <c r="AP362" s="4" t="n"/>
      <c r="AQ362" s="4" t="n"/>
      <c r="AR362" s="5">
        <f>IF($AQ362="","",HYPERLINK(p_ruta_base_checklists&amp;$AQ362,"abrir"))</f>
        <v/>
      </c>
      <c r="AS362" s="4" t="n"/>
      <c r="AT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2" t="n"/>
      <c r="K363" s="5" t="n"/>
      <c r="L363" s="18" t="n"/>
      <c r="M363" s="5">
        <f>IF($A363="","",IFERROR(INDEX('AJUSTES'!$B$4:$B$303,MATCH($AT363,'AJUSTES'!$A$4:$A$303,0)),IF($K363="","",$K363)))</f>
        <v/>
      </c>
      <c r="N363" s="5">
        <f>IF($A363="","",IFERROR(INDEX('CAT_ESTADOS_ERP'!$B$4:$B$7,MATCH(IFERROR(INDEX('2_IMPORTAR_EJECUCION'!$C$9:$C$1208,MATCH($AT363,'2_IMPORTAR_EJECUCION'!$J$9:$J$1208,0)),""),'CAT_ESTADOS_ERP'!$A$4:$A$7,0)),"Pendiente"))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IF($J363="","",$P363&amp;"-"&amp;TEXT($Q363,"00"))</f>
        <v/>
      </c>
      <c r="S363" s="5">
        <f>IF($J363="","",INDEX(lista_dias,WEEKDAY($J363,2)))</f>
        <v/>
      </c>
      <c r="T363" s="5">
        <f>IF($J363="","",IFERROR(INDEX('CALENDARIO'!$C$15:$C$214,MATCH(TEXT($J363,"yyyy-mm-dd")&amp;"|"&amp;$X363&amp;"|"&amp;$Y363,'CALENDARIO'!$G$15:$G$214,0)),IFERROR(INDEX('CALENDARIO'!$C$15:$C$214,MATCH(TEXT($J363,"yyyy-mm-dd")&amp;"|"&amp;$X363&amp;"|",'CALENDARIO'!$G$15:$G$214,0)),IFERROR(INDEX('CALENDARIO'!$C$15:$C$214,MATCH(TEXT($J363,"yyyy-mm-dd")&amp;"||",'CALENDARIO'!$G$15:$G$214,0)),INDEX(patronHabil,WEEKDAY($J363,2))))))</f>
        <v/>
      </c>
      <c r="U363" s="5">
        <f>IF($I363="","",IFERROR(INDEX('CAT_TIPOS_OT'!$C$4:$C$8,MATCH($I363,'CAT_TIPOS_OT'!$A$4:$A$8,0)),"sin_clasificar"))</f>
        <v/>
      </c>
      <c r="V363" s="5">
        <f>IF($I363="","",IF(IFERROR(INDEX('CAT_TIPOS_OT'!$D$4:$D$8,MATCH($I363,'CAT_TIPOS_OT'!$A$4:$A$8,0)),"SIN CLASIFICAR")="","SIN CLASIFICAR",IFERROR(INDEX('CAT_TIPOS_OT'!$D$4:$D$8,MATCH($I363,'CAT_TIPOS_OT'!$A$4:$A$8,0)),"SIN CLASIFICAR")))</f>
        <v/>
      </c>
      <c r="W363" s="5">
        <f>IF($F363="","",IFERROR(INDEX('CAT_CENTROS_COSTO'!$F$4:$F$13,MATCH($F363,'CAT_CENTROS_COSTO'!$A$4:$A$13,0)),"(sin catálogo)"))</f>
        <v/>
      </c>
      <c r="X363" s="5">
        <f>IF($F363="","",IFERROR(INDEX('CAT_CENTROS_COSTO'!$D$4:$D$13,MATCH($F363,'CAT_CENTROS_COSTO'!$A$4:$A$13,0)),"(sin catálogo)"))</f>
        <v/>
      </c>
      <c r="Y363" s="5">
        <f>IF($F363="","",IF((IFERROR(INDEX('CAT_CENTROS_COSTO'!$E$4:$E$13,MATCH($F363,'CAT_CENTROS_COSTO'!$A$4:$A$13,0)),""))&lt;&gt;"",IFERROR(INDEX('CAT_CENTROS_COSTO'!$E$4:$E$13,MATCH($F363,'CAT_CENTROS_COSTO'!$A$4:$A$13,0)),""),$X363))</f>
        <v/>
      </c>
      <c r="Z363" s="5">
        <f>IF($F363="","",IFERROR(INDEX('CAT_CENTROS_COSTO'!$G$4:$G$13,MATCH($F363,'CAT_CENTROS_COSTO'!$A$4:$A$13,0)),"(sin catálogo)"))</f>
        <v/>
      </c>
      <c r="AA363" s="5">
        <f>IF($G363="","",IFERROR(INDEX('CAT_PUESTOS'!$B$4:$B$8,MATCH($G363,'CAT_PUESTOS'!$A$4:$A$8,0)),"(sin catálogo)"))</f>
        <v/>
      </c>
      <c r="AB363" s="5">
        <f>IF($H363="","",IFERROR(INDEX('CAT_ACTIVIDADES'!$B$4:$B$11,MATCH($H363,'CAT_ACTIVIDADES'!$A$4:$A$11,0)),"(sin catálogo)"))</f>
        <v/>
      </c>
      <c r="AC363" s="20">
        <f>IF($J363="","",TODAY()-$J363)</f>
        <v/>
      </c>
      <c r="AD363" s="20">
        <f>IF($J363="","",IF($J363&lt;=TODAY(),COUNTIFS(cal_fechas,"&gt;="&amp;$J363,cal_fechas,"&lt;"&amp;TODAY(),cal_habil,"sí"),-COUNTIFS(cal_fechas,"&gt;="&amp;TODAY(),cal_fechas,"&lt;"&amp;$J363,cal_habil,"sí")))</f>
        <v/>
      </c>
      <c r="AE363" s="5">
        <f>IF($AD363="","",IF($AD363&lt;0,"FUTURO",IF($AD363&gt;p_dias_backlog_max,"BACKLOG","MES CORRIENTE")))</f>
        <v/>
      </c>
      <c r="AF363" s="5">
        <f>IF($AD363="",FALSE,AND($AD363&gt;p_dias_backlog_min,$AD363&lt;=p_dias_backlog_max))</f>
        <v/>
      </c>
      <c r="AG363" s="4" t="n"/>
      <c r="AH363" s="5">
        <f>IF($AG363="","",IF((IFERROR(INDEX('ASIGNACIONES'!$J$4:$J$451,MATCH($O363&amp;"|"&amp;$S363&amp;"|"&amp;$AG363,'ASIGNACIONES'!$N$4:$N$451,0)),""))=0,"",IFERROR(INDEX('ASIGNACIONES'!$J$4:$J$451,MATCH($O363&amp;"|"&amp;$S363&amp;"|"&amp;$AG363,'ASIGNACIONES'!$N$4:$N$451,0)),"")))</f>
        <v/>
      </c>
      <c r="AI363" s="25">
        <f>IF($AG363="","",SUMIFS('ORDENES'!$M$4:$M$1203,'ORDENES'!$AG$4:$AG$1203,$AG363,'ORDENES'!$O$4:$O$1203,$O363,'ORDENES'!$S$4:$S$1203,$S363))</f>
        <v/>
      </c>
      <c r="AJ363" s="25">
        <f>IF($AI363="","",p_factor_productividad*IFERROR(INDEX('ASIGNACIONES'!$M$4:$M$451,MATCH($O363&amp;"|"&amp;$S363&amp;"|"&amp;$AG363,'ASIGNACIONES'!$N$4:$N$451,0)),0)-$AI363)</f>
        <v/>
      </c>
      <c r="AK363" s="18">
        <f>IF($A363="","",IFERROR(INDEX('2_IMPORTAR_EJECUCION'!$F$9:$F$1208,MATCH($AT363,'2_IMPORTAR_EJECUCION'!$J$9:$J$1208,0)),0))</f>
        <v/>
      </c>
      <c r="AL363" s="18">
        <f>IF($A363="","",MAX(0,IFERROR(INDEX('2_IMPORTAR_EJECUCION'!$H$9:$H$1208,MATCH($AT363,'2_IMPORTAR_EJECUCION'!$J$9:$J$1208,0)),0)-$AK363))</f>
        <v/>
      </c>
      <c r="AM363" s="18">
        <f>IF($A363="","",$AK363+$AL363)</f>
        <v/>
      </c>
      <c r="AN363" s="5">
        <f>IF($A363="","",IF(OR((IFERROR(INDEX('CAT_ACTIVIDADES'!$D$4:$D$11,MATCH($H363,'CAT_ACTIVIDADES'!$A$4:$A$11,0)),""))=0,(IFERROR(INDEX('CAT_ACTIVIDADES'!$D$4:$D$11,MATCH($H363,'CAT_ACTIVIDADES'!$A$4:$A$11,0)),""))=""),"SIN CLASIFICAR",IFERROR(INDEX('CAT_ACTIVIDADES'!$D$4:$D$11,MATCH($H363,'CAT_ACTIVIDADES'!$A$4:$A$11,0)),"")))</f>
        <v/>
      </c>
      <c r="AO363" s="4" t="n"/>
      <c r="AP363" s="4" t="n"/>
      <c r="AQ363" s="4" t="n"/>
      <c r="AR363" s="5">
        <f>IF($AQ363="","",HYPERLINK(p_ruta_base_checklists&amp;$AQ363,"abrir"))</f>
        <v/>
      </c>
      <c r="AS363" s="4" t="n"/>
      <c r="AT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2" t="n"/>
      <c r="K364" s="5" t="n"/>
      <c r="L364" s="18" t="n"/>
      <c r="M364" s="5">
        <f>IF($A364="","",IFERROR(INDEX('AJUSTES'!$B$4:$B$303,MATCH($AT364,'AJUSTES'!$A$4:$A$303,0)),IF($K364="","",$K364)))</f>
        <v/>
      </c>
      <c r="N364" s="5">
        <f>IF($A364="","",IFERROR(INDEX('CAT_ESTADOS_ERP'!$B$4:$B$7,MATCH(IFERROR(INDEX('2_IMPORTAR_EJECUCION'!$C$9:$C$1208,MATCH($AT364,'2_IMPORTAR_EJECUCION'!$J$9:$J$1208,0)),""),'CAT_ESTADOS_ERP'!$A$4:$A$7,0)),"Pendiente"))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IF($J364="","",$P364&amp;"-"&amp;TEXT($Q364,"00"))</f>
        <v/>
      </c>
      <c r="S364" s="5">
        <f>IF($J364="","",INDEX(lista_dias,WEEKDAY($J364,2)))</f>
        <v/>
      </c>
      <c r="T364" s="5">
        <f>IF($J364="","",IFERROR(INDEX('CALENDARIO'!$C$15:$C$214,MATCH(TEXT($J364,"yyyy-mm-dd")&amp;"|"&amp;$X364&amp;"|"&amp;$Y364,'CALENDARIO'!$G$15:$G$214,0)),IFERROR(INDEX('CALENDARIO'!$C$15:$C$214,MATCH(TEXT($J364,"yyyy-mm-dd")&amp;"|"&amp;$X364&amp;"|",'CALENDARIO'!$G$15:$G$214,0)),IFERROR(INDEX('CALENDARIO'!$C$15:$C$214,MATCH(TEXT($J364,"yyyy-mm-dd")&amp;"||",'CALENDARIO'!$G$15:$G$214,0)),INDEX(patronHabil,WEEKDAY($J364,2))))))</f>
        <v/>
      </c>
      <c r="U364" s="5">
        <f>IF($I364="","",IFERROR(INDEX('CAT_TIPOS_OT'!$C$4:$C$8,MATCH($I364,'CAT_TIPOS_OT'!$A$4:$A$8,0)),"sin_clasificar"))</f>
        <v/>
      </c>
      <c r="V364" s="5">
        <f>IF($I364="","",IF(IFERROR(INDEX('CAT_TIPOS_OT'!$D$4:$D$8,MATCH($I364,'CAT_TIPOS_OT'!$A$4:$A$8,0)),"SIN CLASIFICAR")="","SIN CLASIFICAR",IFERROR(INDEX('CAT_TIPOS_OT'!$D$4:$D$8,MATCH($I364,'CAT_TIPOS_OT'!$A$4:$A$8,0)),"SIN CLASIFICAR")))</f>
        <v/>
      </c>
      <c r="W364" s="5">
        <f>IF($F364="","",IFERROR(INDEX('CAT_CENTROS_COSTO'!$F$4:$F$13,MATCH($F364,'CAT_CENTROS_COSTO'!$A$4:$A$13,0)),"(sin catálogo)"))</f>
        <v/>
      </c>
      <c r="X364" s="5">
        <f>IF($F364="","",IFERROR(INDEX('CAT_CENTROS_COSTO'!$D$4:$D$13,MATCH($F364,'CAT_CENTROS_COSTO'!$A$4:$A$13,0)),"(sin catálogo)"))</f>
        <v/>
      </c>
      <c r="Y364" s="5">
        <f>IF($F364="","",IF((IFERROR(INDEX('CAT_CENTROS_COSTO'!$E$4:$E$13,MATCH($F364,'CAT_CENTROS_COSTO'!$A$4:$A$13,0)),""))&lt;&gt;"",IFERROR(INDEX('CAT_CENTROS_COSTO'!$E$4:$E$13,MATCH($F364,'CAT_CENTROS_COSTO'!$A$4:$A$13,0)),""),$X364))</f>
        <v/>
      </c>
      <c r="Z364" s="5">
        <f>IF($F364="","",IFERROR(INDEX('CAT_CENTROS_COSTO'!$G$4:$G$13,MATCH($F364,'CAT_CENTROS_COSTO'!$A$4:$A$13,0)),"(sin catálogo)"))</f>
        <v/>
      </c>
      <c r="AA364" s="5">
        <f>IF($G364="","",IFERROR(INDEX('CAT_PUESTOS'!$B$4:$B$8,MATCH($G364,'CAT_PUESTOS'!$A$4:$A$8,0)),"(sin catálogo)"))</f>
        <v/>
      </c>
      <c r="AB364" s="5">
        <f>IF($H364="","",IFERROR(INDEX('CAT_ACTIVIDADES'!$B$4:$B$11,MATCH($H364,'CAT_ACTIVIDADES'!$A$4:$A$11,0)),"(sin catálogo)"))</f>
        <v/>
      </c>
      <c r="AC364" s="20">
        <f>IF($J364="","",TODAY()-$J364)</f>
        <v/>
      </c>
      <c r="AD364" s="20">
        <f>IF($J364="","",IF($J364&lt;=TODAY(),COUNTIFS(cal_fechas,"&gt;="&amp;$J364,cal_fechas,"&lt;"&amp;TODAY(),cal_habil,"sí"),-COUNTIFS(cal_fechas,"&gt;="&amp;TODAY(),cal_fechas,"&lt;"&amp;$J364,cal_habil,"sí")))</f>
        <v/>
      </c>
      <c r="AE364" s="5">
        <f>IF($AD364="","",IF($AD364&lt;0,"FUTURO",IF($AD364&gt;p_dias_backlog_max,"BACKLOG","MES CORRIENTE")))</f>
        <v/>
      </c>
      <c r="AF364" s="5">
        <f>IF($AD364="",FALSE,AND($AD364&gt;p_dias_backlog_min,$AD364&lt;=p_dias_backlog_max))</f>
        <v/>
      </c>
      <c r="AG364" s="4" t="n"/>
      <c r="AH364" s="5">
        <f>IF($AG364="","",IF((IFERROR(INDEX('ASIGNACIONES'!$J$4:$J$451,MATCH($O364&amp;"|"&amp;$S364&amp;"|"&amp;$AG364,'ASIGNACIONES'!$N$4:$N$451,0)),""))=0,"",IFERROR(INDEX('ASIGNACIONES'!$J$4:$J$451,MATCH($O364&amp;"|"&amp;$S364&amp;"|"&amp;$AG364,'ASIGNACIONES'!$N$4:$N$451,0)),"")))</f>
        <v/>
      </c>
      <c r="AI364" s="25">
        <f>IF($AG364="","",SUMIFS('ORDENES'!$M$4:$M$1203,'ORDENES'!$AG$4:$AG$1203,$AG364,'ORDENES'!$O$4:$O$1203,$O364,'ORDENES'!$S$4:$S$1203,$S364))</f>
        <v/>
      </c>
      <c r="AJ364" s="25">
        <f>IF($AI364="","",p_factor_productividad*IFERROR(INDEX('ASIGNACIONES'!$M$4:$M$451,MATCH($O364&amp;"|"&amp;$S364&amp;"|"&amp;$AG364,'ASIGNACIONES'!$N$4:$N$451,0)),0)-$AI364)</f>
        <v/>
      </c>
      <c r="AK364" s="18">
        <f>IF($A364="","",IFERROR(INDEX('2_IMPORTAR_EJECUCION'!$F$9:$F$1208,MATCH($AT364,'2_IMPORTAR_EJECUCION'!$J$9:$J$1208,0)),0))</f>
        <v/>
      </c>
      <c r="AL364" s="18">
        <f>IF($A364="","",MAX(0,IFERROR(INDEX('2_IMPORTAR_EJECUCION'!$H$9:$H$1208,MATCH($AT364,'2_IMPORTAR_EJECUCION'!$J$9:$J$1208,0)),0)-$AK364))</f>
        <v/>
      </c>
      <c r="AM364" s="18">
        <f>IF($A364="","",$AK364+$AL364)</f>
        <v/>
      </c>
      <c r="AN364" s="5">
        <f>IF($A364="","",IF(OR((IFERROR(INDEX('CAT_ACTIVIDADES'!$D$4:$D$11,MATCH($H364,'CAT_ACTIVIDADES'!$A$4:$A$11,0)),""))=0,(IFERROR(INDEX('CAT_ACTIVIDADES'!$D$4:$D$11,MATCH($H364,'CAT_ACTIVIDADES'!$A$4:$A$11,0)),""))=""),"SIN CLASIFICAR",IFERROR(INDEX('CAT_ACTIVIDADES'!$D$4:$D$11,MATCH($H364,'CAT_ACTIVIDADES'!$A$4:$A$11,0)),"")))</f>
        <v/>
      </c>
      <c r="AO364" s="4" t="n"/>
      <c r="AP364" s="4" t="n"/>
      <c r="AQ364" s="4" t="n"/>
      <c r="AR364" s="5">
        <f>IF($AQ364="","",HYPERLINK(p_ruta_base_checklists&amp;$AQ364,"abrir"))</f>
        <v/>
      </c>
      <c r="AS364" s="4" t="n"/>
      <c r="AT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2" t="n"/>
      <c r="K365" s="5" t="n"/>
      <c r="L365" s="18" t="n"/>
      <c r="M365" s="5">
        <f>IF($A365="","",IFERROR(INDEX('AJUSTES'!$B$4:$B$303,MATCH($AT365,'AJUSTES'!$A$4:$A$303,0)),IF($K365="","",$K365)))</f>
        <v/>
      </c>
      <c r="N365" s="5">
        <f>IF($A365="","",IFERROR(INDEX('CAT_ESTADOS_ERP'!$B$4:$B$7,MATCH(IFERROR(INDEX('2_IMPORTAR_EJECUCION'!$C$9:$C$1208,MATCH($AT365,'2_IMPORTAR_EJECUCION'!$J$9:$J$1208,0)),""),'CAT_ESTADOS_ERP'!$A$4:$A$7,0)),"Pendiente"))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IF($J365="","",$P365&amp;"-"&amp;TEXT($Q365,"00"))</f>
        <v/>
      </c>
      <c r="S365" s="5">
        <f>IF($J365="","",INDEX(lista_dias,WEEKDAY($J365,2)))</f>
        <v/>
      </c>
      <c r="T365" s="5">
        <f>IF($J365="","",IFERROR(INDEX('CALENDARIO'!$C$15:$C$214,MATCH(TEXT($J365,"yyyy-mm-dd")&amp;"|"&amp;$X365&amp;"|"&amp;$Y365,'CALENDARIO'!$G$15:$G$214,0)),IFERROR(INDEX('CALENDARIO'!$C$15:$C$214,MATCH(TEXT($J365,"yyyy-mm-dd")&amp;"|"&amp;$X365&amp;"|",'CALENDARIO'!$G$15:$G$214,0)),IFERROR(INDEX('CALENDARIO'!$C$15:$C$214,MATCH(TEXT($J365,"yyyy-mm-dd")&amp;"||",'CALENDARIO'!$G$15:$G$214,0)),INDEX(patronHabil,WEEKDAY($J365,2))))))</f>
        <v/>
      </c>
      <c r="U365" s="5">
        <f>IF($I365="","",IFERROR(INDEX('CAT_TIPOS_OT'!$C$4:$C$8,MATCH($I365,'CAT_TIPOS_OT'!$A$4:$A$8,0)),"sin_clasificar"))</f>
        <v/>
      </c>
      <c r="V365" s="5">
        <f>IF($I365="","",IF(IFERROR(INDEX('CAT_TIPOS_OT'!$D$4:$D$8,MATCH($I365,'CAT_TIPOS_OT'!$A$4:$A$8,0)),"SIN CLASIFICAR")="","SIN CLASIFICAR",IFERROR(INDEX('CAT_TIPOS_OT'!$D$4:$D$8,MATCH($I365,'CAT_TIPOS_OT'!$A$4:$A$8,0)),"SIN CLASIFICAR")))</f>
        <v/>
      </c>
      <c r="W365" s="5">
        <f>IF($F365="","",IFERROR(INDEX('CAT_CENTROS_COSTO'!$F$4:$F$13,MATCH($F365,'CAT_CENTROS_COSTO'!$A$4:$A$13,0)),"(sin catálogo)"))</f>
        <v/>
      </c>
      <c r="X365" s="5">
        <f>IF($F365="","",IFERROR(INDEX('CAT_CENTROS_COSTO'!$D$4:$D$13,MATCH($F365,'CAT_CENTROS_COSTO'!$A$4:$A$13,0)),"(sin catálogo)"))</f>
        <v/>
      </c>
      <c r="Y365" s="5">
        <f>IF($F365="","",IF((IFERROR(INDEX('CAT_CENTROS_COSTO'!$E$4:$E$13,MATCH($F365,'CAT_CENTROS_COSTO'!$A$4:$A$13,0)),""))&lt;&gt;"",IFERROR(INDEX('CAT_CENTROS_COSTO'!$E$4:$E$13,MATCH($F365,'CAT_CENTROS_COSTO'!$A$4:$A$13,0)),""),$X365))</f>
        <v/>
      </c>
      <c r="Z365" s="5">
        <f>IF($F365="","",IFERROR(INDEX('CAT_CENTROS_COSTO'!$G$4:$G$13,MATCH($F365,'CAT_CENTROS_COSTO'!$A$4:$A$13,0)),"(sin catálogo)"))</f>
        <v/>
      </c>
      <c r="AA365" s="5">
        <f>IF($G365="","",IFERROR(INDEX('CAT_PUESTOS'!$B$4:$B$8,MATCH($G365,'CAT_PUESTOS'!$A$4:$A$8,0)),"(sin catálogo)"))</f>
        <v/>
      </c>
      <c r="AB365" s="5">
        <f>IF($H365="","",IFERROR(INDEX('CAT_ACTIVIDADES'!$B$4:$B$11,MATCH($H365,'CAT_ACTIVIDADES'!$A$4:$A$11,0)),"(sin catálogo)"))</f>
        <v/>
      </c>
      <c r="AC365" s="20">
        <f>IF($J365="","",TODAY()-$J365)</f>
        <v/>
      </c>
      <c r="AD365" s="20">
        <f>IF($J365="","",IF($J365&lt;=TODAY(),COUNTIFS(cal_fechas,"&gt;="&amp;$J365,cal_fechas,"&lt;"&amp;TODAY(),cal_habil,"sí"),-COUNTIFS(cal_fechas,"&gt;="&amp;TODAY(),cal_fechas,"&lt;"&amp;$J365,cal_habil,"sí")))</f>
        <v/>
      </c>
      <c r="AE365" s="5">
        <f>IF($AD365="","",IF($AD365&lt;0,"FUTURO",IF($AD365&gt;p_dias_backlog_max,"BACKLOG","MES CORRIENTE")))</f>
        <v/>
      </c>
      <c r="AF365" s="5">
        <f>IF($AD365="",FALSE,AND($AD365&gt;p_dias_backlog_min,$AD365&lt;=p_dias_backlog_max))</f>
        <v/>
      </c>
      <c r="AG365" s="4" t="n"/>
      <c r="AH365" s="5">
        <f>IF($AG365="","",IF((IFERROR(INDEX('ASIGNACIONES'!$J$4:$J$451,MATCH($O365&amp;"|"&amp;$S365&amp;"|"&amp;$AG365,'ASIGNACIONES'!$N$4:$N$451,0)),""))=0,"",IFERROR(INDEX('ASIGNACIONES'!$J$4:$J$451,MATCH($O365&amp;"|"&amp;$S365&amp;"|"&amp;$AG365,'ASIGNACIONES'!$N$4:$N$451,0)),"")))</f>
        <v/>
      </c>
      <c r="AI365" s="25">
        <f>IF($AG365="","",SUMIFS('ORDENES'!$M$4:$M$1203,'ORDENES'!$AG$4:$AG$1203,$AG365,'ORDENES'!$O$4:$O$1203,$O365,'ORDENES'!$S$4:$S$1203,$S365))</f>
        <v/>
      </c>
      <c r="AJ365" s="25">
        <f>IF($AI365="","",p_factor_productividad*IFERROR(INDEX('ASIGNACIONES'!$M$4:$M$451,MATCH($O365&amp;"|"&amp;$S365&amp;"|"&amp;$AG365,'ASIGNACIONES'!$N$4:$N$451,0)),0)-$AI365)</f>
        <v/>
      </c>
      <c r="AK365" s="18">
        <f>IF($A365="","",IFERROR(INDEX('2_IMPORTAR_EJECUCION'!$F$9:$F$1208,MATCH($AT365,'2_IMPORTAR_EJECUCION'!$J$9:$J$1208,0)),0))</f>
        <v/>
      </c>
      <c r="AL365" s="18">
        <f>IF($A365="","",MAX(0,IFERROR(INDEX('2_IMPORTAR_EJECUCION'!$H$9:$H$1208,MATCH($AT365,'2_IMPORTAR_EJECUCION'!$J$9:$J$1208,0)),0)-$AK365))</f>
        <v/>
      </c>
      <c r="AM365" s="18">
        <f>IF($A365="","",$AK365+$AL365)</f>
        <v/>
      </c>
      <c r="AN365" s="5">
        <f>IF($A365="","",IF(OR((IFERROR(INDEX('CAT_ACTIVIDADES'!$D$4:$D$11,MATCH($H365,'CAT_ACTIVIDADES'!$A$4:$A$11,0)),""))=0,(IFERROR(INDEX('CAT_ACTIVIDADES'!$D$4:$D$11,MATCH($H365,'CAT_ACTIVIDADES'!$A$4:$A$11,0)),""))=""),"SIN CLASIFICAR",IFERROR(INDEX('CAT_ACTIVIDADES'!$D$4:$D$11,MATCH($H365,'CAT_ACTIVIDADES'!$A$4:$A$11,0)),"")))</f>
        <v/>
      </c>
      <c r="AO365" s="4" t="n"/>
      <c r="AP365" s="4" t="n"/>
      <c r="AQ365" s="4" t="n"/>
      <c r="AR365" s="5">
        <f>IF($AQ365="","",HYPERLINK(p_ruta_base_checklists&amp;$AQ365,"abrir"))</f>
        <v/>
      </c>
      <c r="AS365" s="4" t="n"/>
      <c r="AT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2" t="n"/>
      <c r="K366" s="5" t="n"/>
      <c r="L366" s="18" t="n"/>
      <c r="M366" s="5">
        <f>IF($A366="","",IFERROR(INDEX('AJUSTES'!$B$4:$B$303,MATCH($AT366,'AJUSTES'!$A$4:$A$303,0)),IF($K366="","",$K366)))</f>
        <v/>
      </c>
      <c r="N366" s="5">
        <f>IF($A366="","",IFERROR(INDEX('CAT_ESTADOS_ERP'!$B$4:$B$7,MATCH(IFERROR(INDEX('2_IMPORTAR_EJECUCION'!$C$9:$C$1208,MATCH($AT366,'2_IMPORTAR_EJECUCION'!$J$9:$J$1208,0)),""),'CAT_ESTADOS_ERP'!$A$4:$A$7,0)),"Pendiente"))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IF($J366="","",$P366&amp;"-"&amp;TEXT($Q366,"00"))</f>
        <v/>
      </c>
      <c r="S366" s="5">
        <f>IF($J366="","",INDEX(lista_dias,WEEKDAY($J366,2)))</f>
        <v/>
      </c>
      <c r="T366" s="5">
        <f>IF($J366="","",IFERROR(INDEX('CALENDARIO'!$C$15:$C$214,MATCH(TEXT($J366,"yyyy-mm-dd")&amp;"|"&amp;$X366&amp;"|"&amp;$Y366,'CALENDARIO'!$G$15:$G$214,0)),IFERROR(INDEX('CALENDARIO'!$C$15:$C$214,MATCH(TEXT($J366,"yyyy-mm-dd")&amp;"|"&amp;$X366&amp;"|",'CALENDARIO'!$G$15:$G$214,0)),IFERROR(INDEX('CALENDARIO'!$C$15:$C$214,MATCH(TEXT($J366,"yyyy-mm-dd")&amp;"||",'CALENDARIO'!$G$15:$G$214,0)),INDEX(patronHabil,WEEKDAY($J366,2))))))</f>
        <v/>
      </c>
      <c r="U366" s="5">
        <f>IF($I366="","",IFERROR(INDEX('CAT_TIPOS_OT'!$C$4:$C$8,MATCH($I366,'CAT_TIPOS_OT'!$A$4:$A$8,0)),"sin_clasificar"))</f>
        <v/>
      </c>
      <c r="V366" s="5">
        <f>IF($I366="","",IF(IFERROR(INDEX('CAT_TIPOS_OT'!$D$4:$D$8,MATCH($I366,'CAT_TIPOS_OT'!$A$4:$A$8,0)),"SIN CLASIFICAR")="","SIN CLASIFICAR",IFERROR(INDEX('CAT_TIPOS_OT'!$D$4:$D$8,MATCH($I366,'CAT_TIPOS_OT'!$A$4:$A$8,0)),"SIN CLASIFICAR")))</f>
        <v/>
      </c>
      <c r="W366" s="5">
        <f>IF($F366="","",IFERROR(INDEX('CAT_CENTROS_COSTO'!$F$4:$F$13,MATCH($F366,'CAT_CENTROS_COSTO'!$A$4:$A$13,0)),"(sin catálogo)"))</f>
        <v/>
      </c>
      <c r="X366" s="5">
        <f>IF($F366="","",IFERROR(INDEX('CAT_CENTROS_COSTO'!$D$4:$D$13,MATCH($F366,'CAT_CENTROS_COSTO'!$A$4:$A$13,0)),"(sin catálogo)"))</f>
        <v/>
      </c>
      <c r="Y366" s="5">
        <f>IF($F366="","",IF((IFERROR(INDEX('CAT_CENTROS_COSTO'!$E$4:$E$13,MATCH($F366,'CAT_CENTROS_COSTO'!$A$4:$A$13,0)),""))&lt;&gt;"",IFERROR(INDEX('CAT_CENTROS_COSTO'!$E$4:$E$13,MATCH($F366,'CAT_CENTROS_COSTO'!$A$4:$A$13,0)),""),$X366))</f>
        <v/>
      </c>
      <c r="Z366" s="5">
        <f>IF($F366="","",IFERROR(INDEX('CAT_CENTROS_COSTO'!$G$4:$G$13,MATCH($F366,'CAT_CENTROS_COSTO'!$A$4:$A$13,0)),"(sin catálogo)"))</f>
        <v/>
      </c>
      <c r="AA366" s="5">
        <f>IF($G366="","",IFERROR(INDEX('CAT_PUESTOS'!$B$4:$B$8,MATCH($G366,'CAT_PUESTOS'!$A$4:$A$8,0)),"(sin catálogo)"))</f>
        <v/>
      </c>
      <c r="AB366" s="5">
        <f>IF($H366="","",IFERROR(INDEX('CAT_ACTIVIDADES'!$B$4:$B$11,MATCH($H366,'CAT_ACTIVIDADES'!$A$4:$A$11,0)),"(sin catálogo)"))</f>
        <v/>
      </c>
      <c r="AC366" s="20">
        <f>IF($J366="","",TODAY()-$J366)</f>
        <v/>
      </c>
      <c r="AD366" s="20">
        <f>IF($J366="","",IF($J366&lt;=TODAY(),COUNTIFS(cal_fechas,"&gt;="&amp;$J366,cal_fechas,"&lt;"&amp;TODAY(),cal_habil,"sí"),-COUNTIFS(cal_fechas,"&gt;="&amp;TODAY(),cal_fechas,"&lt;"&amp;$J366,cal_habil,"sí")))</f>
        <v/>
      </c>
      <c r="AE366" s="5">
        <f>IF($AD366="","",IF($AD366&lt;0,"FUTURO",IF($AD366&gt;p_dias_backlog_max,"BACKLOG","MES CORRIENTE")))</f>
        <v/>
      </c>
      <c r="AF366" s="5">
        <f>IF($AD366="",FALSE,AND($AD366&gt;p_dias_backlog_min,$AD366&lt;=p_dias_backlog_max))</f>
        <v/>
      </c>
      <c r="AG366" s="4" t="n"/>
      <c r="AH366" s="5">
        <f>IF($AG366="","",IF((IFERROR(INDEX('ASIGNACIONES'!$J$4:$J$451,MATCH($O366&amp;"|"&amp;$S366&amp;"|"&amp;$AG366,'ASIGNACIONES'!$N$4:$N$451,0)),""))=0,"",IFERROR(INDEX('ASIGNACIONES'!$J$4:$J$451,MATCH($O366&amp;"|"&amp;$S366&amp;"|"&amp;$AG366,'ASIGNACIONES'!$N$4:$N$451,0)),"")))</f>
        <v/>
      </c>
      <c r="AI366" s="25">
        <f>IF($AG366="","",SUMIFS('ORDENES'!$M$4:$M$1203,'ORDENES'!$AG$4:$AG$1203,$AG366,'ORDENES'!$O$4:$O$1203,$O366,'ORDENES'!$S$4:$S$1203,$S366))</f>
        <v/>
      </c>
      <c r="AJ366" s="25">
        <f>IF($AI366="","",p_factor_productividad*IFERROR(INDEX('ASIGNACIONES'!$M$4:$M$451,MATCH($O366&amp;"|"&amp;$S366&amp;"|"&amp;$AG366,'ASIGNACIONES'!$N$4:$N$451,0)),0)-$AI366)</f>
        <v/>
      </c>
      <c r="AK366" s="18">
        <f>IF($A366="","",IFERROR(INDEX('2_IMPORTAR_EJECUCION'!$F$9:$F$1208,MATCH($AT366,'2_IMPORTAR_EJECUCION'!$J$9:$J$1208,0)),0))</f>
        <v/>
      </c>
      <c r="AL366" s="18">
        <f>IF($A366="","",MAX(0,IFERROR(INDEX('2_IMPORTAR_EJECUCION'!$H$9:$H$1208,MATCH($AT366,'2_IMPORTAR_EJECUCION'!$J$9:$J$1208,0)),0)-$AK366))</f>
        <v/>
      </c>
      <c r="AM366" s="18">
        <f>IF($A366="","",$AK366+$AL366)</f>
        <v/>
      </c>
      <c r="AN366" s="5">
        <f>IF($A366="","",IF(OR((IFERROR(INDEX('CAT_ACTIVIDADES'!$D$4:$D$11,MATCH($H366,'CAT_ACTIVIDADES'!$A$4:$A$11,0)),""))=0,(IFERROR(INDEX('CAT_ACTIVIDADES'!$D$4:$D$11,MATCH($H366,'CAT_ACTIVIDADES'!$A$4:$A$11,0)),""))=""),"SIN CLASIFICAR",IFERROR(INDEX('CAT_ACTIVIDADES'!$D$4:$D$11,MATCH($H366,'CAT_ACTIVIDADES'!$A$4:$A$11,0)),"")))</f>
        <v/>
      </c>
      <c r="AO366" s="4" t="n"/>
      <c r="AP366" s="4" t="n"/>
      <c r="AQ366" s="4" t="n"/>
      <c r="AR366" s="5">
        <f>IF($AQ366="","",HYPERLINK(p_ruta_base_checklists&amp;$AQ366,"abrir"))</f>
        <v/>
      </c>
      <c r="AS366" s="4" t="n"/>
      <c r="AT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2" t="n"/>
      <c r="K367" s="5" t="n"/>
      <c r="L367" s="18" t="n"/>
      <c r="M367" s="5">
        <f>IF($A367="","",IFERROR(INDEX('AJUSTES'!$B$4:$B$303,MATCH($AT367,'AJUSTES'!$A$4:$A$303,0)),IF($K367="","",$K367)))</f>
        <v/>
      </c>
      <c r="N367" s="5">
        <f>IF($A367="","",IFERROR(INDEX('CAT_ESTADOS_ERP'!$B$4:$B$7,MATCH(IFERROR(INDEX('2_IMPORTAR_EJECUCION'!$C$9:$C$1208,MATCH($AT367,'2_IMPORTAR_EJECUCION'!$J$9:$J$1208,0)),""),'CAT_ESTADOS_ERP'!$A$4:$A$7,0)),"Pendiente"))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IF($J367="","",$P367&amp;"-"&amp;TEXT($Q367,"00"))</f>
        <v/>
      </c>
      <c r="S367" s="5">
        <f>IF($J367="","",INDEX(lista_dias,WEEKDAY($J367,2)))</f>
        <v/>
      </c>
      <c r="T367" s="5">
        <f>IF($J367="","",IFERROR(INDEX('CALENDARIO'!$C$15:$C$214,MATCH(TEXT($J367,"yyyy-mm-dd")&amp;"|"&amp;$X367&amp;"|"&amp;$Y367,'CALENDARIO'!$G$15:$G$214,0)),IFERROR(INDEX('CALENDARIO'!$C$15:$C$214,MATCH(TEXT($J367,"yyyy-mm-dd")&amp;"|"&amp;$X367&amp;"|",'CALENDARIO'!$G$15:$G$214,0)),IFERROR(INDEX('CALENDARIO'!$C$15:$C$214,MATCH(TEXT($J367,"yyyy-mm-dd")&amp;"||",'CALENDARIO'!$G$15:$G$214,0)),INDEX(patronHabil,WEEKDAY($J367,2))))))</f>
        <v/>
      </c>
      <c r="U367" s="5">
        <f>IF($I367="","",IFERROR(INDEX('CAT_TIPOS_OT'!$C$4:$C$8,MATCH($I367,'CAT_TIPOS_OT'!$A$4:$A$8,0)),"sin_clasificar"))</f>
        <v/>
      </c>
      <c r="V367" s="5">
        <f>IF($I367="","",IF(IFERROR(INDEX('CAT_TIPOS_OT'!$D$4:$D$8,MATCH($I367,'CAT_TIPOS_OT'!$A$4:$A$8,0)),"SIN CLASIFICAR")="","SIN CLASIFICAR",IFERROR(INDEX('CAT_TIPOS_OT'!$D$4:$D$8,MATCH($I367,'CAT_TIPOS_OT'!$A$4:$A$8,0)),"SIN CLASIFICAR")))</f>
        <v/>
      </c>
      <c r="W367" s="5">
        <f>IF($F367="","",IFERROR(INDEX('CAT_CENTROS_COSTO'!$F$4:$F$13,MATCH($F367,'CAT_CENTROS_COSTO'!$A$4:$A$13,0)),"(sin catálogo)"))</f>
        <v/>
      </c>
      <c r="X367" s="5">
        <f>IF($F367="","",IFERROR(INDEX('CAT_CENTROS_COSTO'!$D$4:$D$13,MATCH($F367,'CAT_CENTROS_COSTO'!$A$4:$A$13,0)),"(sin catálogo)"))</f>
        <v/>
      </c>
      <c r="Y367" s="5">
        <f>IF($F367="","",IF((IFERROR(INDEX('CAT_CENTROS_COSTO'!$E$4:$E$13,MATCH($F367,'CAT_CENTROS_COSTO'!$A$4:$A$13,0)),""))&lt;&gt;"",IFERROR(INDEX('CAT_CENTROS_COSTO'!$E$4:$E$13,MATCH($F367,'CAT_CENTROS_COSTO'!$A$4:$A$13,0)),""),$X367))</f>
        <v/>
      </c>
      <c r="Z367" s="5">
        <f>IF($F367="","",IFERROR(INDEX('CAT_CENTROS_COSTO'!$G$4:$G$13,MATCH($F367,'CAT_CENTROS_COSTO'!$A$4:$A$13,0)),"(sin catálogo)"))</f>
        <v/>
      </c>
      <c r="AA367" s="5">
        <f>IF($G367="","",IFERROR(INDEX('CAT_PUESTOS'!$B$4:$B$8,MATCH($G367,'CAT_PUESTOS'!$A$4:$A$8,0)),"(sin catálogo)"))</f>
        <v/>
      </c>
      <c r="AB367" s="5">
        <f>IF($H367="","",IFERROR(INDEX('CAT_ACTIVIDADES'!$B$4:$B$11,MATCH($H367,'CAT_ACTIVIDADES'!$A$4:$A$11,0)),"(sin catálogo)"))</f>
        <v/>
      </c>
      <c r="AC367" s="20">
        <f>IF($J367="","",TODAY()-$J367)</f>
        <v/>
      </c>
      <c r="AD367" s="20">
        <f>IF($J367="","",IF($J367&lt;=TODAY(),COUNTIFS(cal_fechas,"&gt;="&amp;$J367,cal_fechas,"&lt;"&amp;TODAY(),cal_habil,"sí"),-COUNTIFS(cal_fechas,"&gt;="&amp;TODAY(),cal_fechas,"&lt;"&amp;$J367,cal_habil,"sí")))</f>
        <v/>
      </c>
      <c r="AE367" s="5">
        <f>IF($AD367="","",IF($AD367&lt;0,"FUTURO",IF($AD367&gt;p_dias_backlog_max,"BACKLOG","MES CORRIENTE")))</f>
        <v/>
      </c>
      <c r="AF367" s="5">
        <f>IF($AD367="",FALSE,AND($AD367&gt;p_dias_backlog_min,$AD367&lt;=p_dias_backlog_max))</f>
        <v/>
      </c>
      <c r="AG367" s="4" t="n"/>
      <c r="AH367" s="5">
        <f>IF($AG367="","",IF((IFERROR(INDEX('ASIGNACIONES'!$J$4:$J$451,MATCH($O367&amp;"|"&amp;$S367&amp;"|"&amp;$AG367,'ASIGNACIONES'!$N$4:$N$451,0)),""))=0,"",IFERROR(INDEX('ASIGNACIONES'!$J$4:$J$451,MATCH($O367&amp;"|"&amp;$S367&amp;"|"&amp;$AG367,'ASIGNACIONES'!$N$4:$N$451,0)),"")))</f>
        <v/>
      </c>
      <c r="AI367" s="25">
        <f>IF($AG367="","",SUMIFS('ORDENES'!$M$4:$M$1203,'ORDENES'!$AG$4:$AG$1203,$AG367,'ORDENES'!$O$4:$O$1203,$O367,'ORDENES'!$S$4:$S$1203,$S367))</f>
        <v/>
      </c>
      <c r="AJ367" s="25">
        <f>IF($AI367="","",p_factor_productividad*IFERROR(INDEX('ASIGNACIONES'!$M$4:$M$451,MATCH($O367&amp;"|"&amp;$S367&amp;"|"&amp;$AG367,'ASIGNACIONES'!$N$4:$N$451,0)),0)-$AI367)</f>
        <v/>
      </c>
      <c r="AK367" s="18">
        <f>IF($A367="","",IFERROR(INDEX('2_IMPORTAR_EJECUCION'!$F$9:$F$1208,MATCH($AT367,'2_IMPORTAR_EJECUCION'!$J$9:$J$1208,0)),0))</f>
        <v/>
      </c>
      <c r="AL367" s="18">
        <f>IF($A367="","",MAX(0,IFERROR(INDEX('2_IMPORTAR_EJECUCION'!$H$9:$H$1208,MATCH($AT367,'2_IMPORTAR_EJECUCION'!$J$9:$J$1208,0)),0)-$AK367))</f>
        <v/>
      </c>
      <c r="AM367" s="18">
        <f>IF($A367="","",$AK367+$AL367)</f>
        <v/>
      </c>
      <c r="AN367" s="5">
        <f>IF($A367="","",IF(OR((IFERROR(INDEX('CAT_ACTIVIDADES'!$D$4:$D$11,MATCH($H367,'CAT_ACTIVIDADES'!$A$4:$A$11,0)),""))=0,(IFERROR(INDEX('CAT_ACTIVIDADES'!$D$4:$D$11,MATCH($H367,'CAT_ACTIVIDADES'!$A$4:$A$11,0)),""))=""),"SIN CLASIFICAR",IFERROR(INDEX('CAT_ACTIVIDADES'!$D$4:$D$11,MATCH($H367,'CAT_ACTIVIDADES'!$A$4:$A$11,0)),"")))</f>
        <v/>
      </c>
      <c r="AO367" s="4" t="n"/>
      <c r="AP367" s="4" t="n"/>
      <c r="AQ367" s="4" t="n"/>
      <c r="AR367" s="5">
        <f>IF($AQ367="","",HYPERLINK(p_ruta_base_checklists&amp;$AQ367,"abrir"))</f>
        <v/>
      </c>
      <c r="AS367" s="4" t="n"/>
      <c r="AT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2" t="n"/>
      <c r="K368" s="5" t="n"/>
      <c r="L368" s="18" t="n"/>
      <c r="M368" s="5">
        <f>IF($A368="","",IFERROR(INDEX('AJUSTES'!$B$4:$B$303,MATCH($AT368,'AJUSTES'!$A$4:$A$303,0)),IF($K368="","",$K368)))</f>
        <v/>
      </c>
      <c r="N368" s="5">
        <f>IF($A368="","",IFERROR(INDEX('CAT_ESTADOS_ERP'!$B$4:$B$7,MATCH(IFERROR(INDEX('2_IMPORTAR_EJECUCION'!$C$9:$C$1208,MATCH($AT368,'2_IMPORTAR_EJECUCION'!$J$9:$J$1208,0)),""),'CAT_ESTADOS_ERP'!$A$4:$A$7,0)),"Pendiente"))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IF($J368="","",$P368&amp;"-"&amp;TEXT($Q368,"00"))</f>
        <v/>
      </c>
      <c r="S368" s="5">
        <f>IF($J368="","",INDEX(lista_dias,WEEKDAY($J368,2)))</f>
        <v/>
      </c>
      <c r="T368" s="5">
        <f>IF($J368="","",IFERROR(INDEX('CALENDARIO'!$C$15:$C$214,MATCH(TEXT($J368,"yyyy-mm-dd")&amp;"|"&amp;$X368&amp;"|"&amp;$Y368,'CALENDARIO'!$G$15:$G$214,0)),IFERROR(INDEX('CALENDARIO'!$C$15:$C$214,MATCH(TEXT($J368,"yyyy-mm-dd")&amp;"|"&amp;$X368&amp;"|",'CALENDARIO'!$G$15:$G$214,0)),IFERROR(INDEX('CALENDARIO'!$C$15:$C$214,MATCH(TEXT($J368,"yyyy-mm-dd")&amp;"||",'CALENDARIO'!$G$15:$G$214,0)),INDEX(patronHabil,WEEKDAY($J368,2))))))</f>
        <v/>
      </c>
      <c r="U368" s="5">
        <f>IF($I368="","",IFERROR(INDEX('CAT_TIPOS_OT'!$C$4:$C$8,MATCH($I368,'CAT_TIPOS_OT'!$A$4:$A$8,0)),"sin_clasificar"))</f>
        <v/>
      </c>
      <c r="V368" s="5">
        <f>IF($I368="","",IF(IFERROR(INDEX('CAT_TIPOS_OT'!$D$4:$D$8,MATCH($I368,'CAT_TIPOS_OT'!$A$4:$A$8,0)),"SIN CLASIFICAR")="","SIN CLASIFICAR",IFERROR(INDEX('CAT_TIPOS_OT'!$D$4:$D$8,MATCH($I368,'CAT_TIPOS_OT'!$A$4:$A$8,0)),"SIN CLASIFICAR")))</f>
        <v/>
      </c>
      <c r="W368" s="5">
        <f>IF($F368="","",IFERROR(INDEX('CAT_CENTROS_COSTO'!$F$4:$F$13,MATCH($F368,'CAT_CENTROS_COSTO'!$A$4:$A$13,0)),"(sin catálogo)"))</f>
        <v/>
      </c>
      <c r="X368" s="5">
        <f>IF($F368="","",IFERROR(INDEX('CAT_CENTROS_COSTO'!$D$4:$D$13,MATCH($F368,'CAT_CENTROS_COSTO'!$A$4:$A$13,0)),"(sin catálogo)"))</f>
        <v/>
      </c>
      <c r="Y368" s="5">
        <f>IF($F368="","",IF((IFERROR(INDEX('CAT_CENTROS_COSTO'!$E$4:$E$13,MATCH($F368,'CAT_CENTROS_COSTO'!$A$4:$A$13,0)),""))&lt;&gt;"",IFERROR(INDEX('CAT_CENTROS_COSTO'!$E$4:$E$13,MATCH($F368,'CAT_CENTROS_COSTO'!$A$4:$A$13,0)),""),$X368))</f>
        <v/>
      </c>
      <c r="Z368" s="5">
        <f>IF($F368="","",IFERROR(INDEX('CAT_CENTROS_COSTO'!$G$4:$G$13,MATCH($F368,'CAT_CENTROS_COSTO'!$A$4:$A$13,0)),"(sin catálogo)"))</f>
        <v/>
      </c>
      <c r="AA368" s="5">
        <f>IF($G368="","",IFERROR(INDEX('CAT_PUESTOS'!$B$4:$B$8,MATCH($G368,'CAT_PUESTOS'!$A$4:$A$8,0)),"(sin catálogo)"))</f>
        <v/>
      </c>
      <c r="AB368" s="5">
        <f>IF($H368="","",IFERROR(INDEX('CAT_ACTIVIDADES'!$B$4:$B$11,MATCH($H368,'CAT_ACTIVIDADES'!$A$4:$A$11,0)),"(sin catálogo)"))</f>
        <v/>
      </c>
      <c r="AC368" s="20">
        <f>IF($J368="","",TODAY()-$J368)</f>
        <v/>
      </c>
      <c r="AD368" s="20">
        <f>IF($J368="","",IF($J368&lt;=TODAY(),COUNTIFS(cal_fechas,"&gt;="&amp;$J368,cal_fechas,"&lt;"&amp;TODAY(),cal_habil,"sí"),-COUNTIFS(cal_fechas,"&gt;="&amp;TODAY(),cal_fechas,"&lt;"&amp;$J368,cal_habil,"sí")))</f>
        <v/>
      </c>
      <c r="AE368" s="5">
        <f>IF($AD368="","",IF($AD368&lt;0,"FUTURO",IF($AD368&gt;p_dias_backlog_max,"BACKLOG","MES CORRIENTE")))</f>
        <v/>
      </c>
      <c r="AF368" s="5">
        <f>IF($AD368="",FALSE,AND($AD368&gt;p_dias_backlog_min,$AD368&lt;=p_dias_backlog_max))</f>
        <v/>
      </c>
      <c r="AG368" s="4" t="n"/>
      <c r="AH368" s="5">
        <f>IF($AG368="","",IF((IFERROR(INDEX('ASIGNACIONES'!$J$4:$J$451,MATCH($O368&amp;"|"&amp;$S368&amp;"|"&amp;$AG368,'ASIGNACIONES'!$N$4:$N$451,0)),""))=0,"",IFERROR(INDEX('ASIGNACIONES'!$J$4:$J$451,MATCH($O368&amp;"|"&amp;$S368&amp;"|"&amp;$AG368,'ASIGNACIONES'!$N$4:$N$451,0)),"")))</f>
        <v/>
      </c>
      <c r="AI368" s="25">
        <f>IF($AG368="","",SUMIFS('ORDENES'!$M$4:$M$1203,'ORDENES'!$AG$4:$AG$1203,$AG368,'ORDENES'!$O$4:$O$1203,$O368,'ORDENES'!$S$4:$S$1203,$S368))</f>
        <v/>
      </c>
      <c r="AJ368" s="25">
        <f>IF($AI368="","",p_factor_productividad*IFERROR(INDEX('ASIGNACIONES'!$M$4:$M$451,MATCH($O368&amp;"|"&amp;$S368&amp;"|"&amp;$AG368,'ASIGNACIONES'!$N$4:$N$451,0)),0)-$AI368)</f>
        <v/>
      </c>
      <c r="AK368" s="18">
        <f>IF($A368="","",IFERROR(INDEX('2_IMPORTAR_EJECUCION'!$F$9:$F$1208,MATCH($AT368,'2_IMPORTAR_EJECUCION'!$J$9:$J$1208,0)),0))</f>
        <v/>
      </c>
      <c r="AL368" s="18">
        <f>IF($A368="","",MAX(0,IFERROR(INDEX('2_IMPORTAR_EJECUCION'!$H$9:$H$1208,MATCH($AT368,'2_IMPORTAR_EJECUCION'!$J$9:$J$1208,0)),0)-$AK368))</f>
        <v/>
      </c>
      <c r="AM368" s="18">
        <f>IF($A368="","",$AK368+$AL368)</f>
        <v/>
      </c>
      <c r="AN368" s="5">
        <f>IF($A368="","",IF(OR((IFERROR(INDEX('CAT_ACTIVIDADES'!$D$4:$D$11,MATCH($H368,'CAT_ACTIVIDADES'!$A$4:$A$11,0)),""))=0,(IFERROR(INDEX('CAT_ACTIVIDADES'!$D$4:$D$11,MATCH($H368,'CAT_ACTIVIDADES'!$A$4:$A$11,0)),""))=""),"SIN CLASIFICAR",IFERROR(INDEX('CAT_ACTIVIDADES'!$D$4:$D$11,MATCH($H368,'CAT_ACTIVIDADES'!$A$4:$A$11,0)),"")))</f>
        <v/>
      </c>
      <c r="AO368" s="4" t="n"/>
      <c r="AP368" s="4" t="n"/>
      <c r="AQ368" s="4" t="n"/>
      <c r="AR368" s="5">
        <f>IF($AQ368="","",HYPERLINK(p_ruta_base_checklists&amp;$AQ368,"abrir"))</f>
        <v/>
      </c>
      <c r="AS368" s="4" t="n"/>
      <c r="AT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2" t="n"/>
      <c r="K369" s="5" t="n"/>
      <c r="L369" s="18" t="n"/>
      <c r="M369" s="5">
        <f>IF($A369="","",IFERROR(INDEX('AJUSTES'!$B$4:$B$303,MATCH($AT369,'AJUSTES'!$A$4:$A$303,0)),IF($K369="","",$K369)))</f>
        <v/>
      </c>
      <c r="N369" s="5">
        <f>IF($A369="","",IFERROR(INDEX('CAT_ESTADOS_ERP'!$B$4:$B$7,MATCH(IFERROR(INDEX('2_IMPORTAR_EJECUCION'!$C$9:$C$1208,MATCH($AT369,'2_IMPORTAR_EJECUCION'!$J$9:$J$1208,0)),""),'CAT_ESTADOS_ERP'!$A$4:$A$7,0)),"Pendiente"))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IF($J369="","",$P369&amp;"-"&amp;TEXT($Q369,"00"))</f>
        <v/>
      </c>
      <c r="S369" s="5">
        <f>IF($J369="","",INDEX(lista_dias,WEEKDAY($J369,2)))</f>
        <v/>
      </c>
      <c r="T369" s="5">
        <f>IF($J369="","",IFERROR(INDEX('CALENDARIO'!$C$15:$C$214,MATCH(TEXT($J369,"yyyy-mm-dd")&amp;"|"&amp;$X369&amp;"|"&amp;$Y369,'CALENDARIO'!$G$15:$G$214,0)),IFERROR(INDEX('CALENDARIO'!$C$15:$C$214,MATCH(TEXT($J369,"yyyy-mm-dd")&amp;"|"&amp;$X369&amp;"|",'CALENDARIO'!$G$15:$G$214,0)),IFERROR(INDEX('CALENDARIO'!$C$15:$C$214,MATCH(TEXT($J369,"yyyy-mm-dd")&amp;"||",'CALENDARIO'!$G$15:$G$214,0)),INDEX(patronHabil,WEEKDAY($J369,2))))))</f>
        <v/>
      </c>
      <c r="U369" s="5">
        <f>IF($I369="","",IFERROR(INDEX('CAT_TIPOS_OT'!$C$4:$C$8,MATCH($I369,'CAT_TIPOS_OT'!$A$4:$A$8,0)),"sin_clasificar"))</f>
        <v/>
      </c>
      <c r="V369" s="5">
        <f>IF($I369="","",IF(IFERROR(INDEX('CAT_TIPOS_OT'!$D$4:$D$8,MATCH($I369,'CAT_TIPOS_OT'!$A$4:$A$8,0)),"SIN CLASIFICAR")="","SIN CLASIFICAR",IFERROR(INDEX('CAT_TIPOS_OT'!$D$4:$D$8,MATCH($I369,'CAT_TIPOS_OT'!$A$4:$A$8,0)),"SIN CLASIFICAR")))</f>
        <v/>
      </c>
      <c r="W369" s="5">
        <f>IF($F369="","",IFERROR(INDEX('CAT_CENTROS_COSTO'!$F$4:$F$13,MATCH($F369,'CAT_CENTROS_COSTO'!$A$4:$A$13,0)),"(sin catálogo)"))</f>
        <v/>
      </c>
      <c r="X369" s="5">
        <f>IF($F369="","",IFERROR(INDEX('CAT_CENTROS_COSTO'!$D$4:$D$13,MATCH($F369,'CAT_CENTROS_COSTO'!$A$4:$A$13,0)),"(sin catálogo)"))</f>
        <v/>
      </c>
      <c r="Y369" s="5">
        <f>IF($F369="","",IF((IFERROR(INDEX('CAT_CENTROS_COSTO'!$E$4:$E$13,MATCH($F369,'CAT_CENTROS_COSTO'!$A$4:$A$13,0)),""))&lt;&gt;"",IFERROR(INDEX('CAT_CENTROS_COSTO'!$E$4:$E$13,MATCH($F369,'CAT_CENTROS_COSTO'!$A$4:$A$13,0)),""),$X369))</f>
        <v/>
      </c>
      <c r="Z369" s="5">
        <f>IF($F369="","",IFERROR(INDEX('CAT_CENTROS_COSTO'!$G$4:$G$13,MATCH($F369,'CAT_CENTROS_COSTO'!$A$4:$A$13,0)),"(sin catálogo)"))</f>
        <v/>
      </c>
      <c r="AA369" s="5">
        <f>IF($G369="","",IFERROR(INDEX('CAT_PUESTOS'!$B$4:$B$8,MATCH($G369,'CAT_PUESTOS'!$A$4:$A$8,0)),"(sin catálogo)"))</f>
        <v/>
      </c>
      <c r="AB369" s="5">
        <f>IF($H369="","",IFERROR(INDEX('CAT_ACTIVIDADES'!$B$4:$B$11,MATCH($H369,'CAT_ACTIVIDADES'!$A$4:$A$11,0)),"(sin catálogo)"))</f>
        <v/>
      </c>
      <c r="AC369" s="20">
        <f>IF($J369="","",TODAY()-$J369)</f>
        <v/>
      </c>
      <c r="AD369" s="20">
        <f>IF($J369="","",IF($J369&lt;=TODAY(),COUNTIFS(cal_fechas,"&gt;="&amp;$J369,cal_fechas,"&lt;"&amp;TODAY(),cal_habil,"sí"),-COUNTIFS(cal_fechas,"&gt;="&amp;TODAY(),cal_fechas,"&lt;"&amp;$J369,cal_habil,"sí")))</f>
        <v/>
      </c>
      <c r="AE369" s="5">
        <f>IF($AD369="","",IF($AD369&lt;0,"FUTURO",IF($AD369&gt;p_dias_backlog_max,"BACKLOG","MES CORRIENTE")))</f>
        <v/>
      </c>
      <c r="AF369" s="5">
        <f>IF($AD369="",FALSE,AND($AD369&gt;p_dias_backlog_min,$AD369&lt;=p_dias_backlog_max))</f>
        <v/>
      </c>
      <c r="AG369" s="4" t="n"/>
      <c r="AH369" s="5">
        <f>IF($AG369="","",IF((IFERROR(INDEX('ASIGNACIONES'!$J$4:$J$451,MATCH($O369&amp;"|"&amp;$S369&amp;"|"&amp;$AG369,'ASIGNACIONES'!$N$4:$N$451,0)),""))=0,"",IFERROR(INDEX('ASIGNACIONES'!$J$4:$J$451,MATCH($O369&amp;"|"&amp;$S369&amp;"|"&amp;$AG369,'ASIGNACIONES'!$N$4:$N$451,0)),"")))</f>
        <v/>
      </c>
      <c r="AI369" s="25">
        <f>IF($AG369="","",SUMIFS('ORDENES'!$M$4:$M$1203,'ORDENES'!$AG$4:$AG$1203,$AG369,'ORDENES'!$O$4:$O$1203,$O369,'ORDENES'!$S$4:$S$1203,$S369))</f>
        <v/>
      </c>
      <c r="AJ369" s="25">
        <f>IF($AI369="","",p_factor_productividad*IFERROR(INDEX('ASIGNACIONES'!$M$4:$M$451,MATCH($O369&amp;"|"&amp;$S369&amp;"|"&amp;$AG369,'ASIGNACIONES'!$N$4:$N$451,0)),0)-$AI369)</f>
        <v/>
      </c>
      <c r="AK369" s="18">
        <f>IF($A369="","",IFERROR(INDEX('2_IMPORTAR_EJECUCION'!$F$9:$F$1208,MATCH($AT369,'2_IMPORTAR_EJECUCION'!$J$9:$J$1208,0)),0))</f>
        <v/>
      </c>
      <c r="AL369" s="18">
        <f>IF($A369="","",MAX(0,IFERROR(INDEX('2_IMPORTAR_EJECUCION'!$H$9:$H$1208,MATCH($AT369,'2_IMPORTAR_EJECUCION'!$J$9:$J$1208,0)),0)-$AK369))</f>
        <v/>
      </c>
      <c r="AM369" s="18">
        <f>IF($A369="","",$AK369+$AL369)</f>
        <v/>
      </c>
      <c r="AN369" s="5">
        <f>IF($A369="","",IF(OR((IFERROR(INDEX('CAT_ACTIVIDADES'!$D$4:$D$11,MATCH($H369,'CAT_ACTIVIDADES'!$A$4:$A$11,0)),""))=0,(IFERROR(INDEX('CAT_ACTIVIDADES'!$D$4:$D$11,MATCH($H369,'CAT_ACTIVIDADES'!$A$4:$A$11,0)),""))=""),"SIN CLASIFICAR",IFERROR(INDEX('CAT_ACTIVIDADES'!$D$4:$D$11,MATCH($H369,'CAT_ACTIVIDADES'!$A$4:$A$11,0)),"")))</f>
        <v/>
      </c>
      <c r="AO369" s="4" t="n"/>
      <c r="AP369" s="4" t="n"/>
      <c r="AQ369" s="4" t="n"/>
      <c r="AR369" s="5">
        <f>IF($AQ369="","",HYPERLINK(p_ruta_base_checklists&amp;$AQ369,"abrir"))</f>
        <v/>
      </c>
      <c r="AS369" s="4" t="n"/>
      <c r="AT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2" t="n"/>
      <c r="K370" s="5" t="n"/>
      <c r="L370" s="18" t="n"/>
      <c r="M370" s="5">
        <f>IF($A370="","",IFERROR(INDEX('AJUSTES'!$B$4:$B$303,MATCH($AT370,'AJUSTES'!$A$4:$A$303,0)),IF($K370="","",$K370)))</f>
        <v/>
      </c>
      <c r="N370" s="5">
        <f>IF($A370="","",IFERROR(INDEX('CAT_ESTADOS_ERP'!$B$4:$B$7,MATCH(IFERROR(INDEX('2_IMPORTAR_EJECUCION'!$C$9:$C$1208,MATCH($AT370,'2_IMPORTAR_EJECUCION'!$J$9:$J$1208,0)),""),'CAT_ESTADOS_ERP'!$A$4:$A$7,0)),"Pendiente"))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IF($J370="","",$P370&amp;"-"&amp;TEXT($Q370,"00"))</f>
        <v/>
      </c>
      <c r="S370" s="5">
        <f>IF($J370="","",INDEX(lista_dias,WEEKDAY($J370,2)))</f>
        <v/>
      </c>
      <c r="T370" s="5">
        <f>IF($J370="","",IFERROR(INDEX('CALENDARIO'!$C$15:$C$214,MATCH(TEXT($J370,"yyyy-mm-dd")&amp;"|"&amp;$X370&amp;"|"&amp;$Y370,'CALENDARIO'!$G$15:$G$214,0)),IFERROR(INDEX('CALENDARIO'!$C$15:$C$214,MATCH(TEXT($J370,"yyyy-mm-dd")&amp;"|"&amp;$X370&amp;"|",'CALENDARIO'!$G$15:$G$214,0)),IFERROR(INDEX('CALENDARIO'!$C$15:$C$214,MATCH(TEXT($J370,"yyyy-mm-dd")&amp;"||",'CALENDARIO'!$G$15:$G$214,0)),INDEX(patronHabil,WEEKDAY($J370,2))))))</f>
        <v/>
      </c>
      <c r="U370" s="5">
        <f>IF($I370="","",IFERROR(INDEX('CAT_TIPOS_OT'!$C$4:$C$8,MATCH($I370,'CAT_TIPOS_OT'!$A$4:$A$8,0)),"sin_clasificar"))</f>
        <v/>
      </c>
      <c r="V370" s="5">
        <f>IF($I370="","",IF(IFERROR(INDEX('CAT_TIPOS_OT'!$D$4:$D$8,MATCH($I370,'CAT_TIPOS_OT'!$A$4:$A$8,0)),"SIN CLASIFICAR")="","SIN CLASIFICAR",IFERROR(INDEX('CAT_TIPOS_OT'!$D$4:$D$8,MATCH($I370,'CAT_TIPOS_OT'!$A$4:$A$8,0)),"SIN CLASIFICAR")))</f>
        <v/>
      </c>
      <c r="W370" s="5">
        <f>IF($F370="","",IFERROR(INDEX('CAT_CENTROS_COSTO'!$F$4:$F$13,MATCH($F370,'CAT_CENTROS_COSTO'!$A$4:$A$13,0)),"(sin catálogo)"))</f>
        <v/>
      </c>
      <c r="X370" s="5">
        <f>IF($F370="","",IFERROR(INDEX('CAT_CENTROS_COSTO'!$D$4:$D$13,MATCH($F370,'CAT_CENTROS_COSTO'!$A$4:$A$13,0)),"(sin catálogo)"))</f>
        <v/>
      </c>
      <c r="Y370" s="5">
        <f>IF($F370="","",IF((IFERROR(INDEX('CAT_CENTROS_COSTO'!$E$4:$E$13,MATCH($F370,'CAT_CENTROS_COSTO'!$A$4:$A$13,0)),""))&lt;&gt;"",IFERROR(INDEX('CAT_CENTROS_COSTO'!$E$4:$E$13,MATCH($F370,'CAT_CENTROS_COSTO'!$A$4:$A$13,0)),""),$X370))</f>
        <v/>
      </c>
      <c r="Z370" s="5">
        <f>IF($F370="","",IFERROR(INDEX('CAT_CENTROS_COSTO'!$G$4:$G$13,MATCH($F370,'CAT_CENTROS_COSTO'!$A$4:$A$13,0)),"(sin catálogo)"))</f>
        <v/>
      </c>
      <c r="AA370" s="5">
        <f>IF($G370="","",IFERROR(INDEX('CAT_PUESTOS'!$B$4:$B$8,MATCH($G370,'CAT_PUESTOS'!$A$4:$A$8,0)),"(sin catálogo)"))</f>
        <v/>
      </c>
      <c r="AB370" s="5">
        <f>IF($H370="","",IFERROR(INDEX('CAT_ACTIVIDADES'!$B$4:$B$11,MATCH($H370,'CAT_ACTIVIDADES'!$A$4:$A$11,0)),"(sin catálogo)"))</f>
        <v/>
      </c>
      <c r="AC370" s="20">
        <f>IF($J370="","",TODAY()-$J370)</f>
        <v/>
      </c>
      <c r="AD370" s="20">
        <f>IF($J370="","",IF($J370&lt;=TODAY(),COUNTIFS(cal_fechas,"&gt;="&amp;$J370,cal_fechas,"&lt;"&amp;TODAY(),cal_habil,"sí"),-COUNTIFS(cal_fechas,"&gt;="&amp;TODAY(),cal_fechas,"&lt;"&amp;$J370,cal_habil,"sí")))</f>
        <v/>
      </c>
      <c r="AE370" s="5">
        <f>IF($AD370="","",IF($AD370&lt;0,"FUTURO",IF($AD370&gt;p_dias_backlog_max,"BACKLOG","MES CORRIENTE")))</f>
        <v/>
      </c>
      <c r="AF370" s="5">
        <f>IF($AD370="",FALSE,AND($AD370&gt;p_dias_backlog_min,$AD370&lt;=p_dias_backlog_max))</f>
        <v/>
      </c>
      <c r="AG370" s="4" t="n"/>
      <c r="AH370" s="5">
        <f>IF($AG370="","",IF((IFERROR(INDEX('ASIGNACIONES'!$J$4:$J$451,MATCH($O370&amp;"|"&amp;$S370&amp;"|"&amp;$AG370,'ASIGNACIONES'!$N$4:$N$451,0)),""))=0,"",IFERROR(INDEX('ASIGNACIONES'!$J$4:$J$451,MATCH($O370&amp;"|"&amp;$S370&amp;"|"&amp;$AG370,'ASIGNACIONES'!$N$4:$N$451,0)),"")))</f>
        <v/>
      </c>
      <c r="AI370" s="25">
        <f>IF($AG370="","",SUMIFS('ORDENES'!$M$4:$M$1203,'ORDENES'!$AG$4:$AG$1203,$AG370,'ORDENES'!$O$4:$O$1203,$O370,'ORDENES'!$S$4:$S$1203,$S370))</f>
        <v/>
      </c>
      <c r="AJ370" s="25">
        <f>IF($AI370="","",p_factor_productividad*IFERROR(INDEX('ASIGNACIONES'!$M$4:$M$451,MATCH($O370&amp;"|"&amp;$S370&amp;"|"&amp;$AG370,'ASIGNACIONES'!$N$4:$N$451,0)),0)-$AI370)</f>
        <v/>
      </c>
      <c r="AK370" s="18">
        <f>IF($A370="","",IFERROR(INDEX('2_IMPORTAR_EJECUCION'!$F$9:$F$1208,MATCH($AT370,'2_IMPORTAR_EJECUCION'!$J$9:$J$1208,0)),0))</f>
        <v/>
      </c>
      <c r="AL370" s="18">
        <f>IF($A370="","",MAX(0,IFERROR(INDEX('2_IMPORTAR_EJECUCION'!$H$9:$H$1208,MATCH($AT370,'2_IMPORTAR_EJECUCION'!$J$9:$J$1208,0)),0)-$AK370))</f>
        <v/>
      </c>
      <c r="AM370" s="18">
        <f>IF($A370="","",$AK370+$AL370)</f>
        <v/>
      </c>
      <c r="AN370" s="5">
        <f>IF($A370="","",IF(OR((IFERROR(INDEX('CAT_ACTIVIDADES'!$D$4:$D$11,MATCH($H370,'CAT_ACTIVIDADES'!$A$4:$A$11,0)),""))=0,(IFERROR(INDEX('CAT_ACTIVIDADES'!$D$4:$D$11,MATCH($H370,'CAT_ACTIVIDADES'!$A$4:$A$11,0)),""))=""),"SIN CLASIFICAR",IFERROR(INDEX('CAT_ACTIVIDADES'!$D$4:$D$11,MATCH($H370,'CAT_ACTIVIDADES'!$A$4:$A$11,0)),"")))</f>
        <v/>
      </c>
      <c r="AO370" s="4" t="n"/>
      <c r="AP370" s="4" t="n"/>
      <c r="AQ370" s="4" t="n"/>
      <c r="AR370" s="5">
        <f>IF($AQ370="","",HYPERLINK(p_ruta_base_checklists&amp;$AQ370,"abrir"))</f>
        <v/>
      </c>
      <c r="AS370" s="4" t="n"/>
      <c r="AT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2" t="n"/>
      <c r="K371" s="5" t="n"/>
      <c r="L371" s="18" t="n"/>
      <c r="M371" s="5">
        <f>IF($A371="","",IFERROR(INDEX('AJUSTES'!$B$4:$B$303,MATCH($AT371,'AJUSTES'!$A$4:$A$303,0)),IF($K371="","",$K371)))</f>
        <v/>
      </c>
      <c r="N371" s="5">
        <f>IF($A371="","",IFERROR(INDEX('CAT_ESTADOS_ERP'!$B$4:$B$7,MATCH(IFERROR(INDEX('2_IMPORTAR_EJECUCION'!$C$9:$C$1208,MATCH($AT371,'2_IMPORTAR_EJECUCION'!$J$9:$J$1208,0)),""),'CAT_ESTADOS_ERP'!$A$4:$A$7,0)),"Pendiente"))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IF($J371="","",$P371&amp;"-"&amp;TEXT($Q371,"00"))</f>
        <v/>
      </c>
      <c r="S371" s="5">
        <f>IF($J371="","",INDEX(lista_dias,WEEKDAY($J371,2)))</f>
        <v/>
      </c>
      <c r="T371" s="5">
        <f>IF($J371="","",IFERROR(INDEX('CALENDARIO'!$C$15:$C$214,MATCH(TEXT($J371,"yyyy-mm-dd")&amp;"|"&amp;$X371&amp;"|"&amp;$Y371,'CALENDARIO'!$G$15:$G$214,0)),IFERROR(INDEX('CALENDARIO'!$C$15:$C$214,MATCH(TEXT($J371,"yyyy-mm-dd")&amp;"|"&amp;$X371&amp;"|",'CALENDARIO'!$G$15:$G$214,0)),IFERROR(INDEX('CALENDARIO'!$C$15:$C$214,MATCH(TEXT($J371,"yyyy-mm-dd")&amp;"||",'CALENDARIO'!$G$15:$G$214,0)),INDEX(patronHabil,WEEKDAY($J371,2))))))</f>
        <v/>
      </c>
      <c r="U371" s="5">
        <f>IF($I371="","",IFERROR(INDEX('CAT_TIPOS_OT'!$C$4:$C$8,MATCH($I371,'CAT_TIPOS_OT'!$A$4:$A$8,0)),"sin_clasificar"))</f>
        <v/>
      </c>
      <c r="V371" s="5">
        <f>IF($I371="","",IF(IFERROR(INDEX('CAT_TIPOS_OT'!$D$4:$D$8,MATCH($I371,'CAT_TIPOS_OT'!$A$4:$A$8,0)),"SIN CLASIFICAR")="","SIN CLASIFICAR",IFERROR(INDEX('CAT_TIPOS_OT'!$D$4:$D$8,MATCH($I371,'CAT_TIPOS_OT'!$A$4:$A$8,0)),"SIN CLASIFICAR")))</f>
        <v/>
      </c>
      <c r="W371" s="5">
        <f>IF($F371="","",IFERROR(INDEX('CAT_CENTROS_COSTO'!$F$4:$F$13,MATCH($F371,'CAT_CENTROS_COSTO'!$A$4:$A$13,0)),"(sin catálogo)"))</f>
        <v/>
      </c>
      <c r="X371" s="5">
        <f>IF($F371="","",IFERROR(INDEX('CAT_CENTROS_COSTO'!$D$4:$D$13,MATCH($F371,'CAT_CENTROS_COSTO'!$A$4:$A$13,0)),"(sin catálogo)"))</f>
        <v/>
      </c>
      <c r="Y371" s="5">
        <f>IF($F371="","",IF((IFERROR(INDEX('CAT_CENTROS_COSTO'!$E$4:$E$13,MATCH($F371,'CAT_CENTROS_COSTO'!$A$4:$A$13,0)),""))&lt;&gt;"",IFERROR(INDEX('CAT_CENTROS_COSTO'!$E$4:$E$13,MATCH($F371,'CAT_CENTROS_COSTO'!$A$4:$A$13,0)),""),$X371))</f>
        <v/>
      </c>
      <c r="Z371" s="5">
        <f>IF($F371="","",IFERROR(INDEX('CAT_CENTROS_COSTO'!$G$4:$G$13,MATCH($F371,'CAT_CENTROS_COSTO'!$A$4:$A$13,0)),"(sin catálogo)"))</f>
        <v/>
      </c>
      <c r="AA371" s="5">
        <f>IF($G371="","",IFERROR(INDEX('CAT_PUESTOS'!$B$4:$B$8,MATCH($G371,'CAT_PUESTOS'!$A$4:$A$8,0)),"(sin catálogo)"))</f>
        <v/>
      </c>
      <c r="AB371" s="5">
        <f>IF($H371="","",IFERROR(INDEX('CAT_ACTIVIDADES'!$B$4:$B$11,MATCH($H371,'CAT_ACTIVIDADES'!$A$4:$A$11,0)),"(sin catálogo)"))</f>
        <v/>
      </c>
      <c r="AC371" s="20">
        <f>IF($J371="","",TODAY()-$J371)</f>
        <v/>
      </c>
      <c r="AD371" s="20">
        <f>IF($J371="","",IF($J371&lt;=TODAY(),COUNTIFS(cal_fechas,"&gt;="&amp;$J371,cal_fechas,"&lt;"&amp;TODAY(),cal_habil,"sí"),-COUNTIFS(cal_fechas,"&gt;="&amp;TODAY(),cal_fechas,"&lt;"&amp;$J371,cal_habil,"sí")))</f>
        <v/>
      </c>
      <c r="AE371" s="5">
        <f>IF($AD371="","",IF($AD371&lt;0,"FUTURO",IF($AD371&gt;p_dias_backlog_max,"BACKLOG","MES CORRIENTE")))</f>
        <v/>
      </c>
      <c r="AF371" s="5">
        <f>IF($AD371="",FALSE,AND($AD371&gt;p_dias_backlog_min,$AD371&lt;=p_dias_backlog_max))</f>
        <v/>
      </c>
      <c r="AG371" s="4" t="n"/>
      <c r="AH371" s="5">
        <f>IF($AG371="","",IF((IFERROR(INDEX('ASIGNACIONES'!$J$4:$J$451,MATCH($O371&amp;"|"&amp;$S371&amp;"|"&amp;$AG371,'ASIGNACIONES'!$N$4:$N$451,0)),""))=0,"",IFERROR(INDEX('ASIGNACIONES'!$J$4:$J$451,MATCH($O371&amp;"|"&amp;$S371&amp;"|"&amp;$AG371,'ASIGNACIONES'!$N$4:$N$451,0)),"")))</f>
        <v/>
      </c>
      <c r="AI371" s="25">
        <f>IF($AG371="","",SUMIFS('ORDENES'!$M$4:$M$1203,'ORDENES'!$AG$4:$AG$1203,$AG371,'ORDENES'!$O$4:$O$1203,$O371,'ORDENES'!$S$4:$S$1203,$S371))</f>
        <v/>
      </c>
      <c r="AJ371" s="25">
        <f>IF($AI371="","",p_factor_productividad*IFERROR(INDEX('ASIGNACIONES'!$M$4:$M$451,MATCH($O371&amp;"|"&amp;$S371&amp;"|"&amp;$AG371,'ASIGNACIONES'!$N$4:$N$451,0)),0)-$AI371)</f>
        <v/>
      </c>
      <c r="AK371" s="18">
        <f>IF($A371="","",IFERROR(INDEX('2_IMPORTAR_EJECUCION'!$F$9:$F$1208,MATCH($AT371,'2_IMPORTAR_EJECUCION'!$J$9:$J$1208,0)),0))</f>
        <v/>
      </c>
      <c r="AL371" s="18">
        <f>IF($A371="","",MAX(0,IFERROR(INDEX('2_IMPORTAR_EJECUCION'!$H$9:$H$1208,MATCH($AT371,'2_IMPORTAR_EJECUCION'!$J$9:$J$1208,0)),0)-$AK371))</f>
        <v/>
      </c>
      <c r="AM371" s="18">
        <f>IF($A371="","",$AK371+$AL371)</f>
        <v/>
      </c>
      <c r="AN371" s="5">
        <f>IF($A371="","",IF(OR((IFERROR(INDEX('CAT_ACTIVIDADES'!$D$4:$D$11,MATCH($H371,'CAT_ACTIVIDADES'!$A$4:$A$11,0)),""))=0,(IFERROR(INDEX('CAT_ACTIVIDADES'!$D$4:$D$11,MATCH($H371,'CAT_ACTIVIDADES'!$A$4:$A$11,0)),""))=""),"SIN CLASIFICAR",IFERROR(INDEX('CAT_ACTIVIDADES'!$D$4:$D$11,MATCH($H371,'CAT_ACTIVIDADES'!$A$4:$A$11,0)),"")))</f>
        <v/>
      </c>
      <c r="AO371" s="4" t="n"/>
      <c r="AP371" s="4" t="n"/>
      <c r="AQ371" s="4" t="n"/>
      <c r="AR371" s="5">
        <f>IF($AQ371="","",HYPERLINK(p_ruta_base_checklists&amp;$AQ371,"abrir"))</f>
        <v/>
      </c>
      <c r="AS371" s="4" t="n"/>
      <c r="AT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2" t="n"/>
      <c r="K372" s="5" t="n"/>
      <c r="L372" s="18" t="n"/>
      <c r="M372" s="5">
        <f>IF($A372="","",IFERROR(INDEX('AJUSTES'!$B$4:$B$303,MATCH($AT372,'AJUSTES'!$A$4:$A$303,0)),IF($K372="","",$K372)))</f>
        <v/>
      </c>
      <c r="N372" s="5">
        <f>IF($A372="","",IFERROR(INDEX('CAT_ESTADOS_ERP'!$B$4:$B$7,MATCH(IFERROR(INDEX('2_IMPORTAR_EJECUCION'!$C$9:$C$1208,MATCH($AT372,'2_IMPORTAR_EJECUCION'!$J$9:$J$1208,0)),""),'CAT_ESTADOS_ERP'!$A$4:$A$7,0)),"Pendiente"))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IF($J372="","",$P372&amp;"-"&amp;TEXT($Q372,"00"))</f>
        <v/>
      </c>
      <c r="S372" s="5">
        <f>IF($J372="","",INDEX(lista_dias,WEEKDAY($J372,2)))</f>
        <v/>
      </c>
      <c r="T372" s="5">
        <f>IF($J372="","",IFERROR(INDEX('CALENDARIO'!$C$15:$C$214,MATCH(TEXT($J372,"yyyy-mm-dd")&amp;"|"&amp;$X372&amp;"|"&amp;$Y372,'CALENDARIO'!$G$15:$G$214,0)),IFERROR(INDEX('CALENDARIO'!$C$15:$C$214,MATCH(TEXT($J372,"yyyy-mm-dd")&amp;"|"&amp;$X372&amp;"|",'CALENDARIO'!$G$15:$G$214,0)),IFERROR(INDEX('CALENDARIO'!$C$15:$C$214,MATCH(TEXT($J372,"yyyy-mm-dd")&amp;"||",'CALENDARIO'!$G$15:$G$214,0)),INDEX(patronHabil,WEEKDAY($J372,2))))))</f>
        <v/>
      </c>
      <c r="U372" s="5">
        <f>IF($I372="","",IFERROR(INDEX('CAT_TIPOS_OT'!$C$4:$C$8,MATCH($I372,'CAT_TIPOS_OT'!$A$4:$A$8,0)),"sin_clasificar"))</f>
        <v/>
      </c>
      <c r="V372" s="5">
        <f>IF($I372="","",IF(IFERROR(INDEX('CAT_TIPOS_OT'!$D$4:$D$8,MATCH($I372,'CAT_TIPOS_OT'!$A$4:$A$8,0)),"SIN CLASIFICAR")="","SIN CLASIFICAR",IFERROR(INDEX('CAT_TIPOS_OT'!$D$4:$D$8,MATCH($I372,'CAT_TIPOS_OT'!$A$4:$A$8,0)),"SIN CLASIFICAR")))</f>
        <v/>
      </c>
      <c r="W372" s="5">
        <f>IF($F372="","",IFERROR(INDEX('CAT_CENTROS_COSTO'!$F$4:$F$13,MATCH($F372,'CAT_CENTROS_COSTO'!$A$4:$A$13,0)),"(sin catálogo)"))</f>
        <v/>
      </c>
      <c r="X372" s="5">
        <f>IF($F372="","",IFERROR(INDEX('CAT_CENTROS_COSTO'!$D$4:$D$13,MATCH($F372,'CAT_CENTROS_COSTO'!$A$4:$A$13,0)),"(sin catálogo)"))</f>
        <v/>
      </c>
      <c r="Y372" s="5">
        <f>IF($F372="","",IF((IFERROR(INDEX('CAT_CENTROS_COSTO'!$E$4:$E$13,MATCH($F372,'CAT_CENTROS_COSTO'!$A$4:$A$13,0)),""))&lt;&gt;"",IFERROR(INDEX('CAT_CENTROS_COSTO'!$E$4:$E$13,MATCH($F372,'CAT_CENTROS_COSTO'!$A$4:$A$13,0)),""),$X372))</f>
        <v/>
      </c>
      <c r="Z372" s="5">
        <f>IF($F372="","",IFERROR(INDEX('CAT_CENTROS_COSTO'!$G$4:$G$13,MATCH($F372,'CAT_CENTROS_COSTO'!$A$4:$A$13,0)),"(sin catálogo)"))</f>
        <v/>
      </c>
      <c r="AA372" s="5">
        <f>IF($G372="","",IFERROR(INDEX('CAT_PUESTOS'!$B$4:$B$8,MATCH($G372,'CAT_PUESTOS'!$A$4:$A$8,0)),"(sin catálogo)"))</f>
        <v/>
      </c>
      <c r="AB372" s="5">
        <f>IF($H372="","",IFERROR(INDEX('CAT_ACTIVIDADES'!$B$4:$B$11,MATCH($H372,'CAT_ACTIVIDADES'!$A$4:$A$11,0)),"(sin catálogo)"))</f>
        <v/>
      </c>
      <c r="AC372" s="20">
        <f>IF($J372="","",TODAY()-$J372)</f>
        <v/>
      </c>
      <c r="AD372" s="20">
        <f>IF($J372="","",IF($J372&lt;=TODAY(),COUNTIFS(cal_fechas,"&gt;="&amp;$J372,cal_fechas,"&lt;"&amp;TODAY(),cal_habil,"sí"),-COUNTIFS(cal_fechas,"&gt;="&amp;TODAY(),cal_fechas,"&lt;"&amp;$J372,cal_habil,"sí")))</f>
        <v/>
      </c>
      <c r="AE372" s="5">
        <f>IF($AD372="","",IF($AD372&lt;0,"FUTURO",IF($AD372&gt;p_dias_backlog_max,"BACKLOG","MES CORRIENTE")))</f>
        <v/>
      </c>
      <c r="AF372" s="5">
        <f>IF($AD372="",FALSE,AND($AD372&gt;p_dias_backlog_min,$AD372&lt;=p_dias_backlog_max))</f>
        <v/>
      </c>
      <c r="AG372" s="4" t="n"/>
      <c r="AH372" s="5">
        <f>IF($AG372="","",IF((IFERROR(INDEX('ASIGNACIONES'!$J$4:$J$451,MATCH($O372&amp;"|"&amp;$S372&amp;"|"&amp;$AG372,'ASIGNACIONES'!$N$4:$N$451,0)),""))=0,"",IFERROR(INDEX('ASIGNACIONES'!$J$4:$J$451,MATCH($O372&amp;"|"&amp;$S372&amp;"|"&amp;$AG372,'ASIGNACIONES'!$N$4:$N$451,0)),"")))</f>
        <v/>
      </c>
      <c r="AI372" s="25">
        <f>IF($AG372="","",SUMIFS('ORDENES'!$M$4:$M$1203,'ORDENES'!$AG$4:$AG$1203,$AG372,'ORDENES'!$O$4:$O$1203,$O372,'ORDENES'!$S$4:$S$1203,$S372))</f>
        <v/>
      </c>
      <c r="AJ372" s="25">
        <f>IF($AI372="","",p_factor_productividad*IFERROR(INDEX('ASIGNACIONES'!$M$4:$M$451,MATCH($O372&amp;"|"&amp;$S372&amp;"|"&amp;$AG372,'ASIGNACIONES'!$N$4:$N$451,0)),0)-$AI372)</f>
        <v/>
      </c>
      <c r="AK372" s="18">
        <f>IF($A372="","",IFERROR(INDEX('2_IMPORTAR_EJECUCION'!$F$9:$F$1208,MATCH($AT372,'2_IMPORTAR_EJECUCION'!$J$9:$J$1208,0)),0))</f>
        <v/>
      </c>
      <c r="AL372" s="18">
        <f>IF($A372="","",MAX(0,IFERROR(INDEX('2_IMPORTAR_EJECUCION'!$H$9:$H$1208,MATCH($AT372,'2_IMPORTAR_EJECUCION'!$J$9:$J$1208,0)),0)-$AK372))</f>
        <v/>
      </c>
      <c r="AM372" s="18">
        <f>IF($A372="","",$AK372+$AL372)</f>
        <v/>
      </c>
      <c r="AN372" s="5">
        <f>IF($A372="","",IF(OR((IFERROR(INDEX('CAT_ACTIVIDADES'!$D$4:$D$11,MATCH($H372,'CAT_ACTIVIDADES'!$A$4:$A$11,0)),""))=0,(IFERROR(INDEX('CAT_ACTIVIDADES'!$D$4:$D$11,MATCH($H372,'CAT_ACTIVIDADES'!$A$4:$A$11,0)),""))=""),"SIN CLASIFICAR",IFERROR(INDEX('CAT_ACTIVIDADES'!$D$4:$D$11,MATCH($H372,'CAT_ACTIVIDADES'!$A$4:$A$11,0)),"")))</f>
        <v/>
      </c>
      <c r="AO372" s="4" t="n"/>
      <c r="AP372" s="4" t="n"/>
      <c r="AQ372" s="4" t="n"/>
      <c r="AR372" s="5">
        <f>IF($AQ372="","",HYPERLINK(p_ruta_base_checklists&amp;$AQ372,"abrir"))</f>
        <v/>
      </c>
      <c r="AS372" s="4" t="n"/>
      <c r="AT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2" t="n"/>
      <c r="K373" s="5" t="n"/>
      <c r="L373" s="18" t="n"/>
      <c r="M373" s="5">
        <f>IF($A373="","",IFERROR(INDEX('AJUSTES'!$B$4:$B$303,MATCH($AT373,'AJUSTES'!$A$4:$A$303,0)),IF($K373="","",$K373)))</f>
        <v/>
      </c>
      <c r="N373" s="5">
        <f>IF($A373="","",IFERROR(INDEX('CAT_ESTADOS_ERP'!$B$4:$B$7,MATCH(IFERROR(INDEX('2_IMPORTAR_EJECUCION'!$C$9:$C$1208,MATCH($AT373,'2_IMPORTAR_EJECUCION'!$J$9:$J$1208,0)),""),'CAT_ESTADOS_ERP'!$A$4:$A$7,0)),"Pendiente"))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IF($J373="","",$P373&amp;"-"&amp;TEXT($Q373,"00"))</f>
        <v/>
      </c>
      <c r="S373" s="5">
        <f>IF($J373="","",INDEX(lista_dias,WEEKDAY($J373,2)))</f>
        <v/>
      </c>
      <c r="T373" s="5">
        <f>IF($J373="","",IFERROR(INDEX('CALENDARIO'!$C$15:$C$214,MATCH(TEXT($J373,"yyyy-mm-dd")&amp;"|"&amp;$X373&amp;"|"&amp;$Y373,'CALENDARIO'!$G$15:$G$214,0)),IFERROR(INDEX('CALENDARIO'!$C$15:$C$214,MATCH(TEXT($J373,"yyyy-mm-dd")&amp;"|"&amp;$X373&amp;"|",'CALENDARIO'!$G$15:$G$214,0)),IFERROR(INDEX('CALENDARIO'!$C$15:$C$214,MATCH(TEXT($J373,"yyyy-mm-dd")&amp;"||",'CALENDARIO'!$G$15:$G$214,0)),INDEX(patronHabil,WEEKDAY($J373,2))))))</f>
        <v/>
      </c>
      <c r="U373" s="5">
        <f>IF($I373="","",IFERROR(INDEX('CAT_TIPOS_OT'!$C$4:$C$8,MATCH($I373,'CAT_TIPOS_OT'!$A$4:$A$8,0)),"sin_clasificar"))</f>
        <v/>
      </c>
      <c r="V373" s="5">
        <f>IF($I373="","",IF(IFERROR(INDEX('CAT_TIPOS_OT'!$D$4:$D$8,MATCH($I373,'CAT_TIPOS_OT'!$A$4:$A$8,0)),"SIN CLASIFICAR")="","SIN CLASIFICAR",IFERROR(INDEX('CAT_TIPOS_OT'!$D$4:$D$8,MATCH($I373,'CAT_TIPOS_OT'!$A$4:$A$8,0)),"SIN CLASIFICAR")))</f>
        <v/>
      </c>
      <c r="W373" s="5">
        <f>IF($F373="","",IFERROR(INDEX('CAT_CENTROS_COSTO'!$F$4:$F$13,MATCH($F373,'CAT_CENTROS_COSTO'!$A$4:$A$13,0)),"(sin catálogo)"))</f>
        <v/>
      </c>
      <c r="X373" s="5">
        <f>IF($F373="","",IFERROR(INDEX('CAT_CENTROS_COSTO'!$D$4:$D$13,MATCH($F373,'CAT_CENTROS_COSTO'!$A$4:$A$13,0)),"(sin catálogo)"))</f>
        <v/>
      </c>
      <c r="Y373" s="5">
        <f>IF($F373="","",IF((IFERROR(INDEX('CAT_CENTROS_COSTO'!$E$4:$E$13,MATCH($F373,'CAT_CENTROS_COSTO'!$A$4:$A$13,0)),""))&lt;&gt;"",IFERROR(INDEX('CAT_CENTROS_COSTO'!$E$4:$E$13,MATCH($F373,'CAT_CENTROS_COSTO'!$A$4:$A$13,0)),""),$X373))</f>
        <v/>
      </c>
      <c r="Z373" s="5">
        <f>IF($F373="","",IFERROR(INDEX('CAT_CENTROS_COSTO'!$G$4:$G$13,MATCH($F373,'CAT_CENTROS_COSTO'!$A$4:$A$13,0)),"(sin catálogo)"))</f>
        <v/>
      </c>
      <c r="AA373" s="5">
        <f>IF($G373="","",IFERROR(INDEX('CAT_PUESTOS'!$B$4:$B$8,MATCH($G373,'CAT_PUESTOS'!$A$4:$A$8,0)),"(sin catálogo)"))</f>
        <v/>
      </c>
      <c r="AB373" s="5">
        <f>IF($H373="","",IFERROR(INDEX('CAT_ACTIVIDADES'!$B$4:$B$11,MATCH($H373,'CAT_ACTIVIDADES'!$A$4:$A$11,0)),"(sin catálogo)"))</f>
        <v/>
      </c>
      <c r="AC373" s="20">
        <f>IF($J373="","",TODAY()-$J373)</f>
        <v/>
      </c>
      <c r="AD373" s="20">
        <f>IF($J373="","",IF($J373&lt;=TODAY(),COUNTIFS(cal_fechas,"&gt;="&amp;$J373,cal_fechas,"&lt;"&amp;TODAY(),cal_habil,"sí"),-COUNTIFS(cal_fechas,"&gt;="&amp;TODAY(),cal_fechas,"&lt;"&amp;$J373,cal_habil,"sí")))</f>
        <v/>
      </c>
      <c r="AE373" s="5">
        <f>IF($AD373="","",IF($AD373&lt;0,"FUTURO",IF($AD373&gt;p_dias_backlog_max,"BACKLOG","MES CORRIENTE")))</f>
        <v/>
      </c>
      <c r="AF373" s="5">
        <f>IF($AD373="",FALSE,AND($AD373&gt;p_dias_backlog_min,$AD373&lt;=p_dias_backlog_max))</f>
        <v/>
      </c>
      <c r="AG373" s="4" t="n"/>
      <c r="AH373" s="5">
        <f>IF($AG373="","",IF((IFERROR(INDEX('ASIGNACIONES'!$J$4:$J$451,MATCH($O373&amp;"|"&amp;$S373&amp;"|"&amp;$AG373,'ASIGNACIONES'!$N$4:$N$451,0)),""))=0,"",IFERROR(INDEX('ASIGNACIONES'!$J$4:$J$451,MATCH($O373&amp;"|"&amp;$S373&amp;"|"&amp;$AG373,'ASIGNACIONES'!$N$4:$N$451,0)),"")))</f>
        <v/>
      </c>
      <c r="AI373" s="25">
        <f>IF($AG373="","",SUMIFS('ORDENES'!$M$4:$M$1203,'ORDENES'!$AG$4:$AG$1203,$AG373,'ORDENES'!$O$4:$O$1203,$O373,'ORDENES'!$S$4:$S$1203,$S373))</f>
        <v/>
      </c>
      <c r="AJ373" s="25">
        <f>IF($AI373="","",p_factor_productividad*IFERROR(INDEX('ASIGNACIONES'!$M$4:$M$451,MATCH($O373&amp;"|"&amp;$S373&amp;"|"&amp;$AG373,'ASIGNACIONES'!$N$4:$N$451,0)),0)-$AI373)</f>
        <v/>
      </c>
      <c r="AK373" s="18">
        <f>IF($A373="","",IFERROR(INDEX('2_IMPORTAR_EJECUCION'!$F$9:$F$1208,MATCH($AT373,'2_IMPORTAR_EJECUCION'!$J$9:$J$1208,0)),0))</f>
        <v/>
      </c>
      <c r="AL373" s="18">
        <f>IF($A373="","",MAX(0,IFERROR(INDEX('2_IMPORTAR_EJECUCION'!$H$9:$H$1208,MATCH($AT373,'2_IMPORTAR_EJECUCION'!$J$9:$J$1208,0)),0)-$AK373))</f>
        <v/>
      </c>
      <c r="AM373" s="18">
        <f>IF($A373="","",$AK373+$AL373)</f>
        <v/>
      </c>
      <c r="AN373" s="5">
        <f>IF($A373="","",IF(OR((IFERROR(INDEX('CAT_ACTIVIDADES'!$D$4:$D$11,MATCH($H373,'CAT_ACTIVIDADES'!$A$4:$A$11,0)),""))=0,(IFERROR(INDEX('CAT_ACTIVIDADES'!$D$4:$D$11,MATCH($H373,'CAT_ACTIVIDADES'!$A$4:$A$11,0)),""))=""),"SIN CLASIFICAR",IFERROR(INDEX('CAT_ACTIVIDADES'!$D$4:$D$11,MATCH($H373,'CAT_ACTIVIDADES'!$A$4:$A$11,0)),"")))</f>
        <v/>
      </c>
      <c r="AO373" s="4" t="n"/>
      <c r="AP373" s="4" t="n"/>
      <c r="AQ373" s="4" t="n"/>
      <c r="AR373" s="5">
        <f>IF($AQ373="","",HYPERLINK(p_ruta_base_checklists&amp;$AQ373,"abrir"))</f>
        <v/>
      </c>
      <c r="AS373" s="4" t="n"/>
      <c r="AT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2" t="n"/>
      <c r="K374" s="5" t="n"/>
      <c r="L374" s="18" t="n"/>
      <c r="M374" s="5">
        <f>IF($A374="","",IFERROR(INDEX('AJUSTES'!$B$4:$B$303,MATCH($AT374,'AJUSTES'!$A$4:$A$303,0)),IF($K374="","",$K374)))</f>
        <v/>
      </c>
      <c r="N374" s="5">
        <f>IF($A374="","",IFERROR(INDEX('CAT_ESTADOS_ERP'!$B$4:$B$7,MATCH(IFERROR(INDEX('2_IMPORTAR_EJECUCION'!$C$9:$C$1208,MATCH($AT374,'2_IMPORTAR_EJECUCION'!$J$9:$J$1208,0)),""),'CAT_ESTADOS_ERP'!$A$4:$A$7,0)),"Pendiente"))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IF($J374="","",$P374&amp;"-"&amp;TEXT($Q374,"00"))</f>
        <v/>
      </c>
      <c r="S374" s="5">
        <f>IF($J374="","",INDEX(lista_dias,WEEKDAY($J374,2)))</f>
        <v/>
      </c>
      <c r="T374" s="5">
        <f>IF($J374="","",IFERROR(INDEX('CALENDARIO'!$C$15:$C$214,MATCH(TEXT($J374,"yyyy-mm-dd")&amp;"|"&amp;$X374&amp;"|"&amp;$Y374,'CALENDARIO'!$G$15:$G$214,0)),IFERROR(INDEX('CALENDARIO'!$C$15:$C$214,MATCH(TEXT($J374,"yyyy-mm-dd")&amp;"|"&amp;$X374&amp;"|",'CALENDARIO'!$G$15:$G$214,0)),IFERROR(INDEX('CALENDARIO'!$C$15:$C$214,MATCH(TEXT($J374,"yyyy-mm-dd")&amp;"||",'CALENDARIO'!$G$15:$G$214,0)),INDEX(patronHabil,WEEKDAY($J374,2))))))</f>
        <v/>
      </c>
      <c r="U374" s="5">
        <f>IF($I374="","",IFERROR(INDEX('CAT_TIPOS_OT'!$C$4:$C$8,MATCH($I374,'CAT_TIPOS_OT'!$A$4:$A$8,0)),"sin_clasificar"))</f>
        <v/>
      </c>
      <c r="V374" s="5">
        <f>IF($I374="","",IF(IFERROR(INDEX('CAT_TIPOS_OT'!$D$4:$D$8,MATCH($I374,'CAT_TIPOS_OT'!$A$4:$A$8,0)),"SIN CLASIFICAR")="","SIN CLASIFICAR",IFERROR(INDEX('CAT_TIPOS_OT'!$D$4:$D$8,MATCH($I374,'CAT_TIPOS_OT'!$A$4:$A$8,0)),"SIN CLASIFICAR")))</f>
        <v/>
      </c>
      <c r="W374" s="5">
        <f>IF($F374="","",IFERROR(INDEX('CAT_CENTROS_COSTO'!$F$4:$F$13,MATCH($F374,'CAT_CENTROS_COSTO'!$A$4:$A$13,0)),"(sin catálogo)"))</f>
        <v/>
      </c>
      <c r="X374" s="5">
        <f>IF($F374="","",IFERROR(INDEX('CAT_CENTROS_COSTO'!$D$4:$D$13,MATCH($F374,'CAT_CENTROS_COSTO'!$A$4:$A$13,0)),"(sin catálogo)"))</f>
        <v/>
      </c>
      <c r="Y374" s="5">
        <f>IF($F374="","",IF((IFERROR(INDEX('CAT_CENTROS_COSTO'!$E$4:$E$13,MATCH($F374,'CAT_CENTROS_COSTO'!$A$4:$A$13,0)),""))&lt;&gt;"",IFERROR(INDEX('CAT_CENTROS_COSTO'!$E$4:$E$13,MATCH($F374,'CAT_CENTROS_COSTO'!$A$4:$A$13,0)),""),$X374))</f>
        <v/>
      </c>
      <c r="Z374" s="5">
        <f>IF($F374="","",IFERROR(INDEX('CAT_CENTROS_COSTO'!$G$4:$G$13,MATCH($F374,'CAT_CENTROS_COSTO'!$A$4:$A$13,0)),"(sin catálogo)"))</f>
        <v/>
      </c>
      <c r="AA374" s="5">
        <f>IF($G374="","",IFERROR(INDEX('CAT_PUESTOS'!$B$4:$B$8,MATCH($G374,'CAT_PUESTOS'!$A$4:$A$8,0)),"(sin catálogo)"))</f>
        <v/>
      </c>
      <c r="AB374" s="5">
        <f>IF($H374="","",IFERROR(INDEX('CAT_ACTIVIDADES'!$B$4:$B$11,MATCH($H374,'CAT_ACTIVIDADES'!$A$4:$A$11,0)),"(sin catálogo)"))</f>
        <v/>
      </c>
      <c r="AC374" s="20">
        <f>IF($J374="","",TODAY()-$J374)</f>
        <v/>
      </c>
      <c r="AD374" s="20">
        <f>IF($J374="","",IF($J374&lt;=TODAY(),COUNTIFS(cal_fechas,"&gt;="&amp;$J374,cal_fechas,"&lt;"&amp;TODAY(),cal_habil,"sí"),-COUNTIFS(cal_fechas,"&gt;="&amp;TODAY(),cal_fechas,"&lt;"&amp;$J374,cal_habil,"sí")))</f>
        <v/>
      </c>
      <c r="AE374" s="5">
        <f>IF($AD374="","",IF($AD374&lt;0,"FUTURO",IF($AD374&gt;p_dias_backlog_max,"BACKLOG","MES CORRIENTE")))</f>
        <v/>
      </c>
      <c r="AF374" s="5">
        <f>IF($AD374="",FALSE,AND($AD374&gt;p_dias_backlog_min,$AD374&lt;=p_dias_backlog_max))</f>
        <v/>
      </c>
      <c r="AG374" s="4" t="n"/>
      <c r="AH374" s="5">
        <f>IF($AG374="","",IF((IFERROR(INDEX('ASIGNACIONES'!$J$4:$J$451,MATCH($O374&amp;"|"&amp;$S374&amp;"|"&amp;$AG374,'ASIGNACIONES'!$N$4:$N$451,0)),""))=0,"",IFERROR(INDEX('ASIGNACIONES'!$J$4:$J$451,MATCH($O374&amp;"|"&amp;$S374&amp;"|"&amp;$AG374,'ASIGNACIONES'!$N$4:$N$451,0)),"")))</f>
        <v/>
      </c>
      <c r="AI374" s="25">
        <f>IF($AG374="","",SUMIFS('ORDENES'!$M$4:$M$1203,'ORDENES'!$AG$4:$AG$1203,$AG374,'ORDENES'!$O$4:$O$1203,$O374,'ORDENES'!$S$4:$S$1203,$S374))</f>
        <v/>
      </c>
      <c r="AJ374" s="25">
        <f>IF($AI374="","",p_factor_productividad*IFERROR(INDEX('ASIGNACIONES'!$M$4:$M$451,MATCH($O374&amp;"|"&amp;$S374&amp;"|"&amp;$AG374,'ASIGNACIONES'!$N$4:$N$451,0)),0)-$AI374)</f>
        <v/>
      </c>
      <c r="AK374" s="18">
        <f>IF($A374="","",IFERROR(INDEX('2_IMPORTAR_EJECUCION'!$F$9:$F$1208,MATCH($AT374,'2_IMPORTAR_EJECUCION'!$J$9:$J$1208,0)),0))</f>
        <v/>
      </c>
      <c r="AL374" s="18">
        <f>IF($A374="","",MAX(0,IFERROR(INDEX('2_IMPORTAR_EJECUCION'!$H$9:$H$1208,MATCH($AT374,'2_IMPORTAR_EJECUCION'!$J$9:$J$1208,0)),0)-$AK374))</f>
        <v/>
      </c>
      <c r="AM374" s="18">
        <f>IF($A374="","",$AK374+$AL374)</f>
        <v/>
      </c>
      <c r="AN374" s="5">
        <f>IF($A374="","",IF(OR((IFERROR(INDEX('CAT_ACTIVIDADES'!$D$4:$D$11,MATCH($H374,'CAT_ACTIVIDADES'!$A$4:$A$11,0)),""))=0,(IFERROR(INDEX('CAT_ACTIVIDADES'!$D$4:$D$11,MATCH($H374,'CAT_ACTIVIDADES'!$A$4:$A$11,0)),""))=""),"SIN CLASIFICAR",IFERROR(INDEX('CAT_ACTIVIDADES'!$D$4:$D$11,MATCH($H374,'CAT_ACTIVIDADES'!$A$4:$A$11,0)),"")))</f>
        <v/>
      </c>
      <c r="AO374" s="4" t="n"/>
      <c r="AP374" s="4" t="n"/>
      <c r="AQ374" s="4" t="n"/>
      <c r="AR374" s="5">
        <f>IF($AQ374="","",HYPERLINK(p_ruta_base_checklists&amp;$AQ374,"abrir"))</f>
        <v/>
      </c>
      <c r="AS374" s="4" t="n"/>
      <c r="AT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2" t="n"/>
      <c r="K375" s="5" t="n"/>
      <c r="L375" s="18" t="n"/>
      <c r="M375" s="5">
        <f>IF($A375="","",IFERROR(INDEX('AJUSTES'!$B$4:$B$303,MATCH($AT375,'AJUSTES'!$A$4:$A$303,0)),IF($K375="","",$K375)))</f>
        <v/>
      </c>
      <c r="N375" s="5">
        <f>IF($A375="","",IFERROR(INDEX('CAT_ESTADOS_ERP'!$B$4:$B$7,MATCH(IFERROR(INDEX('2_IMPORTAR_EJECUCION'!$C$9:$C$1208,MATCH($AT375,'2_IMPORTAR_EJECUCION'!$J$9:$J$1208,0)),""),'CAT_ESTADOS_ERP'!$A$4:$A$7,0)),"Pendiente"))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IF($J375="","",$P375&amp;"-"&amp;TEXT($Q375,"00"))</f>
        <v/>
      </c>
      <c r="S375" s="5">
        <f>IF($J375="","",INDEX(lista_dias,WEEKDAY($J375,2)))</f>
        <v/>
      </c>
      <c r="T375" s="5">
        <f>IF($J375="","",IFERROR(INDEX('CALENDARIO'!$C$15:$C$214,MATCH(TEXT($J375,"yyyy-mm-dd")&amp;"|"&amp;$X375&amp;"|"&amp;$Y375,'CALENDARIO'!$G$15:$G$214,0)),IFERROR(INDEX('CALENDARIO'!$C$15:$C$214,MATCH(TEXT($J375,"yyyy-mm-dd")&amp;"|"&amp;$X375&amp;"|",'CALENDARIO'!$G$15:$G$214,0)),IFERROR(INDEX('CALENDARIO'!$C$15:$C$214,MATCH(TEXT($J375,"yyyy-mm-dd")&amp;"||",'CALENDARIO'!$G$15:$G$214,0)),INDEX(patronHabil,WEEKDAY($J375,2))))))</f>
        <v/>
      </c>
      <c r="U375" s="5">
        <f>IF($I375="","",IFERROR(INDEX('CAT_TIPOS_OT'!$C$4:$C$8,MATCH($I375,'CAT_TIPOS_OT'!$A$4:$A$8,0)),"sin_clasificar"))</f>
        <v/>
      </c>
      <c r="V375" s="5">
        <f>IF($I375="","",IF(IFERROR(INDEX('CAT_TIPOS_OT'!$D$4:$D$8,MATCH($I375,'CAT_TIPOS_OT'!$A$4:$A$8,0)),"SIN CLASIFICAR")="","SIN CLASIFICAR",IFERROR(INDEX('CAT_TIPOS_OT'!$D$4:$D$8,MATCH($I375,'CAT_TIPOS_OT'!$A$4:$A$8,0)),"SIN CLASIFICAR")))</f>
        <v/>
      </c>
      <c r="W375" s="5">
        <f>IF($F375="","",IFERROR(INDEX('CAT_CENTROS_COSTO'!$F$4:$F$13,MATCH($F375,'CAT_CENTROS_COSTO'!$A$4:$A$13,0)),"(sin catálogo)"))</f>
        <v/>
      </c>
      <c r="X375" s="5">
        <f>IF($F375="","",IFERROR(INDEX('CAT_CENTROS_COSTO'!$D$4:$D$13,MATCH($F375,'CAT_CENTROS_COSTO'!$A$4:$A$13,0)),"(sin catálogo)"))</f>
        <v/>
      </c>
      <c r="Y375" s="5">
        <f>IF($F375="","",IF((IFERROR(INDEX('CAT_CENTROS_COSTO'!$E$4:$E$13,MATCH($F375,'CAT_CENTROS_COSTO'!$A$4:$A$13,0)),""))&lt;&gt;"",IFERROR(INDEX('CAT_CENTROS_COSTO'!$E$4:$E$13,MATCH($F375,'CAT_CENTROS_COSTO'!$A$4:$A$13,0)),""),$X375))</f>
        <v/>
      </c>
      <c r="Z375" s="5">
        <f>IF($F375="","",IFERROR(INDEX('CAT_CENTROS_COSTO'!$G$4:$G$13,MATCH($F375,'CAT_CENTROS_COSTO'!$A$4:$A$13,0)),"(sin catálogo)"))</f>
        <v/>
      </c>
      <c r="AA375" s="5">
        <f>IF($G375="","",IFERROR(INDEX('CAT_PUESTOS'!$B$4:$B$8,MATCH($G375,'CAT_PUESTOS'!$A$4:$A$8,0)),"(sin catálogo)"))</f>
        <v/>
      </c>
      <c r="AB375" s="5">
        <f>IF($H375="","",IFERROR(INDEX('CAT_ACTIVIDADES'!$B$4:$B$11,MATCH($H375,'CAT_ACTIVIDADES'!$A$4:$A$11,0)),"(sin catálogo)"))</f>
        <v/>
      </c>
      <c r="AC375" s="20">
        <f>IF($J375="","",TODAY()-$J375)</f>
        <v/>
      </c>
      <c r="AD375" s="20">
        <f>IF($J375="","",IF($J375&lt;=TODAY(),COUNTIFS(cal_fechas,"&gt;="&amp;$J375,cal_fechas,"&lt;"&amp;TODAY(),cal_habil,"sí"),-COUNTIFS(cal_fechas,"&gt;="&amp;TODAY(),cal_fechas,"&lt;"&amp;$J375,cal_habil,"sí")))</f>
        <v/>
      </c>
      <c r="AE375" s="5">
        <f>IF($AD375="","",IF($AD375&lt;0,"FUTURO",IF($AD375&gt;p_dias_backlog_max,"BACKLOG","MES CORRIENTE")))</f>
        <v/>
      </c>
      <c r="AF375" s="5">
        <f>IF($AD375="",FALSE,AND($AD375&gt;p_dias_backlog_min,$AD375&lt;=p_dias_backlog_max))</f>
        <v/>
      </c>
      <c r="AG375" s="4" t="n"/>
      <c r="AH375" s="5">
        <f>IF($AG375="","",IF((IFERROR(INDEX('ASIGNACIONES'!$J$4:$J$451,MATCH($O375&amp;"|"&amp;$S375&amp;"|"&amp;$AG375,'ASIGNACIONES'!$N$4:$N$451,0)),""))=0,"",IFERROR(INDEX('ASIGNACIONES'!$J$4:$J$451,MATCH($O375&amp;"|"&amp;$S375&amp;"|"&amp;$AG375,'ASIGNACIONES'!$N$4:$N$451,0)),"")))</f>
        <v/>
      </c>
      <c r="AI375" s="25">
        <f>IF($AG375="","",SUMIFS('ORDENES'!$M$4:$M$1203,'ORDENES'!$AG$4:$AG$1203,$AG375,'ORDENES'!$O$4:$O$1203,$O375,'ORDENES'!$S$4:$S$1203,$S375))</f>
        <v/>
      </c>
      <c r="AJ375" s="25">
        <f>IF($AI375="","",p_factor_productividad*IFERROR(INDEX('ASIGNACIONES'!$M$4:$M$451,MATCH($O375&amp;"|"&amp;$S375&amp;"|"&amp;$AG375,'ASIGNACIONES'!$N$4:$N$451,0)),0)-$AI375)</f>
        <v/>
      </c>
      <c r="AK375" s="18">
        <f>IF($A375="","",IFERROR(INDEX('2_IMPORTAR_EJECUCION'!$F$9:$F$1208,MATCH($AT375,'2_IMPORTAR_EJECUCION'!$J$9:$J$1208,0)),0))</f>
        <v/>
      </c>
      <c r="AL375" s="18">
        <f>IF($A375="","",MAX(0,IFERROR(INDEX('2_IMPORTAR_EJECUCION'!$H$9:$H$1208,MATCH($AT375,'2_IMPORTAR_EJECUCION'!$J$9:$J$1208,0)),0)-$AK375))</f>
        <v/>
      </c>
      <c r="AM375" s="18">
        <f>IF($A375="","",$AK375+$AL375)</f>
        <v/>
      </c>
      <c r="AN375" s="5">
        <f>IF($A375="","",IF(OR((IFERROR(INDEX('CAT_ACTIVIDADES'!$D$4:$D$11,MATCH($H375,'CAT_ACTIVIDADES'!$A$4:$A$11,0)),""))=0,(IFERROR(INDEX('CAT_ACTIVIDADES'!$D$4:$D$11,MATCH($H375,'CAT_ACTIVIDADES'!$A$4:$A$11,0)),""))=""),"SIN CLASIFICAR",IFERROR(INDEX('CAT_ACTIVIDADES'!$D$4:$D$11,MATCH($H375,'CAT_ACTIVIDADES'!$A$4:$A$11,0)),"")))</f>
        <v/>
      </c>
      <c r="AO375" s="4" t="n"/>
      <c r="AP375" s="4" t="n"/>
      <c r="AQ375" s="4" t="n"/>
      <c r="AR375" s="5">
        <f>IF($AQ375="","",HYPERLINK(p_ruta_base_checklists&amp;$AQ375,"abrir"))</f>
        <v/>
      </c>
      <c r="AS375" s="4" t="n"/>
      <c r="AT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2" t="n"/>
      <c r="K376" s="5" t="n"/>
      <c r="L376" s="18" t="n"/>
      <c r="M376" s="5">
        <f>IF($A376="","",IFERROR(INDEX('AJUSTES'!$B$4:$B$303,MATCH($AT376,'AJUSTES'!$A$4:$A$303,0)),IF($K376="","",$K376)))</f>
        <v/>
      </c>
      <c r="N376" s="5">
        <f>IF($A376="","",IFERROR(INDEX('CAT_ESTADOS_ERP'!$B$4:$B$7,MATCH(IFERROR(INDEX('2_IMPORTAR_EJECUCION'!$C$9:$C$1208,MATCH($AT376,'2_IMPORTAR_EJECUCION'!$J$9:$J$1208,0)),""),'CAT_ESTADOS_ERP'!$A$4:$A$7,0)),"Pendiente"))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IF($J376="","",$P376&amp;"-"&amp;TEXT($Q376,"00"))</f>
        <v/>
      </c>
      <c r="S376" s="5">
        <f>IF($J376="","",INDEX(lista_dias,WEEKDAY($J376,2)))</f>
        <v/>
      </c>
      <c r="T376" s="5">
        <f>IF($J376="","",IFERROR(INDEX('CALENDARIO'!$C$15:$C$214,MATCH(TEXT($J376,"yyyy-mm-dd")&amp;"|"&amp;$X376&amp;"|"&amp;$Y376,'CALENDARIO'!$G$15:$G$214,0)),IFERROR(INDEX('CALENDARIO'!$C$15:$C$214,MATCH(TEXT($J376,"yyyy-mm-dd")&amp;"|"&amp;$X376&amp;"|",'CALENDARIO'!$G$15:$G$214,0)),IFERROR(INDEX('CALENDARIO'!$C$15:$C$214,MATCH(TEXT($J376,"yyyy-mm-dd")&amp;"||",'CALENDARIO'!$G$15:$G$214,0)),INDEX(patronHabil,WEEKDAY($J376,2))))))</f>
        <v/>
      </c>
      <c r="U376" s="5">
        <f>IF($I376="","",IFERROR(INDEX('CAT_TIPOS_OT'!$C$4:$C$8,MATCH($I376,'CAT_TIPOS_OT'!$A$4:$A$8,0)),"sin_clasificar"))</f>
        <v/>
      </c>
      <c r="V376" s="5">
        <f>IF($I376="","",IF(IFERROR(INDEX('CAT_TIPOS_OT'!$D$4:$D$8,MATCH($I376,'CAT_TIPOS_OT'!$A$4:$A$8,0)),"SIN CLASIFICAR")="","SIN CLASIFICAR",IFERROR(INDEX('CAT_TIPOS_OT'!$D$4:$D$8,MATCH($I376,'CAT_TIPOS_OT'!$A$4:$A$8,0)),"SIN CLASIFICAR")))</f>
        <v/>
      </c>
      <c r="W376" s="5">
        <f>IF($F376="","",IFERROR(INDEX('CAT_CENTROS_COSTO'!$F$4:$F$13,MATCH($F376,'CAT_CENTROS_COSTO'!$A$4:$A$13,0)),"(sin catálogo)"))</f>
        <v/>
      </c>
      <c r="X376" s="5">
        <f>IF($F376="","",IFERROR(INDEX('CAT_CENTROS_COSTO'!$D$4:$D$13,MATCH($F376,'CAT_CENTROS_COSTO'!$A$4:$A$13,0)),"(sin catálogo)"))</f>
        <v/>
      </c>
      <c r="Y376" s="5">
        <f>IF($F376="","",IF((IFERROR(INDEX('CAT_CENTROS_COSTO'!$E$4:$E$13,MATCH($F376,'CAT_CENTROS_COSTO'!$A$4:$A$13,0)),""))&lt;&gt;"",IFERROR(INDEX('CAT_CENTROS_COSTO'!$E$4:$E$13,MATCH($F376,'CAT_CENTROS_COSTO'!$A$4:$A$13,0)),""),$X376))</f>
        <v/>
      </c>
      <c r="Z376" s="5">
        <f>IF($F376="","",IFERROR(INDEX('CAT_CENTROS_COSTO'!$G$4:$G$13,MATCH($F376,'CAT_CENTROS_COSTO'!$A$4:$A$13,0)),"(sin catálogo)"))</f>
        <v/>
      </c>
      <c r="AA376" s="5">
        <f>IF($G376="","",IFERROR(INDEX('CAT_PUESTOS'!$B$4:$B$8,MATCH($G376,'CAT_PUESTOS'!$A$4:$A$8,0)),"(sin catálogo)"))</f>
        <v/>
      </c>
      <c r="AB376" s="5">
        <f>IF($H376="","",IFERROR(INDEX('CAT_ACTIVIDADES'!$B$4:$B$11,MATCH($H376,'CAT_ACTIVIDADES'!$A$4:$A$11,0)),"(sin catálogo)"))</f>
        <v/>
      </c>
      <c r="AC376" s="20">
        <f>IF($J376="","",TODAY()-$J376)</f>
        <v/>
      </c>
      <c r="AD376" s="20">
        <f>IF($J376="","",IF($J376&lt;=TODAY(),COUNTIFS(cal_fechas,"&gt;="&amp;$J376,cal_fechas,"&lt;"&amp;TODAY(),cal_habil,"sí"),-COUNTIFS(cal_fechas,"&gt;="&amp;TODAY(),cal_fechas,"&lt;"&amp;$J376,cal_habil,"sí")))</f>
        <v/>
      </c>
      <c r="AE376" s="5">
        <f>IF($AD376="","",IF($AD376&lt;0,"FUTURO",IF($AD376&gt;p_dias_backlog_max,"BACKLOG","MES CORRIENTE")))</f>
        <v/>
      </c>
      <c r="AF376" s="5">
        <f>IF($AD376="",FALSE,AND($AD376&gt;p_dias_backlog_min,$AD376&lt;=p_dias_backlog_max))</f>
        <v/>
      </c>
      <c r="AG376" s="4" t="n"/>
      <c r="AH376" s="5">
        <f>IF($AG376="","",IF((IFERROR(INDEX('ASIGNACIONES'!$J$4:$J$451,MATCH($O376&amp;"|"&amp;$S376&amp;"|"&amp;$AG376,'ASIGNACIONES'!$N$4:$N$451,0)),""))=0,"",IFERROR(INDEX('ASIGNACIONES'!$J$4:$J$451,MATCH($O376&amp;"|"&amp;$S376&amp;"|"&amp;$AG376,'ASIGNACIONES'!$N$4:$N$451,0)),"")))</f>
        <v/>
      </c>
      <c r="AI376" s="25">
        <f>IF($AG376="","",SUMIFS('ORDENES'!$M$4:$M$1203,'ORDENES'!$AG$4:$AG$1203,$AG376,'ORDENES'!$O$4:$O$1203,$O376,'ORDENES'!$S$4:$S$1203,$S376))</f>
        <v/>
      </c>
      <c r="AJ376" s="25">
        <f>IF($AI376="","",p_factor_productividad*IFERROR(INDEX('ASIGNACIONES'!$M$4:$M$451,MATCH($O376&amp;"|"&amp;$S376&amp;"|"&amp;$AG376,'ASIGNACIONES'!$N$4:$N$451,0)),0)-$AI376)</f>
        <v/>
      </c>
      <c r="AK376" s="18">
        <f>IF($A376="","",IFERROR(INDEX('2_IMPORTAR_EJECUCION'!$F$9:$F$1208,MATCH($AT376,'2_IMPORTAR_EJECUCION'!$J$9:$J$1208,0)),0))</f>
        <v/>
      </c>
      <c r="AL376" s="18">
        <f>IF($A376="","",MAX(0,IFERROR(INDEX('2_IMPORTAR_EJECUCION'!$H$9:$H$1208,MATCH($AT376,'2_IMPORTAR_EJECUCION'!$J$9:$J$1208,0)),0)-$AK376))</f>
        <v/>
      </c>
      <c r="AM376" s="18">
        <f>IF($A376="","",$AK376+$AL376)</f>
        <v/>
      </c>
      <c r="AN376" s="5">
        <f>IF($A376="","",IF(OR((IFERROR(INDEX('CAT_ACTIVIDADES'!$D$4:$D$11,MATCH($H376,'CAT_ACTIVIDADES'!$A$4:$A$11,0)),""))=0,(IFERROR(INDEX('CAT_ACTIVIDADES'!$D$4:$D$11,MATCH($H376,'CAT_ACTIVIDADES'!$A$4:$A$11,0)),""))=""),"SIN CLASIFICAR",IFERROR(INDEX('CAT_ACTIVIDADES'!$D$4:$D$11,MATCH($H376,'CAT_ACTIVIDADES'!$A$4:$A$11,0)),"")))</f>
        <v/>
      </c>
      <c r="AO376" s="4" t="n"/>
      <c r="AP376" s="4" t="n"/>
      <c r="AQ376" s="4" t="n"/>
      <c r="AR376" s="5">
        <f>IF($AQ376="","",HYPERLINK(p_ruta_base_checklists&amp;$AQ376,"abrir"))</f>
        <v/>
      </c>
      <c r="AS376" s="4" t="n"/>
      <c r="AT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2" t="n"/>
      <c r="K377" s="5" t="n"/>
      <c r="L377" s="18" t="n"/>
      <c r="M377" s="5">
        <f>IF($A377="","",IFERROR(INDEX('AJUSTES'!$B$4:$B$303,MATCH($AT377,'AJUSTES'!$A$4:$A$303,0)),IF($K377="","",$K377)))</f>
        <v/>
      </c>
      <c r="N377" s="5">
        <f>IF($A377="","",IFERROR(INDEX('CAT_ESTADOS_ERP'!$B$4:$B$7,MATCH(IFERROR(INDEX('2_IMPORTAR_EJECUCION'!$C$9:$C$1208,MATCH($AT377,'2_IMPORTAR_EJECUCION'!$J$9:$J$1208,0)),""),'CAT_ESTADOS_ERP'!$A$4:$A$7,0)),"Pendiente"))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IF($J377="","",$P377&amp;"-"&amp;TEXT($Q377,"00"))</f>
        <v/>
      </c>
      <c r="S377" s="5">
        <f>IF($J377="","",INDEX(lista_dias,WEEKDAY($J377,2)))</f>
        <v/>
      </c>
      <c r="T377" s="5">
        <f>IF($J377="","",IFERROR(INDEX('CALENDARIO'!$C$15:$C$214,MATCH(TEXT($J377,"yyyy-mm-dd")&amp;"|"&amp;$X377&amp;"|"&amp;$Y377,'CALENDARIO'!$G$15:$G$214,0)),IFERROR(INDEX('CALENDARIO'!$C$15:$C$214,MATCH(TEXT($J377,"yyyy-mm-dd")&amp;"|"&amp;$X377&amp;"|",'CALENDARIO'!$G$15:$G$214,0)),IFERROR(INDEX('CALENDARIO'!$C$15:$C$214,MATCH(TEXT($J377,"yyyy-mm-dd")&amp;"||",'CALENDARIO'!$G$15:$G$214,0)),INDEX(patronHabil,WEEKDAY($J377,2))))))</f>
        <v/>
      </c>
      <c r="U377" s="5">
        <f>IF($I377="","",IFERROR(INDEX('CAT_TIPOS_OT'!$C$4:$C$8,MATCH($I377,'CAT_TIPOS_OT'!$A$4:$A$8,0)),"sin_clasificar"))</f>
        <v/>
      </c>
      <c r="V377" s="5">
        <f>IF($I377="","",IF(IFERROR(INDEX('CAT_TIPOS_OT'!$D$4:$D$8,MATCH($I377,'CAT_TIPOS_OT'!$A$4:$A$8,0)),"SIN CLASIFICAR")="","SIN CLASIFICAR",IFERROR(INDEX('CAT_TIPOS_OT'!$D$4:$D$8,MATCH($I377,'CAT_TIPOS_OT'!$A$4:$A$8,0)),"SIN CLASIFICAR")))</f>
        <v/>
      </c>
      <c r="W377" s="5">
        <f>IF($F377="","",IFERROR(INDEX('CAT_CENTROS_COSTO'!$F$4:$F$13,MATCH($F377,'CAT_CENTROS_COSTO'!$A$4:$A$13,0)),"(sin catálogo)"))</f>
        <v/>
      </c>
      <c r="X377" s="5">
        <f>IF($F377="","",IFERROR(INDEX('CAT_CENTROS_COSTO'!$D$4:$D$13,MATCH($F377,'CAT_CENTROS_COSTO'!$A$4:$A$13,0)),"(sin catálogo)"))</f>
        <v/>
      </c>
      <c r="Y377" s="5">
        <f>IF($F377="","",IF((IFERROR(INDEX('CAT_CENTROS_COSTO'!$E$4:$E$13,MATCH($F377,'CAT_CENTROS_COSTO'!$A$4:$A$13,0)),""))&lt;&gt;"",IFERROR(INDEX('CAT_CENTROS_COSTO'!$E$4:$E$13,MATCH($F377,'CAT_CENTROS_COSTO'!$A$4:$A$13,0)),""),$X377))</f>
        <v/>
      </c>
      <c r="Z377" s="5">
        <f>IF($F377="","",IFERROR(INDEX('CAT_CENTROS_COSTO'!$G$4:$G$13,MATCH($F377,'CAT_CENTROS_COSTO'!$A$4:$A$13,0)),"(sin catálogo)"))</f>
        <v/>
      </c>
      <c r="AA377" s="5">
        <f>IF($G377="","",IFERROR(INDEX('CAT_PUESTOS'!$B$4:$B$8,MATCH($G377,'CAT_PUESTOS'!$A$4:$A$8,0)),"(sin catálogo)"))</f>
        <v/>
      </c>
      <c r="AB377" s="5">
        <f>IF($H377="","",IFERROR(INDEX('CAT_ACTIVIDADES'!$B$4:$B$11,MATCH($H377,'CAT_ACTIVIDADES'!$A$4:$A$11,0)),"(sin catálogo)"))</f>
        <v/>
      </c>
      <c r="AC377" s="20">
        <f>IF($J377="","",TODAY()-$J377)</f>
        <v/>
      </c>
      <c r="AD377" s="20">
        <f>IF($J377="","",IF($J377&lt;=TODAY(),COUNTIFS(cal_fechas,"&gt;="&amp;$J377,cal_fechas,"&lt;"&amp;TODAY(),cal_habil,"sí"),-COUNTIFS(cal_fechas,"&gt;="&amp;TODAY(),cal_fechas,"&lt;"&amp;$J377,cal_habil,"sí")))</f>
        <v/>
      </c>
      <c r="AE377" s="5">
        <f>IF($AD377="","",IF($AD377&lt;0,"FUTURO",IF($AD377&gt;p_dias_backlog_max,"BACKLOG","MES CORRIENTE")))</f>
        <v/>
      </c>
      <c r="AF377" s="5">
        <f>IF($AD377="",FALSE,AND($AD377&gt;p_dias_backlog_min,$AD377&lt;=p_dias_backlog_max))</f>
        <v/>
      </c>
      <c r="AG377" s="4" t="n"/>
      <c r="AH377" s="5">
        <f>IF($AG377="","",IF((IFERROR(INDEX('ASIGNACIONES'!$J$4:$J$451,MATCH($O377&amp;"|"&amp;$S377&amp;"|"&amp;$AG377,'ASIGNACIONES'!$N$4:$N$451,0)),""))=0,"",IFERROR(INDEX('ASIGNACIONES'!$J$4:$J$451,MATCH($O377&amp;"|"&amp;$S377&amp;"|"&amp;$AG377,'ASIGNACIONES'!$N$4:$N$451,0)),"")))</f>
        <v/>
      </c>
      <c r="AI377" s="25">
        <f>IF($AG377="","",SUMIFS('ORDENES'!$M$4:$M$1203,'ORDENES'!$AG$4:$AG$1203,$AG377,'ORDENES'!$O$4:$O$1203,$O377,'ORDENES'!$S$4:$S$1203,$S377))</f>
        <v/>
      </c>
      <c r="AJ377" s="25">
        <f>IF($AI377="","",p_factor_productividad*IFERROR(INDEX('ASIGNACIONES'!$M$4:$M$451,MATCH($O377&amp;"|"&amp;$S377&amp;"|"&amp;$AG377,'ASIGNACIONES'!$N$4:$N$451,0)),0)-$AI377)</f>
        <v/>
      </c>
      <c r="AK377" s="18">
        <f>IF($A377="","",IFERROR(INDEX('2_IMPORTAR_EJECUCION'!$F$9:$F$1208,MATCH($AT377,'2_IMPORTAR_EJECUCION'!$J$9:$J$1208,0)),0))</f>
        <v/>
      </c>
      <c r="AL377" s="18">
        <f>IF($A377="","",MAX(0,IFERROR(INDEX('2_IMPORTAR_EJECUCION'!$H$9:$H$1208,MATCH($AT377,'2_IMPORTAR_EJECUCION'!$J$9:$J$1208,0)),0)-$AK377))</f>
        <v/>
      </c>
      <c r="AM377" s="18">
        <f>IF($A377="","",$AK377+$AL377)</f>
        <v/>
      </c>
      <c r="AN377" s="5">
        <f>IF($A377="","",IF(OR((IFERROR(INDEX('CAT_ACTIVIDADES'!$D$4:$D$11,MATCH($H377,'CAT_ACTIVIDADES'!$A$4:$A$11,0)),""))=0,(IFERROR(INDEX('CAT_ACTIVIDADES'!$D$4:$D$11,MATCH($H377,'CAT_ACTIVIDADES'!$A$4:$A$11,0)),""))=""),"SIN CLASIFICAR",IFERROR(INDEX('CAT_ACTIVIDADES'!$D$4:$D$11,MATCH($H377,'CAT_ACTIVIDADES'!$A$4:$A$11,0)),"")))</f>
        <v/>
      </c>
      <c r="AO377" s="4" t="n"/>
      <c r="AP377" s="4" t="n"/>
      <c r="AQ377" s="4" t="n"/>
      <c r="AR377" s="5">
        <f>IF($AQ377="","",HYPERLINK(p_ruta_base_checklists&amp;$AQ377,"abrir"))</f>
        <v/>
      </c>
      <c r="AS377" s="4" t="n"/>
      <c r="AT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2" t="n"/>
      <c r="K378" s="5" t="n"/>
      <c r="L378" s="18" t="n"/>
      <c r="M378" s="5">
        <f>IF($A378="","",IFERROR(INDEX('AJUSTES'!$B$4:$B$303,MATCH($AT378,'AJUSTES'!$A$4:$A$303,0)),IF($K378="","",$K378)))</f>
        <v/>
      </c>
      <c r="N378" s="5">
        <f>IF($A378="","",IFERROR(INDEX('CAT_ESTADOS_ERP'!$B$4:$B$7,MATCH(IFERROR(INDEX('2_IMPORTAR_EJECUCION'!$C$9:$C$1208,MATCH($AT378,'2_IMPORTAR_EJECUCION'!$J$9:$J$1208,0)),""),'CAT_ESTADOS_ERP'!$A$4:$A$7,0)),"Pendiente"))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IF($J378="","",$P378&amp;"-"&amp;TEXT($Q378,"00"))</f>
        <v/>
      </c>
      <c r="S378" s="5">
        <f>IF($J378="","",INDEX(lista_dias,WEEKDAY($J378,2)))</f>
        <v/>
      </c>
      <c r="T378" s="5">
        <f>IF($J378="","",IFERROR(INDEX('CALENDARIO'!$C$15:$C$214,MATCH(TEXT($J378,"yyyy-mm-dd")&amp;"|"&amp;$X378&amp;"|"&amp;$Y378,'CALENDARIO'!$G$15:$G$214,0)),IFERROR(INDEX('CALENDARIO'!$C$15:$C$214,MATCH(TEXT($J378,"yyyy-mm-dd")&amp;"|"&amp;$X378&amp;"|",'CALENDARIO'!$G$15:$G$214,0)),IFERROR(INDEX('CALENDARIO'!$C$15:$C$214,MATCH(TEXT($J378,"yyyy-mm-dd")&amp;"||",'CALENDARIO'!$G$15:$G$214,0)),INDEX(patronHabil,WEEKDAY($J378,2))))))</f>
        <v/>
      </c>
      <c r="U378" s="5">
        <f>IF($I378="","",IFERROR(INDEX('CAT_TIPOS_OT'!$C$4:$C$8,MATCH($I378,'CAT_TIPOS_OT'!$A$4:$A$8,0)),"sin_clasificar"))</f>
        <v/>
      </c>
      <c r="V378" s="5">
        <f>IF($I378="","",IF(IFERROR(INDEX('CAT_TIPOS_OT'!$D$4:$D$8,MATCH($I378,'CAT_TIPOS_OT'!$A$4:$A$8,0)),"SIN CLASIFICAR")="","SIN CLASIFICAR",IFERROR(INDEX('CAT_TIPOS_OT'!$D$4:$D$8,MATCH($I378,'CAT_TIPOS_OT'!$A$4:$A$8,0)),"SIN CLASIFICAR")))</f>
        <v/>
      </c>
      <c r="W378" s="5">
        <f>IF($F378="","",IFERROR(INDEX('CAT_CENTROS_COSTO'!$F$4:$F$13,MATCH($F378,'CAT_CENTROS_COSTO'!$A$4:$A$13,0)),"(sin catálogo)"))</f>
        <v/>
      </c>
      <c r="X378" s="5">
        <f>IF($F378="","",IFERROR(INDEX('CAT_CENTROS_COSTO'!$D$4:$D$13,MATCH($F378,'CAT_CENTROS_COSTO'!$A$4:$A$13,0)),"(sin catálogo)"))</f>
        <v/>
      </c>
      <c r="Y378" s="5">
        <f>IF($F378="","",IF((IFERROR(INDEX('CAT_CENTROS_COSTO'!$E$4:$E$13,MATCH($F378,'CAT_CENTROS_COSTO'!$A$4:$A$13,0)),""))&lt;&gt;"",IFERROR(INDEX('CAT_CENTROS_COSTO'!$E$4:$E$13,MATCH($F378,'CAT_CENTROS_COSTO'!$A$4:$A$13,0)),""),$X378))</f>
        <v/>
      </c>
      <c r="Z378" s="5">
        <f>IF($F378="","",IFERROR(INDEX('CAT_CENTROS_COSTO'!$G$4:$G$13,MATCH($F378,'CAT_CENTROS_COSTO'!$A$4:$A$13,0)),"(sin catálogo)"))</f>
        <v/>
      </c>
      <c r="AA378" s="5">
        <f>IF($G378="","",IFERROR(INDEX('CAT_PUESTOS'!$B$4:$B$8,MATCH($G378,'CAT_PUESTOS'!$A$4:$A$8,0)),"(sin catálogo)"))</f>
        <v/>
      </c>
      <c r="AB378" s="5">
        <f>IF($H378="","",IFERROR(INDEX('CAT_ACTIVIDADES'!$B$4:$B$11,MATCH($H378,'CAT_ACTIVIDADES'!$A$4:$A$11,0)),"(sin catálogo)"))</f>
        <v/>
      </c>
      <c r="AC378" s="20">
        <f>IF($J378="","",TODAY()-$J378)</f>
        <v/>
      </c>
      <c r="AD378" s="20">
        <f>IF($J378="","",IF($J378&lt;=TODAY(),COUNTIFS(cal_fechas,"&gt;="&amp;$J378,cal_fechas,"&lt;"&amp;TODAY(),cal_habil,"sí"),-COUNTIFS(cal_fechas,"&gt;="&amp;TODAY(),cal_fechas,"&lt;"&amp;$J378,cal_habil,"sí")))</f>
        <v/>
      </c>
      <c r="AE378" s="5">
        <f>IF($AD378="","",IF($AD378&lt;0,"FUTURO",IF($AD378&gt;p_dias_backlog_max,"BACKLOG","MES CORRIENTE")))</f>
        <v/>
      </c>
      <c r="AF378" s="5">
        <f>IF($AD378="",FALSE,AND($AD378&gt;p_dias_backlog_min,$AD378&lt;=p_dias_backlog_max))</f>
        <v/>
      </c>
      <c r="AG378" s="4" t="n"/>
      <c r="AH378" s="5">
        <f>IF($AG378="","",IF((IFERROR(INDEX('ASIGNACIONES'!$J$4:$J$451,MATCH($O378&amp;"|"&amp;$S378&amp;"|"&amp;$AG378,'ASIGNACIONES'!$N$4:$N$451,0)),""))=0,"",IFERROR(INDEX('ASIGNACIONES'!$J$4:$J$451,MATCH($O378&amp;"|"&amp;$S378&amp;"|"&amp;$AG378,'ASIGNACIONES'!$N$4:$N$451,0)),"")))</f>
        <v/>
      </c>
      <c r="AI378" s="25">
        <f>IF($AG378="","",SUMIFS('ORDENES'!$M$4:$M$1203,'ORDENES'!$AG$4:$AG$1203,$AG378,'ORDENES'!$O$4:$O$1203,$O378,'ORDENES'!$S$4:$S$1203,$S378))</f>
        <v/>
      </c>
      <c r="AJ378" s="25">
        <f>IF($AI378="","",p_factor_productividad*IFERROR(INDEX('ASIGNACIONES'!$M$4:$M$451,MATCH($O378&amp;"|"&amp;$S378&amp;"|"&amp;$AG378,'ASIGNACIONES'!$N$4:$N$451,0)),0)-$AI378)</f>
        <v/>
      </c>
      <c r="AK378" s="18">
        <f>IF($A378="","",IFERROR(INDEX('2_IMPORTAR_EJECUCION'!$F$9:$F$1208,MATCH($AT378,'2_IMPORTAR_EJECUCION'!$J$9:$J$1208,0)),0))</f>
        <v/>
      </c>
      <c r="AL378" s="18">
        <f>IF($A378="","",MAX(0,IFERROR(INDEX('2_IMPORTAR_EJECUCION'!$H$9:$H$1208,MATCH($AT378,'2_IMPORTAR_EJECUCION'!$J$9:$J$1208,0)),0)-$AK378))</f>
        <v/>
      </c>
      <c r="AM378" s="18">
        <f>IF($A378="","",$AK378+$AL378)</f>
        <v/>
      </c>
      <c r="AN378" s="5">
        <f>IF($A378="","",IF(OR((IFERROR(INDEX('CAT_ACTIVIDADES'!$D$4:$D$11,MATCH($H378,'CAT_ACTIVIDADES'!$A$4:$A$11,0)),""))=0,(IFERROR(INDEX('CAT_ACTIVIDADES'!$D$4:$D$11,MATCH($H378,'CAT_ACTIVIDADES'!$A$4:$A$11,0)),""))=""),"SIN CLASIFICAR",IFERROR(INDEX('CAT_ACTIVIDADES'!$D$4:$D$11,MATCH($H378,'CAT_ACTIVIDADES'!$A$4:$A$11,0)),"")))</f>
        <v/>
      </c>
      <c r="AO378" s="4" t="n"/>
      <c r="AP378" s="4" t="n"/>
      <c r="AQ378" s="4" t="n"/>
      <c r="AR378" s="5">
        <f>IF($AQ378="","",HYPERLINK(p_ruta_base_checklists&amp;$AQ378,"abrir"))</f>
        <v/>
      </c>
      <c r="AS378" s="4" t="n"/>
      <c r="AT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2" t="n"/>
      <c r="K379" s="5" t="n"/>
      <c r="L379" s="18" t="n"/>
      <c r="M379" s="5">
        <f>IF($A379="","",IFERROR(INDEX('AJUSTES'!$B$4:$B$303,MATCH($AT379,'AJUSTES'!$A$4:$A$303,0)),IF($K379="","",$K379)))</f>
        <v/>
      </c>
      <c r="N379" s="5">
        <f>IF($A379="","",IFERROR(INDEX('CAT_ESTADOS_ERP'!$B$4:$B$7,MATCH(IFERROR(INDEX('2_IMPORTAR_EJECUCION'!$C$9:$C$1208,MATCH($AT379,'2_IMPORTAR_EJECUCION'!$J$9:$J$1208,0)),""),'CAT_ESTADOS_ERP'!$A$4:$A$7,0)),"Pendiente"))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IF($J379="","",$P379&amp;"-"&amp;TEXT($Q379,"00"))</f>
        <v/>
      </c>
      <c r="S379" s="5">
        <f>IF($J379="","",INDEX(lista_dias,WEEKDAY($J379,2)))</f>
        <v/>
      </c>
      <c r="T379" s="5">
        <f>IF($J379="","",IFERROR(INDEX('CALENDARIO'!$C$15:$C$214,MATCH(TEXT($J379,"yyyy-mm-dd")&amp;"|"&amp;$X379&amp;"|"&amp;$Y379,'CALENDARIO'!$G$15:$G$214,0)),IFERROR(INDEX('CALENDARIO'!$C$15:$C$214,MATCH(TEXT($J379,"yyyy-mm-dd")&amp;"|"&amp;$X379&amp;"|",'CALENDARIO'!$G$15:$G$214,0)),IFERROR(INDEX('CALENDARIO'!$C$15:$C$214,MATCH(TEXT($J379,"yyyy-mm-dd")&amp;"||",'CALENDARIO'!$G$15:$G$214,0)),INDEX(patronHabil,WEEKDAY($J379,2))))))</f>
        <v/>
      </c>
      <c r="U379" s="5">
        <f>IF($I379="","",IFERROR(INDEX('CAT_TIPOS_OT'!$C$4:$C$8,MATCH($I379,'CAT_TIPOS_OT'!$A$4:$A$8,0)),"sin_clasificar"))</f>
        <v/>
      </c>
      <c r="V379" s="5">
        <f>IF($I379="","",IF(IFERROR(INDEX('CAT_TIPOS_OT'!$D$4:$D$8,MATCH($I379,'CAT_TIPOS_OT'!$A$4:$A$8,0)),"SIN CLASIFICAR")="","SIN CLASIFICAR",IFERROR(INDEX('CAT_TIPOS_OT'!$D$4:$D$8,MATCH($I379,'CAT_TIPOS_OT'!$A$4:$A$8,0)),"SIN CLASIFICAR")))</f>
        <v/>
      </c>
      <c r="W379" s="5">
        <f>IF($F379="","",IFERROR(INDEX('CAT_CENTROS_COSTO'!$F$4:$F$13,MATCH($F379,'CAT_CENTROS_COSTO'!$A$4:$A$13,0)),"(sin catálogo)"))</f>
        <v/>
      </c>
      <c r="X379" s="5">
        <f>IF($F379="","",IFERROR(INDEX('CAT_CENTROS_COSTO'!$D$4:$D$13,MATCH($F379,'CAT_CENTROS_COSTO'!$A$4:$A$13,0)),"(sin catálogo)"))</f>
        <v/>
      </c>
      <c r="Y379" s="5">
        <f>IF($F379="","",IF((IFERROR(INDEX('CAT_CENTROS_COSTO'!$E$4:$E$13,MATCH($F379,'CAT_CENTROS_COSTO'!$A$4:$A$13,0)),""))&lt;&gt;"",IFERROR(INDEX('CAT_CENTROS_COSTO'!$E$4:$E$13,MATCH($F379,'CAT_CENTROS_COSTO'!$A$4:$A$13,0)),""),$X379))</f>
        <v/>
      </c>
      <c r="Z379" s="5">
        <f>IF($F379="","",IFERROR(INDEX('CAT_CENTROS_COSTO'!$G$4:$G$13,MATCH($F379,'CAT_CENTROS_COSTO'!$A$4:$A$13,0)),"(sin catálogo)"))</f>
        <v/>
      </c>
      <c r="AA379" s="5">
        <f>IF($G379="","",IFERROR(INDEX('CAT_PUESTOS'!$B$4:$B$8,MATCH($G379,'CAT_PUESTOS'!$A$4:$A$8,0)),"(sin catálogo)"))</f>
        <v/>
      </c>
      <c r="AB379" s="5">
        <f>IF($H379="","",IFERROR(INDEX('CAT_ACTIVIDADES'!$B$4:$B$11,MATCH($H379,'CAT_ACTIVIDADES'!$A$4:$A$11,0)),"(sin catálogo)"))</f>
        <v/>
      </c>
      <c r="AC379" s="20">
        <f>IF($J379="","",TODAY()-$J379)</f>
        <v/>
      </c>
      <c r="AD379" s="20">
        <f>IF($J379="","",IF($J379&lt;=TODAY(),COUNTIFS(cal_fechas,"&gt;="&amp;$J379,cal_fechas,"&lt;"&amp;TODAY(),cal_habil,"sí"),-COUNTIFS(cal_fechas,"&gt;="&amp;TODAY(),cal_fechas,"&lt;"&amp;$J379,cal_habil,"sí")))</f>
        <v/>
      </c>
      <c r="AE379" s="5">
        <f>IF($AD379="","",IF($AD379&lt;0,"FUTURO",IF($AD379&gt;p_dias_backlog_max,"BACKLOG","MES CORRIENTE")))</f>
        <v/>
      </c>
      <c r="AF379" s="5">
        <f>IF($AD379="",FALSE,AND($AD379&gt;p_dias_backlog_min,$AD379&lt;=p_dias_backlog_max))</f>
        <v/>
      </c>
      <c r="AG379" s="4" t="n"/>
      <c r="AH379" s="5">
        <f>IF($AG379="","",IF((IFERROR(INDEX('ASIGNACIONES'!$J$4:$J$451,MATCH($O379&amp;"|"&amp;$S379&amp;"|"&amp;$AG379,'ASIGNACIONES'!$N$4:$N$451,0)),""))=0,"",IFERROR(INDEX('ASIGNACIONES'!$J$4:$J$451,MATCH($O379&amp;"|"&amp;$S379&amp;"|"&amp;$AG379,'ASIGNACIONES'!$N$4:$N$451,0)),"")))</f>
        <v/>
      </c>
      <c r="AI379" s="25">
        <f>IF($AG379="","",SUMIFS('ORDENES'!$M$4:$M$1203,'ORDENES'!$AG$4:$AG$1203,$AG379,'ORDENES'!$O$4:$O$1203,$O379,'ORDENES'!$S$4:$S$1203,$S379))</f>
        <v/>
      </c>
      <c r="AJ379" s="25">
        <f>IF($AI379="","",p_factor_productividad*IFERROR(INDEX('ASIGNACIONES'!$M$4:$M$451,MATCH($O379&amp;"|"&amp;$S379&amp;"|"&amp;$AG379,'ASIGNACIONES'!$N$4:$N$451,0)),0)-$AI379)</f>
        <v/>
      </c>
      <c r="AK379" s="18">
        <f>IF($A379="","",IFERROR(INDEX('2_IMPORTAR_EJECUCION'!$F$9:$F$1208,MATCH($AT379,'2_IMPORTAR_EJECUCION'!$J$9:$J$1208,0)),0))</f>
        <v/>
      </c>
      <c r="AL379" s="18">
        <f>IF($A379="","",MAX(0,IFERROR(INDEX('2_IMPORTAR_EJECUCION'!$H$9:$H$1208,MATCH($AT379,'2_IMPORTAR_EJECUCION'!$J$9:$J$1208,0)),0)-$AK379))</f>
        <v/>
      </c>
      <c r="AM379" s="18">
        <f>IF($A379="","",$AK379+$AL379)</f>
        <v/>
      </c>
      <c r="AN379" s="5">
        <f>IF($A379="","",IF(OR((IFERROR(INDEX('CAT_ACTIVIDADES'!$D$4:$D$11,MATCH($H379,'CAT_ACTIVIDADES'!$A$4:$A$11,0)),""))=0,(IFERROR(INDEX('CAT_ACTIVIDADES'!$D$4:$D$11,MATCH($H379,'CAT_ACTIVIDADES'!$A$4:$A$11,0)),""))=""),"SIN CLASIFICAR",IFERROR(INDEX('CAT_ACTIVIDADES'!$D$4:$D$11,MATCH($H379,'CAT_ACTIVIDADES'!$A$4:$A$11,0)),"")))</f>
        <v/>
      </c>
      <c r="AO379" s="4" t="n"/>
      <c r="AP379" s="4" t="n"/>
      <c r="AQ379" s="4" t="n"/>
      <c r="AR379" s="5">
        <f>IF($AQ379="","",HYPERLINK(p_ruta_base_checklists&amp;$AQ379,"abrir"))</f>
        <v/>
      </c>
      <c r="AS379" s="4" t="n"/>
      <c r="AT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2" t="n"/>
      <c r="K380" s="5" t="n"/>
      <c r="L380" s="18" t="n"/>
      <c r="M380" s="5">
        <f>IF($A380="","",IFERROR(INDEX('AJUSTES'!$B$4:$B$303,MATCH($AT380,'AJUSTES'!$A$4:$A$303,0)),IF($K380="","",$K380)))</f>
        <v/>
      </c>
      <c r="N380" s="5">
        <f>IF($A380="","",IFERROR(INDEX('CAT_ESTADOS_ERP'!$B$4:$B$7,MATCH(IFERROR(INDEX('2_IMPORTAR_EJECUCION'!$C$9:$C$1208,MATCH($AT380,'2_IMPORTAR_EJECUCION'!$J$9:$J$1208,0)),""),'CAT_ESTADOS_ERP'!$A$4:$A$7,0)),"Pendiente"))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IF($J380="","",$P380&amp;"-"&amp;TEXT($Q380,"00"))</f>
        <v/>
      </c>
      <c r="S380" s="5">
        <f>IF($J380="","",INDEX(lista_dias,WEEKDAY($J380,2)))</f>
        <v/>
      </c>
      <c r="T380" s="5">
        <f>IF($J380="","",IFERROR(INDEX('CALENDARIO'!$C$15:$C$214,MATCH(TEXT($J380,"yyyy-mm-dd")&amp;"|"&amp;$X380&amp;"|"&amp;$Y380,'CALENDARIO'!$G$15:$G$214,0)),IFERROR(INDEX('CALENDARIO'!$C$15:$C$214,MATCH(TEXT($J380,"yyyy-mm-dd")&amp;"|"&amp;$X380&amp;"|",'CALENDARIO'!$G$15:$G$214,0)),IFERROR(INDEX('CALENDARIO'!$C$15:$C$214,MATCH(TEXT($J380,"yyyy-mm-dd")&amp;"||",'CALENDARIO'!$G$15:$G$214,0)),INDEX(patronHabil,WEEKDAY($J380,2))))))</f>
        <v/>
      </c>
      <c r="U380" s="5">
        <f>IF($I380="","",IFERROR(INDEX('CAT_TIPOS_OT'!$C$4:$C$8,MATCH($I380,'CAT_TIPOS_OT'!$A$4:$A$8,0)),"sin_clasificar"))</f>
        <v/>
      </c>
      <c r="V380" s="5">
        <f>IF($I380="","",IF(IFERROR(INDEX('CAT_TIPOS_OT'!$D$4:$D$8,MATCH($I380,'CAT_TIPOS_OT'!$A$4:$A$8,0)),"SIN CLASIFICAR")="","SIN CLASIFICAR",IFERROR(INDEX('CAT_TIPOS_OT'!$D$4:$D$8,MATCH($I380,'CAT_TIPOS_OT'!$A$4:$A$8,0)),"SIN CLASIFICAR")))</f>
        <v/>
      </c>
      <c r="W380" s="5">
        <f>IF($F380="","",IFERROR(INDEX('CAT_CENTROS_COSTO'!$F$4:$F$13,MATCH($F380,'CAT_CENTROS_COSTO'!$A$4:$A$13,0)),"(sin catálogo)"))</f>
        <v/>
      </c>
      <c r="X380" s="5">
        <f>IF($F380="","",IFERROR(INDEX('CAT_CENTROS_COSTO'!$D$4:$D$13,MATCH($F380,'CAT_CENTROS_COSTO'!$A$4:$A$13,0)),"(sin catálogo)"))</f>
        <v/>
      </c>
      <c r="Y380" s="5">
        <f>IF($F380="","",IF((IFERROR(INDEX('CAT_CENTROS_COSTO'!$E$4:$E$13,MATCH($F380,'CAT_CENTROS_COSTO'!$A$4:$A$13,0)),""))&lt;&gt;"",IFERROR(INDEX('CAT_CENTROS_COSTO'!$E$4:$E$13,MATCH($F380,'CAT_CENTROS_COSTO'!$A$4:$A$13,0)),""),$X380))</f>
        <v/>
      </c>
      <c r="Z380" s="5">
        <f>IF($F380="","",IFERROR(INDEX('CAT_CENTROS_COSTO'!$G$4:$G$13,MATCH($F380,'CAT_CENTROS_COSTO'!$A$4:$A$13,0)),"(sin catálogo)"))</f>
        <v/>
      </c>
      <c r="AA380" s="5">
        <f>IF($G380="","",IFERROR(INDEX('CAT_PUESTOS'!$B$4:$B$8,MATCH($G380,'CAT_PUESTOS'!$A$4:$A$8,0)),"(sin catálogo)"))</f>
        <v/>
      </c>
      <c r="AB380" s="5">
        <f>IF($H380="","",IFERROR(INDEX('CAT_ACTIVIDADES'!$B$4:$B$11,MATCH($H380,'CAT_ACTIVIDADES'!$A$4:$A$11,0)),"(sin catálogo)"))</f>
        <v/>
      </c>
      <c r="AC380" s="20">
        <f>IF($J380="","",TODAY()-$J380)</f>
        <v/>
      </c>
      <c r="AD380" s="20">
        <f>IF($J380="","",IF($J380&lt;=TODAY(),COUNTIFS(cal_fechas,"&gt;="&amp;$J380,cal_fechas,"&lt;"&amp;TODAY(),cal_habil,"sí"),-COUNTIFS(cal_fechas,"&gt;="&amp;TODAY(),cal_fechas,"&lt;"&amp;$J380,cal_habil,"sí")))</f>
        <v/>
      </c>
      <c r="AE380" s="5">
        <f>IF($AD380="","",IF($AD380&lt;0,"FUTURO",IF($AD380&gt;p_dias_backlog_max,"BACKLOG","MES CORRIENTE")))</f>
        <v/>
      </c>
      <c r="AF380" s="5">
        <f>IF($AD380="",FALSE,AND($AD380&gt;p_dias_backlog_min,$AD380&lt;=p_dias_backlog_max))</f>
        <v/>
      </c>
      <c r="AG380" s="4" t="n"/>
      <c r="AH380" s="5">
        <f>IF($AG380="","",IF((IFERROR(INDEX('ASIGNACIONES'!$J$4:$J$451,MATCH($O380&amp;"|"&amp;$S380&amp;"|"&amp;$AG380,'ASIGNACIONES'!$N$4:$N$451,0)),""))=0,"",IFERROR(INDEX('ASIGNACIONES'!$J$4:$J$451,MATCH($O380&amp;"|"&amp;$S380&amp;"|"&amp;$AG380,'ASIGNACIONES'!$N$4:$N$451,0)),"")))</f>
        <v/>
      </c>
      <c r="AI380" s="25">
        <f>IF($AG380="","",SUMIFS('ORDENES'!$M$4:$M$1203,'ORDENES'!$AG$4:$AG$1203,$AG380,'ORDENES'!$O$4:$O$1203,$O380,'ORDENES'!$S$4:$S$1203,$S380))</f>
        <v/>
      </c>
      <c r="AJ380" s="25">
        <f>IF($AI380="","",p_factor_productividad*IFERROR(INDEX('ASIGNACIONES'!$M$4:$M$451,MATCH($O380&amp;"|"&amp;$S380&amp;"|"&amp;$AG380,'ASIGNACIONES'!$N$4:$N$451,0)),0)-$AI380)</f>
        <v/>
      </c>
      <c r="AK380" s="18">
        <f>IF($A380="","",IFERROR(INDEX('2_IMPORTAR_EJECUCION'!$F$9:$F$1208,MATCH($AT380,'2_IMPORTAR_EJECUCION'!$J$9:$J$1208,0)),0))</f>
        <v/>
      </c>
      <c r="AL380" s="18">
        <f>IF($A380="","",MAX(0,IFERROR(INDEX('2_IMPORTAR_EJECUCION'!$H$9:$H$1208,MATCH($AT380,'2_IMPORTAR_EJECUCION'!$J$9:$J$1208,0)),0)-$AK380))</f>
        <v/>
      </c>
      <c r="AM380" s="18">
        <f>IF($A380="","",$AK380+$AL380)</f>
        <v/>
      </c>
      <c r="AN380" s="5">
        <f>IF($A380="","",IF(OR((IFERROR(INDEX('CAT_ACTIVIDADES'!$D$4:$D$11,MATCH($H380,'CAT_ACTIVIDADES'!$A$4:$A$11,0)),""))=0,(IFERROR(INDEX('CAT_ACTIVIDADES'!$D$4:$D$11,MATCH($H380,'CAT_ACTIVIDADES'!$A$4:$A$11,0)),""))=""),"SIN CLASIFICAR",IFERROR(INDEX('CAT_ACTIVIDADES'!$D$4:$D$11,MATCH($H380,'CAT_ACTIVIDADES'!$A$4:$A$11,0)),"")))</f>
        <v/>
      </c>
      <c r="AO380" s="4" t="n"/>
      <c r="AP380" s="4" t="n"/>
      <c r="AQ380" s="4" t="n"/>
      <c r="AR380" s="5">
        <f>IF($AQ380="","",HYPERLINK(p_ruta_base_checklists&amp;$AQ380,"abrir"))</f>
        <v/>
      </c>
      <c r="AS380" s="4" t="n"/>
      <c r="AT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2" t="n"/>
      <c r="K381" s="5" t="n"/>
      <c r="L381" s="18" t="n"/>
      <c r="M381" s="5">
        <f>IF($A381="","",IFERROR(INDEX('AJUSTES'!$B$4:$B$303,MATCH($AT381,'AJUSTES'!$A$4:$A$303,0)),IF($K381="","",$K381)))</f>
        <v/>
      </c>
      <c r="N381" s="5">
        <f>IF($A381="","",IFERROR(INDEX('CAT_ESTADOS_ERP'!$B$4:$B$7,MATCH(IFERROR(INDEX('2_IMPORTAR_EJECUCION'!$C$9:$C$1208,MATCH($AT381,'2_IMPORTAR_EJECUCION'!$J$9:$J$1208,0)),""),'CAT_ESTADOS_ERP'!$A$4:$A$7,0)),"Pendiente"))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IF($J381="","",$P381&amp;"-"&amp;TEXT($Q381,"00"))</f>
        <v/>
      </c>
      <c r="S381" s="5">
        <f>IF($J381="","",INDEX(lista_dias,WEEKDAY($J381,2)))</f>
        <v/>
      </c>
      <c r="T381" s="5">
        <f>IF($J381="","",IFERROR(INDEX('CALENDARIO'!$C$15:$C$214,MATCH(TEXT($J381,"yyyy-mm-dd")&amp;"|"&amp;$X381&amp;"|"&amp;$Y381,'CALENDARIO'!$G$15:$G$214,0)),IFERROR(INDEX('CALENDARIO'!$C$15:$C$214,MATCH(TEXT($J381,"yyyy-mm-dd")&amp;"|"&amp;$X381&amp;"|",'CALENDARIO'!$G$15:$G$214,0)),IFERROR(INDEX('CALENDARIO'!$C$15:$C$214,MATCH(TEXT($J381,"yyyy-mm-dd")&amp;"||",'CALENDARIO'!$G$15:$G$214,0)),INDEX(patronHabil,WEEKDAY($J381,2))))))</f>
        <v/>
      </c>
      <c r="U381" s="5">
        <f>IF($I381="","",IFERROR(INDEX('CAT_TIPOS_OT'!$C$4:$C$8,MATCH($I381,'CAT_TIPOS_OT'!$A$4:$A$8,0)),"sin_clasificar"))</f>
        <v/>
      </c>
      <c r="V381" s="5">
        <f>IF($I381="","",IF(IFERROR(INDEX('CAT_TIPOS_OT'!$D$4:$D$8,MATCH($I381,'CAT_TIPOS_OT'!$A$4:$A$8,0)),"SIN CLASIFICAR")="","SIN CLASIFICAR",IFERROR(INDEX('CAT_TIPOS_OT'!$D$4:$D$8,MATCH($I381,'CAT_TIPOS_OT'!$A$4:$A$8,0)),"SIN CLASIFICAR")))</f>
        <v/>
      </c>
      <c r="W381" s="5">
        <f>IF($F381="","",IFERROR(INDEX('CAT_CENTROS_COSTO'!$F$4:$F$13,MATCH($F381,'CAT_CENTROS_COSTO'!$A$4:$A$13,0)),"(sin catálogo)"))</f>
        <v/>
      </c>
      <c r="X381" s="5">
        <f>IF($F381="","",IFERROR(INDEX('CAT_CENTROS_COSTO'!$D$4:$D$13,MATCH($F381,'CAT_CENTROS_COSTO'!$A$4:$A$13,0)),"(sin catálogo)"))</f>
        <v/>
      </c>
      <c r="Y381" s="5">
        <f>IF($F381="","",IF((IFERROR(INDEX('CAT_CENTROS_COSTO'!$E$4:$E$13,MATCH($F381,'CAT_CENTROS_COSTO'!$A$4:$A$13,0)),""))&lt;&gt;"",IFERROR(INDEX('CAT_CENTROS_COSTO'!$E$4:$E$13,MATCH($F381,'CAT_CENTROS_COSTO'!$A$4:$A$13,0)),""),$X381))</f>
        <v/>
      </c>
      <c r="Z381" s="5">
        <f>IF($F381="","",IFERROR(INDEX('CAT_CENTROS_COSTO'!$G$4:$G$13,MATCH($F381,'CAT_CENTROS_COSTO'!$A$4:$A$13,0)),"(sin catálogo)"))</f>
        <v/>
      </c>
      <c r="AA381" s="5">
        <f>IF($G381="","",IFERROR(INDEX('CAT_PUESTOS'!$B$4:$B$8,MATCH($G381,'CAT_PUESTOS'!$A$4:$A$8,0)),"(sin catálogo)"))</f>
        <v/>
      </c>
      <c r="AB381" s="5">
        <f>IF($H381="","",IFERROR(INDEX('CAT_ACTIVIDADES'!$B$4:$B$11,MATCH($H381,'CAT_ACTIVIDADES'!$A$4:$A$11,0)),"(sin catálogo)"))</f>
        <v/>
      </c>
      <c r="AC381" s="20">
        <f>IF($J381="","",TODAY()-$J381)</f>
        <v/>
      </c>
      <c r="AD381" s="20">
        <f>IF($J381="","",IF($J381&lt;=TODAY(),COUNTIFS(cal_fechas,"&gt;="&amp;$J381,cal_fechas,"&lt;"&amp;TODAY(),cal_habil,"sí"),-COUNTIFS(cal_fechas,"&gt;="&amp;TODAY(),cal_fechas,"&lt;"&amp;$J381,cal_habil,"sí")))</f>
        <v/>
      </c>
      <c r="AE381" s="5">
        <f>IF($AD381="","",IF($AD381&lt;0,"FUTURO",IF($AD381&gt;p_dias_backlog_max,"BACKLOG","MES CORRIENTE")))</f>
        <v/>
      </c>
      <c r="AF381" s="5">
        <f>IF($AD381="",FALSE,AND($AD381&gt;p_dias_backlog_min,$AD381&lt;=p_dias_backlog_max))</f>
        <v/>
      </c>
      <c r="AG381" s="4" t="n"/>
      <c r="AH381" s="5">
        <f>IF($AG381="","",IF((IFERROR(INDEX('ASIGNACIONES'!$J$4:$J$451,MATCH($O381&amp;"|"&amp;$S381&amp;"|"&amp;$AG381,'ASIGNACIONES'!$N$4:$N$451,0)),""))=0,"",IFERROR(INDEX('ASIGNACIONES'!$J$4:$J$451,MATCH($O381&amp;"|"&amp;$S381&amp;"|"&amp;$AG381,'ASIGNACIONES'!$N$4:$N$451,0)),"")))</f>
        <v/>
      </c>
      <c r="AI381" s="25">
        <f>IF($AG381="","",SUMIFS('ORDENES'!$M$4:$M$1203,'ORDENES'!$AG$4:$AG$1203,$AG381,'ORDENES'!$O$4:$O$1203,$O381,'ORDENES'!$S$4:$S$1203,$S381))</f>
        <v/>
      </c>
      <c r="AJ381" s="25">
        <f>IF($AI381="","",p_factor_productividad*IFERROR(INDEX('ASIGNACIONES'!$M$4:$M$451,MATCH($O381&amp;"|"&amp;$S381&amp;"|"&amp;$AG381,'ASIGNACIONES'!$N$4:$N$451,0)),0)-$AI381)</f>
        <v/>
      </c>
      <c r="AK381" s="18">
        <f>IF($A381="","",IFERROR(INDEX('2_IMPORTAR_EJECUCION'!$F$9:$F$1208,MATCH($AT381,'2_IMPORTAR_EJECUCION'!$J$9:$J$1208,0)),0))</f>
        <v/>
      </c>
      <c r="AL381" s="18">
        <f>IF($A381="","",MAX(0,IFERROR(INDEX('2_IMPORTAR_EJECUCION'!$H$9:$H$1208,MATCH($AT381,'2_IMPORTAR_EJECUCION'!$J$9:$J$1208,0)),0)-$AK381))</f>
        <v/>
      </c>
      <c r="AM381" s="18">
        <f>IF($A381="","",$AK381+$AL381)</f>
        <v/>
      </c>
      <c r="AN381" s="5">
        <f>IF($A381="","",IF(OR((IFERROR(INDEX('CAT_ACTIVIDADES'!$D$4:$D$11,MATCH($H381,'CAT_ACTIVIDADES'!$A$4:$A$11,0)),""))=0,(IFERROR(INDEX('CAT_ACTIVIDADES'!$D$4:$D$11,MATCH($H381,'CAT_ACTIVIDADES'!$A$4:$A$11,0)),""))=""),"SIN CLASIFICAR",IFERROR(INDEX('CAT_ACTIVIDADES'!$D$4:$D$11,MATCH($H381,'CAT_ACTIVIDADES'!$A$4:$A$11,0)),"")))</f>
        <v/>
      </c>
      <c r="AO381" s="4" t="n"/>
      <c r="AP381" s="4" t="n"/>
      <c r="AQ381" s="4" t="n"/>
      <c r="AR381" s="5">
        <f>IF($AQ381="","",HYPERLINK(p_ruta_base_checklists&amp;$AQ381,"abrir"))</f>
        <v/>
      </c>
      <c r="AS381" s="4" t="n"/>
      <c r="AT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2" t="n"/>
      <c r="K382" s="5" t="n"/>
      <c r="L382" s="18" t="n"/>
      <c r="M382" s="5">
        <f>IF($A382="","",IFERROR(INDEX('AJUSTES'!$B$4:$B$303,MATCH($AT382,'AJUSTES'!$A$4:$A$303,0)),IF($K382="","",$K382)))</f>
        <v/>
      </c>
      <c r="N382" s="5">
        <f>IF($A382="","",IFERROR(INDEX('CAT_ESTADOS_ERP'!$B$4:$B$7,MATCH(IFERROR(INDEX('2_IMPORTAR_EJECUCION'!$C$9:$C$1208,MATCH($AT382,'2_IMPORTAR_EJECUCION'!$J$9:$J$1208,0)),""),'CAT_ESTADOS_ERP'!$A$4:$A$7,0)),"Pendiente"))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IF($J382="","",$P382&amp;"-"&amp;TEXT($Q382,"00"))</f>
        <v/>
      </c>
      <c r="S382" s="5">
        <f>IF($J382="","",INDEX(lista_dias,WEEKDAY($J382,2)))</f>
        <v/>
      </c>
      <c r="T382" s="5">
        <f>IF($J382="","",IFERROR(INDEX('CALENDARIO'!$C$15:$C$214,MATCH(TEXT($J382,"yyyy-mm-dd")&amp;"|"&amp;$X382&amp;"|"&amp;$Y382,'CALENDARIO'!$G$15:$G$214,0)),IFERROR(INDEX('CALENDARIO'!$C$15:$C$214,MATCH(TEXT($J382,"yyyy-mm-dd")&amp;"|"&amp;$X382&amp;"|",'CALENDARIO'!$G$15:$G$214,0)),IFERROR(INDEX('CALENDARIO'!$C$15:$C$214,MATCH(TEXT($J382,"yyyy-mm-dd")&amp;"||",'CALENDARIO'!$G$15:$G$214,0)),INDEX(patronHabil,WEEKDAY($J382,2))))))</f>
        <v/>
      </c>
      <c r="U382" s="5">
        <f>IF($I382="","",IFERROR(INDEX('CAT_TIPOS_OT'!$C$4:$C$8,MATCH($I382,'CAT_TIPOS_OT'!$A$4:$A$8,0)),"sin_clasificar"))</f>
        <v/>
      </c>
      <c r="V382" s="5">
        <f>IF($I382="","",IF(IFERROR(INDEX('CAT_TIPOS_OT'!$D$4:$D$8,MATCH($I382,'CAT_TIPOS_OT'!$A$4:$A$8,0)),"SIN CLASIFICAR")="","SIN CLASIFICAR",IFERROR(INDEX('CAT_TIPOS_OT'!$D$4:$D$8,MATCH($I382,'CAT_TIPOS_OT'!$A$4:$A$8,0)),"SIN CLASIFICAR")))</f>
        <v/>
      </c>
      <c r="W382" s="5">
        <f>IF($F382="","",IFERROR(INDEX('CAT_CENTROS_COSTO'!$F$4:$F$13,MATCH($F382,'CAT_CENTROS_COSTO'!$A$4:$A$13,0)),"(sin catálogo)"))</f>
        <v/>
      </c>
      <c r="X382" s="5">
        <f>IF($F382="","",IFERROR(INDEX('CAT_CENTROS_COSTO'!$D$4:$D$13,MATCH($F382,'CAT_CENTROS_COSTO'!$A$4:$A$13,0)),"(sin catálogo)"))</f>
        <v/>
      </c>
      <c r="Y382" s="5">
        <f>IF($F382="","",IF((IFERROR(INDEX('CAT_CENTROS_COSTO'!$E$4:$E$13,MATCH($F382,'CAT_CENTROS_COSTO'!$A$4:$A$13,0)),""))&lt;&gt;"",IFERROR(INDEX('CAT_CENTROS_COSTO'!$E$4:$E$13,MATCH($F382,'CAT_CENTROS_COSTO'!$A$4:$A$13,0)),""),$X382))</f>
        <v/>
      </c>
      <c r="Z382" s="5">
        <f>IF($F382="","",IFERROR(INDEX('CAT_CENTROS_COSTO'!$G$4:$G$13,MATCH($F382,'CAT_CENTROS_COSTO'!$A$4:$A$13,0)),"(sin catálogo)"))</f>
        <v/>
      </c>
      <c r="AA382" s="5">
        <f>IF($G382="","",IFERROR(INDEX('CAT_PUESTOS'!$B$4:$B$8,MATCH($G382,'CAT_PUESTOS'!$A$4:$A$8,0)),"(sin catálogo)"))</f>
        <v/>
      </c>
      <c r="AB382" s="5">
        <f>IF($H382="","",IFERROR(INDEX('CAT_ACTIVIDADES'!$B$4:$B$11,MATCH($H382,'CAT_ACTIVIDADES'!$A$4:$A$11,0)),"(sin catálogo)"))</f>
        <v/>
      </c>
      <c r="AC382" s="20">
        <f>IF($J382="","",TODAY()-$J382)</f>
        <v/>
      </c>
      <c r="AD382" s="20">
        <f>IF($J382="","",IF($J382&lt;=TODAY(),COUNTIFS(cal_fechas,"&gt;="&amp;$J382,cal_fechas,"&lt;"&amp;TODAY(),cal_habil,"sí"),-COUNTIFS(cal_fechas,"&gt;="&amp;TODAY(),cal_fechas,"&lt;"&amp;$J382,cal_habil,"sí")))</f>
        <v/>
      </c>
      <c r="AE382" s="5">
        <f>IF($AD382="","",IF($AD382&lt;0,"FUTURO",IF($AD382&gt;p_dias_backlog_max,"BACKLOG","MES CORRIENTE")))</f>
        <v/>
      </c>
      <c r="AF382" s="5">
        <f>IF($AD382="",FALSE,AND($AD382&gt;p_dias_backlog_min,$AD382&lt;=p_dias_backlog_max))</f>
        <v/>
      </c>
      <c r="AG382" s="4" t="n"/>
      <c r="AH382" s="5">
        <f>IF($AG382="","",IF((IFERROR(INDEX('ASIGNACIONES'!$J$4:$J$451,MATCH($O382&amp;"|"&amp;$S382&amp;"|"&amp;$AG382,'ASIGNACIONES'!$N$4:$N$451,0)),""))=0,"",IFERROR(INDEX('ASIGNACIONES'!$J$4:$J$451,MATCH($O382&amp;"|"&amp;$S382&amp;"|"&amp;$AG382,'ASIGNACIONES'!$N$4:$N$451,0)),"")))</f>
        <v/>
      </c>
      <c r="AI382" s="25">
        <f>IF($AG382="","",SUMIFS('ORDENES'!$M$4:$M$1203,'ORDENES'!$AG$4:$AG$1203,$AG382,'ORDENES'!$O$4:$O$1203,$O382,'ORDENES'!$S$4:$S$1203,$S382))</f>
        <v/>
      </c>
      <c r="AJ382" s="25">
        <f>IF($AI382="","",p_factor_productividad*IFERROR(INDEX('ASIGNACIONES'!$M$4:$M$451,MATCH($O382&amp;"|"&amp;$S382&amp;"|"&amp;$AG382,'ASIGNACIONES'!$N$4:$N$451,0)),0)-$AI382)</f>
        <v/>
      </c>
      <c r="AK382" s="18">
        <f>IF($A382="","",IFERROR(INDEX('2_IMPORTAR_EJECUCION'!$F$9:$F$1208,MATCH($AT382,'2_IMPORTAR_EJECUCION'!$J$9:$J$1208,0)),0))</f>
        <v/>
      </c>
      <c r="AL382" s="18">
        <f>IF($A382="","",MAX(0,IFERROR(INDEX('2_IMPORTAR_EJECUCION'!$H$9:$H$1208,MATCH($AT382,'2_IMPORTAR_EJECUCION'!$J$9:$J$1208,0)),0)-$AK382))</f>
        <v/>
      </c>
      <c r="AM382" s="18">
        <f>IF($A382="","",$AK382+$AL382)</f>
        <v/>
      </c>
      <c r="AN382" s="5">
        <f>IF($A382="","",IF(OR((IFERROR(INDEX('CAT_ACTIVIDADES'!$D$4:$D$11,MATCH($H382,'CAT_ACTIVIDADES'!$A$4:$A$11,0)),""))=0,(IFERROR(INDEX('CAT_ACTIVIDADES'!$D$4:$D$11,MATCH($H382,'CAT_ACTIVIDADES'!$A$4:$A$11,0)),""))=""),"SIN CLASIFICAR",IFERROR(INDEX('CAT_ACTIVIDADES'!$D$4:$D$11,MATCH($H382,'CAT_ACTIVIDADES'!$A$4:$A$11,0)),"")))</f>
        <v/>
      </c>
      <c r="AO382" s="4" t="n"/>
      <c r="AP382" s="4" t="n"/>
      <c r="AQ382" s="4" t="n"/>
      <c r="AR382" s="5">
        <f>IF($AQ382="","",HYPERLINK(p_ruta_base_checklists&amp;$AQ382,"abrir"))</f>
        <v/>
      </c>
      <c r="AS382" s="4" t="n"/>
      <c r="AT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2" t="n"/>
      <c r="K383" s="5" t="n"/>
      <c r="L383" s="18" t="n"/>
      <c r="M383" s="5">
        <f>IF($A383="","",IFERROR(INDEX('AJUSTES'!$B$4:$B$303,MATCH($AT383,'AJUSTES'!$A$4:$A$303,0)),IF($K383="","",$K383)))</f>
        <v/>
      </c>
      <c r="N383" s="5">
        <f>IF($A383="","",IFERROR(INDEX('CAT_ESTADOS_ERP'!$B$4:$B$7,MATCH(IFERROR(INDEX('2_IMPORTAR_EJECUCION'!$C$9:$C$1208,MATCH($AT383,'2_IMPORTAR_EJECUCION'!$J$9:$J$1208,0)),""),'CAT_ESTADOS_ERP'!$A$4:$A$7,0)),"Pendiente"))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IF($J383="","",$P383&amp;"-"&amp;TEXT($Q383,"00"))</f>
        <v/>
      </c>
      <c r="S383" s="5">
        <f>IF($J383="","",INDEX(lista_dias,WEEKDAY($J383,2)))</f>
        <v/>
      </c>
      <c r="T383" s="5">
        <f>IF($J383="","",IFERROR(INDEX('CALENDARIO'!$C$15:$C$214,MATCH(TEXT($J383,"yyyy-mm-dd")&amp;"|"&amp;$X383&amp;"|"&amp;$Y383,'CALENDARIO'!$G$15:$G$214,0)),IFERROR(INDEX('CALENDARIO'!$C$15:$C$214,MATCH(TEXT($J383,"yyyy-mm-dd")&amp;"|"&amp;$X383&amp;"|",'CALENDARIO'!$G$15:$G$214,0)),IFERROR(INDEX('CALENDARIO'!$C$15:$C$214,MATCH(TEXT($J383,"yyyy-mm-dd")&amp;"||",'CALENDARIO'!$G$15:$G$214,0)),INDEX(patronHabil,WEEKDAY($J383,2))))))</f>
        <v/>
      </c>
      <c r="U383" s="5">
        <f>IF($I383="","",IFERROR(INDEX('CAT_TIPOS_OT'!$C$4:$C$8,MATCH($I383,'CAT_TIPOS_OT'!$A$4:$A$8,0)),"sin_clasificar"))</f>
        <v/>
      </c>
      <c r="V383" s="5">
        <f>IF($I383="","",IF(IFERROR(INDEX('CAT_TIPOS_OT'!$D$4:$D$8,MATCH($I383,'CAT_TIPOS_OT'!$A$4:$A$8,0)),"SIN CLASIFICAR")="","SIN CLASIFICAR",IFERROR(INDEX('CAT_TIPOS_OT'!$D$4:$D$8,MATCH($I383,'CAT_TIPOS_OT'!$A$4:$A$8,0)),"SIN CLASIFICAR")))</f>
        <v/>
      </c>
      <c r="W383" s="5">
        <f>IF($F383="","",IFERROR(INDEX('CAT_CENTROS_COSTO'!$F$4:$F$13,MATCH($F383,'CAT_CENTROS_COSTO'!$A$4:$A$13,0)),"(sin catálogo)"))</f>
        <v/>
      </c>
      <c r="X383" s="5">
        <f>IF($F383="","",IFERROR(INDEX('CAT_CENTROS_COSTO'!$D$4:$D$13,MATCH($F383,'CAT_CENTROS_COSTO'!$A$4:$A$13,0)),"(sin catálogo)"))</f>
        <v/>
      </c>
      <c r="Y383" s="5">
        <f>IF($F383="","",IF((IFERROR(INDEX('CAT_CENTROS_COSTO'!$E$4:$E$13,MATCH($F383,'CAT_CENTROS_COSTO'!$A$4:$A$13,0)),""))&lt;&gt;"",IFERROR(INDEX('CAT_CENTROS_COSTO'!$E$4:$E$13,MATCH($F383,'CAT_CENTROS_COSTO'!$A$4:$A$13,0)),""),$X383))</f>
        <v/>
      </c>
      <c r="Z383" s="5">
        <f>IF($F383="","",IFERROR(INDEX('CAT_CENTROS_COSTO'!$G$4:$G$13,MATCH($F383,'CAT_CENTROS_COSTO'!$A$4:$A$13,0)),"(sin catálogo)"))</f>
        <v/>
      </c>
      <c r="AA383" s="5">
        <f>IF($G383="","",IFERROR(INDEX('CAT_PUESTOS'!$B$4:$B$8,MATCH($G383,'CAT_PUESTOS'!$A$4:$A$8,0)),"(sin catálogo)"))</f>
        <v/>
      </c>
      <c r="AB383" s="5">
        <f>IF($H383="","",IFERROR(INDEX('CAT_ACTIVIDADES'!$B$4:$B$11,MATCH($H383,'CAT_ACTIVIDADES'!$A$4:$A$11,0)),"(sin catálogo)"))</f>
        <v/>
      </c>
      <c r="AC383" s="20">
        <f>IF($J383="","",TODAY()-$J383)</f>
        <v/>
      </c>
      <c r="AD383" s="20">
        <f>IF($J383="","",IF($J383&lt;=TODAY(),COUNTIFS(cal_fechas,"&gt;="&amp;$J383,cal_fechas,"&lt;"&amp;TODAY(),cal_habil,"sí"),-COUNTIFS(cal_fechas,"&gt;="&amp;TODAY(),cal_fechas,"&lt;"&amp;$J383,cal_habil,"sí")))</f>
        <v/>
      </c>
      <c r="AE383" s="5">
        <f>IF($AD383="","",IF($AD383&lt;0,"FUTURO",IF($AD383&gt;p_dias_backlog_max,"BACKLOG","MES CORRIENTE")))</f>
        <v/>
      </c>
      <c r="AF383" s="5">
        <f>IF($AD383="",FALSE,AND($AD383&gt;p_dias_backlog_min,$AD383&lt;=p_dias_backlog_max))</f>
        <v/>
      </c>
      <c r="AG383" s="4" t="n"/>
      <c r="AH383" s="5">
        <f>IF($AG383="","",IF((IFERROR(INDEX('ASIGNACIONES'!$J$4:$J$451,MATCH($O383&amp;"|"&amp;$S383&amp;"|"&amp;$AG383,'ASIGNACIONES'!$N$4:$N$451,0)),""))=0,"",IFERROR(INDEX('ASIGNACIONES'!$J$4:$J$451,MATCH($O383&amp;"|"&amp;$S383&amp;"|"&amp;$AG383,'ASIGNACIONES'!$N$4:$N$451,0)),"")))</f>
        <v/>
      </c>
      <c r="AI383" s="25">
        <f>IF($AG383="","",SUMIFS('ORDENES'!$M$4:$M$1203,'ORDENES'!$AG$4:$AG$1203,$AG383,'ORDENES'!$O$4:$O$1203,$O383,'ORDENES'!$S$4:$S$1203,$S383))</f>
        <v/>
      </c>
      <c r="AJ383" s="25">
        <f>IF($AI383="","",p_factor_productividad*IFERROR(INDEX('ASIGNACIONES'!$M$4:$M$451,MATCH($O383&amp;"|"&amp;$S383&amp;"|"&amp;$AG383,'ASIGNACIONES'!$N$4:$N$451,0)),0)-$AI383)</f>
        <v/>
      </c>
      <c r="AK383" s="18">
        <f>IF($A383="","",IFERROR(INDEX('2_IMPORTAR_EJECUCION'!$F$9:$F$1208,MATCH($AT383,'2_IMPORTAR_EJECUCION'!$J$9:$J$1208,0)),0))</f>
        <v/>
      </c>
      <c r="AL383" s="18">
        <f>IF($A383="","",MAX(0,IFERROR(INDEX('2_IMPORTAR_EJECUCION'!$H$9:$H$1208,MATCH($AT383,'2_IMPORTAR_EJECUCION'!$J$9:$J$1208,0)),0)-$AK383))</f>
        <v/>
      </c>
      <c r="AM383" s="18">
        <f>IF($A383="","",$AK383+$AL383)</f>
        <v/>
      </c>
      <c r="AN383" s="5">
        <f>IF($A383="","",IF(OR((IFERROR(INDEX('CAT_ACTIVIDADES'!$D$4:$D$11,MATCH($H383,'CAT_ACTIVIDADES'!$A$4:$A$11,0)),""))=0,(IFERROR(INDEX('CAT_ACTIVIDADES'!$D$4:$D$11,MATCH($H383,'CAT_ACTIVIDADES'!$A$4:$A$11,0)),""))=""),"SIN CLASIFICAR",IFERROR(INDEX('CAT_ACTIVIDADES'!$D$4:$D$11,MATCH($H383,'CAT_ACTIVIDADES'!$A$4:$A$11,0)),"")))</f>
        <v/>
      </c>
      <c r="AO383" s="4" t="n"/>
      <c r="AP383" s="4" t="n"/>
      <c r="AQ383" s="4" t="n"/>
      <c r="AR383" s="5">
        <f>IF($AQ383="","",HYPERLINK(p_ruta_base_checklists&amp;$AQ383,"abrir"))</f>
        <v/>
      </c>
      <c r="AS383" s="4" t="n"/>
      <c r="AT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2" t="n"/>
      <c r="K384" s="5" t="n"/>
      <c r="L384" s="18" t="n"/>
      <c r="M384" s="5">
        <f>IF($A384="","",IFERROR(INDEX('AJUSTES'!$B$4:$B$303,MATCH($AT384,'AJUSTES'!$A$4:$A$303,0)),IF($K384="","",$K384)))</f>
        <v/>
      </c>
      <c r="N384" s="5">
        <f>IF($A384="","",IFERROR(INDEX('CAT_ESTADOS_ERP'!$B$4:$B$7,MATCH(IFERROR(INDEX('2_IMPORTAR_EJECUCION'!$C$9:$C$1208,MATCH($AT384,'2_IMPORTAR_EJECUCION'!$J$9:$J$1208,0)),""),'CAT_ESTADOS_ERP'!$A$4:$A$7,0)),"Pendiente"))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IF($J384="","",$P384&amp;"-"&amp;TEXT($Q384,"00"))</f>
        <v/>
      </c>
      <c r="S384" s="5">
        <f>IF($J384="","",INDEX(lista_dias,WEEKDAY($J384,2)))</f>
        <v/>
      </c>
      <c r="T384" s="5">
        <f>IF($J384="","",IFERROR(INDEX('CALENDARIO'!$C$15:$C$214,MATCH(TEXT($J384,"yyyy-mm-dd")&amp;"|"&amp;$X384&amp;"|"&amp;$Y384,'CALENDARIO'!$G$15:$G$214,0)),IFERROR(INDEX('CALENDARIO'!$C$15:$C$214,MATCH(TEXT($J384,"yyyy-mm-dd")&amp;"|"&amp;$X384&amp;"|",'CALENDARIO'!$G$15:$G$214,0)),IFERROR(INDEX('CALENDARIO'!$C$15:$C$214,MATCH(TEXT($J384,"yyyy-mm-dd")&amp;"||",'CALENDARIO'!$G$15:$G$214,0)),INDEX(patronHabil,WEEKDAY($J384,2))))))</f>
        <v/>
      </c>
      <c r="U384" s="5">
        <f>IF($I384="","",IFERROR(INDEX('CAT_TIPOS_OT'!$C$4:$C$8,MATCH($I384,'CAT_TIPOS_OT'!$A$4:$A$8,0)),"sin_clasificar"))</f>
        <v/>
      </c>
      <c r="V384" s="5">
        <f>IF($I384="","",IF(IFERROR(INDEX('CAT_TIPOS_OT'!$D$4:$D$8,MATCH($I384,'CAT_TIPOS_OT'!$A$4:$A$8,0)),"SIN CLASIFICAR")="","SIN CLASIFICAR",IFERROR(INDEX('CAT_TIPOS_OT'!$D$4:$D$8,MATCH($I384,'CAT_TIPOS_OT'!$A$4:$A$8,0)),"SIN CLASIFICAR")))</f>
        <v/>
      </c>
      <c r="W384" s="5">
        <f>IF($F384="","",IFERROR(INDEX('CAT_CENTROS_COSTO'!$F$4:$F$13,MATCH($F384,'CAT_CENTROS_COSTO'!$A$4:$A$13,0)),"(sin catálogo)"))</f>
        <v/>
      </c>
      <c r="X384" s="5">
        <f>IF($F384="","",IFERROR(INDEX('CAT_CENTROS_COSTO'!$D$4:$D$13,MATCH($F384,'CAT_CENTROS_COSTO'!$A$4:$A$13,0)),"(sin catálogo)"))</f>
        <v/>
      </c>
      <c r="Y384" s="5">
        <f>IF($F384="","",IF((IFERROR(INDEX('CAT_CENTROS_COSTO'!$E$4:$E$13,MATCH($F384,'CAT_CENTROS_COSTO'!$A$4:$A$13,0)),""))&lt;&gt;"",IFERROR(INDEX('CAT_CENTROS_COSTO'!$E$4:$E$13,MATCH($F384,'CAT_CENTROS_COSTO'!$A$4:$A$13,0)),""),$X384))</f>
        <v/>
      </c>
      <c r="Z384" s="5">
        <f>IF($F384="","",IFERROR(INDEX('CAT_CENTROS_COSTO'!$G$4:$G$13,MATCH($F384,'CAT_CENTROS_COSTO'!$A$4:$A$13,0)),"(sin catálogo)"))</f>
        <v/>
      </c>
      <c r="AA384" s="5">
        <f>IF($G384="","",IFERROR(INDEX('CAT_PUESTOS'!$B$4:$B$8,MATCH($G384,'CAT_PUESTOS'!$A$4:$A$8,0)),"(sin catálogo)"))</f>
        <v/>
      </c>
      <c r="AB384" s="5">
        <f>IF($H384="","",IFERROR(INDEX('CAT_ACTIVIDADES'!$B$4:$B$11,MATCH($H384,'CAT_ACTIVIDADES'!$A$4:$A$11,0)),"(sin catálogo)"))</f>
        <v/>
      </c>
      <c r="AC384" s="20">
        <f>IF($J384="","",TODAY()-$J384)</f>
        <v/>
      </c>
      <c r="AD384" s="20">
        <f>IF($J384="","",IF($J384&lt;=TODAY(),COUNTIFS(cal_fechas,"&gt;="&amp;$J384,cal_fechas,"&lt;"&amp;TODAY(),cal_habil,"sí"),-COUNTIFS(cal_fechas,"&gt;="&amp;TODAY(),cal_fechas,"&lt;"&amp;$J384,cal_habil,"sí")))</f>
        <v/>
      </c>
      <c r="AE384" s="5">
        <f>IF($AD384="","",IF($AD384&lt;0,"FUTURO",IF($AD384&gt;p_dias_backlog_max,"BACKLOG","MES CORRIENTE")))</f>
        <v/>
      </c>
      <c r="AF384" s="5">
        <f>IF($AD384="",FALSE,AND($AD384&gt;p_dias_backlog_min,$AD384&lt;=p_dias_backlog_max))</f>
        <v/>
      </c>
      <c r="AG384" s="4" t="n"/>
      <c r="AH384" s="5">
        <f>IF($AG384="","",IF((IFERROR(INDEX('ASIGNACIONES'!$J$4:$J$451,MATCH($O384&amp;"|"&amp;$S384&amp;"|"&amp;$AG384,'ASIGNACIONES'!$N$4:$N$451,0)),""))=0,"",IFERROR(INDEX('ASIGNACIONES'!$J$4:$J$451,MATCH($O384&amp;"|"&amp;$S384&amp;"|"&amp;$AG384,'ASIGNACIONES'!$N$4:$N$451,0)),"")))</f>
        <v/>
      </c>
      <c r="AI384" s="25">
        <f>IF($AG384="","",SUMIFS('ORDENES'!$M$4:$M$1203,'ORDENES'!$AG$4:$AG$1203,$AG384,'ORDENES'!$O$4:$O$1203,$O384,'ORDENES'!$S$4:$S$1203,$S384))</f>
        <v/>
      </c>
      <c r="AJ384" s="25">
        <f>IF($AI384="","",p_factor_productividad*IFERROR(INDEX('ASIGNACIONES'!$M$4:$M$451,MATCH($O384&amp;"|"&amp;$S384&amp;"|"&amp;$AG384,'ASIGNACIONES'!$N$4:$N$451,0)),0)-$AI384)</f>
        <v/>
      </c>
      <c r="AK384" s="18">
        <f>IF($A384="","",IFERROR(INDEX('2_IMPORTAR_EJECUCION'!$F$9:$F$1208,MATCH($AT384,'2_IMPORTAR_EJECUCION'!$J$9:$J$1208,0)),0))</f>
        <v/>
      </c>
      <c r="AL384" s="18">
        <f>IF($A384="","",MAX(0,IFERROR(INDEX('2_IMPORTAR_EJECUCION'!$H$9:$H$1208,MATCH($AT384,'2_IMPORTAR_EJECUCION'!$J$9:$J$1208,0)),0)-$AK384))</f>
        <v/>
      </c>
      <c r="AM384" s="18">
        <f>IF($A384="","",$AK384+$AL384)</f>
        <v/>
      </c>
      <c r="AN384" s="5">
        <f>IF($A384="","",IF(OR((IFERROR(INDEX('CAT_ACTIVIDADES'!$D$4:$D$11,MATCH($H384,'CAT_ACTIVIDADES'!$A$4:$A$11,0)),""))=0,(IFERROR(INDEX('CAT_ACTIVIDADES'!$D$4:$D$11,MATCH($H384,'CAT_ACTIVIDADES'!$A$4:$A$11,0)),""))=""),"SIN CLASIFICAR",IFERROR(INDEX('CAT_ACTIVIDADES'!$D$4:$D$11,MATCH($H384,'CAT_ACTIVIDADES'!$A$4:$A$11,0)),"")))</f>
        <v/>
      </c>
      <c r="AO384" s="4" t="n"/>
      <c r="AP384" s="4" t="n"/>
      <c r="AQ384" s="4" t="n"/>
      <c r="AR384" s="5">
        <f>IF($AQ384="","",HYPERLINK(p_ruta_base_checklists&amp;$AQ384,"abrir"))</f>
        <v/>
      </c>
      <c r="AS384" s="4" t="n"/>
      <c r="AT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2" t="n"/>
      <c r="K385" s="5" t="n"/>
      <c r="L385" s="18" t="n"/>
      <c r="M385" s="5">
        <f>IF($A385="","",IFERROR(INDEX('AJUSTES'!$B$4:$B$303,MATCH($AT385,'AJUSTES'!$A$4:$A$303,0)),IF($K385="","",$K385)))</f>
        <v/>
      </c>
      <c r="N385" s="5">
        <f>IF($A385="","",IFERROR(INDEX('CAT_ESTADOS_ERP'!$B$4:$B$7,MATCH(IFERROR(INDEX('2_IMPORTAR_EJECUCION'!$C$9:$C$1208,MATCH($AT385,'2_IMPORTAR_EJECUCION'!$J$9:$J$1208,0)),""),'CAT_ESTADOS_ERP'!$A$4:$A$7,0)),"Pendiente"))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IF($J385="","",$P385&amp;"-"&amp;TEXT($Q385,"00"))</f>
        <v/>
      </c>
      <c r="S385" s="5">
        <f>IF($J385="","",INDEX(lista_dias,WEEKDAY($J385,2)))</f>
        <v/>
      </c>
      <c r="T385" s="5">
        <f>IF($J385="","",IFERROR(INDEX('CALENDARIO'!$C$15:$C$214,MATCH(TEXT($J385,"yyyy-mm-dd")&amp;"|"&amp;$X385&amp;"|"&amp;$Y385,'CALENDARIO'!$G$15:$G$214,0)),IFERROR(INDEX('CALENDARIO'!$C$15:$C$214,MATCH(TEXT($J385,"yyyy-mm-dd")&amp;"|"&amp;$X385&amp;"|",'CALENDARIO'!$G$15:$G$214,0)),IFERROR(INDEX('CALENDARIO'!$C$15:$C$214,MATCH(TEXT($J385,"yyyy-mm-dd")&amp;"||",'CALENDARIO'!$G$15:$G$214,0)),INDEX(patronHabil,WEEKDAY($J385,2))))))</f>
        <v/>
      </c>
      <c r="U385" s="5">
        <f>IF($I385="","",IFERROR(INDEX('CAT_TIPOS_OT'!$C$4:$C$8,MATCH($I385,'CAT_TIPOS_OT'!$A$4:$A$8,0)),"sin_clasificar"))</f>
        <v/>
      </c>
      <c r="V385" s="5">
        <f>IF($I385="","",IF(IFERROR(INDEX('CAT_TIPOS_OT'!$D$4:$D$8,MATCH($I385,'CAT_TIPOS_OT'!$A$4:$A$8,0)),"SIN CLASIFICAR")="","SIN CLASIFICAR",IFERROR(INDEX('CAT_TIPOS_OT'!$D$4:$D$8,MATCH($I385,'CAT_TIPOS_OT'!$A$4:$A$8,0)),"SIN CLASIFICAR")))</f>
        <v/>
      </c>
      <c r="W385" s="5">
        <f>IF($F385="","",IFERROR(INDEX('CAT_CENTROS_COSTO'!$F$4:$F$13,MATCH($F385,'CAT_CENTROS_COSTO'!$A$4:$A$13,0)),"(sin catálogo)"))</f>
        <v/>
      </c>
      <c r="X385" s="5">
        <f>IF($F385="","",IFERROR(INDEX('CAT_CENTROS_COSTO'!$D$4:$D$13,MATCH($F385,'CAT_CENTROS_COSTO'!$A$4:$A$13,0)),"(sin catálogo)"))</f>
        <v/>
      </c>
      <c r="Y385" s="5">
        <f>IF($F385="","",IF((IFERROR(INDEX('CAT_CENTROS_COSTO'!$E$4:$E$13,MATCH($F385,'CAT_CENTROS_COSTO'!$A$4:$A$13,0)),""))&lt;&gt;"",IFERROR(INDEX('CAT_CENTROS_COSTO'!$E$4:$E$13,MATCH($F385,'CAT_CENTROS_COSTO'!$A$4:$A$13,0)),""),$X385))</f>
        <v/>
      </c>
      <c r="Z385" s="5">
        <f>IF($F385="","",IFERROR(INDEX('CAT_CENTROS_COSTO'!$G$4:$G$13,MATCH($F385,'CAT_CENTROS_COSTO'!$A$4:$A$13,0)),"(sin catálogo)"))</f>
        <v/>
      </c>
      <c r="AA385" s="5">
        <f>IF($G385="","",IFERROR(INDEX('CAT_PUESTOS'!$B$4:$B$8,MATCH($G385,'CAT_PUESTOS'!$A$4:$A$8,0)),"(sin catálogo)"))</f>
        <v/>
      </c>
      <c r="AB385" s="5">
        <f>IF($H385="","",IFERROR(INDEX('CAT_ACTIVIDADES'!$B$4:$B$11,MATCH($H385,'CAT_ACTIVIDADES'!$A$4:$A$11,0)),"(sin catálogo)"))</f>
        <v/>
      </c>
      <c r="AC385" s="20">
        <f>IF($J385="","",TODAY()-$J385)</f>
        <v/>
      </c>
      <c r="AD385" s="20">
        <f>IF($J385="","",IF($J385&lt;=TODAY(),COUNTIFS(cal_fechas,"&gt;="&amp;$J385,cal_fechas,"&lt;"&amp;TODAY(),cal_habil,"sí"),-COUNTIFS(cal_fechas,"&gt;="&amp;TODAY(),cal_fechas,"&lt;"&amp;$J385,cal_habil,"sí")))</f>
        <v/>
      </c>
      <c r="AE385" s="5">
        <f>IF($AD385="","",IF($AD385&lt;0,"FUTURO",IF($AD385&gt;p_dias_backlog_max,"BACKLOG","MES CORRIENTE")))</f>
        <v/>
      </c>
      <c r="AF385" s="5">
        <f>IF($AD385="",FALSE,AND($AD385&gt;p_dias_backlog_min,$AD385&lt;=p_dias_backlog_max))</f>
        <v/>
      </c>
      <c r="AG385" s="4" t="n"/>
      <c r="AH385" s="5">
        <f>IF($AG385="","",IF((IFERROR(INDEX('ASIGNACIONES'!$J$4:$J$451,MATCH($O385&amp;"|"&amp;$S385&amp;"|"&amp;$AG385,'ASIGNACIONES'!$N$4:$N$451,0)),""))=0,"",IFERROR(INDEX('ASIGNACIONES'!$J$4:$J$451,MATCH($O385&amp;"|"&amp;$S385&amp;"|"&amp;$AG385,'ASIGNACIONES'!$N$4:$N$451,0)),"")))</f>
        <v/>
      </c>
      <c r="AI385" s="25">
        <f>IF($AG385="","",SUMIFS('ORDENES'!$M$4:$M$1203,'ORDENES'!$AG$4:$AG$1203,$AG385,'ORDENES'!$O$4:$O$1203,$O385,'ORDENES'!$S$4:$S$1203,$S385))</f>
        <v/>
      </c>
      <c r="AJ385" s="25">
        <f>IF($AI385="","",p_factor_productividad*IFERROR(INDEX('ASIGNACIONES'!$M$4:$M$451,MATCH($O385&amp;"|"&amp;$S385&amp;"|"&amp;$AG385,'ASIGNACIONES'!$N$4:$N$451,0)),0)-$AI385)</f>
        <v/>
      </c>
      <c r="AK385" s="18">
        <f>IF($A385="","",IFERROR(INDEX('2_IMPORTAR_EJECUCION'!$F$9:$F$1208,MATCH($AT385,'2_IMPORTAR_EJECUCION'!$J$9:$J$1208,0)),0))</f>
        <v/>
      </c>
      <c r="AL385" s="18">
        <f>IF($A385="","",MAX(0,IFERROR(INDEX('2_IMPORTAR_EJECUCION'!$H$9:$H$1208,MATCH($AT385,'2_IMPORTAR_EJECUCION'!$J$9:$J$1208,0)),0)-$AK385))</f>
        <v/>
      </c>
      <c r="AM385" s="18">
        <f>IF($A385="","",$AK385+$AL385)</f>
        <v/>
      </c>
      <c r="AN385" s="5">
        <f>IF($A385="","",IF(OR((IFERROR(INDEX('CAT_ACTIVIDADES'!$D$4:$D$11,MATCH($H385,'CAT_ACTIVIDADES'!$A$4:$A$11,0)),""))=0,(IFERROR(INDEX('CAT_ACTIVIDADES'!$D$4:$D$11,MATCH($H385,'CAT_ACTIVIDADES'!$A$4:$A$11,0)),""))=""),"SIN CLASIFICAR",IFERROR(INDEX('CAT_ACTIVIDADES'!$D$4:$D$11,MATCH($H385,'CAT_ACTIVIDADES'!$A$4:$A$11,0)),"")))</f>
        <v/>
      </c>
      <c r="AO385" s="4" t="n"/>
      <c r="AP385" s="4" t="n"/>
      <c r="AQ385" s="4" t="n"/>
      <c r="AR385" s="5">
        <f>IF($AQ385="","",HYPERLINK(p_ruta_base_checklists&amp;$AQ385,"abrir"))</f>
        <v/>
      </c>
      <c r="AS385" s="4" t="n"/>
      <c r="AT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2" t="n"/>
      <c r="K386" s="5" t="n"/>
      <c r="L386" s="18" t="n"/>
      <c r="M386" s="5">
        <f>IF($A386="","",IFERROR(INDEX('AJUSTES'!$B$4:$B$303,MATCH($AT386,'AJUSTES'!$A$4:$A$303,0)),IF($K386="","",$K386)))</f>
        <v/>
      </c>
      <c r="N386" s="5">
        <f>IF($A386="","",IFERROR(INDEX('CAT_ESTADOS_ERP'!$B$4:$B$7,MATCH(IFERROR(INDEX('2_IMPORTAR_EJECUCION'!$C$9:$C$1208,MATCH($AT386,'2_IMPORTAR_EJECUCION'!$J$9:$J$1208,0)),""),'CAT_ESTADOS_ERP'!$A$4:$A$7,0)),"Pendiente"))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IF($J386="","",$P386&amp;"-"&amp;TEXT($Q386,"00"))</f>
        <v/>
      </c>
      <c r="S386" s="5">
        <f>IF($J386="","",INDEX(lista_dias,WEEKDAY($J386,2)))</f>
        <v/>
      </c>
      <c r="T386" s="5">
        <f>IF($J386="","",IFERROR(INDEX('CALENDARIO'!$C$15:$C$214,MATCH(TEXT($J386,"yyyy-mm-dd")&amp;"|"&amp;$X386&amp;"|"&amp;$Y386,'CALENDARIO'!$G$15:$G$214,0)),IFERROR(INDEX('CALENDARIO'!$C$15:$C$214,MATCH(TEXT($J386,"yyyy-mm-dd")&amp;"|"&amp;$X386&amp;"|",'CALENDARIO'!$G$15:$G$214,0)),IFERROR(INDEX('CALENDARIO'!$C$15:$C$214,MATCH(TEXT($J386,"yyyy-mm-dd")&amp;"||",'CALENDARIO'!$G$15:$G$214,0)),INDEX(patronHabil,WEEKDAY($J386,2))))))</f>
        <v/>
      </c>
      <c r="U386" s="5">
        <f>IF($I386="","",IFERROR(INDEX('CAT_TIPOS_OT'!$C$4:$C$8,MATCH($I386,'CAT_TIPOS_OT'!$A$4:$A$8,0)),"sin_clasificar"))</f>
        <v/>
      </c>
      <c r="V386" s="5">
        <f>IF($I386="","",IF(IFERROR(INDEX('CAT_TIPOS_OT'!$D$4:$D$8,MATCH($I386,'CAT_TIPOS_OT'!$A$4:$A$8,0)),"SIN CLASIFICAR")="","SIN CLASIFICAR",IFERROR(INDEX('CAT_TIPOS_OT'!$D$4:$D$8,MATCH($I386,'CAT_TIPOS_OT'!$A$4:$A$8,0)),"SIN CLASIFICAR")))</f>
        <v/>
      </c>
      <c r="W386" s="5">
        <f>IF($F386="","",IFERROR(INDEX('CAT_CENTROS_COSTO'!$F$4:$F$13,MATCH($F386,'CAT_CENTROS_COSTO'!$A$4:$A$13,0)),"(sin catálogo)"))</f>
        <v/>
      </c>
      <c r="X386" s="5">
        <f>IF($F386="","",IFERROR(INDEX('CAT_CENTROS_COSTO'!$D$4:$D$13,MATCH($F386,'CAT_CENTROS_COSTO'!$A$4:$A$13,0)),"(sin catálogo)"))</f>
        <v/>
      </c>
      <c r="Y386" s="5">
        <f>IF($F386="","",IF((IFERROR(INDEX('CAT_CENTROS_COSTO'!$E$4:$E$13,MATCH($F386,'CAT_CENTROS_COSTO'!$A$4:$A$13,0)),""))&lt;&gt;"",IFERROR(INDEX('CAT_CENTROS_COSTO'!$E$4:$E$13,MATCH($F386,'CAT_CENTROS_COSTO'!$A$4:$A$13,0)),""),$X386))</f>
        <v/>
      </c>
      <c r="Z386" s="5">
        <f>IF($F386="","",IFERROR(INDEX('CAT_CENTROS_COSTO'!$G$4:$G$13,MATCH($F386,'CAT_CENTROS_COSTO'!$A$4:$A$13,0)),"(sin catálogo)"))</f>
        <v/>
      </c>
      <c r="AA386" s="5">
        <f>IF($G386="","",IFERROR(INDEX('CAT_PUESTOS'!$B$4:$B$8,MATCH($G386,'CAT_PUESTOS'!$A$4:$A$8,0)),"(sin catálogo)"))</f>
        <v/>
      </c>
      <c r="AB386" s="5">
        <f>IF($H386="","",IFERROR(INDEX('CAT_ACTIVIDADES'!$B$4:$B$11,MATCH($H386,'CAT_ACTIVIDADES'!$A$4:$A$11,0)),"(sin catálogo)"))</f>
        <v/>
      </c>
      <c r="AC386" s="20">
        <f>IF($J386="","",TODAY()-$J386)</f>
        <v/>
      </c>
      <c r="AD386" s="20">
        <f>IF($J386="","",IF($J386&lt;=TODAY(),COUNTIFS(cal_fechas,"&gt;="&amp;$J386,cal_fechas,"&lt;"&amp;TODAY(),cal_habil,"sí"),-COUNTIFS(cal_fechas,"&gt;="&amp;TODAY(),cal_fechas,"&lt;"&amp;$J386,cal_habil,"sí")))</f>
        <v/>
      </c>
      <c r="AE386" s="5">
        <f>IF($AD386="","",IF($AD386&lt;0,"FUTURO",IF($AD386&gt;p_dias_backlog_max,"BACKLOG","MES CORRIENTE")))</f>
        <v/>
      </c>
      <c r="AF386" s="5">
        <f>IF($AD386="",FALSE,AND($AD386&gt;p_dias_backlog_min,$AD386&lt;=p_dias_backlog_max))</f>
        <v/>
      </c>
      <c r="AG386" s="4" t="n"/>
      <c r="AH386" s="5">
        <f>IF($AG386="","",IF((IFERROR(INDEX('ASIGNACIONES'!$J$4:$J$451,MATCH($O386&amp;"|"&amp;$S386&amp;"|"&amp;$AG386,'ASIGNACIONES'!$N$4:$N$451,0)),""))=0,"",IFERROR(INDEX('ASIGNACIONES'!$J$4:$J$451,MATCH($O386&amp;"|"&amp;$S386&amp;"|"&amp;$AG386,'ASIGNACIONES'!$N$4:$N$451,0)),"")))</f>
        <v/>
      </c>
      <c r="AI386" s="25">
        <f>IF($AG386="","",SUMIFS('ORDENES'!$M$4:$M$1203,'ORDENES'!$AG$4:$AG$1203,$AG386,'ORDENES'!$O$4:$O$1203,$O386,'ORDENES'!$S$4:$S$1203,$S386))</f>
        <v/>
      </c>
      <c r="AJ386" s="25">
        <f>IF($AI386="","",p_factor_productividad*IFERROR(INDEX('ASIGNACIONES'!$M$4:$M$451,MATCH($O386&amp;"|"&amp;$S386&amp;"|"&amp;$AG386,'ASIGNACIONES'!$N$4:$N$451,0)),0)-$AI386)</f>
        <v/>
      </c>
      <c r="AK386" s="18">
        <f>IF($A386="","",IFERROR(INDEX('2_IMPORTAR_EJECUCION'!$F$9:$F$1208,MATCH($AT386,'2_IMPORTAR_EJECUCION'!$J$9:$J$1208,0)),0))</f>
        <v/>
      </c>
      <c r="AL386" s="18">
        <f>IF($A386="","",MAX(0,IFERROR(INDEX('2_IMPORTAR_EJECUCION'!$H$9:$H$1208,MATCH($AT386,'2_IMPORTAR_EJECUCION'!$J$9:$J$1208,0)),0)-$AK386))</f>
        <v/>
      </c>
      <c r="AM386" s="18">
        <f>IF($A386="","",$AK386+$AL386)</f>
        <v/>
      </c>
      <c r="AN386" s="5">
        <f>IF($A386="","",IF(OR((IFERROR(INDEX('CAT_ACTIVIDADES'!$D$4:$D$11,MATCH($H386,'CAT_ACTIVIDADES'!$A$4:$A$11,0)),""))=0,(IFERROR(INDEX('CAT_ACTIVIDADES'!$D$4:$D$11,MATCH($H386,'CAT_ACTIVIDADES'!$A$4:$A$11,0)),""))=""),"SIN CLASIFICAR",IFERROR(INDEX('CAT_ACTIVIDADES'!$D$4:$D$11,MATCH($H386,'CAT_ACTIVIDADES'!$A$4:$A$11,0)),"")))</f>
        <v/>
      </c>
      <c r="AO386" s="4" t="n"/>
      <c r="AP386" s="4" t="n"/>
      <c r="AQ386" s="4" t="n"/>
      <c r="AR386" s="5">
        <f>IF($AQ386="","",HYPERLINK(p_ruta_base_checklists&amp;$AQ386,"abrir"))</f>
        <v/>
      </c>
      <c r="AS386" s="4" t="n"/>
      <c r="AT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2" t="n"/>
      <c r="K387" s="5" t="n"/>
      <c r="L387" s="18" t="n"/>
      <c r="M387" s="5">
        <f>IF($A387="","",IFERROR(INDEX('AJUSTES'!$B$4:$B$303,MATCH($AT387,'AJUSTES'!$A$4:$A$303,0)),IF($K387="","",$K387)))</f>
        <v/>
      </c>
      <c r="N387" s="5">
        <f>IF($A387="","",IFERROR(INDEX('CAT_ESTADOS_ERP'!$B$4:$B$7,MATCH(IFERROR(INDEX('2_IMPORTAR_EJECUCION'!$C$9:$C$1208,MATCH($AT387,'2_IMPORTAR_EJECUCION'!$J$9:$J$1208,0)),""),'CAT_ESTADOS_ERP'!$A$4:$A$7,0)),"Pendiente"))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IF($J387="","",$P387&amp;"-"&amp;TEXT($Q387,"00"))</f>
        <v/>
      </c>
      <c r="S387" s="5">
        <f>IF($J387="","",INDEX(lista_dias,WEEKDAY($J387,2)))</f>
        <v/>
      </c>
      <c r="T387" s="5">
        <f>IF($J387="","",IFERROR(INDEX('CALENDARIO'!$C$15:$C$214,MATCH(TEXT($J387,"yyyy-mm-dd")&amp;"|"&amp;$X387&amp;"|"&amp;$Y387,'CALENDARIO'!$G$15:$G$214,0)),IFERROR(INDEX('CALENDARIO'!$C$15:$C$214,MATCH(TEXT($J387,"yyyy-mm-dd")&amp;"|"&amp;$X387&amp;"|",'CALENDARIO'!$G$15:$G$214,0)),IFERROR(INDEX('CALENDARIO'!$C$15:$C$214,MATCH(TEXT($J387,"yyyy-mm-dd")&amp;"||",'CALENDARIO'!$G$15:$G$214,0)),INDEX(patronHabil,WEEKDAY($J387,2))))))</f>
        <v/>
      </c>
      <c r="U387" s="5">
        <f>IF($I387="","",IFERROR(INDEX('CAT_TIPOS_OT'!$C$4:$C$8,MATCH($I387,'CAT_TIPOS_OT'!$A$4:$A$8,0)),"sin_clasificar"))</f>
        <v/>
      </c>
      <c r="V387" s="5">
        <f>IF($I387="","",IF(IFERROR(INDEX('CAT_TIPOS_OT'!$D$4:$D$8,MATCH($I387,'CAT_TIPOS_OT'!$A$4:$A$8,0)),"SIN CLASIFICAR")="","SIN CLASIFICAR",IFERROR(INDEX('CAT_TIPOS_OT'!$D$4:$D$8,MATCH($I387,'CAT_TIPOS_OT'!$A$4:$A$8,0)),"SIN CLASIFICAR")))</f>
        <v/>
      </c>
      <c r="W387" s="5">
        <f>IF($F387="","",IFERROR(INDEX('CAT_CENTROS_COSTO'!$F$4:$F$13,MATCH($F387,'CAT_CENTROS_COSTO'!$A$4:$A$13,0)),"(sin catálogo)"))</f>
        <v/>
      </c>
      <c r="X387" s="5">
        <f>IF($F387="","",IFERROR(INDEX('CAT_CENTROS_COSTO'!$D$4:$D$13,MATCH($F387,'CAT_CENTROS_COSTO'!$A$4:$A$13,0)),"(sin catálogo)"))</f>
        <v/>
      </c>
      <c r="Y387" s="5">
        <f>IF($F387="","",IF((IFERROR(INDEX('CAT_CENTROS_COSTO'!$E$4:$E$13,MATCH($F387,'CAT_CENTROS_COSTO'!$A$4:$A$13,0)),""))&lt;&gt;"",IFERROR(INDEX('CAT_CENTROS_COSTO'!$E$4:$E$13,MATCH($F387,'CAT_CENTROS_COSTO'!$A$4:$A$13,0)),""),$X387))</f>
        <v/>
      </c>
      <c r="Z387" s="5">
        <f>IF($F387="","",IFERROR(INDEX('CAT_CENTROS_COSTO'!$G$4:$G$13,MATCH($F387,'CAT_CENTROS_COSTO'!$A$4:$A$13,0)),"(sin catálogo)"))</f>
        <v/>
      </c>
      <c r="AA387" s="5">
        <f>IF($G387="","",IFERROR(INDEX('CAT_PUESTOS'!$B$4:$B$8,MATCH($G387,'CAT_PUESTOS'!$A$4:$A$8,0)),"(sin catálogo)"))</f>
        <v/>
      </c>
      <c r="AB387" s="5">
        <f>IF($H387="","",IFERROR(INDEX('CAT_ACTIVIDADES'!$B$4:$B$11,MATCH($H387,'CAT_ACTIVIDADES'!$A$4:$A$11,0)),"(sin catálogo)"))</f>
        <v/>
      </c>
      <c r="AC387" s="20">
        <f>IF($J387="","",TODAY()-$J387)</f>
        <v/>
      </c>
      <c r="AD387" s="20">
        <f>IF($J387="","",IF($J387&lt;=TODAY(),COUNTIFS(cal_fechas,"&gt;="&amp;$J387,cal_fechas,"&lt;"&amp;TODAY(),cal_habil,"sí"),-COUNTIFS(cal_fechas,"&gt;="&amp;TODAY(),cal_fechas,"&lt;"&amp;$J387,cal_habil,"sí")))</f>
        <v/>
      </c>
      <c r="AE387" s="5">
        <f>IF($AD387="","",IF($AD387&lt;0,"FUTURO",IF($AD387&gt;p_dias_backlog_max,"BACKLOG","MES CORRIENTE")))</f>
        <v/>
      </c>
      <c r="AF387" s="5">
        <f>IF($AD387="",FALSE,AND($AD387&gt;p_dias_backlog_min,$AD387&lt;=p_dias_backlog_max))</f>
        <v/>
      </c>
      <c r="AG387" s="4" t="n"/>
      <c r="AH387" s="5">
        <f>IF($AG387="","",IF((IFERROR(INDEX('ASIGNACIONES'!$J$4:$J$451,MATCH($O387&amp;"|"&amp;$S387&amp;"|"&amp;$AG387,'ASIGNACIONES'!$N$4:$N$451,0)),""))=0,"",IFERROR(INDEX('ASIGNACIONES'!$J$4:$J$451,MATCH($O387&amp;"|"&amp;$S387&amp;"|"&amp;$AG387,'ASIGNACIONES'!$N$4:$N$451,0)),"")))</f>
        <v/>
      </c>
      <c r="AI387" s="25">
        <f>IF($AG387="","",SUMIFS('ORDENES'!$M$4:$M$1203,'ORDENES'!$AG$4:$AG$1203,$AG387,'ORDENES'!$O$4:$O$1203,$O387,'ORDENES'!$S$4:$S$1203,$S387))</f>
        <v/>
      </c>
      <c r="AJ387" s="25">
        <f>IF($AI387="","",p_factor_productividad*IFERROR(INDEX('ASIGNACIONES'!$M$4:$M$451,MATCH($O387&amp;"|"&amp;$S387&amp;"|"&amp;$AG387,'ASIGNACIONES'!$N$4:$N$451,0)),0)-$AI387)</f>
        <v/>
      </c>
      <c r="AK387" s="18">
        <f>IF($A387="","",IFERROR(INDEX('2_IMPORTAR_EJECUCION'!$F$9:$F$1208,MATCH($AT387,'2_IMPORTAR_EJECUCION'!$J$9:$J$1208,0)),0))</f>
        <v/>
      </c>
      <c r="AL387" s="18">
        <f>IF($A387="","",MAX(0,IFERROR(INDEX('2_IMPORTAR_EJECUCION'!$H$9:$H$1208,MATCH($AT387,'2_IMPORTAR_EJECUCION'!$J$9:$J$1208,0)),0)-$AK387))</f>
        <v/>
      </c>
      <c r="AM387" s="18">
        <f>IF($A387="","",$AK387+$AL387)</f>
        <v/>
      </c>
      <c r="AN387" s="5">
        <f>IF($A387="","",IF(OR((IFERROR(INDEX('CAT_ACTIVIDADES'!$D$4:$D$11,MATCH($H387,'CAT_ACTIVIDADES'!$A$4:$A$11,0)),""))=0,(IFERROR(INDEX('CAT_ACTIVIDADES'!$D$4:$D$11,MATCH($H387,'CAT_ACTIVIDADES'!$A$4:$A$11,0)),""))=""),"SIN CLASIFICAR",IFERROR(INDEX('CAT_ACTIVIDADES'!$D$4:$D$11,MATCH($H387,'CAT_ACTIVIDADES'!$A$4:$A$11,0)),"")))</f>
        <v/>
      </c>
      <c r="AO387" s="4" t="n"/>
      <c r="AP387" s="4" t="n"/>
      <c r="AQ387" s="4" t="n"/>
      <c r="AR387" s="5">
        <f>IF($AQ387="","",HYPERLINK(p_ruta_base_checklists&amp;$AQ387,"abrir"))</f>
        <v/>
      </c>
      <c r="AS387" s="4" t="n"/>
      <c r="AT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2" t="n"/>
      <c r="K388" s="5" t="n"/>
      <c r="L388" s="18" t="n"/>
      <c r="M388" s="5">
        <f>IF($A388="","",IFERROR(INDEX('AJUSTES'!$B$4:$B$303,MATCH($AT388,'AJUSTES'!$A$4:$A$303,0)),IF($K388="","",$K388)))</f>
        <v/>
      </c>
      <c r="N388" s="5">
        <f>IF($A388="","",IFERROR(INDEX('CAT_ESTADOS_ERP'!$B$4:$B$7,MATCH(IFERROR(INDEX('2_IMPORTAR_EJECUCION'!$C$9:$C$1208,MATCH($AT388,'2_IMPORTAR_EJECUCION'!$J$9:$J$1208,0)),""),'CAT_ESTADOS_ERP'!$A$4:$A$7,0)),"Pendiente"))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IF($J388="","",$P388&amp;"-"&amp;TEXT($Q388,"00"))</f>
        <v/>
      </c>
      <c r="S388" s="5">
        <f>IF($J388="","",INDEX(lista_dias,WEEKDAY($J388,2)))</f>
        <v/>
      </c>
      <c r="T388" s="5">
        <f>IF($J388="","",IFERROR(INDEX('CALENDARIO'!$C$15:$C$214,MATCH(TEXT($J388,"yyyy-mm-dd")&amp;"|"&amp;$X388&amp;"|"&amp;$Y388,'CALENDARIO'!$G$15:$G$214,0)),IFERROR(INDEX('CALENDARIO'!$C$15:$C$214,MATCH(TEXT($J388,"yyyy-mm-dd")&amp;"|"&amp;$X388&amp;"|",'CALENDARIO'!$G$15:$G$214,0)),IFERROR(INDEX('CALENDARIO'!$C$15:$C$214,MATCH(TEXT($J388,"yyyy-mm-dd")&amp;"||",'CALENDARIO'!$G$15:$G$214,0)),INDEX(patronHabil,WEEKDAY($J388,2))))))</f>
        <v/>
      </c>
      <c r="U388" s="5">
        <f>IF($I388="","",IFERROR(INDEX('CAT_TIPOS_OT'!$C$4:$C$8,MATCH($I388,'CAT_TIPOS_OT'!$A$4:$A$8,0)),"sin_clasificar"))</f>
        <v/>
      </c>
      <c r="V388" s="5">
        <f>IF($I388="","",IF(IFERROR(INDEX('CAT_TIPOS_OT'!$D$4:$D$8,MATCH($I388,'CAT_TIPOS_OT'!$A$4:$A$8,0)),"SIN CLASIFICAR")="","SIN CLASIFICAR",IFERROR(INDEX('CAT_TIPOS_OT'!$D$4:$D$8,MATCH($I388,'CAT_TIPOS_OT'!$A$4:$A$8,0)),"SIN CLASIFICAR")))</f>
        <v/>
      </c>
      <c r="W388" s="5">
        <f>IF($F388="","",IFERROR(INDEX('CAT_CENTROS_COSTO'!$F$4:$F$13,MATCH($F388,'CAT_CENTROS_COSTO'!$A$4:$A$13,0)),"(sin catálogo)"))</f>
        <v/>
      </c>
      <c r="X388" s="5">
        <f>IF($F388="","",IFERROR(INDEX('CAT_CENTROS_COSTO'!$D$4:$D$13,MATCH($F388,'CAT_CENTROS_COSTO'!$A$4:$A$13,0)),"(sin catálogo)"))</f>
        <v/>
      </c>
      <c r="Y388" s="5">
        <f>IF($F388="","",IF((IFERROR(INDEX('CAT_CENTROS_COSTO'!$E$4:$E$13,MATCH($F388,'CAT_CENTROS_COSTO'!$A$4:$A$13,0)),""))&lt;&gt;"",IFERROR(INDEX('CAT_CENTROS_COSTO'!$E$4:$E$13,MATCH($F388,'CAT_CENTROS_COSTO'!$A$4:$A$13,0)),""),$X388))</f>
        <v/>
      </c>
      <c r="Z388" s="5">
        <f>IF($F388="","",IFERROR(INDEX('CAT_CENTROS_COSTO'!$G$4:$G$13,MATCH($F388,'CAT_CENTROS_COSTO'!$A$4:$A$13,0)),"(sin catálogo)"))</f>
        <v/>
      </c>
      <c r="AA388" s="5">
        <f>IF($G388="","",IFERROR(INDEX('CAT_PUESTOS'!$B$4:$B$8,MATCH($G388,'CAT_PUESTOS'!$A$4:$A$8,0)),"(sin catálogo)"))</f>
        <v/>
      </c>
      <c r="AB388" s="5">
        <f>IF($H388="","",IFERROR(INDEX('CAT_ACTIVIDADES'!$B$4:$B$11,MATCH($H388,'CAT_ACTIVIDADES'!$A$4:$A$11,0)),"(sin catálogo)"))</f>
        <v/>
      </c>
      <c r="AC388" s="20">
        <f>IF($J388="","",TODAY()-$J388)</f>
        <v/>
      </c>
      <c r="AD388" s="20">
        <f>IF($J388="","",IF($J388&lt;=TODAY(),COUNTIFS(cal_fechas,"&gt;="&amp;$J388,cal_fechas,"&lt;"&amp;TODAY(),cal_habil,"sí"),-COUNTIFS(cal_fechas,"&gt;="&amp;TODAY(),cal_fechas,"&lt;"&amp;$J388,cal_habil,"sí")))</f>
        <v/>
      </c>
      <c r="AE388" s="5">
        <f>IF($AD388="","",IF($AD388&lt;0,"FUTURO",IF($AD388&gt;p_dias_backlog_max,"BACKLOG","MES CORRIENTE")))</f>
        <v/>
      </c>
      <c r="AF388" s="5">
        <f>IF($AD388="",FALSE,AND($AD388&gt;p_dias_backlog_min,$AD388&lt;=p_dias_backlog_max))</f>
        <v/>
      </c>
      <c r="AG388" s="4" t="n"/>
      <c r="AH388" s="5">
        <f>IF($AG388="","",IF((IFERROR(INDEX('ASIGNACIONES'!$J$4:$J$451,MATCH($O388&amp;"|"&amp;$S388&amp;"|"&amp;$AG388,'ASIGNACIONES'!$N$4:$N$451,0)),""))=0,"",IFERROR(INDEX('ASIGNACIONES'!$J$4:$J$451,MATCH($O388&amp;"|"&amp;$S388&amp;"|"&amp;$AG388,'ASIGNACIONES'!$N$4:$N$451,0)),"")))</f>
        <v/>
      </c>
      <c r="AI388" s="25">
        <f>IF($AG388="","",SUMIFS('ORDENES'!$M$4:$M$1203,'ORDENES'!$AG$4:$AG$1203,$AG388,'ORDENES'!$O$4:$O$1203,$O388,'ORDENES'!$S$4:$S$1203,$S388))</f>
        <v/>
      </c>
      <c r="AJ388" s="25">
        <f>IF($AI388="","",p_factor_productividad*IFERROR(INDEX('ASIGNACIONES'!$M$4:$M$451,MATCH($O388&amp;"|"&amp;$S388&amp;"|"&amp;$AG388,'ASIGNACIONES'!$N$4:$N$451,0)),0)-$AI388)</f>
        <v/>
      </c>
      <c r="AK388" s="18">
        <f>IF($A388="","",IFERROR(INDEX('2_IMPORTAR_EJECUCION'!$F$9:$F$1208,MATCH($AT388,'2_IMPORTAR_EJECUCION'!$J$9:$J$1208,0)),0))</f>
        <v/>
      </c>
      <c r="AL388" s="18">
        <f>IF($A388="","",MAX(0,IFERROR(INDEX('2_IMPORTAR_EJECUCION'!$H$9:$H$1208,MATCH($AT388,'2_IMPORTAR_EJECUCION'!$J$9:$J$1208,0)),0)-$AK388))</f>
        <v/>
      </c>
      <c r="AM388" s="18">
        <f>IF($A388="","",$AK388+$AL388)</f>
        <v/>
      </c>
      <c r="AN388" s="5">
        <f>IF($A388="","",IF(OR((IFERROR(INDEX('CAT_ACTIVIDADES'!$D$4:$D$11,MATCH($H388,'CAT_ACTIVIDADES'!$A$4:$A$11,0)),""))=0,(IFERROR(INDEX('CAT_ACTIVIDADES'!$D$4:$D$11,MATCH($H388,'CAT_ACTIVIDADES'!$A$4:$A$11,0)),""))=""),"SIN CLASIFICAR",IFERROR(INDEX('CAT_ACTIVIDADES'!$D$4:$D$11,MATCH($H388,'CAT_ACTIVIDADES'!$A$4:$A$11,0)),"")))</f>
        <v/>
      </c>
      <c r="AO388" s="4" t="n"/>
      <c r="AP388" s="4" t="n"/>
      <c r="AQ388" s="4" t="n"/>
      <c r="AR388" s="5">
        <f>IF($AQ388="","",HYPERLINK(p_ruta_base_checklists&amp;$AQ388,"abrir"))</f>
        <v/>
      </c>
      <c r="AS388" s="4" t="n"/>
      <c r="AT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2" t="n"/>
      <c r="K389" s="5" t="n"/>
      <c r="L389" s="18" t="n"/>
      <c r="M389" s="5">
        <f>IF($A389="","",IFERROR(INDEX('AJUSTES'!$B$4:$B$303,MATCH($AT389,'AJUSTES'!$A$4:$A$303,0)),IF($K389="","",$K389)))</f>
        <v/>
      </c>
      <c r="N389" s="5">
        <f>IF($A389="","",IFERROR(INDEX('CAT_ESTADOS_ERP'!$B$4:$B$7,MATCH(IFERROR(INDEX('2_IMPORTAR_EJECUCION'!$C$9:$C$1208,MATCH($AT389,'2_IMPORTAR_EJECUCION'!$J$9:$J$1208,0)),""),'CAT_ESTADOS_ERP'!$A$4:$A$7,0)),"Pendiente"))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IF($J389="","",$P389&amp;"-"&amp;TEXT($Q389,"00"))</f>
        <v/>
      </c>
      <c r="S389" s="5">
        <f>IF($J389="","",INDEX(lista_dias,WEEKDAY($J389,2)))</f>
        <v/>
      </c>
      <c r="T389" s="5">
        <f>IF($J389="","",IFERROR(INDEX('CALENDARIO'!$C$15:$C$214,MATCH(TEXT($J389,"yyyy-mm-dd")&amp;"|"&amp;$X389&amp;"|"&amp;$Y389,'CALENDARIO'!$G$15:$G$214,0)),IFERROR(INDEX('CALENDARIO'!$C$15:$C$214,MATCH(TEXT($J389,"yyyy-mm-dd")&amp;"|"&amp;$X389&amp;"|",'CALENDARIO'!$G$15:$G$214,0)),IFERROR(INDEX('CALENDARIO'!$C$15:$C$214,MATCH(TEXT($J389,"yyyy-mm-dd")&amp;"||",'CALENDARIO'!$G$15:$G$214,0)),INDEX(patronHabil,WEEKDAY($J389,2))))))</f>
        <v/>
      </c>
      <c r="U389" s="5">
        <f>IF($I389="","",IFERROR(INDEX('CAT_TIPOS_OT'!$C$4:$C$8,MATCH($I389,'CAT_TIPOS_OT'!$A$4:$A$8,0)),"sin_clasificar"))</f>
        <v/>
      </c>
      <c r="V389" s="5">
        <f>IF($I389="","",IF(IFERROR(INDEX('CAT_TIPOS_OT'!$D$4:$D$8,MATCH($I389,'CAT_TIPOS_OT'!$A$4:$A$8,0)),"SIN CLASIFICAR")="","SIN CLASIFICAR",IFERROR(INDEX('CAT_TIPOS_OT'!$D$4:$D$8,MATCH($I389,'CAT_TIPOS_OT'!$A$4:$A$8,0)),"SIN CLASIFICAR")))</f>
        <v/>
      </c>
      <c r="W389" s="5">
        <f>IF($F389="","",IFERROR(INDEX('CAT_CENTROS_COSTO'!$F$4:$F$13,MATCH($F389,'CAT_CENTROS_COSTO'!$A$4:$A$13,0)),"(sin catálogo)"))</f>
        <v/>
      </c>
      <c r="X389" s="5">
        <f>IF($F389="","",IFERROR(INDEX('CAT_CENTROS_COSTO'!$D$4:$D$13,MATCH($F389,'CAT_CENTROS_COSTO'!$A$4:$A$13,0)),"(sin catálogo)"))</f>
        <v/>
      </c>
      <c r="Y389" s="5">
        <f>IF($F389="","",IF((IFERROR(INDEX('CAT_CENTROS_COSTO'!$E$4:$E$13,MATCH($F389,'CAT_CENTROS_COSTO'!$A$4:$A$13,0)),""))&lt;&gt;"",IFERROR(INDEX('CAT_CENTROS_COSTO'!$E$4:$E$13,MATCH($F389,'CAT_CENTROS_COSTO'!$A$4:$A$13,0)),""),$X389))</f>
        <v/>
      </c>
      <c r="Z389" s="5">
        <f>IF($F389="","",IFERROR(INDEX('CAT_CENTROS_COSTO'!$G$4:$G$13,MATCH($F389,'CAT_CENTROS_COSTO'!$A$4:$A$13,0)),"(sin catálogo)"))</f>
        <v/>
      </c>
      <c r="AA389" s="5">
        <f>IF($G389="","",IFERROR(INDEX('CAT_PUESTOS'!$B$4:$B$8,MATCH($G389,'CAT_PUESTOS'!$A$4:$A$8,0)),"(sin catálogo)"))</f>
        <v/>
      </c>
      <c r="AB389" s="5">
        <f>IF($H389="","",IFERROR(INDEX('CAT_ACTIVIDADES'!$B$4:$B$11,MATCH($H389,'CAT_ACTIVIDADES'!$A$4:$A$11,0)),"(sin catálogo)"))</f>
        <v/>
      </c>
      <c r="AC389" s="20">
        <f>IF($J389="","",TODAY()-$J389)</f>
        <v/>
      </c>
      <c r="AD389" s="20">
        <f>IF($J389="","",IF($J389&lt;=TODAY(),COUNTIFS(cal_fechas,"&gt;="&amp;$J389,cal_fechas,"&lt;"&amp;TODAY(),cal_habil,"sí"),-COUNTIFS(cal_fechas,"&gt;="&amp;TODAY(),cal_fechas,"&lt;"&amp;$J389,cal_habil,"sí")))</f>
        <v/>
      </c>
      <c r="AE389" s="5">
        <f>IF($AD389="","",IF($AD389&lt;0,"FUTURO",IF($AD389&gt;p_dias_backlog_max,"BACKLOG","MES CORRIENTE")))</f>
        <v/>
      </c>
      <c r="AF389" s="5">
        <f>IF($AD389="",FALSE,AND($AD389&gt;p_dias_backlog_min,$AD389&lt;=p_dias_backlog_max))</f>
        <v/>
      </c>
      <c r="AG389" s="4" t="n"/>
      <c r="AH389" s="5">
        <f>IF($AG389="","",IF((IFERROR(INDEX('ASIGNACIONES'!$J$4:$J$451,MATCH($O389&amp;"|"&amp;$S389&amp;"|"&amp;$AG389,'ASIGNACIONES'!$N$4:$N$451,0)),""))=0,"",IFERROR(INDEX('ASIGNACIONES'!$J$4:$J$451,MATCH($O389&amp;"|"&amp;$S389&amp;"|"&amp;$AG389,'ASIGNACIONES'!$N$4:$N$451,0)),"")))</f>
        <v/>
      </c>
      <c r="AI389" s="25">
        <f>IF($AG389="","",SUMIFS('ORDENES'!$M$4:$M$1203,'ORDENES'!$AG$4:$AG$1203,$AG389,'ORDENES'!$O$4:$O$1203,$O389,'ORDENES'!$S$4:$S$1203,$S389))</f>
        <v/>
      </c>
      <c r="AJ389" s="25">
        <f>IF($AI389="","",p_factor_productividad*IFERROR(INDEX('ASIGNACIONES'!$M$4:$M$451,MATCH($O389&amp;"|"&amp;$S389&amp;"|"&amp;$AG389,'ASIGNACIONES'!$N$4:$N$451,0)),0)-$AI389)</f>
        <v/>
      </c>
      <c r="AK389" s="18">
        <f>IF($A389="","",IFERROR(INDEX('2_IMPORTAR_EJECUCION'!$F$9:$F$1208,MATCH($AT389,'2_IMPORTAR_EJECUCION'!$J$9:$J$1208,0)),0))</f>
        <v/>
      </c>
      <c r="AL389" s="18">
        <f>IF($A389="","",MAX(0,IFERROR(INDEX('2_IMPORTAR_EJECUCION'!$H$9:$H$1208,MATCH($AT389,'2_IMPORTAR_EJECUCION'!$J$9:$J$1208,0)),0)-$AK389))</f>
        <v/>
      </c>
      <c r="AM389" s="18">
        <f>IF($A389="","",$AK389+$AL389)</f>
        <v/>
      </c>
      <c r="AN389" s="5">
        <f>IF($A389="","",IF(OR((IFERROR(INDEX('CAT_ACTIVIDADES'!$D$4:$D$11,MATCH($H389,'CAT_ACTIVIDADES'!$A$4:$A$11,0)),""))=0,(IFERROR(INDEX('CAT_ACTIVIDADES'!$D$4:$D$11,MATCH($H389,'CAT_ACTIVIDADES'!$A$4:$A$11,0)),""))=""),"SIN CLASIFICAR",IFERROR(INDEX('CAT_ACTIVIDADES'!$D$4:$D$11,MATCH($H389,'CAT_ACTIVIDADES'!$A$4:$A$11,0)),"")))</f>
        <v/>
      </c>
      <c r="AO389" s="4" t="n"/>
      <c r="AP389" s="4" t="n"/>
      <c r="AQ389" s="4" t="n"/>
      <c r="AR389" s="5">
        <f>IF($AQ389="","",HYPERLINK(p_ruta_base_checklists&amp;$AQ389,"abrir"))</f>
        <v/>
      </c>
      <c r="AS389" s="4" t="n"/>
      <c r="AT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2" t="n"/>
      <c r="K390" s="5" t="n"/>
      <c r="L390" s="18" t="n"/>
      <c r="M390" s="5">
        <f>IF($A390="","",IFERROR(INDEX('AJUSTES'!$B$4:$B$303,MATCH($AT390,'AJUSTES'!$A$4:$A$303,0)),IF($K390="","",$K390)))</f>
        <v/>
      </c>
      <c r="N390" s="5">
        <f>IF($A390="","",IFERROR(INDEX('CAT_ESTADOS_ERP'!$B$4:$B$7,MATCH(IFERROR(INDEX('2_IMPORTAR_EJECUCION'!$C$9:$C$1208,MATCH($AT390,'2_IMPORTAR_EJECUCION'!$J$9:$J$1208,0)),""),'CAT_ESTADOS_ERP'!$A$4:$A$7,0)),"Pendiente"))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IF($J390="","",$P390&amp;"-"&amp;TEXT($Q390,"00"))</f>
        <v/>
      </c>
      <c r="S390" s="5">
        <f>IF($J390="","",INDEX(lista_dias,WEEKDAY($J390,2)))</f>
        <v/>
      </c>
      <c r="T390" s="5">
        <f>IF($J390="","",IFERROR(INDEX('CALENDARIO'!$C$15:$C$214,MATCH(TEXT($J390,"yyyy-mm-dd")&amp;"|"&amp;$X390&amp;"|"&amp;$Y390,'CALENDARIO'!$G$15:$G$214,0)),IFERROR(INDEX('CALENDARIO'!$C$15:$C$214,MATCH(TEXT($J390,"yyyy-mm-dd")&amp;"|"&amp;$X390&amp;"|",'CALENDARIO'!$G$15:$G$214,0)),IFERROR(INDEX('CALENDARIO'!$C$15:$C$214,MATCH(TEXT($J390,"yyyy-mm-dd")&amp;"||",'CALENDARIO'!$G$15:$G$214,0)),INDEX(patronHabil,WEEKDAY($J390,2))))))</f>
        <v/>
      </c>
      <c r="U390" s="5">
        <f>IF($I390="","",IFERROR(INDEX('CAT_TIPOS_OT'!$C$4:$C$8,MATCH($I390,'CAT_TIPOS_OT'!$A$4:$A$8,0)),"sin_clasificar"))</f>
        <v/>
      </c>
      <c r="V390" s="5">
        <f>IF($I390="","",IF(IFERROR(INDEX('CAT_TIPOS_OT'!$D$4:$D$8,MATCH($I390,'CAT_TIPOS_OT'!$A$4:$A$8,0)),"SIN CLASIFICAR")="","SIN CLASIFICAR",IFERROR(INDEX('CAT_TIPOS_OT'!$D$4:$D$8,MATCH($I390,'CAT_TIPOS_OT'!$A$4:$A$8,0)),"SIN CLASIFICAR")))</f>
        <v/>
      </c>
      <c r="W390" s="5">
        <f>IF($F390="","",IFERROR(INDEX('CAT_CENTROS_COSTO'!$F$4:$F$13,MATCH($F390,'CAT_CENTROS_COSTO'!$A$4:$A$13,0)),"(sin catálogo)"))</f>
        <v/>
      </c>
      <c r="X390" s="5">
        <f>IF($F390="","",IFERROR(INDEX('CAT_CENTROS_COSTO'!$D$4:$D$13,MATCH($F390,'CAT_CENTROS_COSTO'!$A$4:$A$13,0)),"(sin catálogo)"))</f>
        <v/>
      </c>
      <c r="Y390" s="5">
        <f>IF($F390="","",IF((IFERROR(INDEX('CAT_CENTROS_COSTO'!$E$4:$E$13,MATCH($F390,'CAT_CENTROS_COSTO'!$A$4:$A$13,0)),""))&lt;&gt;"",IFERROR(INDEX('CAT_CENTROS_COSTO'!$E$4:$E$13,MATCH($F390,'CAT_CENTROS_COSTO'!$A$4:$A$13,0)),""),$X390))</f>
        <v/>
      </c>
      <c r="Z390" s="5">
        <f>IF($F390="","",IFERROR(INDEX('CAT_CENTROS_COSTO'!$G$4:$G$13,MATCH($F390,'CAT_CENTROS_COSTO'!$A$4:$A$13,0)),"(sin catálogo)"))</f>
        <v/>
      </c>
      <c r="AA390" s="5">
        <f>IF($G390="","",IFERROR(INDEX('CAT_PUESTOS'!$B$4:$B$8,MATCH($G390,'CAT_PUESTOS'!$A$4:$A$8,0)),"(sin catálogo)"))</f>
        <v/>
      </c>
      <c r="AB390" s="5">
        <f>IF($H390="","",IFERROR(INDEX('CAT_ACTIVIDADES'!$B$4:$B$11,MATCH($H390,'CAT_ACTIVIDADES'!$A$4:$A$11,0)),"(sin catálogo)"))</f>
        <v/>
      </c>
      <c r="AC390" s="20">
        <f>IF($J390="","",TODAY()-$J390)</f>
        <v/>
      </c>
      <c r="AD390" s="20">
        <f>IF($J390="","",IF($J390&lt;=TODAY(),COUNTIFS(cal_fechas,"&gt;="&amp;$J390,cal_fechas,"&lt;"&amp;TODAY(),cal_habil,"sí"),-COUNTIFS(cal_fechas,"&gt;="&amp;TODAY(),cal_fechas,"&lt;"&amp;$J390,cal_habil,"sí")))</f>
        <v/>
      </c>
      <c r="AE390" s="5">
        <f>IF($AD390="","",IF($AD390&lt;0,"FUTURO",IF($AD390&gt;p_dias_backlog_max,"BACKLOG","MES CORRIENTE")))</f>
        <v/>
      </c>
      <c r="AF390" s="5">
        <f>IF($AD390="",FALSE,AND($AD390&gt;p_dias_backlog_min,$AD390&lt;=p_dias_backlog_max))</f>
        <v/>
      </c>
      <c r="AG390" s="4" t="n"/>
      <c r="AH390" s="5">
        <f>IF($AG390="","",IF((IFERROR(INDEX('ASIGNACIONES'!$J$4:$J$451,MATCH($O390&amp;"|"&amp;$S390&amp;"|"&amp;$AG390,'ASIGNACIONES'!$N$4:$N$451,0)),""))=0,"",IFERROR(INDEX('ASIGNACIONES'!$J$4:$J$451,MATCH($O390&amp;"|"&amp;$S390&amp;"|"&amp;$AG390,'ASIGNACIONES'!$N$4:$N$451,0)),"")))</f>
        <v/>
      </c>
      <c r="AI390" s="25">
        <f>IF($AG390="","",SUMIFS('ORDENES'!$M$4:$M$1203,'ORDENES'!$AG$4:$AG$1203,$AG390,'ORDENES'!$O$4:$O$1203,$O390,'ORDENES'!$S$4:$S$1203,$S390))</f>
        <v/>
      </c>
      <c r="AJ390" s="25">
        <f>IF($AI390="","",p_factor_productividad*IFERROR(INDEX('ASIGNACIONES'!$M$4:$M$451,MATCH($O390&amp;"|"&amp;$S390&amp;"|"&amp;$AG390,'ASIGNACIONES'!$N$4:$N$451,0)),0)-$AI390)</f>
        <v/>
      </c>
      <c r="AK390" s="18">
        <f>IF($A390="","",IFERROR(INDEX('2_IMPORTAR_EJECUCION'!$F$9:$F$1208,MATCH($AT390,'2_IMPORTAR_EJECUCION'!$J$9:$J$1208,0)),0))</f>
        <v/>
      </c>
      <c r="AL390" s="18">
        <f>IF($A390="","",MAX(0,IFERROR(INDEX('2_IMPORTAR_EJECUCION'!$H$9:$H$1208,MATCH($AT390,'2_IMPORTAR_EJECUCION'!$J$9:$J$1208,0)),0)-$AK390))</f>
        <v/>
      </c>
      <c r="AM390" s="18">
        <f>IF($A390="","",$AK390+$AL390)</f>
        <v/>
      </c>
      <c r="AN390" s="5">
        <f>IF($A390="","",IF(OR((IFERROR(INDEX('CAT_ACTIVIDADES'!$D$4:$D$11,MATCH($H390,'CAT_ACTIVIDADES'!$A$4:$A$11,0)),""))=0,(IFERROR(INDEX('CAT_ACTIVIDADES'!$D$4:$D$11,MATCH($H390,'CAT_ACTIVIDADES'!$A$4:$A$11,0)),""))=""),"SIN CLASIFICAR",IFERROR(INDEX('CAT_ACTIVIDADES'!$D$4:$D$11,MATCH($H390,'CAT_ACTIVIDADES'!$A$4:$A$11,0)),"")))</f>
        <v/>
      </c>
      <c r="AO390" s="4" t="n"/>
      <c r="AP390" s="4" t="n"/>
      <c r="AQ390" s="4" t="n"/>
      <c r="AR390" s="5">
        <f>IF($AQ390="","",HYPERLINK(p_ruta_base_checklists&amp;$AQ390,"abrir"))</f>
        <v/>
      </c>
      <c r="AS390" s="4" t="n"/>
      <c r="AT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2" t="n"/>
      <c r="K391" s="5" t="n"/>
      <c r="L391" s="18" t="n"/>
      <c r="M391" s="5">
        <f>IF($A391="","",IFERROR(INDEX('AJUSTES'!$B$4:$B$303,MATCH($AT391,'AJUSTES'!$A$4:$A$303,0)),IF($K391="","",$K391)))</f>
        <v/>
      </c>
      <c r="N391" s="5">
        <f>IF($A391="","",IFERROR(INDEX('CAT_ESTADOS_ERP'!$B$4:$B$7,MATCH(IFERROR(INDEX('2_IMPORTAR_EJECUCION'!$C$9:$C$1208,MATCH($AT391,'2_IMPORTAR_EJECUCION'!$J$9:$J$1208,0)),""),'CAT_ESTADOS_ERP'!$A$4:$A$7,0)),"Pendiente"))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IF($J391="","",$P391&amp;"-"&amp;TEXT($Q391,"00"))</f>
        <v/>
      </c>
      <c r="S391" s="5">
        <f>IF($J391="","",INDEX(lista_dias,WEEKDAY($J391,2)))</f>
        <v/>
      </c>
      <c r="T391" s="5">
        <f>IF($J391="","",IFERROR(INDEX('CALENDARIO'!$C$15:$C$214,MATCH(TEXT($J391,"yyyy-mm-dd")&amp;"|"&amp;$X391&amp;"|"&amp;$Y391,'CALENDARIO'!$G$15:$G$214,0)),IFERROR(INDEX('CALENDARIO'!$C$15:$C$214,MATCH(TEXT($J391,"yyyy-mm-dd")&amp;"|"&amp;$X391&amp;"|",'CALENDARIO'!$G$15:$G$214,0)),IFERROR(INDEX('CALENDARIO'!$C$15:$C$214,MATCH(TEXT($J391,"yyyy-mm-dd")&amp;"||",'CALENDARIO'!$G$15:$G$214,0)),INDEX(patronHabil,WEEKDAY($J391,2))))))</f>
        <v/>
      </c>
      <c r="U391" s="5">
        <f>IF($I391="","",IFERROR(INDEX('CAT_TIPOS_OT'!$C$4:$C$8,MATCH($I391,'CAT_TIPOS_OT'!$A$4:$A$8,0)),"sin_clasificar"))</f>
        <v/>
      </c>
      <c r="V391" s="5">
        <f>IF($I391="","",IF(IFERROR(INDEX('CAT_TIPOS_OT'!$D$4:$D$8,MATCH($I391,'CAT_TIPOS_OT'!$A$4:$A$8,0)),"SIN CLASIFICAR")="","SIN CLASIFICAR",IFERROR(INDEX('CAT_TIPOS_OT'!$D$4:$D$8,MATCH($I391,'CAT_TIPOS_OT'!$A$4:$A$8,0)),"SIN CLASIFICAR")))</f>
        <v/>
      </c>
      <c r="W391" s="5">
        <f>IF($F391="","",IFERROR(INDEX('CAT_CENTROS_COSTO'!$F$4:$F$13,MATCH($F391,'CAT_CENTROS_COSTO'!$A$4:$A$13,0)),"(sin catálogo)"))</f>
        <v/>
      </c>
      <c r="X391" s="5">
        <f>IF($F391="","",IFERROR(INDEX('CAT_CENTROS_COSTO'!$D$4:$D$13,MATCH($F391,'CAT_CENTROS_COSTO'!$A$4:$A$13,0)),"(sin catálogo)"))</f>
        <v/>
      </c>
      <c r="Y391" s="5">
        <f>IF($F391="","",IF((IFERROR(INDEX('CAT_CENTROS_COSTO'!$E$4:$E$13,MATCH($F391,'CAT_CENTROS_COSTO'!$A$4:$A$13,0)),""))&lt;&gt;"",IFERROR(INDEX('CAT_CENTROS_COSTO'!$E$4:$E$13,MATCH($F391,'CAT_CENTROS_COSTO'!$A$4:$A$13,0)),""),$X391))</f>
        <v/>
      </c>
      <c r="Z391" s="5">
        <f>IF($F391="","",IFERROR(INDEX('CAT_CENTROS_COSTO'!$G$4:$G$13,MATCH($F391,'CAT_CENTROS_COSTO'!$A$4:$A$13,0)),"(sin catálogo)"))</f>
        <v/>
      </c>
      <c r="AA391" s="5">
        <f>IF($G391="","",IFERROR(INDEX('CAT_PUESTOS'!$B$4:$B$8,MATCH($G391,'CAT_PUESTOS'!$A$4:$A$8,0)),"(sin catálogo)"))</f>
        <v/>
      </c>
      <c r="AB391" s="5">
        <f>IF($H391="","",IFERROR(INDEX('CAT_ACTIVIDADES'!$B$4:$B$11,MATCH($H391,'CAT_ACTIVIDADES'!$A$4:$A$11,0)),"(sin catálogo)"))</f>
        <v/>
      </c>
      <c r="AC391" s="20">
        <f>IF($J391="","",TODAY()-$J391)</f>
        <v/>
      </c>
      <c r="AD391" s="20">
        <f>IF($J391="","",IF($J391&lt;=TODAY(),COUNTIFS(cal_fechas,"&gt;="&amp;$J391,cal_fechas,"&lt;"&amp;TODAY(),cal_habil,"sí"),-COUNTIFS(cal_fechas,"&gt;="&amp;TODAY(),cal_fechas,"&lt;"&amp;$J391,cal_habil,"sí")))</f>
        <v/>
      </c>
      <c r="AE391" s="5">
        <f>IF($AD391="","",IF($AD391&lt;0,"FUTURO",IF($AD391&gt;p_dias_backlog_max,"BACKLOG","MES CORRIENTE")))</f>
        <v/>
      </c>
      <c r="AF391" s="5">
        <f>IF($AD391="",FALSE,AND($AD391&gt;p_dias_backlog_min,$AD391&lt;=p_dias_backlog_max))</f>
        <v/>
      </c>
      <c r="AG391" s="4" t="n"/>
      <c r="AH391" s="5">
        <f>IF($AG391="","",IF((IFERROR(INDEX('ASIGNACIONES'!$J$4:$J$451,MATCH($O391&amp;"|"&amp;$S391&amp;"|"&amp;$AG391,'ASIGNACIONES'!$N$4:$N$451,0)),""))=0,"",IFERROR(INDEX('ASIGNACIONES'!$J$4:$J$451,MATCH($O391&amp;"|"&amp;$S391&amp;"|"&amp;$AG391,'ASIGNACIONES'!$N$4:$N$451,0)),"")))</f>
        <v/>
      </c>
      <c r="AI391" s="25">
        <f>IF($AG391="","",SUMIFS('ORDENES'!$M$4:$M$1203,'ORDENES'!$AG$4:$AG$1203,$AG391,'ORDENES'!$O$4:$O$1203,$O391,'ORDENES'!$S$4:$S$1203,$S391))</f>
        <v/>
      </c>
      <c r="AJ391" s="25">
        <f>IF($AI391="","",p_factor_productividad*IFERROR(INDEX('ASIGNACIONES'!$M$4:$M$451,MATCH($O391&amp;"|"&amp;$S391&amp;"|"&amp;$AG391,'ASIGNACIONES'!$N$4:$N$451,0)),0)-$AI391)</f>
        <v/>
      </c>
      <c r="AK391" s="18">
        <f>IF($A391="","",IFERROR(INDEX('2_IMPORTAR_EJECUCION'!$F$9:$F$1208,MATCH($AT391,'2_IMPORTAR_EJECUCION'!$J$9:$J$1208,0)),0))</f>
        <v/>
      </c>
      <c r="AL391" s="18">
        <f>IF($A391="","",MAX(0,IFERROR(INDEX('2_IMPORTAR_EJECUCION'!$H$9:$H$1208,MATCH($AT391,'2_IMPORTAR_EJECUCION'!$J$9:$J$1208,0)),0)-$AK391))</f>
        <v/>
      </c>
      <c r="AM391" s="18">
        <f>IF($A391="","",$AK391+$AL391)</f>
        <v/>
      </c>
      <c r="AN391" s="5">
        <f>IF($A391="","",IF(OR((IFERROR(INDEX('CAT_ACTIVIDADES'!$D$4:$D$11,MATCH($H391,'CAT_ACTIVIDADES'!$A$4:$A$11,0)),""))=0,(IFERROR(INDEX('CAT_ACTIVIDADES'!$D$4:$D$11,MATCH($H391,'CAT_ACTIVIDADES'!$A$4:$A$11,0)),""))=""),"SIN CLASIFICAR",IFERROR(INDEX('CAT_ACTIVIDADES'!$D$4:$D$11,MATCH($H391,'CAT_ACTIVIDADES'!$A$4:$A$11,0)),"")))</f>
        <v/>
      </c>
      <c r="AO391" s="4" t="n"/>
      <c r="AP391" s="4" t="n"/>
      <c r="AQ391" s="4" t="n"/>
      <c r="AR391" s="5">
        <f>IF($AQ391="","",HYPERLINK(p_ruta_base_checklists&amp;$AQ391,"abrir"))</f>
        <v/>
      </c>
      <c r="AS391" s="4" t="n"/>
      <c r="AT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2" t="n"/>
      <c r="K392" s="5" t="n"/>
      <c r="L392" s="18" t="n"/>
      <c r="M392" s="5">
        <f>IF($A392="","",IFERROR(INDEX('AJUSTES'!$B$4:$B$303,MATCH($AT392,'AJUSTES'!$A$4:$A$303,0)),IF($K392="","",$K392)))</f>
        <v/>
      </c>
      <c r="N392" s="5">
        <f>IF($A392="","",IFERROR(INDEX('CAT_ESTADOS_ERP'!$B$4:$B$7,MATCH(IFERROR(INDEX('2_IMPORTAR_EJECUCION'!$C$9:$C$1208,MATCH($AT392,'2_IMPORTAR_EJECUCION'!$J$9:$J$1208,0)),""),'CAT_ESTADOS_ERP'!$A$4:$A$7,0)),"Pendiente"))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IF($J392="","",$P392&amp;"-"&amp;TEXT($Q392,"00"))</f>
        <v/>
      </c>
      <c r="S392" s="5">
        <f>IF($J392="","",INDEX(lista_dias,WEEKDAY($J392,2)))</f>
        <v/>
      </c>
      <c r="T392" s="5">
        <f>IF($J392="","",IFERROR(INDEX('CALENDARIO'!$C$15:$C$214,MATCH(TEXT($J392,"yyyy-mm-dd")&amp;"|"&amp;$X392&amp;"|"&amp;$Y392,'CALENDARIO'!$G$15:$G$214,0)),IFERROR(INDEX('CALENDARIO'!$C$15:$C$214,MATCH(TEXT($J392,"yyyy-mm-dd")&amp;"|"&amp;$X392&amp;"|",'CALENDARIO'!$G$15:$G$214,0)),IFERROR(INDEX('CALENDARIO'!$C$15:$C$214,MATCH(TEXT($J392,"yyyy-mm-dd")&amp;"||",'CALENDARIO'!$G$15:$G$214,0)),INDEX(patronHabil,WEEKDAY($J392,2))))))</f>
        <v/>
      </c>
      <c r="U392" s="5">
        <f>IF($I392="","",IFERROR(INDEX('CAT_TIPOS_OT'!$C$4:$C$8,MATCH($I392,'CAT_TIPOS_OT'!$A$4:$A$8,0)),"sin_clasificar"))</f>
        <v/>
      </c>
      <c r="V392" s="5">
        <f>IF($I392="","",IF(IFERROR(INDEX('CAT_TIPOS_OT'!$D$4:$D$8,MATCH($I392,'CAT_TIPOS_OT'!$A$4:$A$8,0)),"SIN CLASIFICAR")="","SIN CLASIFICAR",IFERROR(INDEX('CAT_TIPOS_OT'!$D$4:$D$8,MATCH($I392,'CAT_TIPOS_OT'!$A$4:$A$8,0)),"SIN CLASIFICAR")))</f>
        <v/>
      </c>
      <c r="W392" s="5">
        <f>IF($F392="","",IFERROR(INDEX('CAT_CENTROS_COSTO'!$F$4:$F$13,MATCH($F392,'CAT_CENTROS_COSTO'!$A$4:$A$13,0)),"(sin catálogo)"))</f>
        <v/>
      </c>
      <c r="X392" s="5">
        <f>IF($F392="","",IFERROR(INDEX('CAT_CENTROS_COSTO'!$D$4:$D$13,MATCH($F392,'CAT_CENTROS_COSTO'!$A$4:$A$13,0)),"(sin catálogo)"))</f>
        <v/>
      </c>
      <c r="Y392" s="5">
        <f>IF($F392="","",IF((IFERROR(INDEX('CAT_CENTROS_COSTO'!$E$4:$E$13,MATCH($F392,'CAT_CENTROS_COSTO'!$A$4:$A$13,0)),""))&lt;&gt;"",IFERROR(INDEX('CAT_CENTROS_COSTO'!$E$4:$E$13,MATCH($F392,'CAT_CENTROS_COSTO'!$A$4:$A$13,0)),""),$X392))</f>
        <v/>
      </c>
      <c r="Z392" s="5">
        <f>IF($F392="","",IFERROR(INDEX('CAT_CENTROS_COSTO'!$G$4:$G$13,MATCH($F392,'CAT_CENTROS_COSTO'!$A$4:$A$13,0)),"(sin catálogo)"))</f>
        <v/>
      </c>
      <c r="AA392" s="5">
        <f>IF($G392="","",IFERROR(INDEX('CAT_PUESTOS'!$B$4:$B$8,MATCH($G392,'CAT_PUESTOS'!$A$4:$A$8,0)),"(sin catálogo)"))</f>
        <v/>
      </c>
      <c r="AB392" s="5">
        <f>IF($H392="","",IFERROR(INDEX('CAT_ACTIVIDADES'!$B$4:$B$11,MATCH($H392,'CAT_ACTIVIDADES'!$A$4:$A$11,0)),"(sin catálogo)"))</f>
        <v/>
      </c>
      <c r="AC392" s="20">
        <f>IF($J392="","",TODAY()-$J392)</f>
        <v/>
      </c>
      <c r="AD392" s="20">
        <f>IF($J392="","",IF($J392&lt;=TODAY(),COUNTIFS(cal_fechas,"&gt;="&amp;$J392,cal_fechas,"&lt;"&amp;TODAY(),cal_habil,"sí"),-COUNTIFS(cal_fechas,"&gt;="&amp;TODAY(),cal_fechas,"&lt;"&amp;$J392,cal_habil,"sí")))</f>
        <v/>
      </c>
      <c r="AE392" s="5">
        <f>IF($AD392="","",IF($AD392&lt;0,"FUTURO",IF($AD392&gt;p_dias_backlog_max,"BACKLOG","MES CORRIENTE")))</f>
        <v/>
      </c>
      <c r="AF392" s="5">
        <f>IF($AD392="",FALSE,AND($AD392&gt;p_dias_backlog_min,$AD392&lt;=p_dias_backlog_max))</f>
        <v/>
      </c>
      <c r="AG392" s="4" t="n"/>
      <c r="AH392" s="5">
        <f>IF($AG392="","",IF((IFERROR(INDEX('ASIGNACIONES'!$J$4:$J$451,MATCH($O392&amp;"|"&amp;$S392&amp;"|"&amp;$AG392,'ASIGNACIONES'!$N$4:$N$451,0)),""))=0,"",IFERROR(INDEX('ASIGNACIONES'!$J$4:$J$451,MATCH($O392&amp;"|"&amp;$S392&amp;"|"&amp;$AG392,'ASIGNACIONES'!$N$4:$N$451,0)),"")))</f>
        <v/>
      </c>
      <c r="AI392" s="25">
        <f>IF($AG392="","",SUMIFS('ORDENES'!$M$4:$M$1203,'ORDENES'!$AG$4:$AG$1203,$AG392,'ORDENES'!$O$4:$O$1203,$O392,'ORDENES'!$S$4:$S$1203,$S392))</f>
        <v/>
      </c>
      <c r="AJ392" s="25">
        <f>IF($AI392="","",p_factor_productividad*IFERROR(INDEX('ASIGNACIONES'!$M$4:$M$451,MATCH($O392&amp;"|"&amp;$S392&amp;"|"&amp;$AG392,'ASIGNACIONES'!$N$4:$N$451,0)),0)-$AI392)</f>
        <v/>
      </c>
      <c r="AK392" s="18">
        <f>IF($A392="","",IFERROR(INDEX('2_IMPORTAR_EJECUCION'!$F$9:$F$1208,MATCH($AT392,'2_IMPORTAR_EJECUCION'!$J$9:$J$1208,0)),0))</f>
        <v/>
      </c>
      <c r="AL392" s="18">
        <f>IF($A392="","",MAX(0,IFERROR(INDEX('2_IMPORTAR_EJECUCION'!$H$9:$H$1208,MATCH($AT392,'2_IMPORTAR_EJECUCION'!$J$9:$J$1208,0)),0)-$AK392))</f>
        <v/>
      </c>
      <c r="AM392" s="18">
        <f>IF($A392="","",$AK392+$AL392)</f>
        <v/>
      </c>
      <c r="AN392" s="5">
        <f>IF($A392="","",IF(OR((IFERROR(INDEX('CAT_ACTIVIDADES'!$D$4:$D$11,MATCH($H392,'CAT_ACTIVIDADES'!$A$4:$A$11,0)),""))=0,(IFERROR(INDEX('CAT_ACTIVIDADES'!$D$4:$D$11,MATCH($H392,'CAT_ACTIVIDADES'!$A$4:$A$11,0)),""))=""),"SIN CLASIFICAR",IFERROR(INDEX('CAT_ACTIVIDADES'!$D$4:$D$11,MATCH($H392,'CAT_ACTIVIDADES'!$A$4:$A$11,0)),"")))</f>
        <v/>
      </c>
      <c r="AO392" s="4" t="n"/>
      <c r="AP392" s="4" t="n"/>
      <c r="AQ392" s="4" t="n"/>
      <c r="AR392" s="5">
        <f>IF($AQ392="","",HYPERLINK(p_ruta_base_checklists&amp;$AQ392,"abrir"))</f>
        <v/>
      </c>
      <c r="AS392" s="4" t="n"/>
      <c r="AT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2" t="n"/>
      <c r="K393" s="5" t="n"/>
      <c r="L393" s="18" t="n"/>
      <c r="M393" s="5">
        <f>IF($A393="","",IFERROR(INDEX('AJUSTES'!$B$4:$B$303,MATCH($AT393,'AJUSTES'!$A$4:$A$303,0)),IF($K393="","",$K393)))</f>
        <v/>
      </c>
      <c r="N393" s="5">
        <f>IF($A393="","",IFERROR(INDEX('CAT_ESTADOS_ERP'!$B$4:$B$7,MATCH(IFERROR(INDEX('2_IMPORTAR_EJECUCION'!$C$9:$C$1208,MATCH($AT393,'2_IMPORTAR_EJECUCION'!$J$9:$J$1208,0)),""),'CAT_ESTADOS_ERP'!$A$4:$A$7,0)),"Pendiente"))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IF($J393="","",$P393&amp;"-"&amp;TEXT($Q393,"00"))</f>
        <v/>
      </c>
      <c r="S393" s="5">
        <f>IF($J393="","",INDEX(lista_dias,WEEKDAY($J393,2)))</f>
        <v/>
      </c>
      <c r="T393" s="5">
        <f>IF($J393="","",IFERROR(INDEX('CALENDARIO'!$C$15:$C$214,MATCH(TEXT($J393,"yyyy-mm-dd")&amp;"|"&amp;$X393&amp;"|"&amp;$Y393,'CALENDARIO'!$G$15:$G$214,0)),IFERROR(INDEX('CALENDARIO'!$C$15:$C$214,MATCH(TEXT($J393,"yyyy-mm-dd")&amp;"|"&amp;$X393&amp;"|",'CALENDARIO'!$G$15:$G$214,0)),IFERROR(INDEX('CALENDARIO'!$C$15:$C$214,MATCH(TEXT($J393,"yyyy-mm-dd")&amp;"||",'CALENDARIO'!$G$15:$G$214,0)),INDEX(patronHabil,WEEKDAY($J393,2))))))</f>
        <v/>
      </c>
      <c r="U393" s="5">
        <f>IF($I393="","",IFERROR(INDEX('CAT_TIPOS_OT'!$C$4:$C$8,MATCH($I393,'CAT_TIPOS_OT'!$A$4:$A$8,0)),"sin_clasificar"))</f>
        <v/>
      </c>
      <c r="V393" s="5">
        <f>IF($I393="","",IF(IFERROR(INDEX('CAT_TIPOS_OT'!$D$4:$D$8,MATCH($I393,'CAT_TIPOS_OT'!$A$4:$A$8,0)),"SIN CLASIFICAR")="","SIN CLASIFICAR",IFERROR(INDEX('CAT_TIPOS_OT'!$D$4:$D$8,MATCH($I393,'CAT_TIPOS_OT'!$A$4:$A$8,0)),"SIN CLASIFICAR")))</f>
        <v/>
      </c>
      <c r="W393" s="5">
        <f>IF($F393="","",IFERROR(INDEX('CAT_CENTROS_COSTO'!$F$4:$F$13,MATCH($F393,'CAT_CENTROS_COSTO'!$A$4:$A$13,0)),"(sin catálogo)"))</f>
        <v/>
      </c>
      <c r="X393" s="5">
        <f>IF($F393="","",IFERROR(INDEX('CAT_CENTROS_COSTO'!$D$4:$D$13,MATCH($F393,'CAT_CENTROS_COSTO'!$A$4:$A$13,0)),"(sin catálogo)"))</f>
        <v/>
      </c>
      <c r="Y393" s="5">
        <f>IF($F393="","",IF((IFERROR(INDEX('CAT_CENTROS_COSTO'!$E$4:$E$13,MATCH($F393,'CAT_CENTROS_COSTO'!$A$4:$A$13,0)),""))&lt;&gt;"",IFERROR(INDEX('CAT_CENTROS_COSTO'!$E$4:$E$13,MATCH($F393,'CAT_CENTROS_COSTO'!$A$4:$A$13,0)),""),$X393))</f>
        <v/>
      </c>
      <c r="Z393" s="5">
        <f>IF($F393="","",IFERROR(INDEX('CAT_CENTROS_COSTO'!$G$4:$G$13,MATCH($F393,'CAT_CENTROS_COSTO'!$A$4:$A$13,0)),"(sin catálogo)"))</f>
        <v/>
      </c>
      <c r="AA393" s="5">
        <f>IF($G393="","",IFERROR(INDEX('CAT_PUESTOS'!$B$4:$B$8,MATCH($G393,'CAT_PUESTOS'!$A$4:$A$8,0)),"(sin catálogo)"))</f>
        <v/>
      </c>
      <c r="AB393" s="5">
        <f>IF($H393="","",IFERROR(INDEX('CAT_ACTIVIDADES'!$B$4:$B$11,MATCH($H393,'CAT_ACTIVIDADES'!$A$4:$A$11,0)),"(sin catálogo)"))</f>
        <v/>
      </c>
      <c r="AC393" s="20">
        <f>IF($J393="","",TODAY()-$J393)</f>
        <v/>
      </c>
      <c r="AD393" s="20">
        <f>IF($J393="","",IF($J393&lt;=TODAY(),COUNTIFS(cal_fechas,"&gt;="&amp;$J393,cal_fechas,"&lt;"&amp;TODAY(),cal_habil,"sí"),-COUNTIFS(cal_fechas,"&gt;="&amp;TODAY(),cal_fechas,"&lt;"&amp;$J393,cal_habil,"sí")))</f>
        <v/>
      </c>
      <c r="AE393" s="5">
        <f>IF($AD393="","",IF($AD393&lt;0,"FUTURO",IF($AD393&gt;p_dias_backlog_max,"BACKLOG","MES CORRIENTE")))</f>
        <v/>
      </c>
      <c r="AF393" s="5">
        <f>IF($AD393="",FALSE,AND($AD393&gt;p_dias_backlog_min,$AD393&lt;=p_dias_backlog_max))</f>
        <v/>
      </c>
      <c r="AG393" s="4" t="n"/>
      <c r="AH393" s="5">
        <f>IF($AG393="","",IF((IFERROR(INDEX('ASIGNACIONES'!$J$4:$J$451,MATCH($O393&amp;"|"&amp;$S393&amp;"|"&amp;$AG393,'ASIGNACIONES'!$N$4:$N$451,0)),""))=0,"",IFERROR(INDEX('ASIGNACIONES'!$J$4:$J$451,MATCH($O393&amp;"|"&amp;$S393&amp;"|"&amp;$AG393,'ASIGNACIONES'!$N$4:$N$451,0)),"")))</f>
        <v/>
      </c>
      <c r="AI393" s="25">
        <f>IF($AG393="","",SUMIFS('ORDENES'!$M$4:$M$1203,'ORDENES'!$AG$4:$AG$1203,$AG393,'ORDENES'!$O$4:$O$1203,$O393,'ORDENES'!$S$4:$S$1203,$S393))</f>
        <v/>
      </c>
      <c r="AJ393" s="25">
        <f>IF($AI393="","",p_factor_productividad*IFERROR(INDEX('ASIGNACIONES'!$M$4:$M$451,MATCH($O393&amp;"|"&amp;$S393&amp;"|"&amp;$AG393,'ASIGNACIONES'!$N$4:$N$451,0)),0)-$AI393)</f>
        <v/>
      </c>
      <c r="AK393" s="18">
        <f>IF($A393="","",IFERROR(INDEX('2_IMPORTAR_EJECUCION'!$F$9:$F$1208,MATCH($AT393,'2_IMPORTAR_EJECUCION'!$J$9:$J$1208,0)),0))</f>
        <v/>
      </c>
      <c r="AL393" s="18">
        <f>IF($A393="","",MAX(0,IFERROR(INDEX('2_IMPORTAR_EJECUCION'!$H$9:$H$1208,MATCH($AT393,'2_IMPORTAR_EJECUCION'!$J$9:$J$1208,0)),0)-$AK393))</f>
        <v/>
      </c>
      <c r="AM393" s="18">
        <f>IF($A393="","",$AK393+$AL393)</f>
        <v/>
      </c>
      <c r="AN393" s="5">
        <f>IF($A393="","",IF(OR((IFERROR(INDEX('CAT_ACTIVIDADES'!$D$4:$D$11,MATCH($H393,'CAT_ACTIVIDADES'!$A$4:$A$11,0)),""))=0,(IFERROR(INDEX('CAT_ACTIVIDADES'!$D$4:$D$11,MATCH($H393,'CAT_ACTIVIDADES'!$A$4:$A$11,0)),""))=""),"SIN CLASIFICAR",IFERROR(INDEX('CAT_ACTIVIDADES'!$D$4:$D$11,MATCH($H393,'CAT_ACTIVIDADES'!$A$4:$A$11,0)),"")))</f>
        <v/>
      </c>
      <c r="AO393" s="4" t="n"/>
      <c r="AP393" s="4" t="n"/>
      <c r="AQ393" s="4" t="n"/>
      <c r="AR393" s="5">
        <f>IF($AQ393="","",HYPERLINK(p_ruta_base_checklists&amp;$AQ393,"abrir"))</f>
        <v/>
      </c>
      <c r="AS393" s="4" t="n"/>
      <c r="AT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2" t="n"/>
      <c r="K394" s="5" t="n"/>
      <c r="L394" s="18" t="n"/>
      <c r="M394" s="5">
        <f>IF($A394="","",IFERROR(INDEX('AJUSTES'!$B$4:$B$303,MATCH($AT394,'AJUSTES'!$A$4:$A$303,0)),IF($K394="","",$K394)))</f>
        <v/>
      </c>
      <c r="N394" s="5">
        <f>IF($A394="","",IFERROR(INDEX('CAT_ESTADOS_ERP'!$B$4:$B$7,MATCH(IFERROR(INDEX('2_IMPORTAR_EJECUCION'!$C$9:$C$1208,MATCH($AT394,'2_IMPORTAR_EJECUCION'!$J$9:$J$1208,0)),""),'CAT_ESTADOS_ERP'!$A$4:$A$7,0)),"Pendiente"))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IF($J394="","",$P394&amp;"-"&amp;TEXT($Q394,"00"))</f>
        <v/>
      </c>
      <c r="S394" s="5">
        <f>IF($J394="","",INDEX(lista_dias,WEEKDAY($J394,2)))</f>
        <v/>
      </c>
      <c r="T394" s="5">
        <f>IF($J394="","",IFERROR(INDEX('CALENDARIO'!$C$15:$C$214,MATCH(TEXT($J394,"yyyy-mm-dd")&amp;"|"&amp;$X394&amp;"|"&amp;$Y394,'CALENDARIO'!$G$15:$G$214,0)),IFERROR(INDEX('CALENDARIO'!$C$15:$C$214,MATCH(TEXT($J394,"yyyy-mm-dd")&amp;"|"&amp;$X394&amp;"|",'CALENDARIO'!$G$15:$G$214,0)),IFERROR(INDEX('CALENDARIO'!$C$15:$C$214,MATCH(TEXT($J394,"yyyy-mm-dd")&amp;"||",'CALENDARIO'!$G$15:$G$214,0)),INDEX(patronHabil,WEEKDAY($J394,2))))))</f>
        <v/>
      </c>
      <c r="U394" s="5">
        <f>IF($I394="","",IFERROR(INDEX('CAT_TIPOS_OT'!$C$4:$C$8,MATCH($I394,'CAT_TIPOS_OT'!$A$4:$A$8,0)),"sin_clasificar"))</f>
        <v/>
      </c>
      <c r="V394" s="5">
        <f>IF($I394="","",IF(IFERROR(INDEX('CAT_TIPOS_OT'!$D$4:$D$8,MATCH($I394,'CAT_TIPOS_OT'!$A$4:$A$8,0)),"SIN CLASIFICAR")="","SIN CLASIFICAR",IFERROR(INDEX('CAT_TIPOS_OT'!$D$4:$D$8,MATCH($I394,'CAT_TIPOS_OT'!$A$4:$A$8,0)),"SIN CLASIFICAR")))</f>
        <v/>
      </c>
      <c r="W394" s="5">
        <f>IF($F394="","",IFERROR(INDEX('CAT_CENTROS_COSTO'!$F$4:$F$13,MATCH($F394,'CAT_CENTROS_COSTO'!$A$4:$A$13,0)),"(sin catálogo)"))</f>
        <v/>
      </c>
      <c r="X394" s="5">
        <f>IF($F394="","",IFERROR(INDEX('CAT_CENTROS_COSTO'!$D$4:$D$13,MATCH($F394,'CAT_CENTROS_COSTO'!$A$4:$A$13,0)),"(sin catálogo)"))</f>
        <v/>
      </c>
      <c r="Y394" s="5">
        <f>IF($F394="","",IF((IFERROR(INDEX('CAT_CENTROS_COSTO'!$E$4:$E$13,MATCH($F394,'CAT_CENTROS_COSTO'!$A$4:$A$13,0)),""))&lt;&gt;"",IFERROR(INDEX('CAT_CENTROS_COSTO'!$E$4:$E$13,MATCH($F394,'CAT_CENTROS_COSTO'!$A$4:$A$13,0)),""),$X394))</f>
        <v/>
      </c>
      <c r="Z394" s="5">
        <f>IF($F394="","",IFERROR(INDEX('CAT_CENTROS_COSTO'!$G$4:$G$13,MATCH($F394,'CAT_CENTROS_COSTO'!$A$4:$A$13,0)),"(sin catálogo)"))</f>
        <v/>
      </c>
      <c r="AA394" s="5">
        <f>IF($G394="","",IFERROR(INDEX('CAT_PUESTOS'!$B$4:$B$8,MATCH($G394,'CAT_PUESTOS'!$A$4:$A$8,0)),"(sin catálogo)"))</f>
        <v/>
      </c>
      <c r="AB394" s="5">
        <f>IF($H394="","",IFERROR(INDEX('CAT_ACTIVIDADES'!$B$4:$B$11,MATCH($H394,'CAT_ACTIVIDADES'!$A$4:$A$11,0)),"(sin catálogo)"))</f>
        <v/>
      </c>
      <c r="AC394" s="20">
        <f>IF($J394="","",TODAY()-$J394)</f>
        <v/>
      </c>
      <c r="AD394" s="20">
        <f>IF($J394="","",IF($J394&lt;=TODAY(),COUNTIFS(cal_fechas,"&gt;="&amp;$J394,cal_fechas,"&lt;"&amp;TODAY(),cal_habil,"sí"),-COUNTIFS(cal_fechas,"&gt;="&amp;TODAY(),cal_fechas,"&lt;"&amp;$J394,cal_habil,"sí")))</f>
        <v/>
      </c>
      <c r="AE394" s="5">
        <f>IF($AD394="","",IF($AD394&lt;0,"FUTURO",IF($AD394&gt;p_dias_backlog_max,"BACKLOG","MES CORRIENTE")))</f>
        <v/>
      </c>
      <c r="AF394" s="5">
        <f>IF($AD394="",FALSE,AND($AD394&gt;p_dias_backlog_min,$AD394&lt;=p_dias_backlog_max))</f>
        <v/>
      </c>
      <c r="AG394" s="4" t="n"/>
      <c r="AH394" s="5">
        <f>IF($AG394="","",IF((IFERROR(INDEX('ASIGNACIONES'!$J$4:$J$451,MATCH($O394&amp;"|"&amp;$S394&amp;"|"&amp;$AG394,'ASIGNACIONES'!$N$4:$N$451,0)),""))=0,"",IFERROR(INDEX('ASIGNACIONES'!$J$4:$J$451,MATCH($O394&amp;"|"&amp;$S394&amp;"|"&amp;$AG394,'ASIGNACIONES'!$N$4:$N$451,0)),"")))</f>
        <v/>
      </c>
      <c r="AI394" s="25">
        <f>IF($AG394="","",SUMIFS('ORDENES'!$M$4:$M$1203,'ORDENES'!$AG$4:$AG$1203,$AG394,'ORDENES'!$O$4:$O$1203,$O394,'ORDENES'!$S$4:$S$1203,$S394))</f>
        <v/>
      </c>
      <c r="AJ394" s="25">
        <f>IF($AI394="","",p_factor_productividad*IFERROR(INDEX('ASIGNACIONES'!$M$4:$M$451,MATCH($O394&amp;"|"&amp;$S394&amp;"|"&amp;$AG394,'ASIGNACIONES'!$N$4:$N$451,0)),0)-$AI394)</f>
        <v/>
      </c>
      <c r="AK394" s="18">
        <f>IF($A394="","",IFERROR(INDEX('2_IMPORTAR_EJECUCION'!$F$9:$F$1208,MATCH($AT394,'2_IMPORTAR_EJECUCION'!$J$9:$J$1208,0)),0))</f>
        <v/>
      </c>
      <c r="AL394" s="18">
        <f>IF($A394="","",MAX(0,IFERROR(INDEX('2_IMPORTAR_EJECUCION'!$H$9:$H$1208,MATCH($AT394,'2_IMPORTAR_EJECUCION'!$J$9:$J$1208,0)),0)-$AK394))</f>
        <v/>
      </c>
      <c r="AM394" s="18">
        <f>IF($A394="","",$AK394+$AL394)</f>
        <v/>
      </c>
      <c r="AN394" s="5">
        <f>IF($A394="","",IF(OR((IFERROR(INDEX('CAT_ACTIVIDADES'!$D$4:$D$11,MATCH($H394,'CAT_ACTIVIDADES'!$A$4:$A$11,0)),""))=0,(IFERROR(INDEX('CAT_ACTIVIDADES'!$D$4:$D$11,MATCH($H394,'CAT_ACTIVIDADES'!$A$4:$A$11,0)),""))=""),"SIN CLASIFICAR",IFERROR(INDEX('CAT_ACTIVIDADES'!$D$4:$D$11,MATCH($H394,'CAT_ACTIVIDADES'!$A$4:$A$11,0)),"")))</f>
        <v/>
      </c>
      <c r="AO394" s="4" t="n"/>
      <c r="AP394" s="4" t="n"/>
      <c r="AQ394" s="4" t="n"/>
      <c r="AR394" s="5">
        <f>IF($AQ394="","",HYPERLINK(p_ruta_base_checklists&amp;$AQ394,"abrir"))</f>
        <v/>
      </c>
      <c r="AS394" s="4" t="n"/>
      <c r="AT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2" t="n"/>
      <c r="K395" s="5" t="n"/>
      <c r="L395" s="18" t="n"/>
      <c r="M395" s="5">
        <f>IF($A395="","",IFERROR(INDEX('AJUSTES'!$B$4:$B$303,MATCH($AT395,'AJUSTES'!$A$4:$A$303,0)),IF($K395="","",$K395)))</f>
        <v/>
      </c>
      <c r="N395" s="5">
        <f>IF($A395="","",IFERROR(INDEX('CAT_ESTADOS_ERP'!$B$4:$B$7,MATCH(IFERROR(INDEX('2_IMPORTAR_EJECUCION'!$C$9:$C$1208,MATCH($AT395,'2_IMPORTAR_EJECUCION'!$J$9:$J$1208,0)),""),'CAT_ESTADOS_ERP'!$A$4:$A$7,0)),"Pendiente"))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IF($J395="","",$P395&amp;"-"&amp;TEXT($Q395,"00"))</f>
        <v/>
      </c>
      <c r="S395" s="5">
        <f>IF($J395="","",INDEX(lista_dias,WEEKDAY($J395,2)))</f>
        <v/>
      </c>
      <c r="T395" s="5">
        <f>IF($J395="","",IFERROR(INDEX('CALENDARIO'!$C$15:$C$214,MATCH(TEXT($J395,"yyyy-mm-dd")&amp;"|"&amp;$X395&amp;"|"&amp;$Y395,'CALENDARIO'!$G$15:$G$214,0)),IFERROR(INDEX('CALENDARIO'!$C$15:$C$214,MATCH(TEXT($J395,"yyyy-mm-dd")&amp;"|"&amp;$X395&amp;"|",'CALENDARIO'!$G$15:$G$214,0)),IFERROR(INDEX('CALENDARIO'!$C$15:$C$214,MATCH(TEXT($J395,"yyyy-mm-dd")&amp;"||",'CALENDARIO'!$G$15:$G$214,0)),INDEX(patronHabil,WEEKDAY($J395,2))))))</f>
        <v/>
      </c>
      <c r="U395" s="5">
        <f>IF($I395="","",IFERROR(INDEX('CAT_TIPOS_OT'!$C$4:$C$8,MATCH($I395,'CAT_TIPOS_OT'!$A$4:$A$8,0)),"sin_clasificar"))</f>
        <v/>
      </c>
      <c r="V395" s="5">
        <f>IF($I395="","",IF(IFERROR(INDEX('CAT_TIPOS_OT'!$D$4:$D$8,MATCH($I395,'CAT_TIPOS_OT'!$A$4:$A$8,0)),"SIN CLASIFICAR")="","SIN CLASIFICAR",IFERROR(INDEX('CAT_TIPOS_OT'!$D$4:$D$8,MATCH($I395,'CAT_TIPOS_OT'!$A$4:$A$8,0)),"SIN CLASIFICAR")))</f>
        <v/>
      </c>
      <c r="W395" s="5">
        <f>IF($F395="","",IFERROR(INDEX('CAT_CENTROS_COSTO'!$F$4:$F$13,MATCH($F395,'CAT_CENTROS_COSTO'!$A$4:$A$13,0)),"(sin catálogo)"))</f>
        <v/>
      </c>
      <c r="X395" s="5">
        <f>IF($F395="","",IFERROR(INDEX('CAT_CENTROS_COSTO'!$D$4:$D$13,MATCH($F395,'CAT_CENTROS_COSTO'!$A$4:$A$13,0)),"(sin catálogo)"))</f>
        <v/>
      </c>
      <c r="Y395" s="5">
        <f>IF($F395="","",IF((IFERROR(INDEX('CAT_CENTROS_COSTO'!$E$4:$E$13,MATCH($F395,'CAT_CENTROS_COSTO'!$A$4:$A$13,0)),""))&lt;&gt;"",IFERROR(INDEX('CAT_CENTROS_COSTO'!$E$4:$E$13,MATCH($F395,'CAT_CENTROS_COSTO'!$A$4:$A$13,0)),""),$X395))</f>
        <v/>
      </c>
      <c r="Z395" s="5">
        <f>IF($F395="","",IFERROR(INDEX('CAT_CENTROS_COSTO'!$G$4:$G$13,MATCH($F395,'CAT_CENTROS_COSTO'!$A$4:$A$13,0)),"(sin catálogo)"))</f>
        <v/>
      </c>
      <c r="AA395" s="5">
        <f>IF($G395="","",IFERROR(INDEX('CAT_PUESTOS'!$B$4:$B$8,MATCH($G395,'CAT_PUESTOS'!$A$4:$A$8,0)),"(sin catálogo)"))</f>
        <v/>
      </c>
      <c r="AB395" s="5">
        <f>IF($H395="","",IFERROR(INDEX('CAT_ACTIVIDADES'!$B$4:$B$11,MATCH($H395,'CAT_ACTIVIDADES'!$A$4:$A$11,0)),"(sin catálogo)"))</f>
        <v/>
      </c>
      <c r="AC395" s="20">
        <f>IF($J395="","",TODAY()-$J395)</f>
        <v/>
      </c>
      <c r="AD395" s="20">
        <f>IF($J395="","",IF($J395&lt;=TODAY(),COUNTIFS(cal_fechas,"&gt;="&amp;$J395,cal_fechas,"&lt;"&amp;TODAY(),cal_habil,"sí"),-COUNTIFS(cal_fechas,"&gt;="&amp;TODAY(),cal_fechas,"&lt;"&amp;$J395,cal_habil,"sí")))</f>
        <v/>
      </c>
      <c r="AE395" s="5">
        <f>IF($AD395="","",IF($AD395&lt;0,"FUTURO",IF($AD395&gt;p_dias_backlog_max,"BACKLOG","MES CORRIENTE")))</f>
        <v/>
      </c>
      <c r="AF395" s="5">
        <f>IF($AD395="",FALSE,AND($AD395&gt;p_dias_backlog_min,$AD395&lt;=p_dias_backlog_max))</f>
        <v/>
      </c>
      <c r="AG395" s="4" t="n"/>
      <c r="AH395" s="5">
        <f>IF($AG395="","",IF((IFERROR(INDEX('ASIGNACIONES'!$J$4:$J$451,MATCH($O395&amp;"|"&amp;$S395&amp;"|"&amp;$AG395,'ASIGNACIONES'!$N$4:$N$451,0)),""))=0,"",IFERROR(INDEX('ASIGNACIONES'!$J$4:$J$451,MATCH($O395&amp;"|"&amp;$S395&amp;"|"&amp;$AG395,'ASIGNACIONES'!$N$4:$N$451,0)),"")))</f>
        <v/>
      </c>
      <c r="AI395" s="25">
        <f>IF($AG395="","",SUMIFS('ORDENES'!$M$4:$M$1203,'ORDENES'!$AG$4:$AG$1203,$AG395,'ORDENES'!$O$4:$O$1203,$O395,'ORDENES'!$S$4:$S$1203,$S395))</f>
        <v/>
      </c>
      <c r="AJ395" s="25">
        <f>IF($AI395="","",p_factor_productividad*IFERROR(INDEX('ASIGNACIONES'!$M$4:$M$451,MATCH($O395&amp;"|"&amp;$S395&amp;"|"&amp;$AG395,'ASIGNACIONES'!$N$4:$N$451,0)),0)-$AI395)</f>
        <v/>
      </c>
      <c r="AK395" s="18">
        <f>IF($A395="","",IFERROR(INDEX('2_IMPORTAR_EJECUCION'!$F$9:$F$1208,MATCH($AT395,'2_IMPORTAR_EJECUCION'!$J$9:$J$1208,0)),0))</f>
        <v/>
      </c>
      <c r="AL395" s="18">
        <f>IF($A395="","",MAX(0,IFERROR(INDEX('2_IMPORTAR_EJECUCION'!$H$9:$H$1208,MATCH($AT395,'2_IMPORTAR_EJECUCION'!$J$9:$J$1208,0)),0)-$AK395))</f>
        <v/>
      </c>
      <c r="AM395" s="18">
        <f>IF($A395="","",$AK395+$AL395)</f>
        <v/>
      </c>
      <c r="AN395" s="5">
        <f>IF($A395="","",IF(OR((IFERROR(INDEX('CAT_ACTIVIDADES'!$D$4:$D$11,MATCH($H395,'CAT_ACTIVIDADES'!$A$4:$A$11,0)),""))=0,(IFERROR(INDEX('CAT_ACTIVIDADES'!$D$4:$D$11,MATCH($H395,'CAT_ACTIVIDADES'!$A$4:$A$11,0)),""))=""),"SIN CLASIFICAR",IFERROR(INDEX('CAT_ACTIVIDADES'!$D$4:$D$11,MATCH($H395,'CAT_ACTIVIDADES'!$A$4:$A$11,0)),"")))</f>
        <v/>
      </c>
      <c r="AO395" s="4" t="n"/>
      <c r="AP395" s="4" t="n"/>
      <c r="AQ395" s="4" t="n"/>
      <c r="AR395" s="5">
        <f>IF($AQ395="","",HYPERLINK(p_ruta_base_checklists&amp;$AQ395,"abrir"))</f>
        <v/>
      </c>
      <c r="AS395" s="4" t="n"/>
      <c r="AT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2" t="n"/>
      <c r="K396" s="5" t="n"/>
      <c r="L396" s="18" t="n"/>
      <c r="M396" s="5">
        <f>IF($A396="","",IFERROR(INDEX('AJUSTES'!$B$4:$B$303,MATCH($AT396,'AJUSTES'!$A$4:$A$303,0)),IF($K396="","",$K396)))</f>
        <v/>
      </c>
      <c r="N396" s="5">
        <f>IF($A396="","",IFERROR(INDEX('CAT_ESTADOS_ERP'!$B$4:$B$7,MATCH(IFERROR(INDEX('2_IMPORTAR_EJECUCION'!$C$9:$C$1208,MATCH($AT396,'2_IMPORTAR_EJECUCION'!$J$9:$J$1208,0)),""),'CAT_ESTADOS_ERP'!$A$4:$A$7,0)),"Pendiente"))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IF($J396="","",$P396&amp;"-"&amp;TEXT($Q396,"00"))</f>
        <v/>
      </c>
      <c r="S396" s="5">
        <f>IF($J396="","",INDEX(lista_dias,WEEKDAY($J396,2)))</f>
        <v/>
      </c>
      <c r="T396" s="5">
        <f>IF($J396="","",IFERROR(INDEX('CALENDARIO'!$C$15:$C$214,MATCH(TEXT($J396,"yyyy-mm-dd")&amp;"|"&amp;$X396&amp;"|"&amp;$Y396,'CALENDARIO'!$G$15:$G$214,0)),IFERROR(INDEX('CALENDARIO'!$C$15:$C$214,MATCH(TEXT($J396,"yyyy-mm-dd")&amp;"|"&amp;$X396&amp;"|",'CALENDARIO'!$G$15:$G$214,0)),IFERROR(INDEX('CALENDARIO'!$C$15:$C$214,MATCH(TEXT($J396,"yyyy-mm-dd")&amp;"||",'CALENDARIO'!$G$15:$G$214,0)),INDEX(patronHabil,WEEKDAY($J396,2))))))</f>
        <v/>
      </c>
      <c r="U396" s="5">
        <f>IF($I396="","",IFERROR(INDEX('CAT_TIPOS_OT'!$C$4:$C$8,MATCH($I396,'CAT_TIPOS_OT'!$A$4:$A$8,0)),"sin_clasificar"))</f>
        <v/>
      </c>
      <c r="V396" s="5">
        <f>IF($I396="","",IF(IFERROR(INDEX('CAT_TIPOS_OT'!$D$4:$D$8,MATCH($I396,'CAT_TIPOS_OT'!$A$4:$A$8,0)),"SIN CLASIFICAR")="","SIN CLASIFICAR",IFERROR(INDEX('CAT_TIPOS_OT'!$D$4:$D$8,MATCH($I396,'CAT_TIPOS_OT'!$A$4:$A$8,0)),"SIN CLASIFICAR")))</f>
        <v/>
      </c>
      <c r="W396" s="5">
        <f>IF($F396="","",IFERROR(INDEX('CAT_CENTROS_COSTO'!$F$4:$F$13,MATCH($F396,'CAT_CENTROS_COSTO'!$A$4:$A$13,0)),"(sin catálogo)"))</f>
        <v/>
      </c>
      <c r="X396" s="5">
        <f>IF($F396="","",IFERROR(INDEX('CAT_CENTROS_COSTO'!$D$4:$D$13,MATCH($F396,'CAT_CENTROS_COSTO'!$A$4:$A$13,0)),"(sin catálogo)"))</f>
        <v/>
      </c>
      <c r="Y396" s="5">
        <f>IF($F396="","",IF((IFERROR(INDEX('CAT_CENTROS_COSTO'!$E$4:$E$13,MATCH($F396,'CAT_CENTROS_COSTO'!$A$4:$A$13,0)),""))&lt;&gt;"",IFERROR(INDEX('CAT_CENTROS_COSTO'!$E$4:$E$13,MATCH($F396,'CAT_CENTROS_COSTO'!$A$4:$A$13,0)),""),$X396))</f>
        <v/>
      </c>
      <c r="Z396" s="5">
        <f>IF($F396="","",IFERROR(INDEX('CAT_CENTROS_COSTO'!$G$4:$G$13,MATCH($F396,'CAT_CENTROS_COSTO'!$A$4:$A$13,0)),"(sin catálogo)"))</f>
        <v/>
      </c>
      <c r="AA396" s="5">
        <f>IF($G396="","",IFERROR(INDEX('CAT_PUESTOS'!$B$4:$B$8,MATCH($G396,'CAT_PUESTOS'!$A$4:$A$8,0)),"(sin catálogo)"))</f>
        <v/>
      </c>
      <c r="AB396" s="5">
        <f>IF($H396="","",IFERROR(INDEX('CAT_ACTIVIDADES'!$B$4:$B$11,MATCH($H396,'CAT_ACTIVIDADES'!$A$4:$A$11,0)),"(sin catálogo)"))</f>
        <v/>
      </c>
      <c r="AC396" s="20">
        <f>IF($J396="","",TODAY()-$J396)</f>
        <v/>
      </c>
      <c r="AD396" s="20">
        <f>IF($J396="","",IF($J396&lt;=TODAY(),COUNTIFS(cal_fechas,"&gt;="&amp;$J396,cal_fechas,"&lt;"&amp;TODAY(),cal_habil,"sí"),-COUNTIFS(cal_fechas,"&gt;="&amp;TODAY(),cal_fechas,"&lt;"&amp;$J396,cal_habil,"sí")))</f>
        <v/>
      </c>
      <c r="AE396" s="5">
        <f>IF($AD396="","",IF($AD396&lt;0,"FUTURO",IF($AD396&gt;p_dias_backlog_max,"BACKLOG","MES CORRIENTE")))</f>
        <v/>
      </c>
      <c r="AF396" s="5">
        <f>IF($AD396="",FALSE,AND($AD396&gt;p_dias_backlog_min,$AD396&lt;=p_dias_backlog_max))</f>
        <v/>
      </c>
      <c r="AG396" s="4" t="n"/>
      <c r="AH396" s="5">
        <f>IF($AG396="","",IF((IFERROR(INDEX('ASIGNACIONES'!$J$4:$J$451,MATCH($O396&amp;"|"&amp;$S396&amp;"|"&amp;$AG396,'ASIGNACIONES'!$N$4:$N$451,0)),""))=0,"",IFERROR(INDEX('ASIGNACIONES'!$J$4:$J$451,MATCH($O396&amp;"|"&amp;$S396&amp;"|"&amp;$AG396,'ASIGNACIONES'!$N$4:$N$451,0)),"")))</f>
        <v/>
      </c>
      <c r="AI396" s="25">
        <f>IF($AG396="","",SUMIFS('ORDENES'!$M$4:$M$1203,'ORDENES'!$AG$4:$AG$1203,$AG396,'ORDENES'!$O$4:$O$1203,$O396,'ORDENES'!$S$4:$S$1203,$S396))</f>
        <v/>
      </c>
      <c r="AJ396" s="25">
        <f>IF($AI396="","",p_factor_productividad*IFERROR(INDEX('ASIGNACIONES'!$M$4:$M$451,MATCH($O396&amp;"|"&amp;$S396&amp;"|"&amp;$AG396,'ASIGNACIONES'!$N$4:$N$451,0)),0)-$AI396)</f>
        <v/>
      </c>
      <c r="AK396" s="18">
        <f>IF($A396="","",IFERROR(INDEX('2_IMPORTAR_EJECUCION'!$F$9:$F$1208,MATCH($AT396,'2_IMPORTAR_EJECUCION'!$J$9:$J$1208,0)),0))</f>
        <v/>
      </c>
      <c r="AL396" s="18">
        <f>IF($A396="","",MAX(0,IFERROR(INDEX('2_IMPORTAR_EJECUCION'!$H$9:$H$1208,MATCH($AT396,'2_IMPORTAR_EJECUCION'!$J$9:$J$1208,0)),0)-$AK396))</f>
        <v/>
      </c>
      <c r="AM396" s="18">
        <f>IF($A396="","",$AK396+$AL396)</f>
        <v/>
      </c>
      <c r="AN396" s="5">
        <f>IF($A396="","",IF(OR((IFERROR(INDEX('CAT_ACTIVIDADES'!$D$4:$D$11,MATCH($H396,'CAT_ACTIVIDADES'!$A$4:$A$11,0)),""))=0,(IFERROR(INDEX('CAT_ACTIVIDADES'!$D$4:$D$11,MATCH($H396,'CAT_ACTIVIDADES'!$A$4:$A$11,0)),""))=""),"SIN CLASIFICAR",IFERROR(INDEX('CAT_ACTIVIDADES'!$D$4:$D$11,MATCH($H396,'CAT_ACTIVIDADES'!$A$4:$A$11,0)),"")))</f>
        <v/>
      </c>
      <c r="AO396" s="4" t="n"/>
      <c r="AP396" s="4" t="n"/>
      <c r="AQ396" s="4" t="n"/>
      <c r="AR396" s="5">
        <f>IF($AQ396="","",HYPERLINK(p_ruta_base_checklists&amp;$AQ396,"abrir"))</f>
        <v/>
      </c>
      <c r="AS396" s="4" t="n"/>
      <c r="AT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2" t="n"/>
      <c r="K397" s="5" t="n"/>
      <c r="L397" s="18" t="n"/>
      <c r="M397" s="5">
        <f>IF($A397="","",IFERROR(INDEX('AJUSTES'!$B$4:$B$303,MATCH($AT397,'AJUSTES'!$A$4:$A$303,0)),IF($K397="","",$K397)))</f>
        <v/>
      </c>
      <c r="N397" s="5">
        <f>IF($A397="","",IFERROR(INDEX('CAT_ESTADOS_ERP'!$B$4:$B$7,MATCH(IFERROR(INDEX('2_IMPORTAR_EJECUCION'!$C$9:$C$1208,MATCH($AT397,'2_IMPORTAR_EJECUCION'!$J$9:$J$1208,0)),""),'CAT_ESTADOS_ERP'!$A$4:$A$7,0)),"Pendiente"))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IF($J397="","",$P397&amp;"-"&amp;TEXT($Q397,"00"))</f>
        <v/>
      </c>
      <c r="S397" s="5">
        <f>IF($J397="","",INDEX(lista_dias,WEEKDAY($J397,2)))</f>
        <v/>
      </c>
      <c r="T397" s="5">
        <f>IF($J397="","",IFERROR(INDEX('CALENDARIO'!$C$15:$C$214,MATCH(TEXT($J397,"yyyy-mm-dd")&amp;"|"&amp;$X397&amp;"|"&amp;$Y397,'CALENDARIO'!$G$15:$G$214,0)),IFERROR(INDEX('CALENDARIO'!$C$15:$C$214,MATCH(TEXT($J397,"yyyy-mm-dd")&amp;"|"&amp;$X397&amp;"|",'CALENDARIO'!$G$15:$G$214,0)),IFERROR(INDEX('CALENDARIO'!$C$15:$C$214,MATCH(TEXT($J397,"yyyy-mm-dd")&amp;"||",'CALENDARIO'!$G$15:$G$214,0)),INDEX(patronHabil,WEEKDAY($J397,2))))))</f>
        <v/>
      </c>
      <c r="U397" s="5">
        <f>IF($I397="","",IFERROR(INDEX('CAT_TIPOS_OT'!$C$4:$C$8,MATCH($I397,'CAT_TIPOS_OT'!$A$4:$A$8,0)),"sin_clasificar"))</f>
        <v/>
      </c>
      <c r="V397" s="5">
        <f>IF($I397="","",IF(IFERROR(INDEX('CAT_TIPOS_OT'!$D$4:$D$8,MATCH($I397,'CAT_TIPOS_OT'!$A$4:$A$8,0)),"SIN CLASIFICAR")="","SIN CLASIFICAR",IFERROR(INDEX('CAT_TIPOS_OT'!$D$4:$D$8,MATCH($I397,'CAT_TIPOS_OT'!$A$4:$A$8,0)),"SIN CLASIFICAR")))</f>
        <v/>
      </c>
      <c r="W397" s="5">
        <f>IF($F397="","",IFERROR(INDEX('CAT_CENTROS_COSTO'!$F$4:$F$13,MATCH($F397,'CAT_CENTROS_COSTO'!$A$4:$A$13,0)),"(sin catálogo)"))</f>
        <v/>
      </c>
      <c r="X397" s="5">
        <f>IF($F397="","",IFERROR(INDEX('CAT_CENTROS_COSTO'!$D$4:$D$13,MATCH($F397,'CAT_CENTROS_COSTO'!$A$4:$A$13,0)),"(sin catálogo)"))</f>
        <v/>
      </c>
      <c r="Y397" s="5">
        <f>IF($F397="","",IF((IFERROR(INDEX('CAT_CENTROS_COSTO'!$E$4:$E$13,MATCH($F397,'CAT_CENTROS_COSTO'!$A$4:$A$13,0)),""))&lt;&gt;"",IFERROR(INDEX('CAT_CENTROS_COSTO'!$E$4:$E$13,MATCH($F397,'CAT_CENTROS_COSTO'!$A$4:$A$13,0)),""),$X397))</f>
        <v/>
      </c>
      <c r="Z397" s="5">
        <f>IF($F397="","",IFERROR(INDEX('CAT_CENTROS_COSTO'!$G$4:$G$13,MATCH($F397,'CAT_CENTROS_COSTO'!$A$4:$A$13,0)),"(sin catálogo)"))</f>
        <v/>
      </c>
      <c r="AA397" s="5">
        <f>IF($G397="","",IFERROR(INDEX('CAT_PUESTOS'!$B$4:$B$8,MATCH($G397,'CAT_PUESTOS'!$A$4:$A$8,0)),"(sin catálogo)"))</f>
        <v/>
      </c>
      <c r="AB397" s="5">
        <f>IF($H397="","",IFERROR(INDEX('CAT_ACTIVIDADES'!$B$4:$B$11,MATCH($H397,'CAT_ACTIVIDADES'!$A$4:$A$11,0)),"(sin catálogo)"))</f>
        <v/>
      </c>
      <c r="AC397" s="20">
        <f>IF($J397="","",TODAY()-$J397)</f>
        <v/>
      </c>
      <c r="AD397" s="20">
        <f>IF($J397="","",IF($J397&lt;=TODAY(),COUNTIFS(cal_fechas,"&gt;="&amp;$J397,cal_fechas,"&lt;"&amp;TODAY(),cal_habil,"sí"),-COUNTIFS(cal_fechas,"&gt;="&amp;TODAY(),cal_fechas,"&lt;"&amp;$J397,cal_habil,"sí")))</f>
        <v/>
      </c>
      <c r="AE397" s="5">
        <f>IF($AD397="","",IF($AD397&lt;0,"FUTURO",IF($AD397&gt;p_dias_backlog_max,"BACKLOG","MES CORRIENTE")))</f>
        <v/>
      </c>
      <c r="AF397" s="5">
        <f>IF($AD397="",FALSE,AND($AD397&gt;p_dias_backlog_min,$AD397&lt;=p_dias_backlog_max))</f>
        <v/>
      </c>
      <c r="AG397" s="4" t="n"/>
      <c r="AH397" s="5">
        <f>IF($AG397="","",IF((IFERROR(INDEX('ASIGNACIONES'!$J$4:$J$451,MATCH($O397&amp;"|"&amp;$S397&amp;"|"&amp;$AG397,'ASIGNACIONES'!$N$4:$N$451,0)),""))=0,"",IFERROR(INDEX('ASIGNACIONES'!$J$4:$J$451,MATCH($O397&amp;"|"&amp;$S397&amp;"|"&amp;$AG397,'ASIGNACIONES'!$N$4:$N$451,0)),"")))</f>
        <v/>
      </c>
      <c r="AI397" s="25">
        <f>IF($AG397="","",SUMIFS('ORDENES'!$M$4:$M$1203,'ORDENES'!$AG$4:$AG$1203,$AG397,'ORDENES'!$O$4:$O$1203,$O397,'ORDENES'!$S$4:$S$1203,$S397))</f>
        <v/>
      </c>
      <c r="AJ397" s="25">
        <f>IF($AI397="","",p_factor_productividad*IFERROR(INDEX('ASIGNACIONES'!$M$4:$M$451,MATCH($O397&amp;"|"&amp;$S397&amp;"|"&amp;$AG397,'ASIGNACIONES'!$N$4:$N$451,0)),0)-$AI397)</f>
        <v/>
      </c>
      <c r="AK397" s="18">
        <f>IF($A397="","",IFERROR(INDEX('2_IMPORTAR_EJECUCION'!$F$9:$F$1208,MATCH($AT397,'2_IMPORTAR_EJECUCION'!$J$9:$J$1208,0)),0))</f>
        <v/>
      </c>
      <c r="AL397" s="18">
        <f>IF($A397="","",MAX(0,IFERROR(INDEX('2_IMPORTAR_EJECUCION'!$H$9:$H$1208,MATCH($AT397,'2_IMPORTAR_EJECUCION'!$J$9:$J$1208,0)),0)-$AK397))</f>
        <v/>
      </c>
      <c r="AM397" s="18">
        <f>IF($A397="","",$AK397+$AL397)</f>
        <v/>
      </c>
      <c r="AN397" s="5">
        <f>IF($A397="","",IF(OR((IFERROR(INDEX('CAT_ACTIVIDADES'!$D$4:$D$11,MATCH($H397,'CAT_ACTIVIDADES'!$A$4:$A$11,0)),""))=0,(IFERROR(INDEX('CAT_ACTIVIDADES'!$D$4:$D$11,MATCH($H397,'CAT_ACTIVIDADES'!$A$4:$A$11,0)),""))=""),"SIN CLASIFICAR",IFERROR(INDEX('CAT_ACTIVIDADES'!$D$4:$D$11,MATCH($H397,'CAT_ACTIVIDADES'!$A$4:$A$11,0)),"")))</f>
        <v/>
      </c>
      <c r="AO397" s="4" t="n"/>
      <c r="AP397" s="4" t="n"/>
      <c r="AQ397" s="4" t="n"/>
      <c r="AR397" s="5">
        <f>IF($AQ397="","",HYPERLINK(p_ruta_base_checklists&amp;$AQ397,"abrir"))</f>
        <v/>
      </c>
      <c r="AS397" s="4" t="n"/>
      <c r="AT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2" t="n"/>
      <c r="K398" s="5" t="n"/>
      <c r="L398" s="18" t="n"/>
      <c r="M398" s="5">
        <f>IF($A398="","",IFERROR(INDEX('AJUSTES'!$B$4:$B$303,MATCH($AT398,'AJUSTES'!$A$4:$A$303,0)),IF($K398="","",$K398)))</f>
        <v/>
      </c>
      <c r="N398" s="5">
        <f>IF($A398="","",IFERROR(INDEX('CAT_ESTADOS_ERP'!$B$4:$B$7,MATCH(IFERROR(INDEX('2_IMPORTAR_EJECUCION'!$C$9:$C$1208,MATCH($AT398,'2_IMPORTAR_EJECUCION'!$J$9:$J$1208,0)),""),'CAT_ESTADOS_ERP'!$A$4:$A$7,0)),"Pendiente"))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IF($J398="","",$P398&amp;"-"&amp;TEXT($Q398,"00"))</f>
        <v/>
      </c>
      <c r="S398" s="5">
        <f>IF($J398="","",INDEX(lista_dias,WEEKDAY($J398,2)))</f>
        <v/>
      </c>
      <c r="T398" s="5">
        <f>IF($J398="","",IFERROR(INDEX('CALENDARIO'!$C$15:$C$214,MATCH(TEXT($J398,"yyyy-mm-dd")&amp;"|"&amp;$X398&amp;"|"&amp;$Y398,'CALENDARIO'!$G$15:$G$214,0)),IFERROR(INDEX('CALENDARIO'!$C$15:$C$214,MATCH(TEXT($J398,"yyyy-mm-dd")&amp;"|"&amp;$X398&amp;"|",'CALENDARIO'!$G$15:$G$214,0)),IFERROR(INDEX('CALENDARIO'!$C$15:$C$214,MATCH(TEXT($J398,"yyyy-mm-dd")&amp;"||",'CALENDARIO'!$G$15:$G$214,0)),INDEX(patronHabil,WEEKDAY($J398,2))))))</f>
        <v/>
      </c>
      <c r="U398" s="5">
        <f>IF($I398="","",IFERROR(INDEX('CAT_TIPOS_OT'!$C$4:$C$8,MATCH($I398,'CAT_TIPOS_OT'!$A$4:$A$8,0)),"sin_clasificar"))</f>
        <v/>
      </c>
      <c r="V398" s="5">
        <f>IF($I398="","",IF(IFERROR(INDEX('CAT_TIPOS_OT'!$D$4:$D$8,MATCH($I398,'CAT_TIPOS_OT'!$A$4:$A$8,0)),"SIN CLASIFICAR")="","SIN CLASIFICAR",IFERROR(INDEX('CAT_TIPOS_OT'!$D$4:$D$8,MATCH($I398,'CAT_TIPOS_OT'!$A$4:$A$8,0)),"SIN CLASIFICAR")))</f>
        <v/>
      </c>
      <c r="W398" s="5">
        <f>IF($F398="","",IFERROR(INDEX('CAT_CENTROS_COSTO'!$F$4:$F$13,MATCH($F398,'CAT_CENTROS_COSTO'!$A$4:$A$13,0)),"(sin catálogo)"))</f>
        <v/>
      </c>
      <c r="X398" s="5">
        <f>IF($F398="","",IFERROR(INDEX('CAT_CENTROS_COSTO'!$D$4:$D$13,MATCH($F398,'CAT_CENTROS_COSTO'!$A$4:$A$13,0)),"(sin catálogo)"))</f>
        <v/>
      </c>
      <c r="Y398" s="5">
        <f>IF($F398="","",IF((IFERROR(INDEX('CAT_CENTROS_COSTO'!$E$4:$E$13,MATCH($F398,'CAT_CENTROS_COSTO'!$A$4:$A$13,0)),""))&lt;&gt;"",IFERROR(INDEX('CAT_CENTROS_COSTO'!$E$4:$E$13,MATCH($F398,'CAT_CENTROS_COSTO'!$A$4:$A$13,0)),""),$X398))</f>
        <v/>
      </c>
      <c r="Z398" s="5">
        <f>IF($F398="","",IFERROR(INDEX('CAT_CENTROS_COSTO'!$G$4:$G$13,MATCH($F398,'CAT_CENTROS_COSTO'!$A$4:$A$13,0)),"(sin catálogo)"))</f>
        <v/>
      </c>
      <c r="AA398" s="5">
        <f>IF($G398="","",IFERROR(INDEX('CAT_PUESTOS'!$B$4:$B$8,MATCH($G398,'CAT_PUESTOS'!$A$4:$A$8,0)),"(sin catálogo)"))</f>
        <v/>
      </c>
      <c r="AB398" s="5">
        <f>IF($H398="","",IFERROR(INDEX('CAT_ACTIVIDADES'!$B$4:$B$11,MATCH($H398,'CAT_ACTIVIDADES'!$A$4:$A$11,0)),"(sin catálogo)"))</f>
        <v/>
      </c>
      <c r="AC398" s="20">
        <f>IF($J398="","",TODAY()-$J398)</f>
        <v/>
      </c>
      <c r="AD398" s="20">
        <f>IF($J398="","",IF($J398&lt;=TODAY(),COUNTIFS(cal_fechas,"&gt;="&amp;$J398,cal_fechas,"&lt;"&amp;TODAY(),cal_habil,"sí"),-COUNTIFS(cal_fechas,"&gt;="&amp;TODAY(),cal_fechas,"&lt;"&amp;$J398,cal_habil,"sí")))</f>
        <v/>
      </c>
      <c r="AE398" s="5">
        <f>IF($AD398="","",IF($AD398&lt;0,"FUTURO",IF($AD398&gt;p_dias_backlog_max,"BACKLOG","MES CORRIENTE")))</f>
        <v/>
      </c>
      <c r="AF398" s="5">
        <f>IF($AD398="",FALSE,AND($AD398&gt;p_dias_backlog_min,$AD398&lt;=p_dias_backlog_max))</f>
        <v/>
      </c>
      <c r="AG398" s="4" t="n"/>
      <c r="AH398" s="5">
        <f>IF($AG398="","",IF((IFERROR(INDEX('ASIGNACIONES'!$J$4:$J$451,MATCH($O398&amp;"|"&amp;$S398&amp;"|"&amp;$AG398,'ASIGNACIONES'!$N$4:$N$451,0)),""))=0,"",IFERROR(INDEX('ASIGNACIONES'!$J$4:$J$451,MATCH($O398&amp;"|"&amp;$S398&amp;"|"&amp;$AG398,'ASIGNACIONES'!$N$4:$N$451,0)),"")))</f>
        <v/>
      </c>
      <c r="AI398" s="25">
        <f>IF($AG398="","",SUMIFS('ORDENES'!$M$4:$M$1203,'ORDENES'!$AG$4:$AG$1203,$AG398,'ORDENES'!$O$4:$O$1203,$O398,'ORDENES'!$S$4:$S$1203,$S398))</f>
        <v/>
      </c>
      <c r="AJ398" s="25">
        <f>IF($AI398="","",p_factor_productividad*IFERROR(INDEX('ASIGNACIONES'!$M$4:$M$451,MATCH($O398&amp;"|"&amp;$S398&amp;"|"&amp;$AG398,'ASIGNACIONES'!$N$4:$N$451,0)),0)-$AI398)</f>
        <v/>
      </c>
      <c r="AK398" s="18">
        <f>IF($A398="","",IFERROR(INDEX('2_IMPORTAR_EJECUCION'!$F$9:$F$1208,MATCH($AT398,'2_IMPORTAR_EJECUCION'!$J$9:$J$1208,0)),0))</f>
        <v/>
      </c>
      <c r="AL398" s="18">
        <f>IF($A398="","",MAX(0,IFERROR(INDEX('2_IMPORTAR_EJECUCION'!$H$9:$H$1208,MATCH($AT398,'2_IMPORTAR_EJECUCION'!$J$9:$J$1208,0)),0)-$AK398))</f>
        <v/>
      </c>
      <c r="AM398" s="18">
        <f>IF($A398="","",$AK398+$AL398)</f>
        <v/>
      </c>
      <c r="AN398" s="5">
        <f>IF($A398="","",IF(OR((IFERROR(INDEX('CAT_ACTIVIDADES'!$D$4:$D$11,MATCH($H398,'CAT_ACTIVIDADES'!$A$4:$A$11,0)),""))=0,(IFERROR(INDEX('CAT_ACTIVIDADES'!$D$4:$D$11,MATCH($H398,'CAT_ACTIVIDADES'!$A$4:$A$11,0)),""))=""),"SIN CLASIFICAR",IFERROR(INDEX('CAT_ACTIVIDADES'!$D$4:$D$11,MATCH($H398,'CAT_ACTIVIDADES'!$A$4:$A$11,0)),"")))</f>
        <v/>
      </c>
      <c r="AO398" s="4" t="n"/>
      <c r="AP398" s="4" t="n"/>
      <c r="AQ398" s="4" t="n"/>
      <c r="AR398" s="5">
        <f>IF($AQ398="","",HYPERLINK(p_ruta_base_checklists&amp;$AQ398,"abrir"))</f>
        <v/>
      </c>
      <c r="AS398" s="4" t="n"/>
      <c r="AT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2" t="n"/>
      <c r="K399" s="5" t="n"/>
      <c r="L399" s="18" t="n"/>
      <c r="M399" s="5">
        <f>IF($A399="","",IFERROR(INDEX('AJUSTES'!$B$4:$B$303,MATCH($AT399,'AJUSTES'!$A$4:$A$303,0)),IF($K399="","",$K399)))</f>
        <v/>
      </c>
      <c r="N399" s="5">
        <f>IF($A399="","",IFERROR(INDEX('CAT_ESTADOS_ERP'!$B$4:$B$7,MATCH(IFERROR(INDEX('2_IMPORTAR_EJECUCION'!$C$9:$C$1208,MATCH($AT399,'2_IMPORTAR_EJECUCION'!$J$9:$J$1208,0)),""),'CAT_ESTADOS_ERP'!$A$4:$A$7,0)),"Pendiente"))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IF($J399="","",$P399&amp;"-"&amp;TEXT($Q399,"00"))</f>
        <v/>
      </c>
      <c r="S399" s="5">
        <f>IF($J399="","",INDEX(lista_dias,WEEKDAY($J399,2)))</f>
        <v/>
      </c>
      <c r="T399" s="5">
        <f>IF($J399="","",IFERROR(INDEX('CALENDARIO'!$C$15:$C$214,MATCH(TEXT($J399,"yyyy-mm-dd")&amp;"|"&amp;$X399&amp;"|"&amp;$Y399,'CALENDARIO'!$G$15:$G$214,0)),IFERROR(INDEX('CALENDARIO'!$C$15:$C$214,MATCH(TEXT($J399,"yyyy-mm-dd")&amp;"|"&amp;$X399&amp;"|",'CALENDARIO'!$G$15:$G$214,0)),IFERROR(INDEX('CALENDARIO'!$C$15:$C$214,MATCH(TEXT($J399,"yyyy-mm-dd")&amp;"||",'CALENDARIO'!$G$15:$G$214,0)),INDEX(patronHabil,WEEKDAY($J399,2))))))</f>
        <v/>
      </c>
      <c r="U399" s="5">
        <f>IF($I399="","",IFERROR(INDEX('CAT_TIPOS_OT'!$C$4:$C$8,MATCH($I399,'CAT_TIPOS_OT'!$A$4:$A$8,0)),"sin_clasificar"))</f>
        <v/>
      </c>
      <c r="V399" s="5">
        <f>IF($I399="","",IF(IFERROR(INDEX('CAT_TIPOS_OT'!$D$4:$D$8,MATCH($I399,'CAT_TIPOS_OT'!$A$4:$A$8,0)),"SIN CLASIFICAR")="","SIN CLASIFICAR",IFERROR(INDEX('CAT_TIPOS_OT'!$D$4:$D$8,MATCH($I399,'CAT_TIPOS_OT'!$A$4:$A$8,0)),"SIN CLASIFICAR")))</f>
        <v/>
      </c>
      <c r="W399" s="5">
        <f>IF($F399="","",IFERROR(INDEX('CAT_CENTROS_COSTO'!$F$4:$F$13,MATCH($F399,'CAT_CENTROS_COSTO'!$A$4:$A$13,0)),"(sin catálogo)"))</f>
        <v/>
      </c>
      <c r="X399" s="5">
        <f>IF($F399="","",IFERROR(INDEX('CAT_CENTROS_COSTO'!$D$4:$D$13,MATCH($F399,'CAT_CENTROS_COSTO'!$A$4:$A$13,0)),"(sin catálogo)"))</f>
        <v/>
      </c>
      <c r="Y399" s="5">
        <f>IF($F399="","",IF((IFERROR(INDEX('CAT_CENTROS_COSTO'!$E$4:$E$13,MATCH($F399,'CAT_CENTROS_COSTO'!$A$4:$A$13,0)),""))&lt;&gt;"",IFERROR(INDEX('CAT_CENTROS_COSTO'!$E$4:$E$13,MATCH($F399,'CAT_CENTROS_COSTO'!$A$4:$A$13,0)),""),$X399))</f>
        <v/>
      </c>
      <c r="Z399" s="5">
        <f>IF($F399="","",IFERROR(INDEX('CAT_CENTROS_COSTO'!$G$4:$G$13,MATCH($F399,'CAT_CENTROS_COSTO'!$A$4:$A$13,0)),"(sin catálogo)"))</f>
        <v/>
      </c>
      <c r="AA399" s="5">
        <f>IF($G399="","",IFERROR(INDEX('CAT_PUESTOS'!$B$4:$B$8,MATCH($G399,'CAT_PUESTOS'!$A$4:$A$8,0)),"(sin catálogo)"))</f>
        <v/>
      </c>
      <c r="AB399" s="5">
        <f>IF($H399="","",IFERROR(INDEX('CAT_ACTIVIDADES'!$B$4:$B$11,MATCH($H399,'CAT_ACTIVIDADES'!$A$4:$A$11,0)),"(sin catálogo)"))</f>
        <v/>
      </c>
      <c r="AC399" s="20">
        <f>IF($J399="","",TODAY()-$J399)</f>
        <v/>
      </c>
      <c r="AD399" s="20">
        <f>IF($J399="","",IF($J399&lt;=TODAY(),COUNTIFS(cal_fechas,"&gt;="&amp;$J399,cal_fechas,"&lt;"&amp;TODAY(),cal_habil,"sí"),-COUNTIFS(cal_fechas,"&gt;="&amp;TODAY(),cal_fechas,"&lt;"&amp;$J399,cal_habil,"sí")))</f>
        <v/>
      </c>
      <c r="AE399" s="5">
        <f>IF($AD399="","",IF($AD399&lt;0,"FUTURO",IF($AD399&gt;p_dias_backlog_max,"BACKLOG","MES CORRIENTE")))</f>
        <v/>
      </c>
      <c r="AF399" s="5">
        <f>IF($AD399="",FALSE,AND($AD399&gt;p_dias_backlog_min,$AD399&lt;=p_dias_backlog_max))</f>
        <v/>
      </c>
      <c r="AG399" s="4" t="n"/>
      <c r="AH399" s="5">
        <f>IF($AG399="","",IF((IFERROR(INDEX('ASIGNACIONES'!$J$4:$J$451,MATCH($O399&amp;"|"&amp;$S399&amp;"|"&amp;$AG399,'ASIGNACIONES'!$N$4:$N$451,0)),""))=0,"",IFERROR(INDEX('ASIGNACIONES'!$J$4:$J$451,MATCH($O399&amp;"|"&amp;$S399&amp;"|"&amp;$AG399,'ASIGNACIONES'!$N$4:$N$451,0)),"")))</f>
        <v/>
      </c>
      <c r="AI399" s="25">
        <f>IF($AG399="","",SUMIFS('ORDENES'!$M$4:$M$1203,'ORDENES'!$AG$4:$AG$1203,$AG399,'ORDENES'!$O$4:$O$1203,$O399,'ORDENES'!$S$4:$S$1203,$S399))</f>
        <v/>
      </c>
      <c r="AJ399" s="25">
        <f>IF($AI399="","",p_factor_productividad*IFERROR(INDEX('ASIGNACIONES'!$M$4:$M$451,MATCH($O399&amp;"|"&amp;$S399&amp;"|"&amp;$AG399,'ASIGNACIONES'!$N$4:$N$451,0)),0)-$AI399)</f>
        <v/>
      </c>
      <c r="AK399" s="18">
        <f>IF($A399="","",IFERROR(INDEX('2_IMPORTAR_EJECUCION'!$F$9:$F$1208,MATCH($AT399,'2_IMPORTAR_EJECUCION'!$J$9:$J$1208,0)),0))</f>
        <v/>
      </c>
      <c r="AL399" s="18">
        <f>IF($A399="","",MAX(0,IFERROR(INDEX('2_IMPORTAR_EJECUCION'!$H$9:$H$1208,MATCH($AT399,'2_IMPORTAR_EJECUCION'!$J$9:$J$1208,0)),0)-$AK399))</f>
        <v/>
      </c>
      <c r="AM399" s="18">
        <f>IF($A399="","",$AK399+$AL399)</f>
        <v/>
      </c>
      <c r="AN399" s="5">
        <f>IF($A399="","",IF(OR((IFERROR(INDEX('CAT_ACTIVIDADES'!$D$4:$D$11,MATCH($H399,'CAT_ACTIVIDADES'!$A$4:$A$11,0)),""))=0,(IFERROR(INDEX('CAT_ACTIVIDADES'!$D$4:$D$11,MATCH($H399,'CAT_ACTIVIDADES'!$A$4:$A$11,0)),""))=""),"SIN CLASIFICAR",IFERROR(INDEX('CAT_ACTIVIDADES'!$D$4:$D$11,MATCH($H399,'CAT_ACTIVIDADES'!$A$4:$A$11,0)),"")))</f>
        <v/>
      </c>
      <c r="AO399" s="4" t="n"/>
      <c r="AP399" s="4" t="n"/>
      <c r="AQ399" s="4" t="n"/>
      <c r="AR399" s="5">
        <f>IF($AQ399="","",HYPERLINK(p_ruta_base_checklists&amp;$AQ399,"abrir"))</f>
        <v/>
      </c>
      <c r="AS399" s="4" t="n"/>
      <c r="AT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2" t="n"/>
      <c r="K400" s="5" t="n"/>
      <c r="L400" s="18" t="n"/>
      <c r="M400" s="5">
        <f>IF($A400="","",IFERROR(INDEX('AJUSTES'!$B$4:$B$303,MATCH($AT400,'AJUSTES'!$A$4:$A$303,0)),IF($K400="","",$K400)))</f>
        <v/>
      </c>
      <c r="N400" s="5">
        <f>IF($A400="","",IFERROR(INDEX('CAT_ESTADOS_ERP'!$B$4:$B$7,MATCH(IFERROR(INDEX('2_IMPORTAR_EJECUCION'!$C$9:$C$1208,MATCH($AT400,'2_IMPORTAR_EJECUCION'!$J$9:$J$1208,0)),""),'CAT_ESTADOS_ERP'!$A$4:$A$7,0)),"Pendiente"))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IF($J400="","",$P400&amp;"-"&amp;TEXT($Q400,"00"))</f>
        <v/>
      </c>
      <c r="S400" s="5">
        <f>IF($J400="","",INDEX(lista_dias,WEEKDAY($J400,2)))</f>
        <v/>
      </c>
      <c r="T400" s="5">
        <f>IF($J400="","",IFERROR(INDEX('CALENDARIO'!$C$15:$C$214,MATCH(TEXT($J400,"yyyy-mm-dd")&amp;"|"&amp;$X400&amp;"|"&amp;$Y400,'CALENDARIO'!$G$15:$G$214,0)),IFERROR(INDEX('CALENDARIO'!$C$15:$C$214,MATCH(TEXT($J400,"yyyy-mm-dd")&amp;"|"&amp;$X400&amp;"|",'CALENDARIO'!$G$15:$G$214,0)),IFERROR(INDEX('CALENDARIO'!$C$15:$C$214,MATCH(TEXT($J400,"yyyy-mm-dd")&amp;"||",'CALENDARIO'!$G$15:$G$214,0)),INDEX(patronHabil,WEEKDAY($J400,2))))))</f>
        <v/>
      </c>
      <c r="U400" s="5">
        <f>IF($I400="","",IFERROR(INDEX('CAT_TIPOS_OT'!$C$4:$C$8,MATCH($I400,'CAT_TIPOS_OT'!$A$4:$A$8,0)),"sin_clasificar"))</f>
        <v/>
      </c>
      <c r="V400" s="5">
        <f>IF($I400="","",IF(IFERROR(INDEX('CAT_TIPOS_OT'!$D$4:$D$8,MATCH($I400,'CAT_TIPOS_OT'!$A$4:$A$8,0)),"SIN CLASIFICAR")="","SIN CLASIFICAR",IFERROR(INDEX('CAT_TIPOS_OT'!$D$4:$D$8,MATCH($I400,'CAT_TIPOS_OT'!$A$4:$A$8,0)),"SIN CLASIFICAR")))</f>
        <v/>
      </c>
      <c r="W400" s="5">
        <f>IF($F400="","",IFERROR(INDEX('CAT_CENTROS_COSTO'!$F$4:$F$13,MATCH($F400,'CAT_CENTROS_COSTO'!$A$4:$A$13,0)),"(sin catálogo)"))</f>
        <v/>
      </c>
      <c r="X400" s="5">
        <f>IF($F400="","",IFERROR(INDEX('CAT_CENTROS_COSTO'!$D$4:$D$13,MATCH($F400,'CAT_CENTROS_COSTO'!$A$4:$A$13,0)),"(sin catálogo)"))</f>
        <v/>
      </c>
      <c r="Y400" s="5">
        <f>IF($F400="","",IF((IFERROR(INDEX('CAT_CENTROS_COSTO'!$E$4:$E$13,MATCH($F400,'CAT_CENTROS_COSTO'!$A$4:$A$13,0)),""))&lt;&gt;"",IFERROR(INDEX('CAT_CENTROS_COSTO'!$E$4:$E$13,MATCH($F400,'CAT_CENTROS_COSTO'!$A$4:$A$13,0)),""),$X400))</f>
        <v/>
      </c>
      <c r="Z400" s="5">
        <f>IF($F400="","",IFERROR(INDEX('CAT_CENTROS_COSTO'!$G$4:$G$13,MATCH($F400,'CAT_CENTROS_COSTO'!$A$4:$A$13,0)),"(sin catálogo)"))</f>
        <v/>
      </c>
      <c r="AA400" s="5">
        <f>IF($G400="","",IFERROR(INDEX('CAT_PUESTOS'!$B$4:$B$8,MATCH($G400,'CAT_PUESTOS'!$A$4:$A$8,0)),"(sin catálogo)"))</f>
        <v/>
      </c>
      <c r="AB400" s="5">
        <f>IF($H400="","",IFERROR(INDEX('CAT_ACTIVIDADES'!$B$4:$B$11,MATCH($H400,'CAT_ACTIVIDADES'!$A$4:$A$11,0)),"(sin catálogo)"))</f>
        <v/>
      </c>
      <c r="AC400" s="20">
        <f>IF($J400="","",TODAY()-$J400)</f>
        <v/>
      </c>
      <c r="AD400" s="20">
        <f>IF($J400="","",IF($J400&lt;=TODAY(),COUNTIFS(cal_fechas,"&gt;="&amp;$J400,cal_fechas,"&lt;"&amp;TODAY(),cal_habil,"sí"),-COUNTIFS(cal_fechas,"&gt;="&amp;TODAY(),cal_fechas,"&lt;"&amp;$J400,cal_habil,"sí")))</f>
        <v/>
      </c>
      <c r="AE400" s="5">
        <f>IF($AD400="","",IF($AD400&lt;0,"FUTURO",IF($AD400&gt;p_dias_backlog_max,"BACKLOG","MES CORRIENTE")))</f>
        <v/>
      </c>
      <c r="AF400" s="5">
        <f>IF($AD400="",FALSE,AND($AD400&gt;p_dias_backlog_min,$AD400&lt;=p_dias_backlog_max))</f>
        <v/>
      </c>
      <c r="AG400" s="4" t="n"/>
      <c r="AH400" s="5">
        <f>IF($AG400="","",IF((IFERROR(INDEX('ASIGNACIONES'!$J$4:$J$451,MATCH($O400&amp;"|"&amp;$S400&amp;"|"&amp;$AG400,'ASIGNACIONES'!$N$4:$N$451,0)),""))=0,"",IFERROR(INDEX('ASIGNACIONES'!$J$4:$J$451,MATCH($O400&amp;"|"&amp;$S400&amp;"|"&amp;$AG400,'ASIGNACIONES'!$N$4:$N$451,0)),"")))</f>
        <v/>
      </c>
      <c r="AI400" s="25">
        <f>IF($AG400="","",SUMIFS('ORDENES'!$M$4:$M$1203,'ORDENES'!$AG$4:$AG$1203,$AG400,'ORDENES'!$O$4:$O$1203,$O400,'ORDENES'!$S$4:$S$1203,$S400))</f>
        <v/>
      </c>
      <c r="AJ400" s="25">
        <f>IF($AI400="","",p_factor_productividad*IFERROR(INDEX('ASIGNACIONES'!$M$4:$M$451,MATCH($O400&amp;"|"&amp;$S400&amp;"|"&amp;$AG400,'ASIGNACIONES'!$N$4:$N$451,0)),0)-$AI400)</f>
        <v/>
      </c>
      <c r="AK400" s="18">
        <f>IF($A400="","",IFERROR(INDEX('2_IMPORTAR_EJECUCION'!$F$9:$F$1208,MATCH($AT400,'2_IMPORTAR_EJECUCION'!$J$9:$J$1208,0)),0))</f>
        <v/>
      </c>
      <c r="AL400" s="18">
        <f>IF($A400="","",MAX(0,IFERROR(INDEX('2_IMPORTAR_EJECUCION'!$H$9:$H$1208,MATCH($AT400,'2_IMPORTAR_EJECUCION'!$J$9:$J$1208,0)),0)-$AK400))</f>
        <v/>
      </c>
      <c r="AM400" s="18">
        <f>IF($A400="","",$AK400+$AL400)</f>
        <v/>
      </c>
      <c r="AN400" s="5">
        <f>IF($A400="","",IF(OR((IFERROR(INDEX('CAT_ACTIVIDADES'!$D$4:$D$11,MATCH($H400,'CAT_ACTIVIDADES'!$A$4:$A$11,0)),""))=0,(IFERROR(INDEX('CAT_ACTIVIDADES'!$D$4:$D$11,MATCH($H400,'CAT_ACTIVIDADES'!$A$4:$A$11,0)),""))=""),"SIN CLASIFICAR",IFERROR(INDEX('CAT_ACTIVIDADES'!$D$4:$D$11,MATCH($H400,'CAT_ACTIVIDADES'!$A$4:$A$11,0)),"")))</f>
        <v/>
      </c>
      <c r="AO400" s="4" t="n"/>
      <c r="AP400" s="4" t="n"/>
      <c r="AQ400" s="4" t="n"/>
      <c r="AR400" s="5">
        <f>IF($AQ400="","",HYPERLINK(p_ruta_base_checklists&amp;$AQ400,"abrir"))</f>
        <v/>
      </c>
      <c r="AS400" s="4" t="n"/>
      <c r="AT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2" t="n"/>
      <c r="K401" s="5" t="n"/>
      <c r="L401" s="18" t="n"/>
      <c r="M401" s="5">
        <f>IF($A401="","",IFERROR(INDEX('AJUSTES'!$B$4:$B$303,MATCH($AT401,'AJUSTES'!$A$4:$A$303,0)),IF($K401="","",$K401)))</f>
        <v/>
      </c>
      <c r="N401" s="5">
        <f>IF($A401="","",IFERROR(INDEX('CAT_ESTADOS_ERP'!$B$4:$B$7,MATCH(IFERROR(INDEX('2_IMPORTAR_EJECUCION'!$C$9:$C$1208,MATCH($AT401,'2_IMPORTAR_EJECUCION'!$J$9:$J$1208,0)),""),'CAT_ESTADOS_ERP'!$A$4:$A$7,0)),"Pendiente"))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IF($J401="","",$P401&amp;"-"&amp;TEXT($Q401,"00"))</f>
        <v/>
      </c>
      <c r="S401" s="5">
        <f>IF($J401="","",INDEX(lista_dias,WEEKDAY($J401,2)))</f>
        <v/>
      </c>
      <c r="T401" s="5">
        <f>IF($J401="","",IFERROR(INDEX('CALENDARIO'!$C$15:$C$214,MATCH(TEXT($J401,"yyyy-mm-dd")&amp;"|"&amp;$X401&amp;"|"&amp;$Y401,'CALENDARIO'!$G$15:$G$214,0)),IFERROR(INDEX('CALENDARIO'!$C$15:$C$214,MATCH(TEXT($J401,"yyyy-mm-dd")&amp;"|"&amp;$X401&amp;"|",'CALENDARIO'!$G$15:$G$214,0)),IFERROR(INDEX('CALENDARIO'!$C$15:$C$214,MATCH(TEXT($J401,"yyyy-mm-dd")&amp;"||",'CALENDARIO'!$G$15:$G$214,0)),INDEX(patronHabil,WEEKDAY($J401,2))))))</f>
        <v/>
      </c>
      <c r="U401" s="5">
        <f>IF($I401="","",IFERROR(INDEX('CAT_TIPOS_OT'!$C$4:$C$8,MATCH($I401,'CAT_TIPOS_OT'!$A$4:$A$8,0)),"sin_clasificar"))</f>
        <v/>
      </c>
      <c r="V401" s="5">
        <f>IF($I401="","",IF(IFERROR(INDEX('CAT_TIPOS_OT'!$D$4:$D$8,MATCH($I401,'CAT_TIPOS_OT'!$A$4:$A$8,0)),"SIN CLASIFICAR")="","SIN CLASIFICAR",IFERROR(INDEX('CAT_TIPOS_OT'!$D$4:$D$8,MATCH($I401,'CAT_TIPOS_OT'!$A$4:$A$8,0)),"SIN CLASIFICAR")))</f>
        <v/>
      </c>
      <c r="W401" s="5">
        <f>IF($F401="","",IFERROR(INDEX('CAT_CENTROS_COSTO'!$F$4:$F$13,MATCH($F401,'CAT_CENTROS_COSTO'!$A$4:$A$13,0)),"(sin catálogo)"))</f>
        <v/>
      </c>
      <c r="X401" s="5">
        <f>IF($F401="","",IFERROR(INDEX('CAT_CENTROS_COSTO'!$D$4:$D$13,MATCH($F401,'CAT_CENTROS_COSTO'!$A$4:$A$13,0)),"(sin catálogo)"))</f>
        <v/>
      </c>
      <c r="Y401" s="5">
        <f>IF($F401="","",IF((IFERROR(INDEX('CAT_CENTROS_COSTO'!$E$4:$E$13,MATCH($F401,'CAT_CENTROS_COSTO'!$A$4:$A$13,0)),""))&lt;&gt;"",IFERROR(INDEX('CAT_CENTROS_COSTO'!$E$4:$E$13,MATCH($F401,'CAT_CENTROS_COSTO'!$A$4:$A$13,0)),""),$X401))</f>
        <v/>
      </c>
      <c r="Z401" s="5">
        <f>IF($F401="","",IFERROR(INDEX('CAT_CENTROS_COSTO'!$G$4:$G$13,MATCH($F401,'CAT_CENTROS_COSTO'!$A$4:$A$13,0)),"(sin catálogo)"))</f>
        <v/>
      </c>
      <c r="AA401" s="5">
        <f>IF($G401="","",IFERROR(INDEX('CAT_PUESTOS'!$B$4:$B$8,MATCH($G401,'CAT_PUESTOS'!$A$4:$A$8,0)),"(sin catálogo)"))</f>
        <v/>
      </c>
      <c r="AB401" s="5">
        <f>IF($H401="","",IFERROR(INDEX('CAT_ACTIVIDADES'!$B$4:$B$11,MATCH($H401,'CAT_ACTIVIDADES'!$A$4:$A$11,0)),"(sin catálogo)"))</f>
        <v/>
      </c>
      <c r="AC401" s="20">
        <f>IF($J401="","",TODAY()-$J401)</f>
        <v/>
      </c>
      <c r="AD401" s="20">
        <f>IF($J401="","",IF($J401&lt;=TODAY(),COUNTIFS(cal_fechas,"&gt;="&amp;$J401,cal_fechas,"&lt;"&amp;TODAY(),cal_habil,"sí"),-COUNTIFS(cal_fechas,"&gt;="&amp;TODAY(),cal_fechas,"&lt;"&amp;$J401,cal_habil,"sí")))</f>
        <v/>
      </c>
      <c r="AE401" s="5">
        <f>IF($AD401="","",IF($AD401&lt;0,"FUTURO",IF($AD401&gt;p_dias_backlog_max,"BACKLOG","MES CORRIENTE")))</f>
        <v/>
      </c>
      <c r="AF401" s="5">
        <f>IF($AD401="",FALSE,AND($AD401&gt;p_dias_backlog_min,$AD401&lt;=p_dias_backlog_max))</f>
        <v/>
      </c>
      <c r="AG401" s="4" t="n"/>
      <c r="AH401" s="5">
        <f>IF($AG401="","",IF((IFERROR(INDEX('ASIGNACIONES'!$J$4:$J$451,MATCH($O401&amp;"|"&amp;$S401&amp;"|"&amp;$AG401,'ASIGNACIONES'!$N$4:$N$451,0)),""))=0,"",IFERROR(INDEX('ASIGNACIONES'!$J$4:$J$451,MATCH($O401&amp;"|"&amp;$S401&amp;"|"&amp;$AG401,'ASIGNACIONES'!$N$4:$N$451,0)),"")))</f>
        <v/>
      </c>
      <c r="AI401" s="25">
        <f>IF($AG401="","",SUMIFS('ORDENES'!$M$4:$M$1203,'ORDENES'!$AG$4:$AG$1203,$AG401,'ORDENES'!$O$4:$O$1203,$O401,'ORDENES'!$S$4:$S$1203,$S401))</f>
        <v/>
      </c>
      <c r="AJ401" s="25">
        <f>IF($AI401="","",p_factor_productividad*IFERROR(INDEX('ASIGNACIONES'!$M$4:$M$451,MATCH($O401&amp;"|"&amp;$S401&amp;"|"&amp;$AG401,'ASIGNACIONES'!$N$4:$N$451,0)),0)-$AI401)</f>
        <v/>
      </c>
      <c r="AK401" s="18">
        <f>IF($A401="","",IFERROR(INDEX('2_IMPORTAR_EJECUCION'!$F$9:$F$1208,MATCH($AT401,'2_IMPORTAR_EJECUCION'!$J$9:$J$1208,0)),0))</f>
        <v/>
      </c>
      <c r="AL401" s="18">
        <f>IF($A401="","",MAX(0,IFERROR(INDEX('2_IMPORTAR_EJECUCION'!$H$9:$H$1208,MATCH($AT401,'2_IMPORTAR_EJECUCION'!$J$9:$J$1208,0)),0)-$AK401))</f>
        <v/>
      </c>
      <c r="AM401" s="18">
        <f>IF($A401="","",$AK401+$AL401)</f>
        <v/>
      </c>
      <c r="AN401" s="5">
        <f>IF($A401="","",IF(OR((IFERROR(INDEX('CAT_ACTIVIDADES'!$D$4:$D$11,MATCH($H401,'CAT_ACTIVIDADES'!$A$4:$A$11,0)),""))=0,(IFERROR(INDEX('CAT_ACTIVIDADES'!$D$4:$D$11,MATCH($H401,'CAT_ACTIVIDADES'!$A$4:$A$11,0)),""))=""),"SIN CLASIFICAR",IFERROR(INDEX('CAT_ACTIVIDADES'!$D$4:$D$11,MATCH($H401,'CAT_ACTIVIDADES'!$A$4:$A$11,0)),"")))</f>
        <v/>
      </c>
      <c r="AO401" s="4" t="n"/>
      <c r="AP401" s="4" t="n"/>
      <c r="AQ401" s="4" t="n"/>
      <c r="AR401" s="5">
        <f>IF($AQ401="","",HYPERLINK(p_ruta_base_checklists&amp;$AQ401,"abrir"))</f>
        <v/>
      </c>
      <c r="AS401" s="4" t="n"/>
      <c r="AT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2" t="n"/>
      <c r="K402" s="5" t="n"/>
      <c r="L402" s="18" t="n"/>
      <c r="M402" s="5">
        <f>IF($A402="","",IFERROR(INDEX('AJUSTES'!$B$4:$B$303,MATCH($AT402,'AJUSTES'!$A$4:$A$303,0)),IF($K402="","",$K402)))</f>
        <v/>
      </c>
      <c r="N402" s="5">
        <f>IF($A402="","",IFERROR(INDEX('CAT_ESTADOS_ERP'!$B$4:$B$7,MATCH(IFERROR(INDEX('2_IMPORTAR_EJECUCION'!$C$9:$C$1208,MATCH($AT402,'2_IMPORTAR_EJECUCION'!$J$9:$J$1208,0)),""),'CAT_ESTADOS_ERP'!$A$4:$A$7,0)),"Pendiente"))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IF($J402="","",$P402&amp;"-"&amp;TEXT($Q402,"00"))</f>
        <v/>
      </c>
      <c r="S402" s="5">
        <f>IF($J402="","",INDEX(lista_dias,WEEKDAY($J402,2)))</f>
        <v/>
      </c>
      <c r="T402" s="5">
        <f>IF($J402="","",IFERROR(INDEX('CALENDARIO'!$C$15:$C$214,MATCH(TEXT($J402,"yyyy-mm-dd")&amp;"|"&amp;$X402&amp;"|"&amp;$Y402,'CALENDARIO'!$G$15:$G$214,0)),IFERROR(INDEX('CALENDARIO'!$C$15:$C$214,MATCH(TEXT($J402,"yyyy-mm-dd")&amp;"|"&amp;$X402&amp;"|",'CALENDARIO'!$G$15:$G$214,0)),IFERROR(INDEX('CALENDARIO'!$C$15:$C$214,MATCH(TEXT($J402,"yyyy-mm-dd")&amp;"||",'CALENDARIO'!$G$15:$G$214,0)),INDEX(patronHabil,WEEKDAY($J402,2))))))</f>
        <v/>
      </c>
      <c r="U402" s="5">
        <f>IF($I402="","",IFERROR(INDEX('CAT_TIPOS_OT'!$C$4:$C$8,MATCH($I402,'CAT_TIPOS_OT'!$A$4:$A$8,0)),"sin_clasificar"))</f>
        <v/>
      </c>
      <c r="V402" s="5">
        <f>IF($I402="","",IF(IFERROR(INDEX('CAT_TIPOS_OT'!$D$4:$D$8,MATCH($I402,'CAT_TIPOS_OT'!$A$4:$A$8,0)),"SIN CLASIFICAR")="","SIN CLASIFICAR",IFERROR(INDEX('CAT_TIPOS_OT'!$D$4:$D$8,MATCH($I402,'CAT_TIPOS_OT'!$A$4:$A$8,0)),"SIN CLASIFICAR")))</f>
        <v/>
      </c>
      <c r="W402" s="5">
        <f>IF($F402="","",IFERROR(INDEX('CAT_CENTROS_COSTO'!$F$4:$F$13,MATCH($F402,'CAT_CENTROS_COSTO'!$A$4:$A$13,0)),"(sin catálogo)"))</f>
        <v/>
      </c>
      <c r="X402" s="5">
        <f>IF($F402="","",IFERROR(INDEX('CAT_CENTROS_COSTO'!$D$4:$D$13,MATCH($F402,'CAT_CENTROS_COSTO'!$A$4:$A$13,0)),"(sin catálogo)"))</f>
        <v/>
      </c>
      <c r="Y402" s="5">
        <f>IF($F402="","",IF((IFERROR(INDEX('CAT_CENTROS_COSTO'!$E$4:$E$13,MATCH($F402,'CAT_CENTROS_COSTO'!$A$4:$A$13,0)),""))&lt;&gt;"",IFERROR(INDEX('CAT_CENTROS_COSTO'!$E$4:$E$13,MATCH($F402,'CAT_CENTROS_COSTO'!$A$4:$A$13,0)),""),$X402))</f>
        <v/>
      </c>
      <c r="Z402" s="5">
        <f>IF($F402="","",IFERROR(INDEX('CAT_CENTROS_COSTO'!$G$4:$G$13,MATCH($F402,'CAT_CENTROS_COSTO'!$A$4:$A$13,0)),"(sin catálogo)"))</f>
        <v/>
      </c>
      <c r="AA402" s="5">
        <f>IF($G402="","",IFERROR(INDEX('CAT_PUESTOS'!$B$4:$B$8,MATCH($G402,'CAT_PUESTOS'!$A$4:$A$8,0)),"(sin catálogo)"))</f>
        <v/>
      </c>
      <c r="AB402" s="5">
        <f>IF($H402="","",IFERROR(INDEX('CAT_ACTIVIDADES'!$B$4:$B$11,MATCH($H402,'CAT_ACTIVIDADES'!$A$4:$A$11,0)),"(sin catálogo)"))</f>
        <v/>
      </c>
      <c r="AC402" s="20">
        <f>IF($J402="","",TODAY()-$J402)</f>
        <v/>
      </c>
      <c r="AD402" s="20">
        <f>IF($J402="","",IF($J402&lt;=TODAY(),COUNTIFS(cal_fechas,"&gt;="&amp;$J402,cal_fechas,"&lt;"&amp;TODAY(),cal_habil,"sí"),-COUNTIFS(cal_fechas,"&gt;="&amp;TODAY(),cal_fechas,"&lt;"&amp;$J402,cal_habil,"sí")))</f>
        <v/>
      </c>
      <c r="AE402" s="5">
        <f>IF($AD402="","",IF($AD402&lt;0,"FUTURO",IF($AD402&gt;p_dias_backlog_max,"BACKLOG","MES CORRIENTE")))</f>
        <v/>
      </c>
      <c r="AF402" s="5">
        <f>IF($AD402="",FALSE,AND($AD402&gt;p_dias_backlog_min,$AD402&lt;=p_dias_backlog_max))</f>
        <v/>
      </c>
      <c r="AG402" s="4" t="n"/>
      <c r="AH402" s="5">
        <f>IF($AG402="","",IF((IFERROR(INDEX('ASIGNACIONES'!$J$4:$J$451,MATCH($O402&amp;"|"&amp;$S402&amp;"|"&amp;$AG402,'ASIGNACIONES'!$N$4:$N$451,0)),""))=0,"",IFERROR(INDEX('ASIGNACIONES'!$J$4:$J$451,MATCH($O402&amp;"|"&amp;$S402&amp;"|"&amp;$AG402,'ASIGNACIONES'!$N$4:$N$451,0)),"")))</f>
        <v/>
      </c>
      <c r="AI402" s="25">
        <f>IF($AG402="","",SUMIFS('ORDENES'!$M$4:$M$1203,'ORDENES'!$AG$4:$AG$1203,$AG402,'ORDENES'!$O$4:$O$1203,$O402,'ORDENES'!$S$4:$S$1203,$S402))</f>
        <v/>
      </c>
      <c r="AJ402" s="25">
        <f>IF($AI402="","",p_factor_productividad*IFERROR(INDEX('ASIGNACIONES'!$M$4:$M$451,MATCH($O402&amp;"|"&amp;$S402&amp;"|"&amp;$AG402,'ASIGNACIONES'!$N$4:$N$451,0)),0)-$AI402)</f>
        <v/>
      </c>
      <c r="AK402" s="18">
        <f>IF($A402="","",IFERROR(INDEX('2_IMPORTAR_EJECUCION'!$F$9:$F$1208,MATCH($AT402,'2_IMPORTAR_EJECUCION'!$J$9:$J$1208,0)),0))</f>
        <v/>
      </c>
      <c r="AL402" s="18">
        <f>IF($A402="","",MAX(0,IFERROR(INDEX('2_IMPORTAR_EJECUCION'!$H$9:$H$1208,MATCH($AT402,'2_IMPORTAR_EJECUCION'!$J$9:$J$1208,0)),0)-$AK402))</f>
        <v/>
      </c>
      <c r="AM402" s="18">
        <f>IF($A402="","",$AK402+$AL402)</f>
        <v/>
      </c>
      <c r="AN402" s="5">
        <f>IF($A402="","",IF(OR((IFERROR(INDEX('CAT_ACTIVIDADES'!$D$4:$D$11,MATCH($H402,'CAT_ACTIVIDADES'!$A$4:$A$11,0)),""))=0,(IFERROR(INDEX('CAT_ACTIVIDADES'!$D$4:$D$11,MATCH($H402,'CAT_ACTIVIDADES'!$A$4:$A$11,0)),""))=""),"SIN CLASIFICAR",IFERROR(INDEX('CAT_ACTIVIDADES'!$D$4:$D$11,MATCH($H402,'CAT_ACTIVIDADES'!$A$4:$A$11,0)),"")))</f>
        <v/>
      </c>
      <c r="AO402" s="4" t="n"/>
      <c r="AP402" s="4" t="n"/>
      <c r="AQ402" s="4" t="n"/>
      <c r="AR402" s="5">
        <f>IF($AQ402="","",HYPERLINK(p_ruta_base_checklists&amp;$AQ402,"abrir"))</f>
        <v/>
      </c>
      <c r="AS402" s="4" t="n"/>
      <c r="AT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2" t="n"/>
      <c r="K403" s="5" t="n"/>
      <c r="L403" s="18" t="n"/>
      <c r="M403" s="5">
        <f>IF($A403="","",IFERROR(INDEX('AJUSTES'!$B$4:$B$303,MATCH($AT403,'AJUSTES'!$A$4:$A$303,0)),IF($K403="","",$K403)))</f>
        <v/>
      </c>
      <c r="N403" s="5">
        <f>IF($A403="","",IFERROR(INDEX('CAT_ESTADOS_ERP'!$B$4:$B$7,MATCH(IFERROR(INDEX('2_IMPORTAR_EJECUCION'!$C$9:$C$1208,MATCH($AT403,'2_IMPORTAR_EJECUCION'!$J$9:$J$1208,0)),""),'CAT_ESTADOS_ERP'!$A$4:$A$7,0)),"Pendiente"))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IF($J403="","",$P403&amp;"-"&amp;TEXT($Q403,"00"))</f>
        <v/>
      </c>
      <c r="S403" s="5">
        <f>IF($J403="","",INDEX(lista_dias,WEEKDAY($J403,2)))</f>
        <v/>
      </c>
      <c r="T403" s="5">
        <f>IF($J403="","",IFERROR(INDEX('CALENDARIO'!$C$15:$C$214,MATCH(TEXT($J403,"yyyy-mm-dd")&amp;"|"&amp;$X403&amp;"|"&amp;$Y403,'CALENDARIO'!$G$15:$G$214,0)),IFERROR(INDEX('CALENDARIO'!$C$15:$C$214,MATCH(TEXT($J403,"yyyy-mm-dd")&amp;"|"&amp;$X403&amp;"|",'CALENDARIO'!$G$15:$G$214,0)),IFERROR(INDEX('CALENDARIO'!$C$15:$C$214,MATCH(TEXT($J403,"yyyy-mm-dd")&amp;"||",'CALENDARIO'!$G$15:$G$214,0)),INDEX(patronHabil,WEEKDAY($J403,2))))))</f>
        <v/>
      </c>
      <c r="U403" s="5">
        <f>IF($I403="","",IFERROR(INDEX('CAT_TIPOS_OT'!$C$4:$C$8,MATCH($I403,'CAT_TIPOS_OT'!$A$4:$A$8,0)),"sin_clasificar"))</f>
        <v/>
      </c>
      <c r="V403" s="5">
        <f>IF($I403="","",IF(IFERROR(INDEX('CAT_TIPOS_OT'!$D$4:$D$8,MATCH($I403,'CAT_TIPOS_OT'!$A$4:$A$8,0)),"SIN CLASIFICAR")="","SIN CLASIFICAR",IFERROR(INDEX('CAT_TIPOS_OT'!$D$4:$D$8,MATCH($I403,'CAT_TIPOS_OT'!$A$4:$A$8,0)),"SIN CLASIFICAR")))</f>
        <v/>
      </c>
      <c r="W403" s="5">
        <f>IF($F403="","",IFERROR(INDEX('CAT_CENTROS_COSTO'!$F$4:$F$13,MATCH($F403,'CAT_CENTROS_COSTO'!$A$4:$A$13,0)),"(sin catálogo)"))</f>
        <v/>
      </c>
      <c r="X403" s="5">
        <f>IF($F403="","",IFERROR(INDEX('CAT_CENTROS_COSTO'!$D$4:$D$13,MATCH($F403,'CAT_CENTROS_COSTO'!$A$4:$A$13,0)),"(sin catálogo)"))</f>
        <v/>
      </c>
      <c r="Y403" s="5">
        <f>IF($F403="","",IF((IFERROR(INDEX('CAT_CENTROS_COSTO'!$E$4:$E$13,MATCH($F403,'CAT_CENTROS_COSTO'!$A$4:$A$13,0)),""))&lt;&gt;"",IFERROR(INDEX('CAT_CENTROS_COSTO'!$E$4:$E$13,MATCH($F403,'CAT_CENTROS_COSTO'!$A$4:$A$13,0)),""),$X403))</f>
        <v/>
      </c>
      <c r="Z403" s="5">
        <f>IF($F403="","",IFERROR(INDEX('CAT_CENTROS_COSTO'!$G$4:$G$13,MATCH($F403,'CAT_CENTROS_COSTO'!$A$4:$A$13,0)),"(sin catálogo)"))</f>
        <v/>
      </c>
      <c r="AA403" s="5">
        <f>IF($G403="","",IFERROR(INDEX('CAT_PUESTOS'!$B$4:$B$8,MATCH($G403,'CAT_PUESTOS'!$A$4:$A$8,0)),"(sin catálogo)"))</f>
        <v/>
      </c>
      <c r="AB403" s="5">
        <f>IF($H403="","",IFERROR(INDEX('CAT_ACTIVIDADES'!$B$4:$B$11,MATCH($H403,'CAT_ACTIVIDADES'!$A$4:$A$11,0)),"(sin catálogo)"))</f>
        <v/>
      </c>
      <c r="AC403" s="20">
        <f>IF($J403="","",TODAY()-$J403)</f>
        <v/>
      </c>
      <c r="AD403" s="20">
        <f>IF($J403="","",IF($J403&lt;=TODAY(),COUNTIFS(cal_fechas,"&gt;="&amp;$J403,cal_fechas,"&lt;"&amp;TODAY(),cal_habil,"sí"),-COUNTIFS(cal_fechas,"&gt;="&amp;TODAY(),cal_fechas,"&lt;"&amp;$J403,cal_habil,"sí")))</f>
        <v/>
      </c>
      <c r="AE403" s="5">
        <f>IF($AD403="","",IF($AD403&lt;0,"FUTURO",IF($AD403&gt;p_dias_backlog_max,"BACKLOG","MES CORRIENTE")))</f>
        <v/>
      </c>
      <c r="AF403" s="5">
        <f>IF($AD403="",FALSE,AND($AD403&gt;p_dias_backlog_min,$AD403&lt;=p_dias_backlog_max))</f>
        <v/>
      </c>
      <c r="AG403" s="4" t="n"/>
      <c r="AH403" s="5">
        <f>IF($AG403="","",IF((IFERROR(INDEX('ASIGNACIONES'!$J$4:$J$451,MATCH($O403&amp;"|"&amp;$S403&amp;"|"&amp;$AG403,'ASIGNACIONES'!$N$4:$N$451,0)),""))=0,"",IFERROR(INDEX('ASIGNACIONES'!$J$4:$J$451,MATCH($O403&amp;"|"&amp;$S403&amp;"|"&amp;$AG403,'ASIGNACIONES'!$N$4:$N$451,0)),"")))</f>
        <v/>
      </c>
      <c r="AI403" s="25">
        <f>IF($AG403="","",SUMIFS('ORDENES'!$M$4:$M$1203,'ORDENES'!$AG$4:$AG$1203,$AG403,'ORDENES'!$O$4:$O$1203,$O403,'ORDENES'!$S$4:$S$1203,$S403))</f>
        <v/>
      </c>
      <c r="AJ403" s="25">
        <f>IF($AI403="","",p_factor_productividad*IFERROR(INDEX('ASIGNACIONES'!$M$4:$M$451,MATCH($O403&amp;"|"&amp;$S403&amp;"|"&amp;$AG403,'ASIGNACIONES'!$N$4:$N$451,0)),0)-$AI403)</f>
        <v/>
      </c>
      <c r="AK403" s="18">
        <f>IF($A403="","",IFERROR(INDEX('2_IMPORTAR_EJECUCION'!$F$9:$F$1208,MATCH($AT403,'2_IMPORTAR_EJECUCION'!$J$9:$J$1208,0)),0))</f>
        <v/>
      </c>
      <c r="AL403" s="18">
        <f>IF($A403="","",MAX(0,IFERROR(INDEX('2_IMPORTAR_EJECUCION'!$H$9:$H$1208,MATCH($AT403,'2_IMPORTAR_EJECUCION'!$J$9:$J$1208,0)),0)-$AK403))</f>
        <v/>
      </c>
      <c r="AM403" s="18">
        <f>IF($A403="","",$AK403+$AL403)</f>
        <v/>
      </c>
      <c r="AN403" s="5">
        <f>IF($A403="","",IF(OR((IFERROR(INDEX('CAT_ACTIVIDADES'!$D$4:$D$11,MATCH($H403,'CAT_ACTIVIDADES'!$A$4:$A$11,0)),""))=0,(IFERROR(INDEX('CAT_ACTIVIDADES'!$D$4:$D$11,MATCH($H403,'CAT_ACTIVIDADES'!$A$4:$A$11,0)),""))=""),"SIN CLASIFICAR",IFERROR(INDEX('CAT_ACTIVIDADES'!$D$4:$D$11,MATCH($H403,'CAT_ACTIVIDADES'!$A$4:$A$11,0)),"")))</f>
        <v/>
      </c>
      <c r="AO403" s="4" t="n"/>
      <c r="AP403" s="4" t="n"/>
      <c r="AQ403" s="4" t="n"/>
      <c r="AR403" s="5">
        <f>IF($AQ403="","",HYPERLINK(p_ruta_base_checklists&amp;$AQ403,"abrir"))</f>
        <v/>
      </c>
      <c r="AS403" s="4" t="n"/>
      <c r="AT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2" t="n"/>
      <c r="K404" s="5" t="n"/>
      <c r="L404" s="18" t="n"/>
      <c r="M404" s="5">
        <f>IF($A404="","",IFERROR(INDEX('AJUSTES'!$B$4:$B$303,MATCH($AT404,'AJUSTES'!$A$4:$A$303,0)),IF($K404="","",$K404)))</f>
        <v/>
      </c>
      <c r="N404" s="5">
        <f>IF($A404="","",IFERROR(INDEX('CAT_ESTADOS_ERP'!$B$4:$B$7,MATCH(IFERROR(INDEX('2_IMPORTAR_EJECUCION'!$C$9:$C$1208,MATCH($AT404,'2_IMPORTAR_EJECUCION'!$J$9:$J$1208,0)),""),'CAT_ESTADOS_ERP'!$A$4:$A$7,0)),"Pendiente"))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IF($J404="","",$P404&amp;"-"&amp;TEXT($Q404,"00"))</f>
        <v/>
      </c>
      <c r="S404" s="5">
        <f>IF($J404="","",INDEX(lista_dias,WEEKDAY($J404,2)))</f>
        <v/>
      </c>
      <c r="T404" s="5">
        <f>IF($J404="","",IFERROR(INDEX('CALENDARIO'!$C$15:$C$214,MATCH(TEXT($J404,"yyyy-mm-dd")&amp;"|"&amp;$X404&amp;"|"&amp;$Y404,'CALENDARIO'!$G$15:$G$214,0)),IFERROR(INDEX('CALENDARIO'!$C$15:$C$214,MATCH(TEXT($J404,"yyyy-mm-dd")&amp;"|"&amp;$X404&amp;"|",'CALENDARIO'!$G$15:$G$214,0)),IFERROR(INDEX('CALENDARIO'!$C$15:$C$214,MATCH(TEXT($J404,"yyyy-mm-dd")&amp;"||",'CALENDARIO'!$G$15:$G$214,0)),INDEX(patronHabil,WEEKDAY($J404,2))))))</f>
        <v/>
      </c>
      <c r="U404" s="5">
        <f>IF($I404="","",IFERROR(INDEX('CAT_TIPOS_OT'!$C$4:$C$8,MATCH($I404,'CAT_TIPOS_OT'!$A$4:$A$8,0)),"sin_clasificar"))</f>
        <v/>
      </c>
      <c r="V404" s="5">
        <f>IF($I404="","",IF(IFERROR(INDEX('CAT_TIPOS_OT'!$D$4:$D$8,MATCH($I404,'CAT_TIPOS_OT'!$A$4:$A$8,0)),"SIN CLASIFICAR")="","SIN CLASIFICAR",IFERROR(INDEX('CAT_TIPOS_OT'!$D$4:$D$8,MATCH($I404,'CAT_TIPOS_OT'!$A$4:$A$8,0)),"SIN CLASIFICAR")))</f>
        <v/>
      </c>
      <c r="W404" s="5">
        <f>IF($F404="","",IFERROR(INDEX('CAT_CENTROS_COSTO'!$F$4:$F$13,MATCH($F404,'CAT_CENTROS_COSTO'!$A$4:$A$13,0)),"(sin catálogo)"))</f>
        <v/>
      </c>
      <c r="X404" s="5">
        <f>IF($F404="","",IFERROR(INDEX('CAT_CENTROS_COSTO'!$D$4:$D$13,MATCH($F404,'CAT_CENTROS_COSTO'!$A$4:$A$13,0)),"(sin catálogo)"))</f>
        <v/>
      </c>
      <c r="Y404" s="5">
        <f>IF($F404="","",IF((IFERROR(INDEX('CAT_CENTROS_COSTO'!$E$4:$E$13,MATCH($F404,'CAT_CENTROS_COSTO'!$A$4:$A$13,0)),""))&lt;&gt;"",IFERROR(INDEX('CAT_CENTROS_COSTO'!$E$4:$E$13,MATCH($F404,'CAT_CENTROS_COSTO'!$A$4:$A$13,0)),""),$X404))</f>
        <v/>
      </c>
      <c r="Z404" s="5">
        <f>IF($F404="","",IFERROR(INDEX('CAT_CENTROS_COSTO'!$G$4:$G$13,MATCH($F404,'CAT_CENTROS_COSTO'!$A$4:$A$13,0)),"(sin catálogo)"))</f>
        <v/>
      </c>
      <c r="AA404" s="5">
        <f>IF($G404="","",IFERROR(INDEX('CAT_PUESTOS'!$B$4:$B$8,MATCH($G404,'CAT_PUESTOS'!$A$4:$A$8,0)),"(sin catálogo)"))</f>
        <v/>
      </c>
      <c r="AB404" s="5">
        <f>IF($H404="","",IFERROR(INDEX('CAT_ACTIVIDADES'!$B$4:$B$11,MATCH($H404,'CAT_ACTIVIDADES'!$A$4:$A$11,0)),"(sin catálogo)"))</f>
        <v/>
      </c>
      <c r="AC404" s="20">
        <f>IF($J404="","",TODAY()-$J404)</f>
        <v/>
      </c>
      <c r="AD404" s="20">
        <f>IF($J404="","",IF($J404&lt;=TODAY(),COUNTIFS(cal_fechas,"&gt;="&amp;$J404,cal_fechas,"&lt;"&amp;TODAY(),cal_habil,"sí"),-COUNTIFS(cal_fechas,"&gt;="&amp;TODAY(),cal_fechas,"&lt;"&amp;$J404,cal_habil,"sí")))</f>
        <v/>
      </c>
      <c r="AE404" s="5">
        <f>IF($AD404="","",IF($AD404&lt;0,"FUTURO",IF($AD404&gt;p_dias_backlog_max,"BACKLOG","MES CORRIENTE")))</f>
        <v/>
      </c>
      <c r="AF404" s="5">
        <f>IF($AD404="",FALSE,AND($AD404&gt;p_dias_backlog_min,$AD404&lt;=p_dias_backlog_max))</f>
        <v/>
      </c>
      <c r="AG404" s="4" t="n"/>
      <c r="AH404" s="5">
        <f>IF($AG404="","",IF((IFERROR(INDEX('ASIGNACIONES'!$J$4:$J$451,MATCH($O404&amp;"|"&amp;$S404&amp;"|"&amp;$AG404,'ASIGNACIONES'!$N$4:$N$451,0)),""))=0,"",IFERROR(INDEX('ASIGNACIONES'!$J$4:$J$451,MATCH($O404&amp;"|"&amp;$S404&amp;"|"&amp;$AG404,'ASIGNACIONES'!$N$4:$N$451,0)),"")))</f>
        <v/>
      </c>
      <c r="AI404" s="25">
        <f>IF($AG404="","",SUMIFS('ORDENES'!$M$4:$M$1203,'ORDENES'!$AG$4:$AG$1203,$AG404,'ORDENES'!$O$4:$O$1203,$O404,'ORDENES'!$S$4:$S$1203,$S404))</f>
        <v/>
      </c>
      <c r="AJ404" s="25">
        <f>IF($AI404="","",p_factor_productividad*IFERROR(INDEX('ASIGNACIONES'!$M$4:$M$451,MATCH($O404&amp;"|"&amp;$S404&amp;"|"&amp;$AG404,'ASIGNACIONES'!$N$4:$N$451,0)),0)-$AI404)</f>
        <v/>
      </c>
      <c r="AK404" s="18">
        <f>IF($A404="","",IFERROR(INDEX('2_IMPORTAR_EJECUCION'!$F$9:$F$1208,MATCH($AT404,'2_IMPORTAR_EJECUCION'!$J$9:$J$1208,0)),0))</f>
        <v/>
      </c>
      <c r="AL404" s="18">
        <f>IF($A404="","",MAX(0,IFERROR(INDEX('2_IMPORTAR_EJECUCION'!$H$9:$H$1208,MATCH($AT404,'2_IMPORTAR_EJECUCION'!$J$9:$J$1208,0)),0)-$AK404))</f>
        <v/>
      </c>
      <c r="AM404" s="18">
        <f>IF($A404="","",$AK404+$AL404)</f>
        <v/>
      </c>
      <c r="AN404" s="5">
        <f>IF($A404="","",IF(OR((IFERROR(INDEX('CAT_ACTIVIDADES'!$D$4:$D$11,MATCH($H404,'CAT_ACTIVIDADES'!$A$4:$A$11,0)),""))=0,(IFERROR(INDEX('CAT_ACTIVIDADES'!$D$4:$D$11,MATCH($H404,'CAT_ACTIVIDADES'!$A$4:$A$11,0)),""))=""),"SIN CLASIFICAR",IFERROR(INDEX('CAT_ACTIVIDADES'!$D$4:$D$11,MATCH($H404,'CAT_ACTIVIDADES'!$A$4:$A$11,0)),"")))</f>
        <v/>
      </c>
      <c r="AO404" s="4" t="n"/>
      <c r="AP404" s="4" t="n"/>
      <c r="AQ404" s="4" t="n"/>
      <c r="AR404" s="5">
        <f>IF($AQ404="","",HYPERLINK(p_ruta_base_checklists&amp;$AQ404,"abrir"))</f>
        <v/>
      </c>
      <c r="AS404" s="4" t="n"/>
      <c r="AT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2" t="n"/>
      <c r="K405" s="5" t="n"/>
      <c r="L405" s="18" t="n"/>
      <c r="M405" s="5">
        <f>IF($A405="","",IFERROR(INDEX('AJUSTES'!$B$4:$B$303,MATCH($AT405,'AJUSTES'!$A$4:$A$303,0)),IF($K405="","",$K405)))</f>
        <v/>
      </c>
      <c r="N405" s="5">
        <f>IF($A405="","",IFERROR(INDEX('CAT_ESTADOS_ERP'!$B$4:$B$7,MATCH(IFERROR(INDEX('2_IMPORTAR_EJECUCION'!$C$9:$C$1208,MATCH($AT405,'2_IMPORTAR_EJECUCION'!$J$9:$J$1208,0)),""),'CAT_ESTADOS_ERP'!$A$4:$A$7,0)),"Pendiente"))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IF($J405="","",$P405&amp;"-"&amp;TEXT($Q405,"00"))</f>
        <v/>
      </c>
      <c r="S405" s="5">
        <f>IF($J405="","",INDEX(lista_dias,WEEKDAY($J405,2)))</f>
        <v/>
      </c>
      <c r="T405" s="5">
        <f>IF($J405="","",IFERROR(INDEX('CALENDARIO'!$C$15:$C$214,MATCH(TEXT($J405,"yyyy-mm-dd")&amp;"|"&amp;$X405&amp;"|"&amp;$Y405,'CALENDARIO'!$G$15:$G$214,0)),IFERROR(INDEX('CALENDARIO'!$C$15:$C$214,MATCH(TEXT($J405,"yyyy-mm-dd")&amp;"|"&amp;$X405&amp;"|",'CALENDARIO'!$G$15:$G$214,0)),IFERROR(INDEX('CALENDARIO'!$C$15:$C$214,MATCH(TEXT($J405,"yyyy-mm-dd")&amp;"||",'CALENDARIO'!$G$15:$G$214,0)),INDEX(patronHabil,WEEKDAY($J405,2))))))</f>
        <v/>
      </c>
      <c r="U405" s="5">
        <f>IF($I405="","",IFERROR(INDEX('CAT_TIPOS_OT'!$C$4:$C$8,MATCH($I405,'CAT_TIPOS_OT'!$A$4:$A$8,0)),"sin_clasificar"))</f>
        <v/>
      </c>
      <c r="V405" s="5">
        <f>IF($I405="","",IF(IFERROR(INDEX('CAT_TIPOS_OT'!$D$4:$D$8,MATCH($I405,'CAT_TIPOS_OT'!$A$4:$A$8,0)),"SIN CLASIFICAR")="","SIN CLASIFICAR",IFERROR(INDEX('CAT_TIPOS_OT'!$D$4:$D$8,MATCH($I405,'CAT_TIPOS_OT'!$A$4:$A$8,0)),"SIN CLASIFICAR")))</f>
        <v/>
      </c>
      <c r="W405" s="5">
        <f>IF($F405="","",IFERROR(INDEX('CAT_CENTROS_COSTO'!$F$4:$F$13,MATCH($F405,'CAT_CENTROS_COSTO'!$A$4:$A$13,0)),"(sin catálogo)"))</f>
        <v/>
      </c>
      <c r="X405" s="5">
        <f>IF($F405="","",IFERROR(INDEX('CAT_CENTROS_COSTO'!$D$4:$D$13,MATCH($F405,'CAT_CENTROS_COSTO'!$A$4:$A$13,0)),"(sin catálogo)"))</f>
        <v/>
      </c>
      <c r="Y405" s="5">
        <f>IF($F405="","",IF((IFERROR(INDEX('CAT_CENTROS_COSTO'!$E$4:$E$13,MATCH($F405,'CAT_CENTROS_COSTO'!$A$4:$A$13,0)),""))&lt;&gt;"",IFERROR(INDEX('CAT_CENTROS_COSTO'!$E$4:$E$13,MATCH($F405,'CAT_CENTROS_COSTO'!$A$4:$A$13,0)),""),$X405))</f>
        <v/>
      </c>
      <c r="Z405" s="5">
        <f>IF($F405="","",IFERROR(INDEX('CAT_CENTROS_COSTO'!$G$4:$G$13,MATCH($F405,'CAT_CENTROS_COSTO'!$A$4:$A$13,0)),"(sin catálogo)"))</f>
        <v/>
      </c>
      <c r="AA405" s="5">
        <f>IF($G405="","",IFERROR(INDEX('CAT_PUESTOS'!$B$4:$B$8,MATCH($G405,'CAT_PUESTOS'!$A$4:$A$8,0)),"(sin catálogo)"))</f>
        <v/>
      </c>
      <c r="AB405" s="5">
        <f>IF($H405="","",IFERROR(INDEX('CAT_ACTIVIDADES'!$B$4:$B$11,MATCH($H405,'CAT_ACTIVIDADES'!$A$4:$A$11,0)),"(sin catálogo)"))</f>
        <v/>
      </c>
      <c r="AC405" s="20">
        <f>IF($J405="","",TODAY()-$J405)</f>
        <v/>
      </c>
      <c r="AD405" s="20">
        <f>IF($J405="","",IF($J405&lt;=TODAY(),COUNTIFS(cal_fechas,"&gt;="&amp;$J405,cal_fechas,"&lt;"&amp;TODAY(),cal_habil,"sí"),-COUNTIFS(cal_fechas,"&gt;="&amp;TODAY(),cal_fechas,"&lt;"&amp;$J405,cal_habil,"sí")))</f>
        <v/>
      </c>
      <c r="AE405" s="5">
        <f>IF($AD405="","",IF($AD405&lt;0,"FUTURO",IF($AD405&gt;p_dias_backlog_max,"BACKLOG","MES CORRIENTE")))</f>
        <v/>
      </c>
      <c r="AF405" s="5">
        <f>IF($AD405="",FALSE,AND($AD405&gt;p_dias_backlog_min,$AD405&lt;=p_dias_backlog_max))</f>
        <v/>
      </c>
      <c r="AG405" s="4" t="n"/>
      <c r="AH405" s="5">
        <f>IF($AG405="","",IF((IFERROR(INDEX('ASIGNACIONES'!$J$4:$J$451,MATCH($O405&amp;"|"&amp;$S405&amp;"|"&amp;$AG405,'ASIGNACIONES'!$N$4:$N$451,0)),""))=0,"",IFERROR(INDEX('ASIGNACIONES'!$J$4:$J$451,MATCH($O405&amp;"|"&amp;$S405&amp;"|"&amp;$AG405,'ASIGNACIONES'!$N$4:$N$451,0)),"")))</f>
        <v/>
      </c>
      <c r="AI405" s="25">
        <f>IF($AG405="","",SUMIFS('ORDENES'!$M$4:$M$1203,'ORDENES'!$AG$4:$AG$1203,$AG405,'ORDENES'!$O$4:$O$1203,$O405,'ORDENES'!$S$4:$S$1203,$S405))</f>
        <v/>
      </c>
      <c r="AJ405" s="25">
        <f>IF($AI405="","",p_factor_productividad*IFERROR(INDEX('ASIGNACIONES'!$M$4:$M$451,MATCH($O405&amp;"|"&amp;$S405&amp;"|"&amp;$AG405,'ASIGNACIONES'!$N$4:$N$451,0)),0)-$AI405)</f>
        <v/>
      </c>
      <c r="AK405" s="18">
        <f>IF($A405="","",IFERROR(INDEX('2_IMPORTAR_EJECUCION'!$F$9:$F$1208,MATCH($AT405,'2_IMPORTAR_EJECUCION'!$J$9:$J$1208,0)),0))</f>
        <v/>
      </c>
      <c r="AL405" s="18">
        <f>IF($A405="","",MAX(0,IFERROR(INDEX('2_IMPORTAR_EJECUCION'!$H$9:$H$1208,MATCH($AT405,'2_IMPORTAR_EJECUCION'!$J$9:$J$1208,0)),0)-$AK405))</f>
        <v/>
      </c>
      <c r="AM405" s="18">
        <f>IF($A405="","",$AK405+$AL405)</f>
        <v/>
      </c>
      <c r="AN405" s="5">
        <f>IF($A405="","",IF(OR((IFERROR(INDEX('CAT_ACTIVIDADES'!$D$4:$D$11,MATCH($H405,'CAT_ACTIVIDADES'!$A$4:$A$11,0)),""))=0,(IFERROR(INDEX('CAT_ACTIVIDADES'!$D$4:$D$11,MATCH($H405,'CAT_ACTIVIDADES'!$A$4:$A$11,0)),""))=""),"SIN CLASIFICAR",IFERROR(INDEX('CAT_ACTIVIDADES'!$D$4:$D$11,MATCH($H405,'CAT_ACTIVIDADES'!$A$4:$A$11,0)),"")))</f>
        <v/>
      </c>
      <c r="AO405" s="4" t="n"/>
      <c r="AP405" s="4" t="n"/>
      <c r="AQ405" s="4" t="n"/>
      <c r="AR405" s="5">
        <f>IF($AQ405="","",HYPERLINK(p_ruta_base_checklists&amp;$AQ405,"abrir"))</f>
        <v/>
      </c>
      <c r="AS405" s="4" t="n"/>
      <c r="AT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2" t="n"/>
      <c r="K406" s="5" t="n"/>
      <c r="L406" s="18" t="n"/>
      <c r="M406" s="5">
        <f>IF($A406="","",IFERROR(INDEX('AJUSTES'!$B$4:$B$303,MATCH($AT406,'AJUSTES'!$A$4:$A$303,0)),IF($K406="","",$K406)))</f>
        <v/>
      </c>
      <c r="N406" s="5">
        <f>IF($A406="","",IFERROR(INDEX('CAT_ESTADOS_ERP'!$B$4:$B$7,MATCH(IFERROR(INDEX('2_IMPORTAR_EJECUCION'!$C$9:$C$1208,MATCH($AT406,'2_IMPORTAR_EJECUCION'!$J$9:$J$1208,0)),""),'CAT_ESTADOS_ERP'!$A$4:$A$7,0)),"Pendiente"))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IF($J406="","",$P406&amp;"-"&amp;TEXT($Q406,"00"))</f>
        <v/>
      </c>
      <c r="S406" s="5">
        <f>IF($J406="","",INDEX(lista_dias,WEEKDAY($J406,2)))</f>
        <v/>
      </c>
      <c r="T406" s="5">
        <f>IF($J406="","",IFERROR(INDEX('CALENDARIO'!$C$15:$C$214,MATCH(TEXT($J406,"yyyy-mm-dd")&amp;"|"&amp;$X406&amp;"|"&amp;$Y406,'CALENDARIO'!$G$15:$G$214,0)),IFERROR(INDEX('CALENDARIO'!$C$15:$C$214,MATCH(TEXT($J406,"yyyy-mm-dd")&amp;"|"&amp;$X406&amp;"|",'CALENDARIO'!$G$15:$G$214,0)),IFERROR(INDEX('CALENDARIO'!$C$15:$C$214,MATCH(TEXT($J406,"yyyy-mm-dd")&amp;"||",'CALENDARIO'!$G$15:$G$214,0)),INDEX(patronHabil,WEEKDAY($J406,2))))))</f>
        <v/>
      </c>
      <c r="U406" s="5">
        <f>IF($I406="","",IFERROR(INDEX('CAT_TIPOS_OT'!$C$4:$C$8,MATCH($I406,'CAT_TIPOS_OT'!$A$4:$A$8,0)),"sin_clasificar"))</f>
        <v/>
      </c>
      <c r="V406" s="5">
        <f>IF($I406="","",IF(IFERROR(INDEX('CAT_TIPOS_OT'!$D$4:$D$8,MATCH($I406,'CAT_TIPOS_OT'!$A$4:$A$8,0)),"SIN CLASIFICAR")="","SIN CLASIFICAR",IFERROR(INDEX('CAT_TIPOS_OT'!$D$4:$D$8,MATCH($I406,'CAT_TIPOS_OT'!$A$4:$A$8,0)),"SIN CLASIFICAR")))</f>
        <v/>
      </c>
      <c r="W406" s="5">
        <f>IF($F406="","",IFERROR(INDEX('CAT_CENTROS_COSTO'!$F$4:$F$13,MATCH($F406,'CAT_CENTROS_COSTO'!$A$4:$A$13,0)),"(sin catálogo)"))</f>
        <v/>
      </c>
      <c r="X406" s="5">
        <f>IF($F406="","",IFERROR(INDEX('CAT_CENTROS_COSTO'!$D$4:$D$13,MATCH($F406,'CAT_CENTROS_COSTO'!$A$4:$A$13,0)),"(sin catálogo)"))</f>
        <v/>
      </c>
      <c r="Y406" s="5">
        <f>IF($F406="","",IF((IFERROR(INDEX('CAT_CENTROS_COSTO'!$E$4:$E$13,MATCH($F406,'CAT_CENTROS_COSTO'!$A$4:$A$13,0)),""))&lt;&gt;"",IFERROR(INDEX('CAT_CENTROS_COSTO'!$E$4:$E$13,MATCH($F406,'CAT_CENTROS_COSTO'!$A$4:$A$13,0)),""),$X406))</f>
        <v/>
      </c>
      <c r="Z406" s="5">
        <f>IF($F406="","",IFERROR(INDEX('CAT_CENTROS_COSTO'!$G$4:$G$13,MATCH($F406,'CAT_CENTROS_COSTO'!$A$4:$A$13,0)),"(sin catálogo)"))</f>
        <v/>
      </c>
      <c r="AA406" s="5">
        <f>IF($G406="","",IFERROR(INDEX('CAT_PUESTOS'!$B$4:$B$8,MATCH($G406,'CAT_PUESTOS'!$A$4:$A$8,0)),"(sin catálogo)"))</f>
        <v/>
      </c>
      <c r="AB406" s="5">
        <f>IF($H406="","",IFERROR(INDEX('CAT_ACTIVIDADES'!$B$4:$B$11,MATCH($H406,'CAT_ACTIVIDADES'!$A$4:$A$11,0)),"(sin catálogo)"))</f>
        <v/>
      </c>
      <c r="AC406" s="20">
        <f>IF($J406="","",TODAY()-$J406)</f>
        <v/>
      </c>
      <c r="AD406" s="20">
        <f>IF($J406="","",IF($J406&lt;=TODAY(),COUNTIFS(cal_fechas,"&gt;="&amp;$J406,cal_fechas,"&lt;"&amp;TODAY(),cal_habil,"sí"),-COUNTIFS(cal_fechas,"&gt;="&amp;TODAY(),cal_fechas,"&lt;"&amp;$J406,cal_habil,"sí")))</f>
        <v/>
      </c>
      <c r="AE406" s="5">
        <f>IF($AD406="","",IF($AD406&lt;0,"FUTURO",IF($AD406&gt;p_dias_backlog_max,"BACKLOG","MES CORRIENTE")))</f>
        <v/>
      </c>
      <c r="AF406" s="5">
        <f>IF($AD406="",FALSE,AND($AD406&gt;p_dias_backlog_min,$AD406&lt;=p_dias_backlog_max))</f>
        <v/>
      </c>
      <c r="AG406" s="4" t="n"/>
      <c r="AH406" s="5">
        <f>IF($AG406="","",IF((IFERROR(INDEX('ASIGNACIONES'!$J$4:$J$451,MATCH($O406&amp;"|"&amp;$S406&amp;"|"&amp;$AG406,'ASIGNACIONES'!$N$4:$N$451,0)),""))=0,"",IFERROR(INDEX('ASIGNACIONES'!$J$4:$J$451,MATCH($O406&amp;"|"&amp;$S406&amp;"|"&amp;$AG406,'ASIGNACIONES'!$N$4:$N$451,0)),"")))</f>
        <v/>
      </c>
      <c r="AI406" s="25">
        <f>IF($AG406="","",SUMIFS('ORDENES'!$M$4:$M$1203,'ORDENES'!$AG$4:$AG$1203,$AG406,'ORDENES'!$O$4:$O$1203,$O406,'ORDENES'!$S$4:$S$1203,$S406))</f>
        <v/>
      </c>
      <c r="AJ406" s="25">
        <f>IF($AI406="","",p_factor_productividad*IFERROR(INDEX('ASIGNACIONES'!$M$4:$M$451,MATCH($O406&amp;"|"&amp;$S406&amp;"|"&amp;$AG406,'ASIGNACIONES'!$N$4:$N$451,0)),0)-$AI406)</f>
        <v/>
      </c>
      <c r="AK406" s="18">
        <f>IF($A406="","",IFERROR(INDEX('2_IMPORTAR_EJECUCION'!$F$9:$F$1208,MATCH($AT406,'2_IMPORTAR_EJECUCION'!$J$9:$J$1208,0)),0))</f>
        <v/>
      </c>
      <c r="AL406" s="18">
        <f>IF($A406="","",MAX(0,IFERROR(INDEX('2_IMPORTAR_EJECUCION'!$H$9:$H$1208,MATCH($AT406,'2_IMPORTAR_EJECUCION'!$J$9:$J$1208,0)),0)-$AK406))</f>
        <v/>
      </c>
      <c r="AM406" s="18">
        <f>IF($A406="","",$AK406+$AL406)</f>
        <v/>
      </c>
      <c r="AN406" s="5">
        <f>IF($A406="","",IF(OR((IFERROR(INDEX('CAT_ACTIVIDADES'!$D$4:$D$11,MATCH($H406,'CAT_ACTIVIDADES'!$A$4:$A$11,0)),""))=0,(IFERROR(INDEX('CAT_ACTIVIDADES'!$D$4:$D$11,MATCH($H406,'CAT_ACTIVIDADES'!$A$4:$A$11,0)),""))=""),"SIN CLASIFICAR",IFERROR(INDEX('CAT_ACTIVIDADES'!$D$4:$D$11,MATCH($H406,'CAT_ACTIVIDADES'!$A$4:$A$11,0)),"")))</f>
        <v/>
      </c>
      <c r="AO406" s="4" t="n"/>
      <c r="AP406" s="4" t="n"/>
      <c r="AQ406" s="4" t="n"/>
      <c r="AR406" s="5">
        <f>IF($AQ406="","",HYPERLINK(p_ruta_base_checklists&amp;$AQ406,"abrir"))</f>
        <v/>
      </c>
      <c r="AS406" s="4" t="n"/>
      <c r="AT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2" t="n"/>
      <c r="K407" s="5" t="n"/>
      <c r="L407" s="18" t="n"/>
      <c r="M407" s="5">
        <f>IF($A407="","",IFERROR(INDEX('AJUSTES'!$B$4:$B$303,MATCH($AT407,'AJUSTES'!$A$4:$A$303,0)),IF($K407="","",$K407)))</f>
        <v/>
      </c>
      <c r="N407" s="5">
        <f>IF($A407="","",IFERROR(INDEX('CAT_ESTADOS_ERP'!$B$4:$B$7,MATCH(IFERROR(INDEX('2_IMPORTAR_EJECUCION'!$C$9:$C$1208,MATCH($AT407,'2_IMPORTAR_EJECUCION'!$J$9:$J$1208,0)),""),'CAT_ESTADOS_ERP'!$A$4:$A$7,0)),"Pendiente"))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IF($J407="","",$P407&amp;"-"&amp;TEXT($Q407,"00"))</f>
        <v/>
      </c>
      <c r="S407" s="5">
        <f>IF($J407="","",INDEX(lista_dias,WEEKDAY($J407,2)))</f>
        <v/>
      </c>
      <c r="T407" s="5">
        <f>IF($J407="","",IFERROR(INDEX('CALENDARIO'!$C$15:$C$214,MATCH(TEXT($J407,"yyyy-mm-dd")&amp;"|"&amp;$X407&amp;"|"&amp;$Y407,'CALENDARIO'!$G$15:$G$214,0)),IFERROR(INDEX('CALENDARIO'!$C$15:$C$214,MATCH(TEXT($J407,"yyyy-mm-dd")&amp;"|"&amp;$X407&amp;"|",'CALENDARIO'!$G$15:$G$214,0)),IFERROR(INDEX('CALENDARIO'!$C$15:$C$214,MATCH(TEXT($J407,"yyyy-mm-dd")&amp;"||",'CALENDARIO'!$G$15:$G$214,0)),INDEX(patronHabil,WEEKDAY($J407,2))))))</f>
        <v/>
      </c>
      <c r="U407" s="5">
        <f>IF($I407="","",IFERROR(INDEX('CAT_TIPOS_OT'!$C$4:$C$8,MATCH($I407,'CAT_TIPOS_OT'!$A$4:$A$8,0)),"sin_clasificar"))</f>
        <v/>
      </c>
      <c r="V407" s="5">
        <f>IF($I407="","",IF(IFERROR(INDEX('CAT_TIPOS_OT'!$D$4:$D$8,MATCH($I407,'CAT_TIPOS_OT'!$A$4:$A$8,0)),"SIN CLASIFICAR")="","SIN CLASIFICAR",IFERROR(INDEX('CAT_TIPOS_OT'!$D$4:$D$8,MATCH($I407,'CAT_TIPOS_OT'!$A$4:$A$8,0)),"SIN CLASIFICAR")))</f>
        <v/>
      </c>
      <c r="W407" s="5">
        <f>IF($F407="","",IFERROR(INDEX('CAT_CENTROS_COSTO'!$F$4:$F$13,MATCH($F407,'CAT_CENTROS_COSTO'!$A$4:$A$13,0)),"(sin catálogo)"))</f>
        <v/>
      </c>
      <c r="X407" s="5">
        <f>IF($F407="","",IFERROR(INDEX('CAT_CENTROS_COSTO'!$D$4:$D$13,MATCH($F407,'CAT_CENTROS_COSTO'!$A$4:$A$13,0)),"(sin catálogo)"))</f>
        <v/>
      </c>
      <c r="Y407" s="5">
        <f>IF($F407="","",IF((IFERROR(INDEX('CAT_CENTROS_COSTO'!$E$4:$E$13,MATCH($F407,'CAT_CENTROS_COSTO'!$A$4:$A$13,0)),""))&lt;&gt;"",IFERROR(INDEX('CAT_CENTROS_COSTO'!$E$4:$E$13,MATCH($F407,'CAT_CENTROS_COSTO'!$A$4:$A$13,0)),""),$X407))</f>
        <v/>
      </c>
      <c r="Z407" s="5">
        <f>IF($F407="","",IFERROR(INDEX('CAT_CENTROS_COSTO'!$G$4:$G$13,MATCH($F407,'CAT_CENTROS_COSTO'!$A$4:$A$13,0)),"(sin catálogo)"))</f>
        <v/>
      </c>
      <c r="AA407" s="5">
        <f>IF($G407="","",IFERROR(INDEX('CAT_PUESTOS'!$B$4:$B$8,MATCH($G407,'CAT_PUESTOS'!$A$4:$A$8,0)),"(sin catálogo)"))</f>
        <v/>
      </c>
      <c r="AB407" s="5">
        <f>IF($H407="","",IFERROR(INDEX('CAT_ACTIVIDADES'!$B$4:$B$11,MATCH($H407,'CAT_ACTIVIDADES'!$A$4:$A$11,0)),"(sin catálogo)"))</f>
        <v/>
      </c>
      <c r="AC407" s="20">
        <f>IF($J407="","",TODAY()-$J407)</f>
        <v/>
      </c>
      <c r="AD407" s="20">
        <f>IF($J407="","",IF($J407&lt;=TODAY(),COUNTIFS(cal_fechas,"&gt;="&amp;$J407,cal_fechas,"&lt;"&amp;TODAY(),cal_habil,"sí"),-COUNTIFS(cal_fechas,"&gt;="&amp;TODAY(),cal_fechas,"&lt;"&amp;$J407,cal_habil,"sí")))</f>
        <v/>
      </c>
      <c r="AE407" s="5">
        <f>IF($AD407="","",IF($AD407&lt;0,"FUTURO",IF($AD407&gt;p_dias_backlog_max,"BACKLOG","MES CORRIENTE")))</f>
        <v/>
      </c>
      <c r="AF407" s="5">
        <f>IF($AD407="",FALSE,AND($AD407&gt;p_dias_backlog_min,$AD407&lt;=p_dias_backlog_max))</f>
        <v/>
      </c>
      <c r="AG407" s="4" t="n"/>
      <c r="AH407" s="5">
        <f>IF($AG407="","",IF((IFERROR(INDEX('ASIGNACIONES'!$J$4:$J$451,MATCH($O407&amp;"|"&amp;$S407&amp;"|"&amp;$AG407,'ASIGNACIONES'!$N$4:$N$451,0)),""))=0,"",IFERROR(INDEX('ASIGNACIONES'!$J$4:$J$451,MATCH($O407&amp;"|"&amp;$S407&amp;"|"&amp;$AG407,'ASIGNACIONES'!$N$4:$N$451,0)),"")))</f>
        <v/>
      </c>
      <c r="AI407" s="25">
        <f>IF($AG407="","",SUMIFS('ORDENES'!$M$4:$M$1203,'ORDENES'!$AG$4:$AG$1203,$AG407,'ORDENES'!$O$4:$O$1203,$O407,'ORDENES'!$S$4:$S$1203,$S407))</f>
        <v/>
      </c>
      <c r="AJ407" s="25">
        <f>IF($AI407="","",p_factor_productividad*IFERROR(INDEX('ASIGNACIONES'!$M$4:$M$451,MATCH($O407&amp;"|"&amp;$S407&amp;"|"&amp;$AG407,'ASIGNACIONES'!$N$4:$N$451,0)),0)-$AI407)</f>
        <v/>
      </c>
      <c r="AK407" s="18">
        <f>IF($A407="","",IFERROR(INDEX('2_IMPORTAR_EJECUCION'!$F$9:$F$1208,MATCH($AT407,'2_IMPORTAR_EJECUCION'!$J$9:$J$1208,0)),0))</f>
        <v/>
      </c>
      <c r="AL407" s="18">
        <f>IF($A407="","",MAX(0,IFERROR(INDEX('2_IMPORTAR_EJECUCION'!$H$9:$H$1208,MATCH($AT407,'2_IMPORTAR_EJECUCION'!$J$9:$J$1208,0)),0)-$AK407))</f>
        <v/>
      </c>
      <c r="AM407" s="18">
        <f>IF($A407="","",$AK407+$AL407)</f>
        <v/>
      </c>
      <c r="AN407" s="5">
        <f>IF($A407="","",IF(OR((IFERROR(INDEX('CAT_ACTIVIDADES'!$D$4:$D$11,MATCH($H407,'CAT_ACTIVIDADES'!$A$4:$A$11,0)),""))=0,(IFERROR(INDEX('CAT_ACTIVIDADES'!$D$4:$D$11,MATCH($H407,'CAT_ACTIVIDADES'!$A$4:$A$11,0)),""))=""),"SIN CLASIFICAR",IFERROR(INDEX('CAT_ACTIVIDADES'!$D$4:$D$11,MATCH($H407,'CAT_ACTIVIDADES'!$A$4:$A$11,0)),"")))</f>
        <v/>
      </c>
      <c r="AO407" s="4" t="n"/>
      <c r="AP407" s="4" t="n"/>
      <c r="AQ407" s="4" t="n"/>
      <c r="AR407" s="5">
        <f>IF($AQ407="","",HYPERLINK(p_ruta_base_checklists&amp;$AQ407,"abrir"))</f>
        <v/>
      </c>
      <c r="AS407" s="4" t="n"/>
      <c r="AT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2" t="n"/>
      <c r="K408" s="5" t="n"/>
      <c r="L408" s="18" t="n"/>
      <c r="M408" s="5">
        <f>IF($A408="","",IFERROR(INDEX('AJUSTES'!$B$4:$B$303,MATCH($AT408,'AJUSTES'!$A$4:$A$303,0)),IF($K408="","",$K408)))</f>
        <v/>
      </c>
      <c r="N408" s="5">
        <f>IF($A408="","",IFERROR(INDEX('CAT_ESTADOS_ERP'!$B$4:$B$7,MATCH(IFERROR(INDEX('2_IMPORTAR_EJECUCION'!$C$9:$C$1208,MATCH($AT408,'2_IMPORTAR_EJECUCION'!$J$9:$J$1208,0)),""),'CAT_ESTADOS_ERP'!$A$4:$A$7,0)),"Pendiente"))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IF($J408="","",$P408&amp;"-"&amp;TEXT($Q408,"00"))</f>
        <v/>
      </c>
      <c r="S408" s="5">
        <f>IF($J408="","",INDEX(lista_dias,WEEKDAY($J408,2)))</f>
        <v/>
      </c>
      <c r="T408" s="5">
        <f>IF($J408="","",IFERROR(INDEX('CALENDARIO'!$C$15:$C$214,MATCH(TEXT($J408,"yyyy-mm-dd")&amp;"|"&amp;$X408&amp;"|"&amp;$Y408,'CALENDARIO'!$G$15:$G$214,0)),IFERROR(INDEX('CALENDARIO'!$C$15:$C$214,MATCH(TEXT($J408,"yyyy-mm-dd")&amp;"|"&amp;$X408&amp;"|",'CALENDARIO'!$G$15:$G$214,0)),IFERROR(INDEX('CALENDARIO'!$C$15:$C$214,MATCH(TEXT($J408,"yyyy-mm-dd")&amp;"||",'CALENDARIO'!$G$15:$G$214,0)),INDEX(patronHabil,WEEKDAY($J408,2))))))</f>
        <v/>
      </c>
      <c r="U408" s="5">
        <f>IF($I408="","",IFERROR(INDEX('CAT_TIPOS_OT'!$C$4:$C$8,MATCH($I408,'CAT_TIPOS_OT'!$A$4:$A$8,0)),"sin_clasificar"))</f>
        <v/>
      </c>
      <c r="V408" s="5">
        <f>IF($I408="","",IF(IFERROR(INDEX('CAT_TIPOS_OT'!$D$4:$D$8,MATCH($I408,'CAT_TIPOS_OT'!$A$4:$A$8,0)),"SIN CLASIFICAR")="","SIN CLASIFICAR",IFERROR(INDEX('CAT_TIPOS_OT'!$D$4:$D$8,MATCH($I408,'CAT_TIPOS_OT'!$A$4:$A$8,0)),"SIN CLASIFICAR")))</f>
        <v/>
      </c>
      <c r="W408" s="5">
        <f>IF($F408="","",IFERROR(INDEX('CAT_CENTROS_COSTO'!$F$4:$F$13,MATCH($F408,'CAT_CENTROS_COSTO'!$A$4:$A$13,0)),"(sin catálogo)"))</f>
        <v/>
      </c>
      <c r="X408" s="5">
        <f>IF($F408="","",IFERROR(INDEX('CAT_CENTROS_COSTO'!$D$4:$D$13,MATCH($F408,'CAT_CENTROS_COSTO'!$A$4:$A$13,0)),"(sin catálogo)"))</f>
        <v/>
      </c>
      <c r="Y408" s="5">
        <f>IF($F408="","",IF((IFERROR(INDEX('CAT_CENTROS_COSTO'!$E$4:$E$13,MATCH($F408,'CAT_CENTROS_COSTO'!$A$4:$A$13,0)),""))&lt;&gt;"",IFERROR(INDEX('CAT_CENTROS_COSTO'!$E$4:$E$13,MATCH($F408,'CAT_CENTROS_COSTO'!$A$4:$A$13,0)),""),$X408))</f>
        <v/>
      </c>
      <c r="Z408" s="5">
        <f>IF($F408="","",IFERROR(INDEX('CAT_CENTROS_COSTO'!$G$4:$G$13,MATCH($F408,'CAT_CENTROS_COSTO'!$A$4:$A$13,0)),"(sin catálogo)"))</f>
        <v/>
      </c>
      <c r="AA408" s="5">
        <f>IF($G408="","",IFERROR(INDEX('CAT_PUESTOS'!$B$4:$B$8,MATCH($G408,'CAT_PUESTOS'!$A$4:$A$8,0)),"(sin catálogo)"))</f>
        <v/>
      </c>
      <c r="AB408" s="5">
        <f>IF($H408="","",IFERROR(INDEX('CAT_ACTIVIDADES'!$B$4:$B$11,MATCH($H408,'CAT_ACTIVIDADES'!$A$4:$A$11,0)),"(sin catálogo)"))</f>
        <v/>
      </c>
      <c r="AC408" s="20">
        <f>IF($J408="","",TODAY()-$J408)</f>
        <v/>
      </c>
      <c r="AD408" s="20">
        <f>IF($J408="","",IF($J408&lt;=TODAY(),COUNTIFS(cal_fechas,"&gt;="&amp;$J408,cal_fechas,"&lt;"&amp;TODAY(),cal_habil,"sí"),-COUNTIFS(cal_fechas,"&gt;="&amp;TODAY(),cal_fechas,"&lt;"&amp;$J408,cal_habil,"sí")))</f>
        <v/>
      </c>
      <c r="AE408" s="5">
        <f>IF($AD408="","",IF($AD408&lt;0,"FUTURO",IF($AD408&gt;p_dias_backlog_max,"BACKLOG","MES CORRIENTE")))</f>
        <v/>
      </c>
      <c r="AF408" s="5">
        <f>IF($AD408="",FALSE,AND($AD408&gt;p_dias_backlog_min,$AD408&lt;=p_dias_backlog_max))</f>
        <v/>
      </c>
      <c r="AG408" s="4" t="n"/>
      <c r="AH408" s="5">
        <f>IF($AG408="","",IF((IFERROR(INDEX('ASIGNACIONES'!$J$4:$J$451,MATCH($O408&amp;"|"&amp;$S408&amp;"|"&amp;$AG408,'ASIGNACIONES'!$N$4:$N$451,0)),""))=0,"",IFERROR(INDEX('ASIGNACIONES'!$J$4:$J$451,MATCH($O408&amp;"|"&amp;$S408&amp;"|"&amp;$AG408,'ASIGNACIONES'!$N$4:$N$451,0)),"")))</f>
        <v/>
      </c>
      <c r="AI408" s="25">
        <f>IF($AG408="","",SUMIFS('ORDENES'!$M$4:$M$1203,'ORDENES'!$AG$4:$AG$1203,$AG408,'ORDENES'!$O$4:$O$1203,$O408,'ORDENES'!$S$4:$S$1203,$S408))</f>
        <v/>
      </c>
      <c r="AJ408" s="25">
        <f>IF($AI408="","",p_factor_productividad*IFERROR(INDEX('ASIGNACIONES'!$M$4:$M$451,MATCH($O408&amp;"|"&amp;$S408&amp;"|"&amp;$AG408,'ASIGNACIONES'!$N$4:$N$451,0)),0)-$AI408)</f>
        <v/>
      </c>
      <c r="AK408" s="18">
        <f>IF($A408="","",IFERROR(INDEX('2_IMPORTAR_EJECUCION'!$F$9:$F$1208,MATCH($AT408,'2_IMPORTAR_EJECUCION'!$J$9:$J$1208,0)),0))</f>
        <v/>
      </c>
      <c r="AL408" s="18">
        <f>IF($A408="","",MAX(0,IFERROR(INDEX('2_IMPORTAR_EJECUCION'!$H$9:$H$1208,MATCH($AT408,'2_IMPORTAR_EJECUCION'!$J$9:$J$1208,0)),0)-$AK408))</f>
        <v/>
      </c>
      <c r="AM408" s="18">
        <f>IF($A408="","",$AK408+$AL408)</f>
        <v/>
      </c>
      <c r="AN408" s="5">
        <f>IF($A408="","",IF(OR((IFERROR(INDEX('CAT_ACTIVIDADES'!$D$4:$D$11,MATCH($H408,'CAT_ACTIVIDADES'!$A$4:$A$11,0)),""))=0,(IFERROR(INDEX('CAT_ACTIVIDADES'!$D$4:$D$11,MATCH($H408,'CAT_ACTIVIDADES'!$A$4:$A$11,0)),""))=""),"SIN CLASIFICAR",IFERROR(INDEX('CAT_ACTIVIDADES'!$D$4:$D$11,MATCH($H408,'CAT_ACTIVIDADES'!$A$4:$A$11,0)),"")))</f>
        <v/>
      </c>
      <c r="AO408" s="4" t="n"/>
      <c r="AP408" s="4" t="n"/>
      <c r="AQ408" s="4" t="n"/>
      <c r="AR408" s="5">
        <f>IF($AQ408="","",HYPERLINK(p_ruta_base_checklists&amp;$AQ408,"abrir"))</f>
        <v/>
      </c>
      <c r="AS408" s="4" t="n"/>
      <c r="AT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2" t="n"/>
      <c r="K409" s="5" t="n"/>
      <c r="L409" s="18" t="n"/>
      <c r="M409" s="5">
        <f>IF($A409="","",IFERROR(INDEX('AJUSTES'!$B$4:$B$303,MATCH($AT409,'AJUSTES'!$A$4:$A$303,0)),IF($K409="","",$K409)))</f>
        <v/>
      </c>
      <c r="N409" s="5">
        <f>IF($A409="","",IFERROR(INDEX('CAT_ESTADOS_ERP'!$B$4:$B$7,MATCH(IFERROR(INDEX('2_IMPORTAR_EJECUCION'!$C$9:$C$1208,MATCH($AT409,'2_IMPORTAR_EJECUCION'!$J$9:$J$1208,0)),""),'CAT_ESTADOS_ERP'!$A$4:$A$7,0)),"Pendiente"))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IF($J409="","",$P409&amp;"-"&amp;TEXT($Q409,"00"))</f>
        <v/>
      </c>
      <c r="S409" s="5">
        <f>IF($J409="","",INDEX(lista_dias,WEEKDAY($J409,2)))</f>
        <v/>
      </c>
      <c r="T409" s="5">
        <f>IF($J409="","",IFERROR(INDEX('CALENDARIO'!$C$15:$C$214,MATCH(TEXT($J409,"yyyy-mm-dd")&amp;"|"&amp;$X409&amp;"|"&amp;$Y409,'CALENDARIO'!$G$15:$G$214,0)),IFERROR(INDEX('CALENDARIO'!$C$15:$C$214,MATCH(TEXT($J409,"yyyy-mm-dd")&amp;"|"&amp;$X409&amp;"|",'CALENDARIO'!$G$15:$G$214,0)),IFERROR(INDEX('CALENDARIO'!$C$15:$C$214,MATCH(TEXT($J409,"yyyy-mm-dd")&amp;"||",'CALENDARIO'!$G$15:$G$214,0)),INDEX(patronHabil,WEEKDAY($J409,2))))))</f>
        <v/>
      </c>
      <c r="U409" s="5">
        <f>IF($I409="","",IFERROR(INDEX('CAT_TIPOS_OT'!$C$4:$C$8,MATCH($I409,'CAT_TIPOS_OT'!$A$4:$A$8,0)),"sin_clasificar"))</f>
        <v/>
      </c>
      <c r="V409" s="5">
        <f>IF($I409="","",IF(IFERROR(INDEX('CAT_TIPOS_OT'!$D$4:$D$8,MATCH($I409,'CAT_TIPOS_OT'!$A$4:$A$8,0)),"SIN CLASIFICAR")="","SIN CLASIFICAR",IFERROR(INDEX('CAT_TIPOS_OT'!$D$4:$D$8,MATCH($I409,'CAT_TIPOS_OT'!$A$4:$A$8,0)),"SIN CLASIFICAR")))</f>
        <v/>
      </c>
      <c r="W409" s="5">
        <f>IF($F409="","",IFERROR(INDEX('CAT_CENTROS_COSTO'!$F$4:$F$13,MATCH($F409,'CAT_CENTROS_COSTO'!$A$4:$A$13,0)),"(sin catálogo)"))</f>
        <v/>
      </c>
      <c r="X409" s="5">
        <f>IF($F409="","",IFERROR(INDEX('CAT_CENTROS_COSTO'!$D$4:$D$13,MATCH($F409,'CAT_CENTROS_COSTO'!$A$4:$A$13,0)),"(sin catálogo)"))</f>
        <v/>
      </c>
      <c r="Y409" s="5">
        <f>IF($F409="","",IF((IFERROR(INDEX('CAT_CENTROS_COSTO'!$E$4:$E$13,MATCH($F409,'CAT_CENTROS_COSTO'!$A$4:$A$13,0)),""))&lt;&gt;"",IFERROR(INDEX('CAT_CENTROS_COSTO'!$E$4:$E$13,MATCH($F409,'CAT_CENTROS_COSTO'!$A$4:$A$13,0)),""),$X409))</f>
        <v/>
      </c>
      <c r="Z409" s="5">
        <f>IF($F409="","",IFERROR(INDEX('CAT_CENTROS_COSTO'!$G$4:$G$13,MATCH($F409,'CAT_CENTROS_COSTO'!$A$4:$A$13,0)),"(sin catálogo)"))</f>
        <v/>
      </c>
      <c r="AA409" s="5">
        <f>IF($G409="","",IFERROR(INDEX('CAT_PUESTOS'!$B$4:$B$8,MATCH($G409,'CAT_PUESTOS'!$A$4:$A$8,0)),"(sin catálogo)"))</f>
        <v/>
      </c>
      <c r="AB409" s="5">
        <f>IF($H409="","",IFERROR(INDEX('CAT_ACTIVIDADES'!$B$4:$B$11,MATCH($H409,'CAT_ACTIVIDADES'!$A$4:$A$11,0)),"(sin catálogo)"))</f>
        <v/>
      </c>
      <c r="AC409" s="20">
        <f>IF($J409="","",TODAY()-$J409)</f>
        <v/>
      </c>
      <c r="AD409" s="20">
        <f>IF($J409="","",IF($J409&lt;=TODAY(),COUNTIFS(cal_fechas,"&gt;="&amp;$J409,cal_fechas,"&lt;"&amp;TODAY(),cal_habil,"sí"),-COUNTIFS(cal_fechas,"&gt;="&amp;TODAY(),cal_fechas,"&lt;"&amp;$J409,cal_habil,"sí")))</f>
        <v/>
      </c>
      <c r="AE409" s="5">
        <f>IF($AD409="","",IF($AD409&lt;0,"FUTURO",IF($AD409&gt;p_dias_backlog_max,"BACKLOG","MES CORRIENTE")))</f>
        <v/>
      </c>
      <c r="AF409" s="5">
        <f>IF($AD409="",FALSE,AND($AD409&gt;p_dias_backlog_min,$AD409&lt;=p_dias_backlog_max))</f>
        <v/>
      </c>
      <c r="AG409" s="4" t="n"/>
      <c r="AH409" s="5">
        <f>IF($AG409="","",IF((IFERROR(INDEX('ASIGNACIONES'!$J$4:$J$451,MATCH($O409&amp;"|"&amp;$S409&amp;"|"&amp;$AG409,'ASIGNACIONES'!$N$4:$N$451,0)),""))=0,"",IFERROR(INDEX('ASIGNACIONES'!$J$4:$J$451,MATCH($O409&amp;"|"&amp;$S409&amp;"|"&amp;$AG409,'ASIGNACIONES'!$N$4:$N$451,0)),"")))</f>
        <v/>
      </c>
      <c r="AI409" s="25">
        <f>IF($AG409="","",SUMIFS('ORDENES'!$M$4:$M$1203,'ORDENES'!$AG$4:$AG$1203,$AG409,'ORDENES'!$O$4:$O$1203,$O409,'ORDENES'!$S$4:$S$1203,$S409))</f>
        <v/>
      </c>
      <c r="AJ409" s="25">
        <f>IF($AI409="","",p_factor_productividad*IFERROR(INDEX('ASIGNACIONES'!$M$4:$M$451,MATCH($O409&amp;"|"&amp;$S409&amp;"|"&amp;$AG409,'ASIGNACIONES'!$N$4:$N$451,0)),0)-$AI409)</f>
        <v/>
      </c>
      <c r="AK409" s="18">
        <f>IF($A409="","",IFERROR(INDEX('2_IMPORTAR_EJECUCION'!$F$9:$F$1208,MATCH($AT409,'2_IMPORTAR_EJECUCION'!$J$9:$J$1208,0)),0))</f>
        <v/>
      </c>
      <c r="AL409" s="18">
        <f>IF($A409="","",MAX(0,IFERROR(INDEX('2_IMPORTAR_EJECUCION'!$H$9:$H$1208,MATCH($AT409,'2_IMPORTAR_EJECUCION'!$J$9:$J$1208,0)),0)-$AK409))</f>
        <v/>
      </c>
      <c r="AM409" s="18">
        <f>IF($A409="","",$AK409+$AL409)</f>
        <v/>
      </c>
      <c r="AN409" s="5">
        <f>IF($A409="","",IF(OR((IFERROR(INDEX('CAT_ACTIVIDADES'!$D$4:$D$11,MATCH($H409,'CAT_ACTIVIDADES'!$A$4:$A$11,0)),""))=0,(IFERROR(INDEX('CAT_ACTIVIDADES'!$D$4:$D$11,MATCH($H409,'CAT_ACTIVIDADES'!$A$4:$A$11,0)),""))=""),"SIN CLASIFICAR",IFERROR(INDEX('CAT_ACTIVIDADES'!$D$4:$D$11,MATCH($H409,'CAT_ACTIVIDADES'!$A$4:$A$11,0)),"")))</f>
        <v/>
      </c>
      <c r="AO409" s="4" t="n"/>
      <c r="AP409" s="4" t="n"/>
      <c r="AQ409" s="4" t="n"/>
      <c r="AR409" s="5">
        <f>IF($AQ409="","",HYPERLINK(p_ruta_base_checklists&amp;$AQ409,"abrir"))</f>
        <v/>
      </c>
      <c r="AS409" s="4" t="n"/>
      <c r="AT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2" t="n"/>
      <c r="K410" s="5" t="n"/>
      <c r="L410" s="18" t="n"/>
      <c r="M410" s="5">
        <f>IF($A410="","",IFERROR(INDEX('AJUSTES'!$B$4:$B$303,MATCH($AT410,'AJUSTES'!$A$4:$A$303,0)),IF($K410="","",$K410)))</f>
        <v/>
      </c>
      <c r="N410" s="5">
        <f>IF($A410="","",IFERROR(INDEX('CAT_ESTADOS_ERP'!$B$4:$B$7,MATCH(IFERROR(INDEX('2_IMPORTAR_EJECUCION'!$C$9:$C$1208,MATCH($AT410,'2_IMPORTAR_EJECUCION'!$J$9:$J$1208,0)),""),'CAT_ESTADOS_ERP'!$A$4:$A$7,0)),"Pendiente"))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IF($J410="","",$P410&amp;"-"&amp;TEXT($Q410,"00"))</f>
        <v/>
      </c>
      <c r="S410" s="5">
        <f>IF($J410="","",INDEX(lista_dias,WEEKDAY($J410,2)))</f>
        <v/>
      </c>
      <c r="T410" s="5">
        <f>IF($J410="","",IFERROR(INDEX('CALENDARIO'!$C$15:$C$214,MATCH(TEXT($J410,"yyyy-mm-dd")&amp;"|"&amp;$X410&amp;"|"&amp;$Y410,'CALENDARIO'!$G$15:$G$214,0)),IFERROR(INDEX('CALENDARIO'!$C$15:$C$214,MATCH(TEXT($J410,"yyyy-mm-dd")&amp;"|"&amp;$X410&amp;"|",'CALENDARIO'!$G$15:$G$214,0)),IFERROR(INDEX('CALENDARIO'!$C$15:$C$214,MATCH(TEXT($J410,"yyyy-mm-dd")&amp;"||",'CALENDARIO'!$G$15:$G$214,0)),INDEX(patronHabil,WEEKDAY($J410,2))))))</f>
        <v/>
      </c>
      <c r="U410" s="5">
        <f>IF($I410="","",IFERROR(INDEX('CAT_TIPOS_OT'!$C$4:$C$8,MATCH($I410,'CAT_TIPOS_OT'!$A$4:$A$8,0)),"sin_clasificar"))</f>
        <v/>
      </c>
      <c r="V410" s="5">
        <f>IF($I410="","",IF(IFERROR(INDEX('CAT_TIPOS_OT'!$D$4:$D$8,MATCH($I410,'CAT_TIPOS_OT'!$A$4:$A$8,0)),"SIN CLASIFICAR")="","SIN CLASIFICAR",IFERROR(INDEX('CAT_TIPOS_OT'!$D$4:$D$8,MATCH($I410,'CAT_TIPOS_OT'!$A$4:$A$8,0)),"SIN CLASIFICAR")))</f>
        <v/>
      </c>
      <c r="W410" s="5">
        <f>IF($F410="","",IFERROR(INDEX('CAT_CENTROS_COSTO'!$F$4:$F$13,MATCH($F410,'CAT_CENTROS_COSTO'!$A$4:$A$13,0)),"(sin catálogo)"))</f>
        <v/>
      </c>
      <c r="X410" s="5">
        <f>IF($F410="","",IFERROR(INDEX('CAT_CENTROS_COSTO'!$D$4:$D$13,MATCH($F410,'CAT_CENTROS_COSTO'!$A$4:$A$13,0)),"(sin catálogo)"))</f>
        <v/>
      </c>
      <c r="Y410" s="5">
        <f>IF($F410="","",IF((IFERROR(INDEX('CAT_CENTROS_COSTO'!$E$4:$E$13,MATCH($F410,'CAT_CENTROS_COSTO'!$A$4:$A$13,0)),""))&lt;&gt;"",IFERROR(INDEX('CAT_CENTROS_COSTO'!$E$4:$E$13,MATCH($F410,'CAT_CENTROS_COSTO'!$A$4:$A$13,0)),""),$X410))</f>
        <v/>
      </c>
      <c r="Z410" s="5">
        <f>IF($F410="","",IFERROR(INDEX('CAT_CENTROS_COSTO'!$G$4:$G$13,MATCH($F410,'CAT_CENTROS_COSTO'!$A$4:$A$13,0)),"(sin catálogo)"))</f>
        <v/>
      </c>
      <c r="AA410" s="5">
        <f>IF($G410="","",IFERROR(INDEX('CAT_PUESTOS'!$B$4:$B$8,MATCH($G410,'CAT_PUESTOS'!$A$4:$A$8,0)),"(sin catálogo)"))</f>
        <v/>
      </c>
      <c r="AB410" s="5">
        <f>IF($H410="","",IFERROR(INDEX('CAT_ACTIVIDADES'!$B$4:$B$11,MATCH($H410,'CAT_ACTIVIDADES'!$A$4:$A$11,0)),"(sin catálogo)"))</f>
        <v/>
      </c>
      <c r="AC410" s="20">
        <f>IF($J410="","",TODAY()-$J410)</f>
        <v/>
      </c>
      <c r="AD410" s="20">
        <f>IF($J410="","",IF($J410&lt;=TODAY(),COUNTIFS(cal_fechas,"&gt;="&amp;$J410,cal_fechas,"&lt;"&amp;TODAY(),cal_habil,"sí"),-COUNTIFS(cal_fechas,"&gt;="&amp;TODAY(),cal_fechas,"&lt;"&amp;$J410,cal_habil,"sí")))</f>
        <v/>
      </c>
      <c r="AE410" s="5">
        <f>IF($AD410="","",IF($AD410&lt;0,"FUTURO",IF($AD410&gt;p_dias_backlog_max,"BACKLOG","MES CORRIENTE")))</f>
        <v/>
      </c>
      <c r="AF410" s="5">
        <f>IF($AD410="",FALSE,AND($AD410&gt;p_dias_backlog_min,$AD410&lt;=p_dias_backlog_max))</f>
        <v/>
      </c>
      <c r="AG410" s="4" t="n"/>
      <c r="AH410" s="5">
        <f>IF($AG410="","",IF((IFERROR(INDEX('ASIGNACIONES'!$J$4:$J$451,MATCH($O410&amp;"|"&amp;$S410&amp;"|"&amp;$AG410,'ASIGNACIONES'!$N$4:$N$451,0)),""))=0,"",IFERROR(INDEX('ASIGNACIONES'!$J$4:$J$451,MATCH($O410&amp;"|"&amp;$S410&amp;"|"&amp;$AG410,'ASIGNACIONES'!$N$4:$N$451,0)),"")))</f>
        <v/>
      </c>
      <c r="AI410" s="25">
        <f>IF($AG410="","",SUMIFS('ORDENES'!$M$4:$M$1203,'ORDENES'!$AG$4:$AG$1203,$AG410,'ORDENES'!$O$4:$O$1203,$O410,'ORDENES'!$S$4:$S$1203,$S410))</f>
        <v/>
      </c>
      <c r="AJ410" s="25">
        <f>IF($AI410="","",p_factor_productividad*IFERROR(INDEX('ASIGNACIONES'!$M$4:$M$451,MATCH($O410&amp;"|"&amp;$S410&amp;"|"&amp;$AG410,'ASIGNACIONES'!$N$4:$N$451,0)),0)-$AI410)</f>
        <v/>
      </c>
      <c r="AK410" s="18">
        <f>IF($A410="","",IFERROR(INDEX('2_IMPORTAR_EJECUCION'!$F$9:$F$1208,MATCH($AT410,'2_IMPORTAR_EJECUCION'!$J$9:$J$1208,0)),0))</f>
        <v/>
      </c>
      <c r="AL410" s="18">
        <f>IF($A410="","",MAX(0,IFERROR(INDEX('2_IMPORTAR_EJECUCION'!$H$9:$H$1208,MATCH($AT410,'2_IMPORTAR_EJECUCION'!$J$9:$J$1208,0)),0)-$AK410))</f>
        <v/>
      </c>
      <c r="AM410" s="18">
        <f>IF($A410="","",$AK410+$AL410)</f>
        <v/>
      </c>
      <c r="AN410" s="5">
        <f>IF($A410="","",IF(OR((IFERROR(INDEX('CAT_ACTIVIDADES'!$D$4:$D$11,MATCH($H410,'CAT_ACTIVIDADES'!$A$4:$A$11,0)),""))=0,(IFERROR(INDEX('CAT_ACTIVIDADES'!$D$4:$D$11,MATCH($H410,'CAT_ACTIVIDADES'!$A$4:$A$11,0)),""))=""),"SIN CLASIFICAR",IFERROR(INDEX('CAT_ACTIVIDADES'!$D$4:$D$11,MATCH($H410,'CAT_ACTIVIDADES'!$A$4:$A$11,0)),"")))</f>
        <v/>
      </c>
      <c r="AO410" s="4" t="n"/>
      <c r="AP410" s="4" t="n"/>
      <c r="AQ410" s="4" t="n"/>
      <c r="AR410" s="5">
        <f>IF($AQ410="","",HYPERLINK(p_ruta_base_checklists&amp;$AQ410,"abrir"))</f>
        <v/>
      </c>
      <c r="AS410" s="4" t="n"/>
      <c r="AT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2" t="n"/>
      <c r="K411" s="5" t="n"/>
      <c r="L411" s="18" t="n"/>
      <c r="M411" s="5">
        <f>IF($A411="","",IFERROR(INDEX('AJUSTES'!$B$4:$B$303,MATCH($AT411,'AJUSTES'!$A$4:$A$303,0)),IF($K411="","",$K411)))</f>
        <v/>
      </c>
      <c r="N411" s="5">
        <f>IF($A411="","",IFERROR(INDEX('CAT_ESTADOS_ERP'!$B$4:$B$7,MATCH(IFERROR(INDEX('2_IMPORTAR_EJECUCION'!$C$9:$C$1208,MATCH($AT411,'2_IMPORTAR_EJECUCION'!$J$9:$J$1208,0)),""),'CAT_ESTADOS_ERP'!$A$4:$A$7,0)),"Pendiente"))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IF($J411="","",$P411&amp;"-"&amp;TEXT($Q411,"00"))</f>
        <v/>
      </c>
      <c r="S411" s="5">
        <f>IF($J411="","",INDEX(lista_dias,WEEKDAY($J411,2)))</f>
        <v/>
      </c>
      <c r="T411" s="5">
        <f>IF($J411="","",IFERROR(INDEX('CALENDARIO'!$C$15:$C$214,MATCH(TEXT($J411,"yyyy-mm-dd")&amp;"|"&amp;$X411&amp;"|"&amp;$Y411,'CALENDARIO'!$G$15:$G$214,0)),IFERROR(INDEX('CALENDARIO'!$C$15:$C$214,MATCH(TEXT($J411,"yyyy-mm-dd")&amp;"|"&amp;$X411&amp;"|",'CALENDARIO'!$G$15:$G$214,0)),IFERROR(INDEX('CALENDARIO'!$C$15:$C$214,MATCH(TEXT($J411,"yyyy-mm-dd")&amp;"||",'CALENDARIO'!$G$15:$G$214,0)),INDEX(patronHabil,WEEKDAY($J411,2))))))</f>
        <v/>
      </c>
      <c r="U411" s="5">
        <f>IF($I411="","",IFERROR(INDEX('CAT_TIPOS_OT'!$C$4:$C$8,MATCH($I411,'CAT_TIPOS_OT'!$A$4:$A$8,0)),"sin_clasificar"))</f>
        <v/>
      </c>
      <c r="V411" s="5">
        <f>IF($I411="","",IF(IFERROR(INDEX('CAT_TIPOS_OT'!$D$4:$D$8,MATCH($I411,'CAT_TIPOS_OT'!$A$4:$A$8,0)),"SIN CLASIFICAR")="","SIN CLASIFICAR",IFERROR(INDEX('CAT_TIPOS_OT'!$D$4:$D$8,MATCH($I411,'CAT_TIPOS_OT'!$A$4:$A$8,0)),"SIN CLASIFICAR")))</f>
        <v/>
      </c>
      <c r="W411" s="5">
        <f>IF($F411="","",IFERROR(INDEX('CAT_CENTROS_COSTO'!$F$4:$F$13,MATCH($F411,'CAT_CENTROS_COSTO'!$A$4:$A$13,0)),"(sin catálogo)"))</f>
        <v/>
      </c>
      <c r="X411" s="5">
        <f>IF($F411="","",IFERROR(INDEX('CAT_CENTROS_COSTO'!$D$4:$D$13,MATCH($F411,'CAT_CENTROS_COSTO'!$A$4:$A$13,0)),"(sin catálogo)"))</f>
        <v/>
      </c>
      <c r="Y411" s="5">
        <f>IF($F411="","",IF((IFERROR(INDEX('CAT_CENTROS_COSTO'!$E$4:$E$13,MATCH($F411,'CAT_CENTROS_COSTO'!$A$4:$A$13,0)),""))&lt;&gt;"",IFERROR(INDEX('CAT_CENTROS_COSTO'!$E$4:$E$13,MATCH($F411,'CAT_CENTROS_COSTO'!$A$4:$A$13,0)),""),$X411))</f>
        <v/>
      </c>
      <c r="Z411" s="5">
        <f>IF($F411="","",IFERROR(INDEX('CAT_CENTROS_COSTO'!$G$4:$G$13,MATCH($F411,'CAT_CENTROS_COSTO'!$A$4:$A$13,0)),"(sin catálogo)"))</f>
        <v/>
      </c>
      <c r="AA411" s="5">
        <f>IF($G411="","",IFERROR(INDEX('CAT_PUESTOS'!$B$4:$B$8,MATCH($G411,'CAT_PUESTOS'!$A$4:$A$8,0)),"(sin catálogo)"))</f>
        <v/>
      </c>
      <c r="AB411" s="5">
        <f>IF($H411="","",IFERROR(INDEX('CAT_ACTIVIDADES'!$B$4:$B$11,MATCH($H411,'CAT_ACTIVIDADES'!$A$4:$A$11,0)),"(sin catálogo)"))</f>
        <v/>
      </c>
      <c r="AC411" s="20">
        <f>IF($J411="","",TODAY()-$J411)</f>
        <v/>
      </c>
      <c r="AD411" s="20">
        <f>IF($J411="","",IF($J411&lt;=TODAY(),COUNTIFS(cal_fechas,"&gt;="&amp;$J411,cal_fechas,"&lt;"&amp;TODAY(),cal_habil,"sí"),-COUNTIFS(cal_fechas,"&gt;="&amp;TODAY(),cal_fechas,"&lt;"&amp;$J411,cal_habil,"sí")))</f>
        <v/>
      </c>
      <c r="AE411" s="5">
        <f>IF($AD411="","",IF($AD411&lt;0,"FUTURO",IF($AD411&gt;p_dias_backlog_max,"BACKLOG","MES CORRIENTE")))</f>
        <v/>
      </c>
      <c r="AF411" s="5">
        <f>IF($AD411="",FALSE,AND($AD411&gt;p_dias_backlog_min,$AD411&lt;=p_dias_backlog_max))</f>
        <v/>
      </c>
      <c r="AG411" s="4" t="n"/>
      <c r="AH411" s="5">
        <f>IF($AG411="","",IF((IFERROR(INDEX('ASIGNACIONES'!$J$4:$J$451,MATCH($O411&amp;"|"&amp;$S411&amp;"|"&amp;$AG411,'ASIGNACIONES'!$N$4:$N$451,0)),""))=0,"",IFERROR(INDEX('ASIGNACIONES'!$J$4:$J$451,MATCH($O411&amp;"|"&amp;$S411&amp;"|"&amp;$AG411,'ASIGNACIONES'!$N$4:$N$451,0)),"")))</f>
        <v/>
      </c>
      <c r="AI411" s="25">
        <f>IF($AG411="","",SUMIFS('ORDENES'!$M$4:$M$1203,'ORDENES'!$AG$4:$AG$1203,$AG411,'ORDENES'!$O$4:$O$1203,$O411,'ORDENES'!$S$4:$S$1203,$S411))</f>
        <v/>
      </c>
      <c r="AJ411" s="25">
        <f>IF($AI411="","",p_factor_productividad*IFERROR(INDEX('ASIGNACIONES'!$M$4:$M$451,MATCH($O411&amp;"|"&amp;$S411&amp;"|"&amp;$AG411,'ASIGNACIONES'!$N$4:$N$451,0)),0)-$AI411)</f>
        <v/>
      </c>
      <c r="AK411" s="18">
        <f>IF($A411="","",IFERROR(INDEX('2_IMPORTAR_EJECUCION'!$F$9:$F$1208,MATCH($AT411,'2_IMPORTAR_EJECUCION'!$J$9:$J$1208,0)),0))</f>
        <v/>
      </c>
      <c r="AL411" s="18">
        <f>IF($A411="","",MAX(0,IFERROR(INDEX('2_IMPORTAR_EJECUCION'!$H$9:$H$1208,MATCH($AT411,'2_IMPORTAR_EJECUCION'!$J$9:$J$1208,0)),0)-$AK411))</f>
        <v/>
      </c>
      <c r="AM411" s="18">
        <f>IF($A411="","",$AK411+$AL411)</f>
        <v/>
      </c>
      <c r="AN411" s="5">
        <f>IF($A411="","",IF(OR((IFERROR(INDEX('CAT_ACTIVIDADES'!$D$4:$D$11,MATCH($H411,'CAT_ACTIVIDADES'!$A$4:$A$11,0)),""))=0,(IFERROR(INDEX('CAT_ACTIVIDADES'!$D$4:$D$11,MATCH($H411,'CAT_ACTIVIDADES'!$A$4:$A$11,0)),""))=""),"SIN CLASIFICAR",IFERROR(INDEX('CAT_ACTIVIDADES'!$D$4:$D$11,MATCH($H411,'CAT_ACTIVIDADES'!$A$4:$A$11,0)),"")))</f>
        <v/>
      </c>
      <c r="AO411" s="4" t="n"/>
      <c r="AP411" s="4" t="n"/>
      <c r="AQ411" s="4" t="n"/>
      <c r="AR411" s="5">
        <f>IF($AQ411="","",HYPERLINK(p_ruta_base_checklists&amp;$AQ411,"abrir"))</f>
        <v/>
      </c>
      <c r="AS411" s="4" t="n"/>
      <c r="AT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2" t="n"/>
      <c r="K412" s="5" t="n"/>
      <c r="L412" s="18" t="n"/>
      <c r="M412" s="5">
        <f>IF($A412="","",IFERROR(INDEX('AJUSTES'!$B$4:$B$303,MATCH($AT412,'AJUSTES'!$A$4:$A$303,0)),IF($K412="","",$K412)))</f>
        <v/>
      </c>
      <c r="N412" s="5">
        <f>IF($A412="","",IFERROR(INDEX('CAT_ESTADOS_ERP'!$B$4:$B$7,MATCH(IFERROR(INDEX('2_IMPORTAR_EJECUCION'!$C$9:$C$1208,MATCH($AT412,'2_IMPORTAR_EJECUCION'!$J$9:$J$1208,0)),""),'CAT_ESTADOS_ERP'!$A$4:$A$7,0)),"Pendiente"))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IF($J412="","",$P412&amp;"-"&amp;TEXT($Q412,"00"))</f>
        <v/>
      </c>
      <c r="S412" s="5">
        <f>IF($J412="","",INDEX(lista_dias,WEEKDAY($J412,2)))</f>
        <v/>
      </c>
      <c r="T412" s="5">
        <f>IF($J412="","",IFERROR(INDEX('CALENDARIO'!$C$15:$C$214,MATCH(TEXT($J412,"yyyy-mm-dd")&amp;"|"&amp;$X412&amp;"|"&amp;$Y412,'CALENDARIO'!$G$15:$G$214,0)),IFERROR(INDEX('CALENDARIO'!$C$15:$C$214,MATCH(TEXT($J412,"yyyy-mm-dd")&amp;"|"&amp;$X412&amp;"|",'CALENDARIO'!$G$15:$G$214,0)),IFERROR(INDEX('CALENDARIO'!$C$15:$C$214,MATCH(TEXT($J412,"yyyy-mm-dd")&amp;"||",'CALENDARIO'!$G$15:$G$214,0)),INDEX(patronHabil,WEEKDAY($J412,2))))))</f>
        <v/>
      </c>
      <c r="U412" s="5">
        <f>IF($I412="","",IFERROR(INDEX('CAT_TIPOS_OT'!$C$4:$C$8,MATCH($I412,'CAT_TIPOS_OT'!$A$4:$A$8,0)),"sin_clasificar"))</f>
        <v/>
      </c>
      <c r="V412" s="5">
        <f>IF($I412="","",IF(IFERROR(INDEX('CAT_TIPOS_OT'!$D$4:$D$8,MATCH($I412,'CAT_TIPOS_OT'!$A$4:$A$8,0)),"SIN CLASIFICAR")="","SIN CLASIFICAR",IFERROR(INDEX('CAT_TIPOS_OT'!$D$4:$D$8,MATCH($I412,'CAT_TIPOS_OT'!$A$4:$A$8,0)),"SIN CLASIFICAR")))</f>
        <v/>
      </c>
      <c r="W412" s="5">
        <f>IF($F412="","",IFERROR(INDEX('CAT_CENTROS_COSTO'!$F$4:$F$13,MATCH($F412,'CAT_CENTROS_COSTO'!$A$4:$A$13,0)),"(sin catálogo)"))</f>
        <v/>
      </c>
      <c r="X412" s="5">
        <f>IF($F412="","",IFERROR(INDEX('CAT_CENTROS_COSTO'!$D$4:$D$13,MATCH($F412,'CAT_CENTROS_COSTO'!$A$4:$A$13,0)),"(sin catálogo)"))</f>
        <v/>
      </c>
      <c r="Y412" s="5">
        <f>IF($F412="","",IF((IFERROR(INDEX('CAT_CENTROS_COSTO'!$E$4:$E$13,MATCH($F412,'CAT_CENTROS_COSTO'!$A$4:$A$13,0)),""))&lt;&gt;"",IFERROR(INDEX('CAT_CENTROS_COSTO'!$E$4:$E$13,MATCH($F412,'CAT_CENTROS_COSTO'!$A$4:$A$13,0)),""),$X412))</f>
        <v/>
      </c>
      <c r="Z412" s="5">
        <f>IF($F412="","",IFERROR(INDEX('CAT_CENTROS_COSTO'!$G$4:$G$13,MATCH($F412,'CAT_CENTROS_COSTO'!$A$4:$A$13,0)),"(sin catálogo)"))</f>
        <v/>
      </c>
      <c r="AA412" s="5">
        <f>IF($G412="","",IFERROR(INDEX('CAT_PUESTOS'!$B$4:$B$8,MATCH($G412,'CAT_PUESTOS'!$A$4:$A$8,0)),"(sin catálogo)"))</f>
        <v/>
      </c>
      <c r="AB412" s="5">
        <f>IF($H412="","",IFERROR(INDEX('CAT_ACTIVIDADES'!$B$4:$B$11,MATCH($H412,'CAT_ACTIVIDADES'!$A$4:$A$11,0)),"(sin catálogo)"))</f>
        <v/>
      </c>
      <c r="AC412" s="20">
        <f>IF($J412="","",TODAY()-$J412)</f>
        <v/>
      </c>
      <c r="AD412" s="20">
        <f>IF($J412="","",IF($J412&lt;=TODAY(),COUNTIFS(cal_fechas,"&gt;="&amp;$J412,cal_fechas,"&lt;"&amp;TODAY(),cal_habil,"sí"),-COUNTIFS(cal_fechas,"&gt;="&amp;TODAY(),cal_fechas,"&lt;"&amp;$J412,cal_habil,"sí")))</f>
        <v/>
      </c>
      <c r="AE412" s="5">
        <f>IF($AD412="","",IF($AD412&lt;0,"FUTURO",IF($AD412&gt;p_dias_backlog_max,"BACKLOG","MES CORRIENTE")))</f>
        <v/>
      </c>
      <c r="AF412" s="5">
        <f>IF($AD412="",FALSE,AND($AD412&gt;p_dias_backlog_min,$AD412&lt;=p_dias_backlog_max))</f>
        <v/>
      </c>
      <c r="AG412" s="4" t="n"/>
      <c r="AH412" s="5">
        <f>IF($AG412="","",IF((IFERROR(INDEX('ASIGNACIONES'!$J$4:$J$451,MATCH($O412&amp;"|"&amp;$S412&amp;"|"&amp;$AG412,'ASIGNACIONES'!$N$4:$N$451,0)),""))=0,"",IFERROR(INDEX('ASIGNACIONES'!$J$4:$J$451,MATCH($O412&amp;"|"&amp;$S412&amp;"|"&amp;$AG412,'ASIGNACIONES'!$N$4:$N$451,0)),"")))</f>
        <v/>
      </c>
      <c r="AI412" s="25">
        <f>IF($AG412="","",SUMIFS('ORDENES'!$M$4:$M$1203,'ORDENES'!$AG$4:$AG$1203,$AG412,'ORDENES'!$O$4:$O$1203,$O412,'ORDENES'!$S$4:$S$1203,$S412))</f>
        <v/>
      </c>
      <c r="AJ412" s="25">
        <f>IF($AI412="","",p_factor_productividad*IFERROR(INDEX('ASIGNACIONES'!$M$4:$M$451,MATCH($O412&amp;"|"&amp;$S412&amp;"|"&amp;$AG412,'ASIGNACIONES'!$N$4:$N$451,0)),0)-$AI412)</f>
        <v/>
      </c>
      <c r="AK412" s="18">
        <f>IF($A412="","",IFERROR(INDEX('2_IMPORTAR_EJECUCION'!$F$9:$F$1208,MATCH($AT412,'2_IMPORTAR_EJECUCION'!$J$9:$J$1208,0)),0))</f>
        <v/>
      </c>
      <c r="AL412" s="18">
        <f>IF($A412="","",MAX(0,IFERROR(INDEX('2_IMPORTAR_EJECUCION'!$H$9:$H$1208,MATCH($AT412,'2_IMPORTAR_EJECUCION'!$J$9:$J$1208,0)),0)-$AK412))</f>
        <v/>
      </c>
      <c r="AM412" s="18">
        <f>IF($A412="","",$AK412+$AL412)</f>
        <v/>
      </c>
      <c r="AN412" s="5">
        <f>IF($A412="","",IF(OR((IFERROR(INDEX('CAT_ACTIVIDADES'!$D$4:$D$11,MATCH($H412,'CAT_ACTIVIDADES'!$A$4:$A$11,0)),""))=0,(IFERROR(INDEX('CAT_ACTIVIDADES'!$D$4:$D$11,MATCH($H412,'CAT_ACTIVIDADES'!$A$4:$A$11,0)),""))=""),"SIN CLASIFICAR",IFERROR(INDEX('CAT_ACTIVIDADES'!$D$4:$D$11,MATCH($H412,'CAT_ACTIVIDADES'!$A$4:$A$11,0)),"")))</f>
        <v/>
      </c>
      <c r="AO412" s="4" t="n"/>
      <c r="AP412" s="4" t="n"/>
      <c r="AQ412" s="4" t="n"/>
      <c r="AR412" s="5">
        <f>IF($AQ412="","",HYPERLINK(p_ruta_base_checklists&amp;$AQ412,"abrir"))</f>
        <v/>
      </c>
      <c r="AS412" s="4" t="n"/>
      <c r="AT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2" t="n"/>
      <c r="K413" s="5" t="n"/>
      <c r="L413" s="18" t="n"/>
      <c r="M413" s="5">
        <f>IF($A413="","",IFERROR(INDEX('AJUSTES'!$B$4:$B$303,MATCH($AT413,'AJUSTES'!$A$4:$A$303,0)),IF($K413="","",$K413)))</f>
        <v/>
      </c>
      <c r="N413" s="5">
        <f>IF($A413="","",IFERROR(INDEX('CAT_ESTADOS_ERP'!$B$4:$B$7,MATCH(IFERROR(INDEX('2_IMPORTAR_EJECUCION'!$C$9:$C$1208,MATCH($AT413,'2_IMPORTAR_EJECUCION'!$J$9:$J$1208,0)),""),'CAT_ESTADOS_ERP'!$A$4:$A$7,0)),"Pendiente"))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IF($J413="","",$P413&amp;"-"&amp;TEXT($Q413,"00"))</f>
        <v/>
      </c>
      <c r="S413" s="5">
        <f>IF($J413="","",INDEX(lista_dias,WEEKDAY($J413,2)))</f>
        <v/>
      </c>
      <c r="T413" s="5">
        <f>IF($J413="","",IFERROR(INDEX('CALENDARIO'!$C$15:$C$214,MATCH(TEXT($J413,"yyyy-mm-dd")&amp;"|"&amp;$X413&amp;"|"&amp;$Y413,'CALENDARIO'!$G$15:$G$214,0)),IFERROR(INDEX('CALENDARIO'!$C$15:$C$214,MATCH(TEXT($J413,"yyyy-mm-dd")&amp;"|"&amp;$X413&amp;"|",'CALENDARIO'!$G$15:$G$214,0)),IFERROR(INDEX('CALENDARIO'!$C$15:$C$214,MATCH(TEXT($J413,"yyyy-mm-dd")&amp;"||",'CALENDARIO'!$G$15:$G$214,0)),INDEX(patronHabil,WEEKDAY($J413,2))))))</f>
        <v/>
      </c>
      <c r="U413" s="5">
        <f>IF($I413="","",IFERROR(INDEX('CAT_TIPOS_OT'!$C$4:$C$8,MATCH($I413,'CAT_TIPOS_OT'!$A$4:$A$8,0)),"sin_clasificar"))</f>
        <v/>
      </c>
      <c r="V413" s="5">
        <f>IF($I413="","",IF(IFERROR(INDEX('CAT_TIPOS_OT'!$D$4:$D$8,MATCH($I413,'CAT_TIPOS_OT'!$A$4:$A$8,0)),"SIN CLASIFICAR")="","SIN CLASIFICAR",IFERROR(INDEX('CAT_TIPOS_OT'!$D$4:$D$8,MATCH($I413,'CAT_TIPOS_OT'!$A$4:$A$8,0)),"SIN CLASIFICAR")))</f>
        <v/>
      </c>
      <c r="W413" s="5">
        <f>IF($F413="","",IFERROR(INDEX('CAT_CENTROS_COSTO'!$F$4:$F$13,MATCH($F413,'CAT_CENTROS_COSTO'!$A$4:$A$13,0)),"(sin catálogo)"))</f>
        <v/>
      </c>
      <c r="X413" s="5">
        <f>IF($F413="","",IFERROR(INDEX('CAT_CENTROS_COSTO'!$D$4:$D$13,MATCH($F413,'CAT_CENTROS_COSTO'!$A$4:$A$13,0)),"(sin catálogo)"))</f>
        <v/>
      </c>
      <c r="Y413" s="5">
        <f>IF($F413="","",IF((IFERROR(INDEX('CAT_CENTROS_COSTO'!$E$4:$E$13,MATCH($F413,'CAT_CENTROS_COSTO'!$A$4:$A$13,0)),""))&lt;&gt;"",IFERROR(INDEX('CAT_CENTROS_COSTO'!$E$4:$E$13,MATCH($F413,'CAT_CENTROS_COSTO'!$A$4:$A$13,0)),""),$X413))</f>
        <v/>
      </c>
      <c r="Z413" s="5">
        <f>IF($F413="","",IFERROR(INDEX('CAT_CENTROS_COSTO'!$G$4:$G$13,MATCH($F413,'CAT_CENTROS_COSTO'!$A$4:$A$13,0)),"(sin catálogo)"))</f>
        <v/>
      </c>
      <c r="AA413" s="5">
        <f>IF($G413="","",IFERROR(INDEX('CAT_PUESTOS'!$B$4:$B$8,MATCH($G413,'CAT_PUESTOS'!$A$4:$A$8,0)),"(sin catálogo)"))</f>
        <v/>
      </c>
      <c r="AB413" s="5">
        <f>IF($H413="","",IFERROR(INDEX('CAT_ACTIVIDADES'!$B$4:$B$11,MATCH($H413,'CAT_ACTIVIDADES'!$A$4:$A$11,0)),"(sin catálogo)"))</f>
        <v/>
      </c>
      <c r="AC413" s="20">
        <f>IF($J413="","",TODAY()-$J413)</f>
        <v/>
      </c>
      <c r="AD413" s="20">
        <f>IF($J413="","",IF($J413&lt;=TODAY(),COUNTIFS(cal_fechas,"&gt;="&amp;$J413,cal_fechas,"&lt;"&amp;TODAY(),cal_habil,"sí"),-COUNTIFS(cal_fechas,"&gt;="&amp;TODAY(),cal_fechas,"&lt;"&amp;$J413,cal_habil,"sí")))</f>
        <v/>
      </c>
      <c r="AE413" s="5">
        <f>IF($AD413="","",IF($AD413&lt;0,"FUTURO",IF($AD413&gt;p_dias_backlog_max,"BACKLOG","MES CORRIENTE")))</f>
        <v/>
      </c>
      <c r="AF413" s="5">
        <f>IF($AD413="",FALSE,AND($AD413&gt;p_dias_backlog_min,$AD413&lt;=p_dias_backlog_max))</f>
        <v/>
      </c>
      <c r="AG413" s="4" t="n"/>
      <c r="AH413" s="5">
        <f>IF($AG413="","",IF((IFERROR(INDEX('ASIGNACIONES'!$J$4:$J$451,MATCH($O413&amp;"|"&amp;$S413&amp;"|"&amp;$AG413,'ASIGNACIONES'!$N$4:$N$451,0)),""))=0,"",IFERROR(INDEX('ASIGNACIONES'!$J$4:$J$451,MATCH($O413&amp;"|"&amp;$S413&amp;"|"&amp;$AG413,'ASIGNACIONES'!$N$4:$N$451,0)),"")))</f>
        <v/>
      </c>
      <c r="AI413" s="25">
        <f>IF($AG413="","",SUMIFS('ORDENES'!$M$4:$M$1203,'ORDENES'!$AG$4:$AG$1203,$AG413,'ORDENES'!$O$4:$O$1203,$O413,'ORDENES'!$S$4:$S$1203,$S413))</f>
        <v/>
      </c>
      <c r="AJ413" s="25">
        <f>IF($AI413="","",p_factor_productividad*IFERROR(INDEX('ASIGNACIONES'!$M$4:$M$451,MATCH($O413&amp;"|"&amp;$S413&amp;"|"&amp;$AG413,'ASIGNACIONES'!$N$4:$N$451,0)),0)-$AI413)</f>
        <v/>
      </c>
      <c r="AK413" s="18">
        <f>IF($A413="","",IFERROR(INDEX('2_IMPORTAR_EJECUCION'!$F$9:$F$1208,MATCH($AT413,'2_IMPORTAR_EJECUCION'!$J$9:$J$1208,0)),0))</f>
        <v/>
      </c>
      <c r="AL413" s="18">
        <f>IF($A413="","",MAX(0,IFERROR(INDEX('2_IMPORTAR_EJECUCION'!$H$9:$H$1208,MATCH($AT413,'2_IMPORTAR_EJECUCION'!$J$9:$J$1208,0)),0)-$AK413))</f>
        <v/>
      </c>
      <c r="AM413" s="18">
        <f>IF($A413="","",$AK413+$AL413)</f>
        <v/>
      </c>
      <c r="AN413" s="5">
        <f>IF($A413="","",IF(OR((IFERROR(INDEX('CAT_ACTIVIDADES'!$D$4:$D$11,MATCH($H413,'CAT_ACTIVIDADES'!$A$4:$A$11,0)),""))=0,(IFERROR(INDEX('CAT_ACTIVIDADES'!$D$4:$D$11,MATCH($H413,'CAT_ACTIVIDADES'!$A$4:$A$11,0)),""))=""),"SIN CLASIFICAR",IFERROR(INDEX('CAT_ACTIVIDADES'!$D$4:$D$11,MATCH($H413,'CAT_ACTIVIDADES'!$A$4:$A$11,0)),"")))</f>
        <v/>
      </c>
      <c r="AO413" s="4" t="n"/>
      <c r="AP413" s="4" t="n"/>
      <c r="AQ413" s="4" t="n"/>
      <c r="AR413" s="5">
        <f>IF($AQ413="","",HYPERLINK(p_ruta_base_checklists&amp;$AQ413,"abrir"))</f>
        <v/>
      </c>
      <c r="AS413" s="4" t="n"/>
      <c r="AT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2" t="n"/>
      <c r="K414" s="5" t="n"/>
      <c r="L414" s="18" t="n"/>
      <c r="M414" s="5">
        <f>IF($A414="","",IFERROR(INDEX('AJUSTES'!$B$4:$B$303,MATCH($AT414,'AJUSTES'!$A$4:$A$303,0)),IF($K414="","",$K414)))</f>
        <v/>
      </c>
      <c r="N414" s="5">
        <f>IF($A414="","",IFERROR(INDEX('CAT_ESTADOS_ERP'!$B$4:$B$7,MATCH(IFERROR(INDEX('2_IMPORTAR_EJECUCION'!$C$9:$C$1208,MATCH($AT414,'2_IMPORTAR_EJECUCION'!$J$9:$J$1208,0)),""),'CAT_ESTADOS_ERP'!$A$4:$A$7,0)),"Pendiente"))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IF($J414="","",$P414&amp;"-"&amp;TEXT($Q414,"00"))</f>
        <v/>
      </c>
      <c r="S414" s="5">
        <f>IF($J414="","",INDEX(lista_dias,WEEKDAY($J414,2)))</f>
        <v/>
      </c>
      <c r="T414" s="5">
        <f>IF($J414="","",IFERROR(INDEX('CALENDARIO'!$C$15:$C$214,MATCH(TEXT($J414,"yyyy-mm-dd")&amp;"|"&amp;$X414&amp;"|"&amp;$Y414,'CALENDARIO'!$G$15:$G$214,0)),IFERROR(INDEX('CALENDARIO'!$C$15:$C$214,MATCH(TEXT($J414,"yyyy-mm-dd")&amp;"|"&amp;$X414&amp;"|",'CALENDARIO'!$G$15:$G$214,0)),IFERROR(INDEX('CALENDARIO'!$C$15:$C$214,MATCH(TEXT($J414,"yyyy-mm-dd")&amp;"||",'CALENDARIO'!$G$15:$G$214,0)),INDEX(patronHabil,WEEKDAY($J414,2))))))</f>
        <v/>
      </c>
      <c r="U414" s="5">
        <f>IF($I414="","",IFERROR(INDEX('CAT_TIPOS_OT'!$C$4:$C$8,MATCH($I414,'CAT_TIPOS_OT'!$A$4:$A$8,0)),"sin_clasificar"))</f>
        <v/>
      </c>
      <c r="V414" s="5">
        <f>IF($I414="","",IF(IFERROR(INDEX('CAT_TIPOS_OT'!$D$4:$D$8,MATCH($I414,'CAT_TIPOS_OT'!$A$4:$A$8,0)),"SIN CLASIFICAR")="","SIN CLASIFICAR",IFERROR(INDEX('CAT_TIPOS_OT'!$D$4:$D$8,MATCH($I414,'CAT_TIPOS_OT'!$A$4:$A$8,0)),"SIN CLASIFICAR")))</f>
        <v/>
      </c>
      <c r="W414" s="5">
        <f>IF($F414="","",IFERROR(INDEX('CAT_CENTROS_COSTO'!$F$4:$F$13,MATCH($F414,'CAT_CENTROS_COSTO'!$A$4:$A$13,0)),"(sin catálogo)"))</f>
        <v/>
      </c>
      <c r="X414" s="5">
        <f>IF($F414="","",IFERROR(INDEX('CAT_CENTROS_COSTO'!$D$4:$D$13,MATCH($F414,'CAT_CENTROS_COSTO'!$A$4:$A$13,0)),"(sin catálogo)"))</f>
        <v/>
      </c>
      <c r="Y414" s="5">
        <f>IF($F414="","",IF((IFERROR(INDEX('CAT_CENTROS_COSTO'!$E$4:$E$13,MATCH($F414,'CAT_CENTROS_COSTO'!$A$4:$A$13,0)),""))&lt;&gt;"",IFERROR(INDEX('CAT_CENTROS_COSTO'!$E$4:$E$13,MATCH($F414,'CAT_CENTROS_COSTO'!$A$4:$A$13,0)),""),$X414))</f>
        <v/>
      </c>
      <c r="Z414" s="5">
        <f>IF($F414="","",IFERROR(INDEX('CAT_CENTROS_COSTO'!$G$4:$G$13,MATCH($F414,'CAT_CENTROS_COSTO'!$A$4:$A$13,0)),"(sin catálogo)"))</f>
        <v/>
      </c>
      <c r="AA414" s="5">
        <f>IF($G414="","",IFERROR(INDEX('CAT_PUESTOS'!$B$4:$B$8,MATCH($G414,'CAT_PUESTOS'!$A$4:$A$8,0)),"(sin catálogo)"))</f>
        <v/>
      </c>
      <c r="AB414" s="5">
        <f>IF($H414="","",IFERROR(INDEX('CAT_ACTIVIDADES'!$B$4:$B$11,MATCH($H414,'CAT_ACTIVIDADES'!$A$4:$A$11,0)),"(sin catálogo)"))</f>
        <v/>
      </c>
      <c r="AC414" s="20">
        <f>IF($J414="","",TODAY()-$J414)</f>
        <v/>
      </c>
      <c r="AD414" s="20">
        <f>IF($J414="","",IF($J414&lt;=TODAY(),COUNTIFS(cal_fechas,"&gt;="&amp;$J414,cal_fechas,"&lt;"&amp;TODAY(),cal_habil,"sí"),-COUNTIFS(cal_fechas,"&gt;="&amp;TODAY(),cal_fechas,"&lt;"&amp;$J414,cal_habil,"sí")))</f>
        <v/>
      </c>
      <c r="AE414" s="5">
        <f>IF($AD414="","",IF($AD414&lt;0,"FUTURO",IF($AD414&gt;p_dias_backlog_max,"BACKLOG","MES CORRIENTE")))</f>
        <v/>
      </c>
      <c r="AF414" s="5">
        <f>IF($AD414="",FALSE,AND($AD414&gt;p_dias_backlog_min,$AD414&lt;=p_dias_backlog_max))</f>
        <v/>
      </c>
      <c r="AG414" s="4" t="n"/>
      <c r="AH414" s="5">
        <f>IF($AG414="","",IF((IFERROR(INDEX('ASIGNACIONES'!$J$4:$J$451,MATCH($O414&amp;"|"&amp;$S414&amp;"|"&amp;$AG414,'ASIGNACIONES'!$N$4:$N$451,0)),""))=0,"",IFERROR(INDEX('ASIGNACIONES'!$J$4:$J$451,MATCH($O414&amp;"|"&amp;$S414&amp;"|"&amp;$AG414,'ASIGNACIONES'!$N$4:$N$451,0)),"")))</f>
        <v/>
      </c>
      <c r="AI414" s="25">
        <f>IF($AG414="","",SUMIFS('ORDENES'!$M$4:$M$1203,'ORDENES'!$AG$4:$AG$1203,$AG414,'ORDENES'!$O$4:$O$1203,$O414,'ORDENES'!$S$4:$S$1203,$S414))</f>
        <v/>
      </c>
      <c r="AJ414" s="25">
        <f>IF($AI414="","",p_factor_productividad*IFERROR(INDEX('ASIGNACIONES'!$M$4:$M$451,MATCH($O414&amp;"|"&amp;$S414&amp;"|"&amp;$AG414,'ASIGNACIONES'!$N$4:$N$451,0)),0)-$AI414)</f>
        <v/>
      </c>
      <c r="AK414" s="18">
        <f>IF($A414="","",IFERROR(INDEX('2_IMPORTAR_EJECUCION'!$F$9:$F$1208,MATCH($AT414,'2_IMPORTAR_EJECUCION'!$J$9:$J$1208,0)),0))</f>
        <v/>
      </c>
      <c r="AL414" s="18">
        <f>IF($A414="","",MAX(0,IFERROR(INDEX('2_IMPORTAR_EJECUCION'!$H$9:$H$1208,MATCH($AT414,'2_IMPORTAR_EJECUCION'!$J$9:$J$1208,0)),0)-$AK414))</f>
        <v/>
      </c>
      <c r="AM414" s="18">
        <f>IF($A414="","",$AK414+$AL414)</f>
        <v/>
      </c>
      <c r="AN414" s="5">
        <f>IF($A414="","",IF(OR((IFERROR(INDEX('CAT_ACTIVIDADES'!$D$4:$D$11,MATCH($H414,'CAT_ACTIVIDADES'!$A$4:$A$11,0)),""))=0,(IFERROR(INDEX('CAT_ACTIVIDADES'!$D$4:$D$11,MATCH($H414,'CAT_ACTIVIDADES'!$A$4:$A$11,0)),""))=""),"SIN CLASIFICAR",IFERROR(INDEX('CAT_ACTIVIDADES'!$D$4:$D$11,MATCH($H414,'CAT_ACTIVIDADES'!$A$4:$A$11,0)),"")))</f>
        <v/>
      </c>
      <c r="AO414" s="4" t="n"/>
      <c r="AP414" s="4" t="n"/>
      <c r="AQ414" s="4" t="n"/>
      <c r="AR414" s="5">
        <f>IF($AQ414="","",HYPERLINK(p_ruta_base_checklists&amp;$AQ414,"abrir"))</f>
        <v/>
      </c>
      <c r="AS414" s="4" t="n"/>
      <c r="AT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2" t="n"/>
      <c r="K415" s="5" t="n"/>
      <c r="L415" s="18" t="n"/>
      <c r="M415" s="5">
        <f>IF($A415="","",IFERROR(INDEX('AJUSTES'!$B$4:$B$303,MATCH($AT415,'AJUSTES'!$A$4:$A$303,0)),IF($K415="","",$K415)))</f>
        <v/>
      </c>
      <c r="N415" s="5">
        <f>IF($A415="","",IFERROR(INDEX('CAT_ESTADOS_ERP'!$B$4:$B$7,MATCH(IFERROR(INDEX('2_IMPORTAR_EJECUCION'!$C$9:$C$1208,MATCH($AT415,'2_IMPORTAR_EJECUCION'!$J$9:$J$1208,0)),""),'CAT_ESTADOS_ERP'!$A$4:$A$7,0)),"Pendiente"))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IF($J415="","",$P415&amp;"-"&amp;TEXT($Q415,"00"))</f>
        <v/>
      </c>
      <c r="S415" s="5">
        <f>IF($J415="","",INDEX(lista_dias,WEEKDAY($J415,2)))</f>
        <v/>
      </c>
      <c r="T415" s="5">
        <f>IF($J415="","",IFERROR(INDEX('CALENDARIO'!$C$15:$C$214,MATCH(TEXT($J415,"yyyy-mm-dd")&amp;"|"&amp;$X415&amp;"|"&amp;$Y415,'CALENDARIO'!$G$15:$G$214,0)),IFERROR(INDEX('CALENDARIO'!$C$15:$C$214,MATCH(TEXT($J415,"yyyy-mm-dd")&amp;"|"&amp;$X415&amp;"|",'CALENDARIO'!$G$15:$G$214,0)),IFERROR(INDEX('CALENDARIO'!$C$15:$C$214,MATCH(TEXT($J415,"yyyy-mm-dd")&amp;"||",'CALENDARIO'!$G$15:$G$214,0)),INDEX(patronHabil,WEEKDAY($J415,2))))))</f>
        <v/>
      </c>
      <c r="U415" s="5">
        <f>IF($I415="","",IFERROR(INDEX('CAT_TIPOS_OT'!$C$4:$C$8,MATCH($I415,'CAT_TIPOS_OT'!$A$4:$A$8,0)),"sin_clasificar"))</f>
        <v/>
      </c>
      <c r="V415" s="5">
        <f>IF($I415="","",IF(IFERROR(INDEX('CAT_TIPOS_OT'!$D$4:$D$8,MATCH($I415,'CAT_TIPOS_OT'!$A$4:$A$8,0)),"SIN CLASIFICAR")="","SIN CLASIFICAR",IFERROR(INDEX('CAT_TIPOS_OT'!$D$4:$D$8,MATCH($I415,'CAT_TIPOS_OT'!$A$4:$A$8,0)),"SIN CLASIFICAR")))</f>
        <v/>
      </c>
      <c r="W415" s="5">
        <f>IF($F415="","",IFERROR(INDEX('CAT_CENTROS_COSTO'!$F$4:$F$13,MATCH($F415,'CAT_CENTROS_COSTO'!$A$4:$A$13,0)),"(sin catálogo)"))</f>
        <v/>
      </c>
      <c r="X415" s="5">
        <f>IF($F415="","",IFERROR(INDEX('CAT_CENTROS_COSTO'!$D$4:$D$13,MATCH($F415,'CAT_CENTROS_COSTO'!$A$4:$A$13,0)),"(sin catálogo)"))</f>
        <v/>
      </c>
      <c r="Y415" s="5">
        <f>IF($F415="","",IF((IFERROR(INDEX('CAT_CENTROS_COSTO'!$E$4:$E$13,MATCH($F415,'CAT_CENTROS_COSTO'!$A$4:$A$13,0)),""))&lt;&gt;"",IFERROR(INDEX('CAT_CENTROS_COSTO'!$E$4:$E$13,MATCH($F415,'CAT_CENTROS_COSTO'!$A$4:$A$13,0)),""),$X415))</f>
        <v/>
      </c>
      <c r="Z415" s="5">
        <f>IF($F415="","",IFERROR(INDEX('CAT_CENTROS_COSTO'!$G$4:$G$13,MATCH($F415,'CAT_CENTROS_COSTO'!$A$4:$A$13,0)),"(sin catálogo)"))</f>
        <v/>
      </c>
      <c r="AA415" s="5">
        <f>IF($G415="","",IFERROR(INDEX('CAT_PUESTOS'!$B$4:$B$8,MATCH($G415,'CAT_PUESTOS'!$A$4:$A$8,0)),"(sin catálogo)"))</f>
        <v/>
      </c>
      <c r="AB415" s="5">
        <f>IF($H415="","",IFERROR(INDEX('CAT_ACTIVIDADES'!$B$4:$B$11,MATCH($H415,'CAT_ACTIVIDADES'!$A$4:$A$11,0)),"(sin catálogo)"))</f>
        <v/>
      </c>
      <c r="AC415" s="20">
        <f>IF($J415="","",TODAY()-$J415)</f>
        <v/>
      </c>
      <c r="AD415" s="20">
        <f>IF($J415="","",IF($J415&lt;=TODAY(),COUNTIFS(cal_fechas,"&gt;="&amp;$J415,cal_fechas,"&lt;"&amp;TODAY(),cal_habil,"sí"),-COUNTIFS(cal_fechas,"&gt;="&amp;TODAY(),cal_fechas,"&lt;"&amp;$J415,cal_habil,"sí")))</f>
        <v/>
      </c>
      <c r="AE415" s="5">
        <f>IF($AD415="","",IF($AD415&lt;0,"FUTURO",IF($AD415&gt;p_dias_backlog_max,"BACKLOG","MES CORRIENTE")))</f>
        <v/>
      </c>
      <c r="AF415" s="5">
        <f>IF($AD415="",FALSE,AND($AD415&gt;p_dias_backlog_min,$AD415&lt;=p_dias_backlog_max))</f>
        <v/>
      </c>
      <c r="AG415" s="4" t="n"/>
      <c r="AH415" s="5">
        <f>IF($AG415="","",IF((IFERROR(INDEX('ASIGNACIONES'!$J$4:$J$451,MATCH($O415&amp;"|"&amp;$S415&amp;"|"&amp;$AG415,'ASIGNACIONES'!$N$4:$N$451,0)),""))=0,"",IFERROR(INDEX('ASIGNACIONES'!$J$4:$J$451,MATCH($O415&amp;"|"&amp;$S415&amp;"|"&amp;$AG415,'ASIGNACIONES'!$N$4:$N$451,0)),"")))</f>
        <v/>
      </c>
      <c r="AI415" s="25">
        <f>IF($AG415="","",SUMIFS('ORDENES'!$M$4:$M$1203,'ORDENES'!$AG$4:$AG$1203,$AG415,'ORDENES'!$O$4:$O$1203,$O415,'ORDENES'!$S$4:$S$1203,$S415))</f>
        <v/>
      </c>
      <c r="AJ415" s="25">
        <f>IF($AI415="","",p_factor_productividad*IFERROR(INDEX('ASIGNACIONES'!$M$4:$M$451,MATCH($O415&amp;"|"&amp;$S415&amp;"|"&amp;$AG415,'ASIGNACIONES'!$N$4:$N$451,0)),0)-$AI415)</f>
        <v/>
      </c>
      <c r="AK415" s="18">
        <f>IF($A415="","",IFERROR(INDEX('2_IMPORTAR_EJECUCION'!$F$9:$F$1208,MATCH($AT415,'2_IMPORTAR_EJECUCION'!$J$9:$J$1208,0)),0))</f>
        <v/>
      </c>
      <c r="AL415" s="18">
        <f>IF($A415="","",MAX(0,IFERROR(INDEX('2_IMPORTAR_EJECUCION'!$H$9:$H$1208,MATCH($AT415,'2_IMPORTAR_EJECUCION'!$J$9:$J$1208,0)),0)-$AK415))</f>
        <v/>
      </c>
      <c r="AM415" s="18">
        <f>IF($A415="","",$AK415+$AL415)</f>
        <v/>
      </c>
      <c r="AN415" s="5">
        <f>IF($A415="","",IF(OR((IFERROR(INDEX('CAT_ACTIVIDADES'!$D$4:$D$11,MATCH($H415,'CAT_ACTIVIDADES'!$A$4:$A$11,0)),""))=0,(IFERROR(INDEX('CAT_ACTIVIDADES'!$D$4:$D$11,MATCH($H415,'CAT_ACTIVIDADES'!$A$4:$A$11,0)),""))=""),"SIN CLASIFICAR",IFERROR(INDEX('CAT_ACTIVIDADES'!$D$4:$D$11,MATCH($H415,'CAT_ACTIVIDADES'!$A$4:$A$11,0)),"")))</f>
        <v/>
      </c>
      <c r="AO415" s="4" t="n"/>
      <c r="AP415" s="4" t="n"/>
      <c r="AQ415" s="4" t="n"/>
      <c r="AR415" s="5">
        <f>IF($AQ415="","",HYPERLINK(p_ruta_base_checklists&amp;$AQ415,"abrir"))</f>
        <v/>
      </c>
      <c r="AS415" s="4" t="n"/>
      <c r="AT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2" t="n"/>
      <c r="K416" s="5" t="n"/>
      <c r="L416" s="18" t="n"/>
      <c r="M416" s="5">
        <f>IF($A416="","",IFERROR(INDEX('AJUSTES'!$B$4:$B$303,MATCH($AT416,'AJUSTES'!$A$4:$A$303,0)),IF($K416="","",$K416)))</f>
        <v/>
      </c>
      <c r="N416" s="5">
        <f>IF($A416="","",IFERROR(INDEX('CAT_ESTADOS_ERP'!$B$4:$B$7,MATCH(IFERROR(INDEX('2_IMPORTAR_EJECUCION'!$C$9:$C$1208,MATCH($AT416,'2_IMPORTAR_EJECUCION'!$J$9:$J$1208,0)),""),'CAT_ESTADOS_ERP'!$A$4:$A$7,0)),"Pendiente"))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IF($J416="","",$P416&amp;"-"&amp;TEXT($Q416,"00"))</f>
        <v/>
      </c>
      <c r="S416" s="5">
        <f>IF($J416="","",INDEX(lista_dias,WEEKDAY($J416,2)))</f>
        <v/>
      </c>
      <c r="T416" s="5">
        <f>IF($J416="","",IFERROR(INDEX('CALENDARIO'!$C$15:$C$214,MATCH(TEXT($J416,"yyyy-mm-dd")&amp;"|"&amp;$X416&amp;"|"&amp;$Y416,'CALENDARIO'!$G$15:$G$214,0)),IFERROR(INDEX('CALENDARIO'!$C$15:$C$214,MATCH(TEXT($J416,"yyyy-mm-dd")&amp;"|"&amp;$X416&amp;"|",'CALENDARIO'!$G$15:$G$214,0)),IFERROR(INDEX('CALENDARIO'!$C$15:$C$214,MATCH(TEXT($J416,"yyyy-mm-dd")&amp;"||",'CALENDARIO'!$G$15:$G$214,0)),INDEX(patronHabil,WEEKDAY($J416,2))))))</f>
        <v/>
      </c>
      <c r="U416" s="5">
        <f>IF($I416="","",IFERROR(INDEX('CAT_TIPOS_OT'!$C$4:$C$8,MATCH($I416,'CAT_TIPOS_OT'!$A$4:$A$8,0)),"sin_clasificar"))</f>
        <v/>
      </c>
      <c r="V416" s="5">
        <f>IF($I416="","",IF(IFERROR(INDEX('CAT_TIPOS_OT'!$D$4:$D$8,MATCH($I416,'CAT_TIPOS_OT'!$A$4:$A$8,0)),"SIN CLASIFICAR")="","SIN CLASIFICAR",IFERROR(INDEX('CAT_TIPOS_OT'!$D$4:$D$8,MATCH($I416,'CAT_TIPOS_OT'!$A$4:$A$8,0)),"SIN CLASIFICAR")))</f>
        <v/>
      </c>
      <c r="W416" s="5">
        <f>IF($F416="","",IFERROR(INDEX('CAT_CENTROS_COSTO'!$F$4:$F$13,MATCH($F416,'CAT_CENTROS_COSTO'!$A$4:$A$13,0)),"(sin catálogo)"))</f>
        <v/>
      </c>
      <c r="X416" s="5">
        <f>IF($F416="","",IFERROR(INDEX('CAT_CENTROS_COSTO'!$D$4:$D$13,MATCH($F416,'CAT_CENTROS_COSTO'!$A$4:$A$13,0)),"(sin catálogo)"))</f>
        <v/>
      </c>
      <c r="Y416" s="5">
        <f>IF($F416="","",IF((IFERROR(INDEX('CAT_CENTROS_COSTO'!$E$4:$E$13,MATCH($F416,'CAT_CENTROS_COSTO'!$A$4:$A$13,0)),""))&lt;&gt;"",IFERROR(INDEX('CAT_CENTROS_COSTO'!$E$4:$E$13,MATCH($F416,'CAT_CENTROS_COSTO'!$A$4:$A$13,0)),""),$X416))</f>
        <v/>
      </c>
      <c r="Z416" s="5">
        <f>IF($F416="","",IFERROR(INDEX('CAT_CENTROS_COSTO'!$G$4:$G$13,MATCH($F416,'CAT_CENTROS_COSTO'!$A$4:$A$13,0)),"(sin catálogo)"))</f>
        <v/>
      </c>
      <c r="AA416" s="5">
        <f>IF($G416="","",IFERROR(INDEX('CAT_PUESTOS'!$B$4:$B$8,MATCH($G416,'CAT_PUESTOS'!$A$4:$A$8,0)),"(sin catálogo)"))</f>
        <v/>
      </c>
      <c r="AB416" s="5">
        <f>IF($H416="","",IFERROR(INDEX('CAT_ACTIVIDADES'!$B$4:$B$11,MATCH($H416,'CAT_ACTIVIDADES'!$A$4:$A$11,0)),"(sin catálogo)"))</f>
        <v/>
      </c>
      <c r="AC416" s="20">
        <f>IF($J416="","",TODAY()-$J416)</f>
        <v/>
      </c>
      <c r="AD416" s="20">
        <f>IF($J416="","",IF($J416&lt;=TODAY(),COUNTIFS(cal_fechas,"&gt;="&amp;$J416,cal_fechas,"&lt;"&amp;TODAY(),cal_habil,"sí"),-COUNTIFS(cal_fechas,"&gt;="&amp;TODAY(),cal_fechas,"&lt;"&amp;$J416,cal_habil,"sí")))</f>
        <v/>
      </c>
      <c r="AE416" s="5">
        <f>IF($AD416="","",IF($AD416&lt;0,"FUTURO",IF($AD416&gt;p_dias_backlog_max,"BACKLOG","MES CORRIENTE")))</f>
        <v/>
      </c>
      <c r="AF416" s="5">
        <f>IF($AD416="",FALSE,AND($AD416&gt;p_dias_backlog_min,$AD416&lt;=p_dias_backlog_max))</f>
        <v/>
      </c>
      <c r="AG416" s="4" t="n"/>
      <c r="AH416" s="5">
        <f>IF($AG416="","",IF((IFERROR(INDEX('ASIGNACIONES'!$J$4:$J$451,MATCH($O416&amp;"|"&amp;$S416&amp;"|"&amp;$AG416,'ASIGNACIONES'!$N$4:$N$451,0)),""))=0,"",IFERROR(INDEX('ASIGNACIONES'!$J$4:$J$451,MATCH($O416&amp;"|"&amp;$S416&amp;"|"&amp;$AG416,'ASIGNACIONES'!$N$4:$N$451,0)),"")))</f>
        <v/>
      </c>
      <c r="AI416" s="25">
        <f>IF($AG416="","",SUMIFS('ORDENES'!$M$4:$M$1203,'ORDENES'!$AG$4:$AG$1203,$AG416,'ORDENES'!$O$4:$O$1203,$O416,'ORDENES'!$S$4:$S$1203,$S416))</f>
        <v/>
      </c>
      <c r="AJ416" s="25">
        <f>IF($AI416="","",p_factor_productividad*IFERROR(INDEX('ASIGNACIONES'!$M$4:$M$451,MATCH($O416&amp;"|"&amp;$S416&amp;"|"&amp;$AG416,'ASIGNACIONES'!$N$4:$N$451,0)),0)-$AI416)</f>
        <v/>
      </c>
      <c r="AK416" s="18">
        <f>IF($A416="","",IFERROR(INDEX('2_IMPORTAR_EJECUCION'!$F$9:$F$1208,MATCH($AT416,'2_IMPORTAR_EJECUCION'!$J$9:$J$1208,0)),0))</f>
        <v/>
      </c>
      <c r="AL416" s="18">
        <f>IF($A416="","",MAX(0,IFERROR(INDEX('2_IMPORTAR_EJECUCION'!$H$9:$H$1208,MATCH($AT416,'2_IMPORTAR_EJECUCION'!$J$9:$J$1208,0)),0)-$AK416))</f>
        <v/>
      </c>
      <c r="AM416" s="18">
        <f>IF($A416="","",$AK416+$AL416)</f>
        <v/>
      </c>
      <c r="AN416" s="5">
        <f>IF($A416="","",IF(OR((IFERROR(INDEX('CAT_ACTIVIDADES'!$D$4:$D$11,MATCH($H416,'CAT_ACTIVIDADES'!$A$4:$A$11,0)),""))=0,(IFERROR(INDEX('CAT_ACTIVIDADES'!$D$4:$D$11,MATCH($H416,'CAT_ACTIVIDADES'!$A$4:$A$11,0)),""))=""),"SIN CLASIFICAR",IFERROR(INDEX('CAT_ACTIVIDADES'!$D$4:$D$11,MATCH($H416,'CAT_ACTIVIDADES'!$A$4:$A$11,0)),"")))</f>
        <v/>
      </c>
      <c r="AO416" s="4" t="n"/>
      <c r="AP416" s="4" t="n"/>
      <c r="AQ416" s="4" t="n"/>
      <c r="AR416" s="5">
        <f>IF($AQ416="","",HYPERLINK(p_ruta_base_checklists&amp;$AQ416,"abrir"))</f>
        <v/>
      </c>
      <c r="AS416" s="4" t="n"/>
      <c r="AT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2" t="n"/>
      <c r="K417" s="5" t="n"/>
      <c r="L417" s="18" t="n"/>
      <c r="M417" s="5">
        <f>IF($A417="","",IFERROR(INDEX('AJUSTES'!$B$4:$B$303,MATCH($AT417,'AJUSTES'!$A$4:$A$303,0)),IF($K417="","",$K417)))</f>
        <v/>
      </c>
      <c r="N417" s="5">
        <f>IF($A417="","",IFERROR(INDEX('CAT_ESTADOS_ERP'!$B$4:$B$7,MATCH(IFERROR(INDEX('2_IMPORTAR_EJECUCION'!$C$9:$C$1208,MATCH($AT417,'2_IMPORTAR_EJECUCION'!$J$9:$J$1208,0)),""),'CAT_ESTADOS_ERP'!$A$4:$A$7,0)),"Pendiente"))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IF($J417="","",$P417&amp;"-"&amp;TEXT($Q417,"00"))</f>
        <v/>
      </c>
      <c r="S417" s="5">
        <f>IF($J417="","",INDEX(lista_dias,WEEKDAY($J417,2)))</f>
        <v/>
      </c>
      <c r="T417" s="5">
        <f>IF($J417="","",IFERROR(INDEX('CALENDARIO'!$C$15:$C$214,MATCH(TEXT($J417,"yyyy-mm-dd")&amp;"|"&amp;$X417&amp;"|"&amp;$Y417,'CALENDARIO'!$G$15:$G$214,0)),IFERROR(INDEX('CALENDARIO'!$C$15:$C$214,MATCH(TEXT($J417,"yyyy-mm-dd")&amp;"|"&amp;$X417&amp;"|",'CALENDARIO'!$G$15:$G$214,0)),IFERROR(INDEX('CALENDARIO'!$C$15:$C$214,MATCH(TEXT($J417,"yyyy-mm-dd")&amp;"||",'CALENDARIO'!$G$15:$G$214,0)),INDEX(patronHabil,WEEKDAY($J417,2))))))</f>
        <v/>
      </c>
      <c r="U417" s="5">
        <f>IF($I417="","",IFERROR(INDEX('CAT_TIPOS_OT'!$C$4:$C$8,MATCH($I417,'CAT_TIPOS_OT'!$A$4:$A$8,0)),"sin_clasificar"))</f>
        <v/>
      </c>
      <c r="V417" s="5">
        <f>IF($I417="","",IF(IFERROR(INDEX('CAT_TIPOS_OT'!$D$4:$D$8,MATCH($I417,'CAT_TIPOS_OT'!$A$4:$A$8,0)),"SIN CLASIFICAR")="","SIN CLASIFICAR",IFERROR(INDEX('CAT_TIPOS_OT'!$D$4:$D$8,MATCH($I417,'CAT_TIPOS_OT'!$A$4:$A$8,0)),"SIN CLASIFICAR")))</f>
        <v/>
      </c>
      <c r="W417" s="5">
        <f>IF($F417="","",IFERROR(INDEX('CAT_CENTROS_COSTO'!$F$4:$F$13,MATCH($F417,'CAT_CENTROS_COSTO'!$A$4:$A$13,0)),"(sin catálogo)"))</f>
        <v/>
      </c>
      <c r="X417" s="5">
        <f>IF($F417="","",IFERROR(INDEX('CAT_CENTROS_COSTO'!$D$4:$D$13,MATCH($F417,'CAT_CENTROS_COSTO'!$A$4:$A$13,0)),"(sin catálogo)"))</f>
        <v/>
      </c>
      <c r="Y417" s="5">
        <f>IF($F417="","",IF((IFERROR(INDEX('CAT_CENTROS_COSTO'!$E$4:$E$13,MATCH($F417,'CAT_CENTROS_COSTO'!$A$4:$A$13,0)),""))&lt;&gt;"",IFERROR(INDEX('CAT_CENTROS_COSTO'!$E$4:$E$13,MATCH($F417,'CAT_CENTROS_COSTO'!$A$4:$A$13,0)),""),$X417))</f>
        <v/>
      </c>
      <c r="Z417" s="5">
        <f>IF($F417="","",IFERROR(INDEX('CAT_CENTROS_COSTO'!$G$4:$G$13,MATCH($F417,'CAT_CENTROS_COSTO'!$A$4:$A$13,0)),"(sin catálogo)"))</f>
        <v/>
      </c>
      <c r="AA417" s="5">
        <f>IF($G417="","",IFERROR(INDEX('CAT_PUESTOS'!$B$4:$B$8,MATCH($G417,'CAT_PUESTOS'!$A$4:$A$8,0)),"(sin catálogo)"))</f>
        <v/>
      </c>
      <c r="AB417" s="5">
        <f>IF($H417="","",IFERROR(INDEX('CAT_ACTIVIDADES'!$B$4:$B$11,MATCH($H417,'CAT_ACTIVIDADES'!$A$4:$A$11,0)),"(sin catálogo)"))</f>
        <v/>
      </c>
      <c r="AC417" s="20">
        <f>IF($J417="","",TODAY()-$J417)</f>
        <v/>
      </c>
      <c r="AD417" s="20">
        <f>IF($J417="","",IF($J417&lt;=TODAY(),COUNTIFS(cal_fechas,"&gt;="&amp;$J417,cal_fechas,"&lt;"&amp;TODAY(),cal_habil,"sí"),-COUNTIFS(cal_fechas,"&gt;="&amp;TODAY(),cal_fechas,"&lt;"&amp;$J417,cal_habil,"sí")))</f>
        <v/>
      </c>
      <c r="AE417" s="5">
        <f>IF($AD417="","",IF($AD417&lt;0,"FUTURO",IF($AD417&gt;p_dias_backlog_max,"BACKLOG","MES CORRIENTE")))</f>
        <v/>
      </c>
      <c r="AF417" s="5">
        <f>IF($AD417="",FALSE,AND($AD417&gt;p_dias_backlog_min,$AD417&lt;=p_dias_backlog_max))</f>
        <v/>
      </c>
      <c r="AG417" s="4" t="n"/>
      <c r="AH417" s="5">
        <f>IF($AG417="","",IF((IFERROR(INDEX('ASIGNACIONES'!$J$4:$J$451,MATCH($O417&amp;"|"&amp;$S417&amp;"|"&amp;$AG417,'ASIGNACIONES'!$N$4:$N$451,0)),""))=0,"",IFERROR(INDEX('ASIGNACIONES'!$J$4:$J$451,MATCH($O417&amp;"|"&amp;$S417&amp;"|"&amp;$AG417,'ASIGNACIONES'!$N$4:$N$451,0)),"")))</f>
        <v/>
      </c>
      <c r="AI417" s="25">
        <f>IF($AG417="","",SUMIFS('ORDENES'!$M$4:$M$1203,'ORDENES'!$AG$4:$AG$1203,$AG417,'ORDENES'!$O$4:$O$1203,$O417,'ORDENES'!$S$4:$S$1203,$S417))</f>
        <v/>
      </c>
      <c r="AJ417" s="25">
        <f>IF($AI417="","",p_factor_productividad*IFERROR(INDEX('ASIGNACIONES'!$M$4:$M$451,MATCH($O417&amp;"|"&amp;$S417&amp;"|"&amp;$AG417,'ASIGNACIONES'!$N$4:$N$451,0)),0)-$AI417)</f>
        <v/>
      </c>
      <c r="AK417" s="18">
        <f>IF($A417="","",IFERROR(INDEX('2_IMPORTAR_EJECUCION'!$F$9:$F$1208,MATCH($AT417,'2_IMPORTAR_EJECUCION'!$J$9:$J$1208,0)),0))</f>
        <v/>
      </c>
      <c r="AL417" s="18">
        <f>IF($A417="","",MAX(0,IFERROR(INDEX('2_IMPORTAR_EJECUCION'!$H$9:$H$1208,MATCH($AT417,'2_IMPORTAR_EJECUCION'!$J$9:$J$1208,0)),0)-$AK417))</f>
        <v/>
      </c>
      <c r="AM417" s="18">
        <f>IF($A417="","",$AK417+$AL417)</f>
        <v/>
      </c>
      <c r="AN417" s="5">
        <f>IF($A417="","",IF(OR((IFERROR(INDEX('CAT_ACTIVIDADES'!$D$4:$D$11,MATCH($H417,'CAT_ACTIVIDADES'!$A$4:$A$11,0)),""))=0,(IFERROR(INDEX('CAT_ACTIVIDADES'!$D$4:$D$11,MATCH($H417,'CAT_ACTIVIDADES'!$A$4:$A$11,0)),""))=""),"SIN CLASIFICAR",IFERROR(INDEX('CAT_ACTIVIDADES'!$D$4:$D$11,MATCH($H417,'CAT_ACTIVIDADES'!$A$4:$A$11,0)),"")))</f>
        <v/>
      </c>
      <c r="AO417" s="4" t="n"/>
      <c r="AP417" s="4" t="n"/>
      <c r="AQ417" s="4" t="n"/>
      <c r="AR417" s="5">
        <f>IF($AQ417="","",HYPERLINK(p_ruta_base_checklists&amp;$AQ417,"abrir"))</f>
        <v/>
      </c>
      <c r="AS417" s="4" t="n"/>
      <c r="AT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2" t="n"/>
      <c r="K418" s="5" t="n"/>
      <c r="L418" s="18" t="n"/>
      <c r="M418" s="5">
        <f>IF($A418="","",IFERROR(INDEX('AJUSTES'!$B$4:$B$303,MATCH($AT418,'AJUSTES'!$A$4:$A$303,0)),IF($K418="","",$K418)))</f>
        <v/>
      </c>
      <c r="N418" s="5">
        <f>IF($A418="","",IFERROR(INDEX('CAT_ESTADOS_ERP'!$B$4:$B$7,MATCH(IFERROR(INDEX('2_IMPORTAR_EJECUCION'!$C$9:$C$1208,MATCH($AT418,'2_IMPORTAR_EJECUCION'!$J$9:$J$1208,0)),""),'CAT_ESTADOS_ERP'!$A$4:$A$7,0)),"Pendiente"))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IF($J418="","",$P418&amp;"-"&amp;TEXT($Q418,"00"))</f>
        <v/>
      </c>
      <c r="S418" s="5">
        <f>IF($J418="","",INDEX(lista_dias,WEEKDAY($J418,2)))</f>
        <v/>
      </c>
      <c r="T418" s="5">
        <f>IF($J418="","",IFERROR(INDEX('CALENDARIO'!$C$15:$C$214,MATCH(TEXT($J418,"yyyy-mm-dd")&amp;"|"&amp;$X418&amp;"|"&amp;$Y418,'CALENDARIO'!$G$15:$G$214,0)),IFERROR(INDEX('CALENDARIO'!$C$15:$C$214,MATCH(TEXT($J418,"yyyy-mm-dd")&amp;"|"&amp;$X418&amp;"|",'CALENDARIO'!$G$15:$G$214,0)),IFERROR(INDEX('CALENDARIO'!$C$15:$C$214,MATCH(TEXT($J418,"yyyy-mm-dd")&amp;"||",'CALENDARIO'!$G$15:$G$214,0)),INDEX(patronHabil,WEEKDAY($J418,2))))))</f>
        <v/>
      </c>
      <c r="U418" s="5">
        <f>IF($I418="","",IFERROR(INDEX('CAT_TIPOS_OT'!$C$4:$C$8,MATCH($I418,'CAT_TIPOS_OT'!$A$4:$A$8,0)),"sin_clasificar"))</f>
        <v/>
      </c>
      <c r="V418" s="5">
        <f>IF($I418="","",IF(IFERROR(INDEX('CAT_TIPOS_OT'!$D$4:$D$8,MATCH($I418,'CAT_TIPOS_OT'!$A$4:$A$8,0)),"SIN CLASIFICAR")="","SIN CLASIFICAR",IFERROR(INDEX('CAT_TIPOS_OT'!$D$4:$D$8,MATCH($I418,'CAT_TIPOS_OT'!$A$4:$A$8,0)),"SIN CLASIFICAR")))</f>
        <v/>
      </c>
      <c r="W418" s="5">
        <f>IF($F418="","",IFERROR(INDEX('CAT_CENTROS_COSTO'!$F$4:$F$13,MATCH($F418,'CAT_CENTROS_COSTO'!$A$4:$A$13,0)),"(sin catálogo)"))</f>
        <v/>
      </c>
      <c r="X418" s="5">
        <f>IF($F418="","",IFERROR(INDEX('CAT_CENTROS_COSTO'!$D$4:$D$13,MATCH($F418,'CAT_CENTROS_COSTO'!$A$4:$A$13,0)),"(sin catálogo)"))</f>
        <v/>
      </c>
      <c r="Y418" s="5">
        <f>IF($F418="","",IF((IFERROR(INDEX('CAT_CENTROS_COSTO'!$E$4:$E$13,MATCH($F418,'CAT_CENTROS_COSTO'!$A$4:$A$13,0)),""))&lt;&gt;"",IFERROR(INDEX('CAT_CENTROS_COSTO'!$E$4:$E$13,MATCH($F418,'CAT_CENTROS_COSTO'!$A$4:$A$13,0)),""),$X418))</f>
        <v/>
      </c>
      <c r="Z418" s="5">
        <f>IF($F418="","",IFERROR(INDEX('CAT_CENTROS_COSTO'!$G$4:$G$13,MATCH($F418,'CAT_CENTROS_COSTO'!$A$4:$A$13,0)),"(sin catálogo)"))</f>
        <v/>
      </c>
      <c r="AA418" s="5">
        <f>IF($G418="","",IFERROR(INDEX('CAT_PUESTOS'!$B$4:$B$8,MATCH($G418,'CAT_PUESTOS'!$A$4:$A$8,0)),"(sin catálogo)"))</f>
        <v/>
      </c>
      <c r="AB418" s="5">
        <f>IF($H418="","",IFERROR(INDEX('CAT_ACTIVIDADES'!$B$4:$B$11,MATCH($H418,'CAT_ACTIVIDADES'!$A$4:$A$11,0)),"(sin catálogo)"))</f>
        <v/>
      </c>
      <c r="AC418" s="20">
        <f>IF($J418="","",TODAY()-$J418)</f>
        <v/>
      </c>
      <c r="AD418" s="20">
        <f>IF($J418="","",IF($J418&lt;=TODAY(),COUNTIFS(cal_fechas,"&gt;="&amp;$J418,cal_fechas,"&lt;"&amp;TODAY(),cal_habil,"sí"),-COUNTIFS(cal_fechas,"&gt;="&amp;TODAY(),cal_fechas,"&lt;"&amp;$J418,cal_habil,"sí")))</f>
        <v/>
      </c>
      <c r="AE418" s="5">
        <f>IF($AD418="","",IF($AD418&lt;0,"FUTURO",IF($AD418&gt;p_dias_backlog_max,"BACKLOG","MES CORRIENTE")))</f>
        <v/>
      </c>
      <c r="AF418" s="5">
        <f>IF($AD418="",FALSE,AND($AD418&gt;p_dias_backlog_min,$AD418&lt;=p_dias_backlog_max))</f>
        <v/>
      </c>
      <c r="AG418" s="4" t="n"/>
      <c r="AH418" s="5">
        <f>IF($AG418="","",IF((IFERROR(INDEX('ASIGNACIONES'!$J$4:$J$451,MATCH($O418&amp;"|"&amp;$S418&amp;"|"&amp;$AG418,'ASIGNACIONES'!$N$4:$N$451,0)),""))=0,"",IFERROR(INDEX('ASIGNACIONES'!$J$4:$J$451,MATCH($O418&amp;"|"&amp;$S418&amp;"|"&amp;$AG418,'ASIGNACIONES'!$N$4:$N$451,0)),"")))</f>
        <v/>
      </c>
      <c r="AI418" s="25">
        <f>IF($AG418="","",SUMIFS('ORDENES'!$M$4:$M$1203,'ORDENES'!$AG$4:$AG$1203,$AG418,'ORDENES'!$O$4:$O$1203,$O418,'ORDENES'!$S$4:$S$1203,$S418))</f>
        <v/>
      </c>
      <c r="AJ418" s="25">
        <f>IF($AI418="","",p_factor_productividad*IFERROR(INDEX('ASIGNACIONES'!$M$4:$M$451,MATCH($O418&amp;"|"&amp;$S418&amp;"|"&amp;$AG418,'ASIGNACIONES'!$N$4:$N$451,0)),0)-$AI418)</f>
        <v/>
      </c>
      <c r="AK418" s="18">
        <f>IF($A418="","",IFERROR(INDEX('2_IMPORTAR_EJECUCION'!$F$9:$F$1208,MATCH($AT418,'2_IMPORTAR_EJECUCION'!$J$9:$J$1208,0)),0))</f>
        <v/>
      </c>
      <c r="AL418" s="18">
        <f>IF($A418="","",MAX(0,IFERROR(INDEX('2_IMPORTAR_EJECUCION'!$H$9:$H$1208,MATCH($AT418,'2_IMPORTAR_EJECUCION'!$J$9:$J$1208,0)),0)-$AK418))</f>
        <v/>
      </c>
      <c r="AM418" s="18">
        <f>IF($A418="","",$AK418+$AL418)</f>
        <v/>
      </c>
      <c r="AN418" s="5">
        <f>IF($A418="","",IF(OR((IFERROR(INDEX('CAT_ACTIVIDADES'!$D$4:$D$11,MATCH($H418,'CAT_ACTIVIDADES'!$A$4:$A$11,0)),""))=0,(IFERROR(INDEX('CAT_ACTIVIDADES'!$D$4:$D$11,MATCH($H418,'CAT_ACTIVIDADES'!$A$4:$A$11,0)),""))=""),"SIN CLASIFICAR",IFERROR(INDEX('CAT_ACTIVIDADES'!$D$4:$D$11,MATCH($H418,'CAT_ACTIVIDADES'!$A$4:$A$11,0)),"")))</f>
        <v/>
      </c>
      <c r="AO418" s="4" t="n"/>
      <c r="AP418" s="4" t="n"/>
      <c r="AQ418" s="4" t="n"/>
      <c r="AR418" s="5">
        <f>IF($AQ418="","",HYPERLINK(p_ruta_base_checklists&amp;$AQ418,"abrir"))</f>
        <v/>
      </c>
      <c r="AS418" s="4" t="n"/>
      <c r="AT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2" t="n"/>
      <c r="K419" s="5" t="n"/>
      <c r="L419" s="18" t="n"/>
      <c r="M419" s="5">
        <f>IF($A419="","",IFERROR(INDEX('AJUSTES'!$B$4:$B$303,MATCH($AT419,'AJUSTES'!$A$4:$A$303,0)),IF($K419="","",$K419)))</f>
        <v/>
      </c>
      <c r="N419" s="5">
        <f>IF($A419="","",IFERROR(INDEX('CAT_ESTADOS_ERP'!$B$4:$B$7,MATCH(IFERROR(INDEX('2_IMPORTAR_EJECUCION'!$C$9:$C$1208,MATCH($AT419,'2_IMPORTAR_EJECUCION'!$J$9:$J$1208,0)),""),'CAT_ESTADOS_ERP'!$A$4:$A$7,0)),"Pendiente"))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IF($J419="","",$P419&amp;"-"&amp;TEXT($Q419,"00"))</f>
        <v/>
      </c>
      <c r="S419" s="5">
        <f>IF($J419="","",INDEX(lista_dias,WEEKDAY($J419,2)))</f>
        <v/>
      </c>
      <c r="T419" s="5">
        <f>IF($J419="","",IFERROR(INDEX('CALENDARIO'!$C$15:$C$214,MATCH(TEXT($J419,"yyyy-mm-dd")&amp;"|"&amp;$X419&amp;"|"&amp;$Y419,'CALENDARIO'!$G$15:$G$214,0)),IFERROR(INDEX('CALENDARIO'!$C$15:$C$214,MATCH(TEXT($J419,"yyyy-mm-dd")&amp;"|"&amp;$X419&amp;"|",'CALENDARIO'!$G$15:$G$214,0)),IFERROR(INDEX('CALENDARIO'!$C$15:$C$214,MATCH(TEXT($J419,"yyyy-mm-dd")&amp;"||",'CALENDARIO'!$G$15:$G$214,0)),INDEX(patronHabil,WEEKDAY($J419,2))))))</f>
        <v/>
      </c>
      <c r="U419" s="5">
        <f>IF($I419="","",IFERROR(INDEX('CAT_TIPOS_OT'!$C$4:$C$8,MATCH($I419,'CAT_TIPOS_OT'!$A$4:$A$8,0)),"sin_clasificar"))</f>
        <v/>
      </c>
      <c r="V419" s="5">
        <f>IF($I419="","",IF(IFERROR(INDEX('CAT_TIPOS_OT'!$D$4:$D$8,MATCH($I419,'CAT_TIPOS_OT'!$A$4:$A$8,0)),"SIN CLASIFICAR")="","SIN CLASIFICAR",IFERROR(INDEX('CAT_TIPOS_OT'!$D$4:$D$8,MATCH($I419,'CAT_TIPOS_OT'!$A$4:$A$8,0)),"SIN CLASIFICAR")))</f>
        <v/>
      </c>
      <c r="W419" s="5">
        <f>IF($F419="","",IFERROR(INDEX('CAT_CENTROS_COSTO'!$F$4:$F$13,MATCH($F419,'CAT_CENTROS_COSTO'!$A$4:$A$13,0)),"(sin catálogo)"))</f>
        <v/>
      </c>
      <c r="X419" s="5">
        <f>IF($F419="","",IFERROR(INDEX('CAT_CENTROS_COSTO'!$D$4:$D$13,MATCH($F419,'CAT_CENTROS_COSTO'!$A$4:$A$13,0)),"(sin catálogo)"))</f>
        <v/>
      </c>
      <c r="Y419" s="5">
        <f>IF($F419="","",IF((IFERROR(INDEX('CAT_CENTROS_COSTO'!$E$4:$E$13,MATCH($F419,'CAT_CENTROS_COSTO'!$A$4:$A$13,0)),""))&lt;&gt;"",IFERROR(INDEX('CAT_CENTROS_COSTO'!$E$4:$E$13,MATCH($F419,'CAT_CENTROS_COSTO'!$A$4:$A$13,0)),""),$X419))</f>
        <v/>
      </c>
      <c r="Z419" s="5">
        <f>IF($F419="","",IFERROR(INDEX('CAT_CENTROS_COSTO'!$G$4:$G$13,MATCH($F419,'CAT_CENTROS_COSTO'!$A$4:$A$13,0)),"(sin catálogo)"))</f>
        <v/>
      </c>
      <c r="AA419" s="5">
        <f>IF($G419="","",IFERROR(INDEX('CAT_PUESTOS'!$B$4:$B$8,MATCH($G419,'CAT_PUESTOS'!$A$4:$A$8,0)),"(sin catálogo)"))</f>
        <v/>
      </c>
      <c r="AB419" s="5">
        <f>IF($H419="","",IFERROR(INDEX('CAT_ACTIVIDADES'!$B$4:$B$11,MATCH($H419,'CAT_ACTIVIDADES'!$A$4:$A$11,0)),"(sin catálogo)"))</f>
        <v/>
      </c>
      <c r="AC419" s="20">
        <f>IF($J419="","",TODAY()-$J419)</f>
        <v/>
      </c>
      <c r="AD419" s="20">
        <f>IF($J419="","",IF($J419&lt;=TODAY(),COUNTIFS(cal_fechas,"&gt;="&amp;$J419,cal_fechas,"&lt;"&amp;TODAY(),cal_habil,"sí"),-COUNTIFS(cal_fechas,"&gt;="&amp;TODAY(),cal_fechas,"&lt;"&amp;$J419,cal_habil,"sí")))</f>
        <v/>
      </c>
      <c r="AE419" s="5">
        <f>IF($AD419="","",IF($AD419&lt;0,"FUTURO",IF($AD419&gt;p_dias_backlog_max,"BACKLOG","MES CORRIENTE")))</f>
        <v/>
      </c>
      <c r="AF419" s="5">
        <f>IF($AD419="",FALSE,AND($AD419&gt;p_dias_backlog_min,$AD419&lt;=p_dias_backlog_max))</f>
        <v/>
      </c>
      <c r="AG419" s="4" t="n"/>
      <c r="AH419" s="5">
        <f>IF($AG419="","",IF((IFERROR(INDEX('ASIGNACIONES'!$J$4:$J$451,MATCH($O419&amp;"|"&amp;$S419&amp;"|"&amp;$AG419,'ASIGNACIONES'!$N$4:$N$451,0)),""))=0,"",IFERROR(INDEX('ASIGNACIONES'!$J$4:$J$451,MATCH($O419&amp;"|"&amp;$S419&amp;"|"&amp;$AG419,'ASIGNACIONES'!$N$4:$N$451,0)),"")))</f>
        <v/>
      </c>
      <c r="AI419" s="25">
        <f>IF($AG419="","",SUMIFS('ORDENES'!$M$4:$M$1203,'ORDENES'!$AG$4:$AG$1203,$AG419,'ORDENES'!$O$4:$O$1203,$O419,'ORDENES'!$S$4:$S$1203,$S419))</f>
        <v/>
      </c>
      <c r="AJ419" s="25">
        <f>IF($AI419="","",p_factor_productividad*IFERROR(INDEX('ASIGNACIONES'!$M$4:$M$451,MATCH($O419&amp;"|"&amp;$S419&amp;"|"&amp;$AG419,'ASIGNACIONES'!$N$4:$N$451,0)),0)-$AI419)</f>
        <v/>
      </c>
      <c r="AK419" s="18">
        <f>IF($A419="","",IFERROR(INDEX('2_IMPORTAR_EJECUCION'!$F$9:$F$1208,MATCH($AT419,'2_IMPORTAR_EJECUCION'!$J$9:$J$1208,0)),0))</f>
        <v/>
      </c>
      <c r="AL419" s="18">
        <f>IF($A419="","",MAX(0,IFERROR(INDEX('2_IMPORTAR_EJECUCION'!$H$9:$H$1208,MATCH($AT419,'2_IMPORTAR_EJECUCION'!$J$9:$J$1208,0)),0)-$AK419))</f>
        <v/>
      </c>
      <c r="AM419" s="18">
        <f>IF($A419="","",$AK419+$AL419)</f>
        <v/>
      </c>
      <c r="AN419" s="5">
        <f>IF($A419="","",IF(OR((IFERROR(INDEX('CAT_ACTIVIDADES'!$D$4:$D$11,MATCH($H419,'CAT_ACTIVIDADES'!$A$4:$A$11,0)),""))=0,(IFERROR(INDEX('CAT_ACTIVIDADES'!$D$4:$D$11,MATCH($H419,'CAT_ACTIVIDADES'!$A$4:$A$11,0)),""))=""),"SIN CLASIFICAR",IFERROR(INDEX('CAT_ACTIVIDADES'!$D$4:$D$11,MATCH($H419,'CAT_ACTIVIDADES'!$A$4:$A$11,0)),"")))</f>
        <v/>
      </c>
      <c r="AO419" s="4" t="n"/>
      <c r="AP419" s="4" t="n"/>
      <c r="AQ419" s="4" t="n"/>
      <c r="AR419" s="5">
        <f>IF($AQ419="","",HYPERLINK(p_ruta_base_checklists&amp;$AQ419,"abrir"))</f>
        <v/>
      </c>
      <c r="AS419" s="4" t="n"/>
      <c r="AT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2" t="n"/>
      <c r="K420" s="5" t="n"/>
      <c r="L420" s="18" t="n"/>
      <c r="M420" s="5">
        <f>IF($A420="","",IFERROR(INDEX('AJUSTES'!$B$4:$B$303,MATCH($AT420,'AJUSTES'!$A$4:$A$303,0)),IF($K420="","",$K420)))</f>
        <v/>
      </c>
      <c r="N420" s="5">
        <f>IF($A420="","",IFERROR(INDEX('CAT_ESTADOS_ERP'!$B$4:$B$7,MATCH(IFERROR(INDEX('2_IMPORTAR_EJECUCION'!$C$9:$C$1208,MATCH($AT420,'2_IMPORTAR_EJECUCION'!$J$9:$J$1208,0)),""),'CAT_ESTADOS_ERP'!$A$4:$A$7,0)),"Pendiente"))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IF($J420="","",$P420&amp;"-"&amp;TEXT($Q420,"00"))</f>
        <v/>
      </c>
      <c r="S420" s="5">
        <f>IF($J420="","",INDEX(lista_dias,WEEKDAY($J420,2)))</f>
        <v/>
      </c>
      <c r="T420" s="5">
        <f>IF($J420="","",IFERROR(INDEX('CALENDARIO'!$C$15:$C$214,MATCH(TEXT($J420,"yyyy-mm-dd")&amp;"|"&amp;$X420&amp;"|"&amp;$Y420,'CALENDARIO'!$G$15:$G$214,0)),IFERROR(INDEX('CALENDARIO'!$C$15:$C$214,MATCH(TEXT($J420,"yyyy-mm-dd")&amp;"|"&amp;$X420&amp;"|",'CALENDARIO'!$G$15:$G$214,0)),IFERROR(INDEX('CALENDARIO'!$C$15:$C$214,MATCH(TEXT($J420,"yyyy-mm-dd")&amp;"||",'CALENDARIO'!$G$15:$G$214,0)),INDEX(patronHabil,WEEKDAY($J420,2))))))</f>
        <v/>
      </c>
      <c r="U420" s="5">
        <f>IF($I420="","",IFERROR(INDEX('CAT_TIPOS_OT'!$C$4:$C$8,MATCH($I420,'CAT_TIPOS_OT'!$A$4:$A$8,0)),"sin_clasificar"))</f>
        <v/>
      </c>
      <c r="V420" s="5">
        <f>IF($I420="","",IF(IFERROR(INDEX('CAT_TIPOS_OT'!$D$4:$D$8,MATCH($I420,'CAT_TIPOS_OT'!$A$4:$A$8,0)),"SIN CLASIFICAR")="","SIN CLASIFICAR",IFERROR(INDEX('CAT_TIPOS_OT'!$D$4:$D$8,MATCH($I420,'CAT_TIPOS_OT'!$A$4:$A$8,0)),"SIN CLASIFICAR")))</f>
        <v/>
      </c>
      <c r="W420" s="5">
        <f>IF($F420="","",IFERROR(INDEX('CAT_CENTROS_COSTO'!$F$4:$F$13,MATCH($F420,'CAT_CENTROS_COSTO'!$A$4:$A$13,0)),"(sin catálogo)"))</f>
        <v/>
      </c>
      <c r="X420" s="5">
        <f>IF($F420="","",IFERROR(INDEX('CAT_CENTROS_COSTO'!$D$4:$D$13,MATCH($F420,'CAT_CENTROS_COSTO'!$A$4:$A$13,0)),"(sin catálogo)"))</f>
        <v/>
      </c>
      <c r="Y420" s="5">
        <f>IF($F420="","",IF((IFERROR(INDEX('CAT_CENTROS_COSTO'!$E$4:$E$13,MATCH($F420,'CAT_CENTROS_COSTO'!$A$4:$A$13,0)),""))&lt;&gt;"",IFERROR(INDEX('CAT_CENTROS_COSTO'!$E$4:$E$13,MATCH($F420,'CAT_CENTROS_COSTO'!$A$4:$A$13,0)),""),$X420))</f>
        <v/>
      </c>
      <c r="Z420" s="5">
        <f>IF($F420="","",IFERROR(INDEX('CAT_CENTROS_COSTO'!$G$4:$G$13,MATCH($F420,'CAT_CENTROS_COSTO'!$A$4:$A$13,0)),"(sin catálogo)"))</f>
        <v/>
      </c>
      <c r="AA420" s="5">
        <f>IF($G420="","",IFERROR(INDEX('CAT_PUESTOS'!$B$4:$B$8,MATCH($G420,'CAT_PUESTOS'!$A$4:$A$8,0)),"(sin catálogo)"))</f>
        <v/>
      </c>
      <c r="AB420" s="5">
        <f>IF($H420="","",IFERROR(INDEX('CAT_ACTIVIDADES'!$B$4:$B$11,MATCH($H420,'CAT_ACTIVIDADES'!$A$4:$A$11,0)),"(sin catálogo)"))</f>
        <v/>
      </c>
      <c r="AC420" s="20">
        <f>IF($J420="","",TODAY()-$J420)</f>
        <v/>
      </c>
      <c r="AD420" s="20">
        <f>IF($J420="","",IF($J420&lt;=TODAY(),COUNTIFS(cal_fechas,"&gt;="&amp;$J420,cal_fechas,"&lt;"&amp;TODAY(),cal_habil,"sí"),-COUNTIFS(cal_fechas,"&gt;="&amp;TODAY(),cal_fechas,"&lt;"&amp;$J420,cal_habil,"sí")))</f>
        <v/>
      </c>
      <c r="AE420" s="5">
        <f>IF($AD420="","",IF($AD420&lt;0,"FUTURO",IF($AD420&gt;p_dias_backlog_max,"BACKLOG","MES CORRIENTE")))</f>
        <v/>
      </c>
      <c r="AF420" s="5">
        <f>IF($AD420="",FALSE,AND($AD420&gt;p_dias_backlog_min,$AD420&lt;=p_dias_backlog_max))</f>
        <v/>
      </c>
      <c r="AG420" s="4" t="n"/>
      <c r="AH420" s="5">
        <f>IF($AG420="","",IF((IFERROR(INDEX('ASIGNACIONES'!$J$4:$J$451,MATCH($O420&amp;"|"&amp;$S420&amp;"|"&amp;$AG420,'ASIGNACIONES'!$N$4:$N$451,0)),""))=0,"",IFERROR(INDEX('ASIGNACIONES'!$J$4:$J$451,MATCH($O420&amp;"|"&amp;$S420&amp;"|"&amp;$AG420,'ASIGNACIONES'!$N$4:$N$451,0)),"")))</f>
        <v/>
      </c>
      <c r="AI420" s="25">
        <f>IF($AG420="","",SUMIFS('ORDENES'!$M$4:$M$1203,'ORDENES'!$AG$4:$AG$1203,$AG420,'ORDENES'!$O$4:$O$1203,$O420,'ORDENES'!$S$4:$S$1203,$S420))</f>
        <v/>
      </c>
      <c r="AJ420" s="25">
        <f>IF($AI420="","",p_factor_productividad*IFERROR(INDEX('ASIGNACIONES'!$M$4:$M$451,MATCH($O420&amp;"|"&amp;$S420&amp;"|"&amp;$AG420,'ASIGNACIONES'!$N$4:$N$451,0)),0)-$AI420)</f>
        <v/>
      </c>
      <c r="AK420" s="18">
        <f>IF($A420="","",IFERROR(INDEX('2_IMPORTAR_EJECUCION'!$F$9:$F$1208,MATCH($AT420,'2_IMPORTAR_EJECUCION'!$J$9:$J$1208,0)),0))</f>
        <v/>
      </c>
      <c r="AL420" s="18">
        <f>IF($A420="","",MAX(0,IFERROR(INDEX('2_IMPORTAR_EJECUCION'!$H$9:$H$1208,MATCH($AT420,'2_IMPORTAR_EJECUCION'!$J$9:$J$1208,0)),0)-$AK420))</f>
        <v/>
      </c>
      <c r="AM420" s="18">
        <f>IF($A420="","",$AK420+$AL420)</f>
        <v/>
      </c>
      <c r="AN420" s="5">
        <f>IF($A420="","",IF(OR((IFERROR(INDEX('CAT_ACTIVIDADES'!$D$4:$D$11,MATCH($H420,'CAT_ACTIVIDADES'!$A$4:$A$11,0)),""))=0,(IFERROR(INDEX('CAT_ACTIVIDADES'!$D$4:$D$11,MATCH($H420,'CAT_ACTIVIDADES'!$A$4:$A$11,0)),""))=""),"SIN CLASIFICAR",IFERROR(INDEX('CAT_ACTIVIDADES'!$D$4:$D$11,MATCH($H420,'CAT_ACTIVIDADES'!$A$4:$A$11,0)),"")))</f>
        <v/>
      </c>
      <c r="AO420" s="4" t="n"/>
      <c r="AP420" s="4" t="n"/>
      <c r="AQ420" s="4" t="n"/>
      <c r="AR420" s="5">
        <f>IF($AQ420="","",HYPERLINK(p_ruta_base_checklists&amp;$AQ420,"abrir"))</f>
        <v/>
      </c>
      <c r="AS420" s="4" t="n"/>
      <c r="AT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2" t="n"/>
      <c r="K421" s="5" t="n"/>
      <c r="L421" s="18" t="n"/>
      <c r="M421" s="5">
        <f>IF($A421="","",IFERROR(INDEX('AJUSTES'!$B$4:$B$303,MATCH($AT421,'AJUSTES'!$A$4:$A$303,0)),IF($K421="","",$K421)))</f>
        <v/>
      </c>
      <c r="N421" s="5">
        <f>IF($A421="","",IFERROR(INDEX('CAT_ESTADOS_ERP'!$B$4:$B$7,MATCH(IFERROR(INDEX('2_IMPORTAR_EJECUCION'!$C$9:$C$1208,MATCH($AT421,'2_IMPORTAR_EJECUCION'!$J$9:$J$1208,0)),""),'CAT_ESTADOS_ERP'!$A$4:$A$7,0)),"Pendiente"))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IF($J421="","",$P421&amp;"-"&amp;TEXT($Q421,"00"))</f>
        <v/>
      </c>
      <c r="S421" s="5">
        <f>IF($J421="","",INDEX(lista_dias,WEEKDAY($J421,2)))</f>
        <v/>
      </c>
      <c r="T421" s="5">
        <f>IF($J421="","",IFERROR(INDEX('CALENDARIO'!$C$15:$C$214,MATCH(TEXT($J421,"yyyy-mm-dd")&amp;"|"&amp;$X421&amp;"|"&amp;$Y421,'CALENDARIO'!$G$15:$G$214,0)),IFERROR(INDEX('CALENDARIO'!$C$15:$C$214,MATCH(TEXT($J421,"yyyy-mm-dd")&amp;"|"&amp;$X421&amp;"|",'CALENDARIO'!$G$15:$G$214,0)),IFERROR(INDEX('CALENDARIO'!$C$15:$C$214,MATCH(TEXT($J421,"yyyy-mm-dd")&amp;"||",'CALENDARIO'!$G$15:$G$214,0)),INDEX(patronHabil,WEEKDAY($J421,2))))))</f>
        <v/>
      </c>
      <c r="U421" s="5">
        <f>IF($I421="","",IFERROR(INDEX('CAT_TIPOS_OT'!$C$4:$C$8,MATCH($I421,'CAT_TIPOS_OT'!$A$4:$A$8,0)),"sin_clasificar"))</f>
        <v/>
      </c>
      <c r="V421" s="5">
        <f>IF($I421="","",IF(IFERROR(INDEX('CAT_TIPOS_OT'!$D$4:$D$8,MATCH($I421,'CAT_TIPOS_OT'!$A$4:$A$8,0)),"SIN CLASIFICAR")="","SIN CLASIFICAR",IFERROR(INDEX('CAT_TIPOS_OT'!$D$4:$D$8,MATCH($I421,'CAT_TIPOS_OT'!$A$4:$A$8,0)),"SIN CLASIFICAR")))</f>
        <v/>
      </c>
      <c r="W421" s="5">
        <f>IF($F421="","",IFERROR(INDEX('CAT_CENTROS_COSTO'!$F$4:$F$13,MATCH($F421,'CAT_CENTROS_COSTO'!$A$4:$A$13,0)),"(sin catálogo)"))</f>
        <v/>
      </c>
      <c r="X421" s="5">
        <f>IF($F421="","",IFERROR(INDEX('CAT_CENTROS_COSTO'!$D$4:$D$13,MATCH($F421,'CAT_CENTROS_COSTO'!$A$4:$A$13,0)),"(sin catálogo)"))</f>
        <v/>
      </c>
      <c r="Y421" s="5">
        <f>IF($F421="","",IF((IFERROR(INDEX('CAT_CENTROS_COSTO'!$E$4:$E$13,MATCH($F421,'CAT_CENTROS_COSTO'!$A$4:$A$13,0)),""))&lt;&gt;"",IFERROR(INDEX('CAT_CENTROS_COSTO'!$E$4:$E$13,MATCH($F421,'CAT_CENTROS_COSTO'!$A$4:$A$13,0)),""),$X421))</f>
        <v/>
      </c>
      <c r="Z421" s="5">
        <f>IF($F421="","",IFERROR(INDEX('CAT_CENTROS_COSTO'!$G$4:$G$13,MATCH($F421,'CAT_CENTROS_COSTO'!$A$4:$A$13,0)),"(sin catálogo)"))</f>
        <v/>
      </c>
      <c r="AA421" s="5">
        <f>IF($G421="","",IFERROR(INDEX('CAT_PUESTOS'!$B$4:$B$8,MATCH($G421,'CAT_PUESTOS'!$A$4:$A$8,0)),"(sin catálogo)"))</f>
        <v/>
      </c>
      <c r="AB421" s="5">
        <f>IF($H421="","",IFERROR(INDEX('CAT_ACTIVIDADES'!$B$4:$B$11,MATCH($H421,'CAT_ACTIVIDADES'!$A$4:$A$11,0)),"(sin catálogo)"))</f>
        <v/>
      </c>
      <c r="AC421" s="20">
        <f>IF($J421="","",TODAY()-$J421)</f>
        <v/>
      </c>
      <c r="AD421" s="20">
        <f>IF($J421="","",IF($J421&lt;=TODAY(),COUNTIFS(cal_fechas,"&gt;="&amp;$J421,cal_fechas,"&lt;"&amp;TODAY(),cal_habil,"sí"),-COUNTIFS(cal_fechas,"&gt;="&amp;TODAY(),cal_fechas,"&lt;"&amp;$J421,cal_habil,"sí")))</f>
        <v/>
      </c>
      <c r="AE421" s="5">
        <f>IF($AD421="","",IF($AD421&lt;0,"FUTURO",IF($AD421&gt;p_dias_backlog_max,"BACKLOG","MES CORRIENTE")))</f>
        <v/>
      </c>
      <c r="AF421" s="5">
        <f>IF($AD421="",FALSE,AND($AD421&gt;p_dias_backlog_min,$AD421&lt;=p_dias_backlog_max))</f>
        <v/>
      </c>
      <c r="AG421" s="4" t="n"/>
      <c r="AH421" s="5">
        <f>IF($AG421="","",IF((IFERROR(INDEX('ASIGNACIONES'!$J$4:$J$451,MATCH($O421&amp;"|"&amp;$S421&amp;"|"&amp;$AG421,'ASIGNACIONES'!$N$4:$N$451,0)),""))=0,"",IFERROR(INDEX('ASIGNACIONES'!$J$4:$J$451,MATCH($O421&amp;"|"&amp;$S421&amp;"|"&amp;$AG421,'ASIGNACIONES'!$N$4:$N$451,0)),"")))</f>
        <v/>
      </c>
      <c r="AI421" s="25">
        <f>IF($AG421="","",SUMIFS('ORDENES'!$M$4:$M$1203,'ORDENES'!$AG$4:$AG$1203,$AG421,'ORDENES'!$O$4:$O$1203,$O421,'ORDENES'!$S$4:$S$1203,$S421))</f>
        <v/>
      </c>
      <c r="AJ421" s="25">
        <f>IF($AI421="","",p_factor_productividad*IFERROR(INDEX('ASIGNACIONES'!$M$4:$M$451,MATCH($O421&amp;"|"&amp;$S421&amp;"|"&amp;$AG421,'ASIGNACIONES'!$N$4:$N$451,0)),0)-$AI421)</f>
        <v/>
      </c>
      <c r="AK421" s="18">
        <f>IF($A421="","",IFERROR(INDEX('2_IMPORTAR_EJECUCION'!$F$9:$F$1208,MATCH($AT421,'2_IMPORTAR_EJECUCION'!$J$9:$J$1208,0)),0))</f>
        <v/>
      </c>
      <c r="AL421" s="18">
        <f>IF($A421="","",MAX(0,IFERROR(INDEX('2_IMPORTAR_EJECUCION'!$H$9:$H$1208,MATCH($AT421,'2_IMPORTAR_EJECUCION'!$J$9:$J$1208,0)),0)-$AK421))</f>
        <v/>
      </c>
      <c r="AM421" s="18">
        <f>IF($A421="","",$AK421+$AL421)</f>
        <v/>
      </c>
      <c r="AN421" s="5">
        <f>IF($A421="","",IF(OR((IFERROR(INDEX('CAT_ACTIVIDADES'!$D$4:$D$11,MATCH($H421,'CAT_ACTIVIDADES'!$A$4:$A$11,0)),""))=0,(IFERROR(INDEX('CAT_ACTIVIDADES'!$D$4:$D$11,MATCH($H421,'CAT_ACTIVIDADES'!$A$4:$A$11,0)),""))=""),"SIN CLASIFICAR",IFERROR(INDEX('CAT_ACTIVIDADES'!$D$4:$D$11,MATCH($H421,'CAT_ACTIVIDADES'!$A$4:$A$11,0)),"")))</f>
        <v/>
      </c>
      <c r="AO421" s="4" t="n"/>
      <c r="AP421" s="4" t="n"/>
      <c r="AQ421" s="4" t="n"/>
      <c r="AR421" s="5">
        <f>IF($AQ421="","",HYPERLINK(p_ruta_base_checklists&amp;$AQ421,"abrir"))</f>
        <v/>
      </c>
      <c r="AS421" s="4" t="n"/>
      <c r="AT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2" t="n"/>
      <c r="K422" s="5" t="n"/>
      <c r="L422" s="18" t="n"/>
      <c r="M422" s="5">
        <f>IF($A422="","",IFERROR(INDEX('AJUSTES'!$B$4:$B$303,MATCH($AT422,'AJUSTES'!$A$4:$A$303,0)),IF($K422="","",$K422)))</f>
        <v/>
      </c>
      <c r="N422" s="5">
        <f>IF($A422="","",IFERROR(INDEX('CAT_ESTADOS_ERP'!$B$4:$B$7,MATCH(IFERROR(INDEX('2_IMPORTAR_EJECUCION'!$C$9:$C$1208,MATCH($AT422,'2_IMPORTAR_EJECUCION'!$J$9:$J$1208,0)),""),'CAT_ESTADOS_ERP'!$A$4:$A$7,0)),"Pendiente"))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IF($J422="","",$P422&amp;"-"&amp;TEXT($Q422,"00"))</f>
        <v/>
      </c>
      <c r="S422" s="5">
        <f>IF($J422="","",INDEX(lista_dias,WEEKDAY($J422,2)))</f>
        <v/>
      </c>
      <c r="T422" s="5">
        <f>IF($J422="","",IFERROR(INDEX('CALENDARIO'!$C$15:$C$214,MATCH(TEXT($J422,"yyyy-mm-dd")&amp;"|"&amp;$X422&amp;"|"&amp;$Y422,'CALENDARIO'!$G$15:$G$214,0)),IFERROR(INDEX('CALENDARIO'!$C$15:$C$214,MATCH(TEXT($J422,"yyyy-mm-dd")&amp;"|"&amp;$X422&amp;"|",'CALENDARIO'!$G$15:$G$214,0)),IFERROR(INDEX('CALENDARIO'!$C$15:$C$214,MATCH(TEXT($J422,"yyyy-mm-dd")&amp;"||",'CALENDARIO'!$G$15:$G$214,0)),INDEX(patronHabil,WEEKDAY($J422,2))))))</f>
        <v/>
      </c>
      <c r="U422" s="5">
        <f>IF($I422="","",IFERROR(INDEX('CAT_TIPOS_OT'!$C$4:$C$8,MATCH($I422,'CAT_TIPOS_OT'!$A$4:$A$8,0)),"sin_clasificar"))</f>
        <v/>
      </c>
      <c r="V422" s="5">
        <f>IF($I422="","",IF(IFERROR(INDEX('CAT_TIPOS_OT'!$D$4:$D$8,MATCH($I422,'CAT_TIPOS_OT'!$A$4:$A$8,0)),"SIN CLASIFICAR")="","SIN CLASIFICAR",IFERROR(INDEX('CAT_TIPOS_OT'!$D$4:$D$8,MATCH($I422,'CAT_TIPOS_OT'!$A$4:$A$8,0)),"SIN CLASIFICAR")))</f>
        <v/>
      </c>
      <c r="W422" s="5">
        <f>IF($F422="","",IFERROR(INDEX('CAT_CENTROS_COSTO'!$F$4:$F$13,MATCH($F422,'CAT_CENTROS_COSTO'!$A$4:$A$13,0)),"(sin catálogo)"))</f>
        <v/>
      </c>
      <c r="X422" s="5">
        <f>IF($F422="","",IFERROR(INDEX('CAT_CENTROS_COSTO'!$D$4:$D$13,MATCH($F422,'CAT_CENTROS_COSTO'!$A$4:$A$13,0)),"(sin catálogo)"))</f>
        <v/>
      </c>
      <c r="Y422" s="5">
        <f>IF($F422="","",IF((IFERROR(INDEX('CAT_CENTROS_COSTO'!$E$4:$E$13,MATCH($F422,'CAT_CENTROS_COSTO'!$A$4:$A$13,0)),""))&lt;&gt;"",IFERROR(INDEX('CAT_CENTROS_COSTO'!$E$4:$E$13,MATCH($F422,'CAT_CENTROS_COSTO'!$A$4:$A$13,0)),""),$X422))</f>
        <v/>
      </c>
      <c r="Z422" s="5">
        <f>IF($F422="","",IFERROR(INDEX('CAT_CENTROS_COSTO'!$G$4:$G$13,MATCH($F422,'CAT_CENTROS_COSTO'!$A$4:$A$13,0)),"(sin catálogo)"))</f>
        <v/>
      </c>
      <c r="AA422" s="5">
        <f>IF($G422="","",IFERROR(INDEX('CAT_PUESTOS'!$B$4:$B$8,MATCH($G422,'CAT_PUESTOS'!$A$4:$A$8,0)),"(sin catálogo)"))</f>
        <v/>
      </c>
      <c r="AB422" s="5">
        <f>IF($H422="","",IFERROR(INDEX('CAT_ACTIVIDADES'!$B$4:$B$11,MATCH($H422,'CAT_ACTIVIDADES'!$A$4:$A$11,0)),"(sin catálogo)"))</f>
        <v/>
      </c>
      <c r="AC422" s="20">
        <f>IF($J422="","",TODAY()-$J422)</f>
        <v/>
      </c>
      <c r="AD422" s="20">
        <f>IF($J422="","",IF($J422&lt;=TODAY(),COUNTIFS(cal_fechas,"&gt;="&amp;$J422,cal_fechas,"&lt;"&amp;TODAY(),cal_habil,"sí"),-COUNTIFS(cal_fechas,"&gt;="&amp;TODAY(),cal_fechas,"&lt;"&amp;$J422,cal_habil,"sí")))</f>
        <v/>
      </c>
      <c r="AE422" s="5">
        <f>IF($AD422="","",IF($AD422&lt;0,"FUTURO",IF($AD422&gt;p_dias_backlog_max,"BACKLOG","MES CORRIENTE")))</f>
        <v/>
      </c>
      <c r="AF422" s="5">
        <f>IF($AD422="",FALSE,AND($AD422&gt;p_dias_backlog_min,$AD422&lt;=p_dias_backlog_max))</f>
        <v/>
      </c>
      <c r="AG422" s="4" t="n"/>
      <c r="AH422" s="5">
        <f>IF($AG422="","",IF((IFERROR(INDEX('ASIGNACIONES'!$J$4:$J$451,MATCH($O422&amp;"|"&amp;$S422&amp;"|"&amp;$AG422,'ASIGNACIONES'!$N$4:$N$451,0)),""))=0,"",IFERROR(INDEX('ASIGNACIONES'!$J$4:$J$451,MATCH($O422&amp;"|"&amp;$S422&amp;"|"&amp;$AG422,'ASIGNACIONES'!$N$4:$N$451,0)),"")))</f>
        <v/>
      </c>
      <c r="AI422" s="25">
        <f>IF($AG422="","",SUMIFS('ORDENES'!$M$4:$M$1203,'ORDENES'!$AG$4:$AG$1203,$AG422,'ORDENES'!$O$4:$O$1203,$O422,'ORDENES'!$S$4:$S$1203,$S422))</f>
        <v/>
      </c>
      <c r="AJ422" s="25">
        <f>IF($AI422="","",p_factor_productividad*IFERROR(INDEX('ASIGNACIONES'!$M$4:$M$451,MATCH($O422&amp;"|"&amp;$S422&amp;"|"&amp;$AG422,'ASIGNACIONES'!$N$4:$N$451,0)),0)-$AI422)</f>
        <v/>
      </c>
      <c r="AK422" s="18">
        <f>IF($A422="","",IFERROR(INDEX('2_IMPORTAR_EJECUCION'!$F$9:$F$1208,MATCH($AT422,'2_IMPORTAR_EJECUCION'!$J$9:$J$1208,0)),0))</f>
        <v/>
      </c>
      <c r="AL422" s="18">
        <f>IF($A422="","",MAX(0,IFERROR(INDEX('2_IMPORTAR_EJECUCION'!$H$9:$H$1208,MATCH($AT422,'2_IMPORTAR_EJECUCION'!$J$9:$J$1208,0)),0)-$AK422))</f>
        <v/>
      </c>
      <c r="AM422" s="18">
        <f>IF($A422="","",$AK422+$AL422)</f>
        <v/>
      </c>
      <c r="AN422" s="5">
        <f>IF($A422="","",IF(OR((IFERROR(INDEX('CAT_ACTIVIDADES'!$D$4:$D$11,MATCH($H422,'CAT_ACTIVIDADES'!$A$4:$A$11,0)),""))=0,(IFERROR(INDEX('CAT_ACTIVIDADES'!$D$4:$D$11,MATCH($H422,'CAT_ACTIVIDADES'!$A$4:$A$11,0)),""))=""),"SIN CLASIFICAR",IFERROR(INDEX('CAT_ACTIVIDADES'!$D$4:$D$11,MATCH($H422,'CAT_ACTIVIDADES'!$A$4:$A$11,0)),"")))</f>
        <v/>
      </c>
      <c r="AO422" s="4" t="n"/>
      <c r="AP422" s="4" t="n"/>
      <c r="AQ422" s="4" t="n"/>
      <c r="AR422" s="5">
        <f>IF($AQ422="","",HYPERLINK(p_ruta_base_checklists&amp;$AQ422,"abrir"))</f>
        <v/>
      </c>
      <c r="AS422" s="4" t="n"/>
      <c r="AT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2" t="n"/>
      <c r="K423" s="5" t="n"/>
      <c r="L423" s="18" t="n"/>
      <c r="M423" s="5">
        <f>IF($A423="","",IFERROR(INDEX('AJUSTES'!$B$4:$B$303,MATCH($AT423,'AJUSTES'!$A$4:$A$303,0)),IF($K423="","",$K423)))</f>
        <v/>
      </c>
      <c r="N423" s="5">
        <f>IF($A423="","",IFERROR(INDEX('CAT_ESTADOS_ERP'!$B$4:$B$7,MATCH(IFERROR(INDEX('2_IMPORTAR_EJECUCION'!$C$9:$C$1208,MATCH($AT423,'2_IMPORTAR_EJECUCION'!$J$9:$J$1208,0)),""),'CAT_ESTADOS_ERP'!$A$4:$A$7,0)),"Pendiente"))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IF($J423="","",$P423&amp;"-"&amp;TEXT($Q423,"00"))</f>
        <v/>
      </c>
      <c r="S423" s="5">
        <f>IF($J423="","",INDEX(lista_dias,WEEKDAY($J423,2)))</f>
        <v/>
      </c>
      <c r="T423" s="5">
        <f>IF($J423="","",IFERROR(INDEX('CALENDARIO'!$C$15:$C$214,MATCH(TEXT($J423,"yyyy-mm-dd")&amp;"|"&amp;$X423&amp;"|"&amp;$Y423,'CALENDARIO'!$G$15:$G$214,0)),IFERROR(INDEX('CALENDARIO'!$C$15:$C$214,MATCH(TEXT($J423,"yyyy-mm-dd")&amp;"|"&amp;$X423&amp;"|",'CALENDARIO'!$G$15:$G$214,0)),IFERROR(INDEX('CALENDARIO'!$C$15:$C$214,MATCH(TEXT($J423,"yyyy-mm-dd")&amp;"||",'CALENDARIO'!$G$15:$G$214,0)),INDEX(patronHabil,WEEKDAY($J423,2))))))</f>
        <v/>
      </c>
      <c r="U423" s="5">
        <f>IF($I423="","",IFERROR(INDEX('CAT_TIPOS_OT'!$C$4:$C$8,MATCH($I423,'CAT_TIPOS_OT'!$A$4:$A$8,0)),"sin_clasificar"))</f>
        <v/>
      </c>
      <c r="V423" s="5">
        <f>IF($I423="","",IF(IFERROR(INDEX('CAT_TIPOS_OT'!$D$4:$D$8,MATCH($I423,'CAT_TIPOS_OT'!$A$4:$A$8,0)),"SIN CLASIFICAR")="","SIN CLASIFICAR",IFERROR(INDEX('CAT_TIPOS_OT'!$D$4:$D$8,MATCH($I423,'CAT_TIPOS_OT'!$A$4:$A$8,0)),"SIN CLASIFICAR")))</f>
        <v/>
      </c>
      <c r="W423" s="5">
        <f>IF($F423="","",IFERROR(INDEX('CAT_CENTROS_COSTO'!$F$4:$F$13,MATCH($F423,'CAT_CENTROS_COSTO'!$A$4:$A$13,0)),"(sin catálogo)"))</f>
        <v/>
      </c>
      <c r="X423" s="5">
        <f>IF($F423="","",IFERROR(INDEX('CAT_CENTROS_COSTO'!$D$4:$D$13,MATCH($F423,'CAT_CENTROS_COSTO'!$A$4:$A$13,0)),"(sin catálogo)"))</f>
        <v/>
      </c>
      <c r="Y423" s="5">
        <f>IF($F423="","",IF((IFERROR(INDEX('CAT_CENTROS_COSTO'!$E$4:$E$13,MATCH($F423,'CAT_CENTROS_COSTO'!$A$4:$A$13,0)),""))&lt;&gt;"",IFERROR(INDEX('CAT_CENTROS_COSTO'!$E$4:$E$13,MATCH($F423,'CAT_CENTROS_COSTO'!$A$4:$A$13,0)),""),$X423))</f>
        <v/>
      </c>
      <c r="Z423" s="5">
        <f>IF($F423="","",IFERROR(INDEX('CAT_CENTROS_COSTO'!$G$4:$G$13,MATCH($F423,'CAT_CENTROS_COSTO'!$A$4:$A$13,0)),"(sin catálogo)"))</f>
        <v/>
      </c>
      <c r="AA423" s="5">
        <f>IF($G423="","",IFERROR(INDEX('CAT_PUESTOS'!$B$4:$B$8,MATCH($G423,'CAT_PUESTOS'!$A$4:$A$8,0)),"(sin catálogo)"))</f>
        <v/>
      </c>
      <c r="AB423" s="5">
        <f>IF($H423="","",IFERROR(INDEX('CAT_ACTIVIDADES'!$B$4:$B$11,MATCH($H423,'CAT_ACTIVIDADES'!$A$4:$A$11,0)),"(sin catálogo)"))</f>
        <v/>
      </c>
      <c r="AC423" s="20">
        <f>IF($J423="","",TODAY()-$J423)</f>
        <v/>
      </c>
      <c r="AD423" s="20">
        <f>IF($J423="","",IF($J423&lt;=TODAY(),COUNTIFS(cal_fechas,"&gt;="&amp;$J423,cal_fechas,"&lt;"&amp;TODAY(),cal_habil,"sí"),-COUNTIFS(cal_fechas,"&gt;="&amp;TODAY(),cal_fechas,"&lt;"&amp;$J423,cal_habil,"sí")))</f>
        <v/>
      </c>
      <c r="AE423" s="5">
        <f>IF($AD423="","",IF($AD423&lt;0,"FUTURO",IF($AD423&gt;p_dias_backlog_max,"BACKLOG","MES CORRIENTE")))</f>
        <v/>
      </c>
      <c r="AF423" s="5">
        <f>IF($AD423="",FALSE,AND($AD423&gt;p_dias_backlog_min,$AD423&lt;=p_dias_backlog_max))</f>
        <v/>
      </c>
      <c r="AG423" s="4" t="n"/>
      <c r="AH423" s="5">
        <f>IF($AG423="","",IF((IFERROR(INDEX('ASIGNACIONES'!$J$4:$J$451,MATCH($O423&amp;"|"&amp;$S423&amp;"|"&amp;$AG423,'ASIGNACIONES'!$N$4:$N$451,0)),""))=0,"",IFERROR(INDEX('ASIGNACIONES'!$J$4:$J$451,MATCH($O423&amp;"|"&amp;$S423&amp;"|"&amp;$AG423,'ASIGNACIONES'!$N$4:$N$451,0)),"")))</f>
        <v/>
      </c>
      <c r="AI423" s="25">
        <f>IF($AG423="","",SUMIFS('ORDENES'!$M$4:$M$1203,'ORDENES'!$AG$4:$AG$1203,$AG423,'ORDENES'!$O$4:$O$1203,$O423,'ORDENES'!$S$4:$S$1203,$S423))</f>
        <v/>
      </c>
      <c r="AJ423" s="25">
        <f>IF($AI423="","",p_factor_productividad*IFERROR(INDEX('ASIGNACIONES'!$M$4:$M$451,MATCH($O423&amp;"|"&amp;$S423&amp;"|"&amp;$AG423,'ASIGNACIONES'!$N$4:$N$451,0)),0)-$AI423)</f>
        <v/>
      </c>
      <c r="AK423" s="18">
        <f>IF($A423="","",IFERROR(INDEX('2_IMPORTAR_EJECUCION'!$F$9:$F$1208,MATCH($AT423,'2_IMPORTAR_EJECUCION'!$J$9:$J$1208,0)),0))</f>
        <v/>
      </c>
      <c r="AL423" s="18">
        <f>IF($A423="","",MAX(0,IFERROR(INDEX('2_IMPORTAR_EJECUCION'!$H$9:$H$1208,MATCH($AT423,'2_IMPORTAR_EJECUCION'!$J$9:$J$1208,0)),0)-$AK423))</f>
        <v/>
      </c>
      <c r="AM423" s="18">
        <f>IF($A423="","",$AK423+$AL423)</f>
        <v/>
      </c>
      <c r="AN423" s="5">
        <f>IF($A423="","",IF(OR((IFERROR(INDEX('CAT_ACTIVIDADES'!$D$4:$D$11,MATCH($H423,'CAT_ACTIVIDADES'!$A$4:$A$11,0)),""))=0,(IFERROR(INDEX('CAT_ACTIVIDADES'!$D$4:$D$11,MATCH($H423,'CAT_ACTIVIDADES'!$A$4:$A$11,0)),""))=""),"SIN CLASIFICAR",IFERROR(INDEX('CAT_ACTIVIDADES'!$D$4:$D$11,MATCH($H423,'CAT_ACTIVIDADES'!$A$4:$A$11,0)),"")))</f>
        <v/>
      </c>
      <c r="AO423" s="4" t="n"/>
      <c r="AP423" s="4" t="n"/>
      <c r="AQ423" s="4" t="n"/>
      <c r="AR423" s="5">
        <f>IF($AQ423="","",HYPERLINK(p_ruta_base_checklists&amp;$AQ423,"abrir"))</f>
        <v/>
      </c>
      <c r="AS423" s="4" t="n"/>
      <c r="AT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2" t="n"/>
      <c r="K424" s="5" t="n"/>
      <c r="L424" s="18" t="n"/>
      <c r="M424" s="5">
        <f>IF($A424="","",IFERROR(INDEX('AJUSTES'!$B$4:$B$303,MATCH($AT424,'AJUSTES'!$A$4:$A$303,0)),IF($K424="","",$K424)))</f>
        <v/>
      </c>
      <c r="N424" s="5">
        <f>IF($A424="","",IFERROR(INDEX('CAT_ESTADOS_ERP'!$B$4:$B$7,MATCH(IFERROR(INDEX('2_IMPORTAR_EJECUCION'!$C$9:$C$1208,MATCH($AT424,'2_IMPORTAR_EJECUCION'!$J$9:$J$1208,0)),""),'CAT_ESTADOS_ERP'!$A$4:$A$7,0)),"Pendiente"))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IF($J424="","",$P424&amp;"-"&amp;TEXT($Q424,"00"))</f>
        <v/>
      </c>
      <c r="S424" s="5">
        <f>IF($J424="","",INDEX(lista_dias,WEEKDAY($J424,2)))</f>
        <v/>
      </c>
      <c r="T424" s="5">
        <f>IF($J424="","",IFERROR(INDEX('CALENDARIO'!$C$15:$C$214,MATCH(TEXT($J424,"yyyy-mm-dd")&amp;"|"&amp;$X424&amp;"|"&amp;$Y424,'CALENDARIO'!$G$15:$G$214,0)),IFERROR(INDEX('CALENDARIO'!$C$15:$C$214,MATCH(TEXT($J424,"yyyy-mm-dd")&amp;"|"&amp;$X424&amp;"|",'CALENDARIO'!$G$15:$G$214,0)),IFERROR(INDEX('CALENDARIO'!$C$15:$C$214,MATCH(TEXT($J424,"yyyy-mm-dd")&amp;"||",'CALENDARIO'!$G$15:$G$214,0)),INDEX(patronHabil,WEEKDAY($J424,2))))))</f>
        <v/>
      </c>
      <c r="U424" s="5">
        <f>IF($I424="","",IFERROR(INDEX('CAT_TIPOS_OT'!$C$4:$C$8,MATCH($I424,'CAT_TIPOS_OT'!$A$4:$A$8,0)),"sin_clasificar"))</f>
        <v/>
      </c>
      <c r="V424" s="5">
        <f>IF($I424="","",IF(IFERROR(INDEX('CAT_TIPOS_OT'!$D$4:$D$8,MATCH($I424,'CAT_TIPOS_OT'!$A$4:$A$8,0)),"SIN CLASIFICAR")="","SIN CLASIFICAR",IFERROR(INDEX('CAT_TIPOS_OT'!$D$4:$D$8,MATCH($I424,'CAT_TIPOS_OT'!$A$4:$A$8,0)),"SIN CLASIFICAR")))</f>
        <v/>
      </c>
      <c r="W424" s="5">
        <f>IF($F424="","",IFERROR(INDEX('CAT_CENTROS_COSTO'!$F$4:$F$13,MATCH($F424,'CAT_CENTROS_COSTO'!$A$4:$A$13,0)),"(sin catálogo)"))</f>
        <v/>
      </c>
      <c r="X424" s="5">
        <f>IF($F424="","",IFERROR(INDEX('CAT_CENTROS_COSTO'!$D$4:$D$13,MATCH($F424,'CAT_CENTROS_COSTO'!$A$4:$A$13,0)),"(sin catálogo)"))</f>
        <v/>
      </c>
      <c r="Y424" s="5">
        <f>IF($F424="","",IF((IFERROR(INDEX('CAT_CENTROS_COSTO'!$E$4:$E$13,MATCH($F424,'CAT_CENTROS_COSTO'!$A$4:$A$13,0)),""))&lt;&gt;"",IFERROR(INDEX('CAT_CENTROS_COSTO'!$E$4:$E$13,MATCH($F424,'CAT_CENTROS_COSTO'!$A$4:$A$13,0)),""),$X424))</f>
        <v/>
      </c>
      <c r="Z424" s="5">
        <f>IF($F424="","",IFERROR(INDEX('CAT_CENTROS_COSTO'!$G$4:$G$13,MATCH($F424,'CAT_CENTROS_COSTO'!$A$4:$A$13,0)),"(sin catálogo)"))</f>
        <v/>
      </c>
      <c r="AA424" s="5">
        <f>IF($G424="","",IFERROR(INDEX('CAT_PUESTOS'!$B$4:$B$8,MATCH($G424,'CAT_PUESTOS'!$A$4:$A$8,0)),"(sin catálogo)"))</f>
        <v/>
      </c>
      <c r="AB424" s="5">
        <f>IF($H424="","",IFERROR(INDEX('CAT_ACTIVIDADES'!$B$4:$B$11,MATCH($H424,'CAT_ACTIVIDADES'!$A$4:$A$11,0)),"(sin catálogo)"))</f>
        <v/>
      </c>
      <c r="AC424" s="20">
        <f>IF($J424="","",TODAY()-$J424)</f>
        <v/>
      </c>
      <c r="AD424" s="20">
        <f>IF($J424="","",IF($J424&lt;=TODAY(),COUNTIFS(cal_fechas,"&gt;="&amp;$J424,cal_fechas,"&lt;"&amp;TODAY(),cal_habil,"sí"),-COUNTIFS(cal_fechas,"&gt;="&amp;TODAY(),cal_fechas,"&lt;"&amp;$J424,cal_habil,"sí")))</f>
        <v/>
      </c>
      <c r="AE424" s="5">
        <f>IF($AD424="","",IF($AD424&lt;0,"FUTURO",IF($AD424&gt;p_dias_backlog_max,"BACKLOG","MES CORRIENTE")))</f>
        <v/>
      </c>
      <c r="AF424" s="5">
        <f>IF($AD424="",FALSE,AND($AD424&gt;p_dias_backlog_min,$AD424&lt;=p_dias_backlog_max))</f>
        <v/>
      </c>
      <c r="AG424" s="4" t="n"/>
      <c r="AH424" s="5">
        <f>IF($AG424="","",IF((IFERROR(INDEX('ASIGNACIONES'!$J$4:$J$451,MATCH($O424&amp;"|"&amp;$S424&amp;"|"&amp;$AG424,'ASIGNACIONES'!$N$4:$N$451,0)),""))=0,"",IFERROR(INDEX('ASIGNACIONES'!$J$4:$J$451,MATCH($O424&amp;"|"&amp;$S424&amp;"|"&amp;$AG424,'ASIGNACIONES'!$N$4:$N$451,0)),"")))</f>
        <v/>
      </c>
      <c r="AI424" s="25">
        <f>IF($AG424="","",SUMIFS('ORDENES'!$M$4:$M$1203,'ORDENES'!$AG$4:$AG$1203,$AG424,'ORDENES'!$O$4:$O$1203,$O424,'ORDENES'!$S$4:$S$1203,$S424))</f>
        <v/>
      </c>
      <c r="AJ424" s="25">
        <f>IF($AI424="","",p_factor_productividad*IFERROR(INDEX('ASIGNACIONES'!$M$4:$M$451,MATCH($O424&amp;"|"&amp;$S424&amp;"|"&amp;$AG424,'ASIGNACIONES'!$N$4:$N$451,0)),0)-$AI424)</f>
        <v/>
      </c>
      <c r="AK424" s="18">
        <f>IF($A424="","",IFERROR(INDEX('2_IMPORTAR_EJECUCION'!$F$9:$F$1208,MATCH($AT424,'2_IMPORTAR_EJECUCION'!$J$9:$J$1208,0)),0))</f>
        <v/>
      </c>
      <c r="AL424" s="18">
        <f>IF($A424="","",MAX(0,IFERROR(INDEX('2_IMPORTAR_EJECUCION'!$H$9:$H$1208,MATCH($AT424,'2_IMPORTAR_EJECUCION'!$J$9:$J$1208,0)),0)-$AK424))</f>
        <v/>
      </c>
      <c r="AM424" s="18">
        <f>IF($A424="","",$AK424+$AL424)</f>
        <v/>
      </c>
      <c r="AN424" s="5">
        <f>IF($A424="","",IF(OR((IFERROR(INDEX('CAT_ACTIVIDADES'!$D$4:$D$11,MATCH($H424,'CAT_ACTIVIDADES'!$A$4:$A$11,0)),""))=0,(IFERROR(INDEX('CAT_ACTIVIDADES'!$D$4:$D$11,MATCH($H424,'CAT_ACTIVIDADES'!$A$4:$A$11,0)),""))=""),"SIN CLASIFICAR",IFERROR(INDEX('CAT_ACTIVIDADES'!$D$4:$D$11,MATCH($H424,'CAT_ACTIVIDADES'!$A$4:$A$11,0)),"")))</f>
        <v/>
      </c>
      <c r="AO424" s="4" t="n"/>
      <c r="AP424" s="4" t="n"/>
      <c r="AQ424" s="4" t="n"/>
      <c r="AR424" s="5">
        <f>IF($AQ424="","",HYPERLINK(p_ruta_base_checklists&amp;$AQ424,"abrir"))</f>
        <v/>
      </c>
      <c r="AS424" s="4" t="n"/>
      <c r="AT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2" t="n"/>
      <c r="K425" s="5" t="n"/>
      <c r="L425" s="18" t="n"/>
      <c r="M425" s="5">
        <f>IF($A425="","",IFERROR(INDEX('AJUSTES'!$B$4:$B$303,MATCH($AT425,'AJUSTES'!$A$4:$A$303,0)),IF($K425="","",$K425)))</f>
        <v/>
      </c>
      <c r="N425" s="5">
        <f>IF($A425="","",IFERROR(INDEX('CAT_ESTADOS_ERP'!$B$4:$B$7,MATCH(IFERROR(INDEX('2_IMPORTAR_EJECUCION'!$C$9:$C$1208,MATCH($AT425,'2_IMPORTAR_EJECUCION'!$J$9:$J$1208,0)),""),'CAT_ESTADOS_ERP'!$A$4:$A$7,0)),"Pendiente"))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IF($J425="","",$P425&amp;"-"&amp;TEXT($Q425,"00"))</f>
        <v/>
      </c>
      <c r="S425" s="5">
        <f>IF($J425="","",INDEX(lista_dias,WEEKDAY($J425,2)))</f>
        <v/>
      </c>
      <c r="T425" s="5">
        <f>IF($J425="","",IFERROR(INDEX('CALENDARIO'!$C$15:$C$214,MATCH(TEXT($J425,"yyyy-mm-dd")&amp;"|"&amp;$X425&amp;"|"&amp;$Y425,'CALENDARIO'!$G$15:$G$214,0)),IFERROR(INDEX('CALENDARIO'!$C$15:$C$214,MATCH(TEXT($J425,"yyyy-mm-dd")&amp;"|"&amp;$X425&amp;"|",'CALENDARIO'!$G$15:$G$214,0)),IFERROR(INDEX('CALENDARIO'!$C$15:$C$214,MATCH(TEXT($J425,"yyyy-mm-dd")&amp;"||",'CALENDARIO'!$G$15:$G$214,0)),INDEX(patronHabil,WEEKDAY($J425,2))))))</f>
        <v/>
      </c>
      <c r="U425" s="5">
        <f>IF($I425="","",IFERROR(INDEX('CAT_TIPOS_OT'!$C$4:$C$8,MATCH($I425,'CAT_TIPOS_OT'!$A$4:$A$8,0)),"sin_clasificar"))</f>
        <v/>
      </c>
      <c r="V425" s="5">
        <f>IF($I425="","",IF(IFERROR(INDEX('CAT_TIPOS_OT'!$D$4:$D$8,MATCH($I425,'CAT_TIPOS_OT'!$A$4:$A$8,0)),"SIN CLASIFICAR")="","SIN CLASIFICAR",IFERROR(INDEX('CAT_TIPOS_OT'!$D$4:$D$8,MATCH($I425,'CAT_TIPOS_OT'!$A$4:$A$8,0)),"SIN CLASIFICAR")))</f>
        <v/>
      </c>
      <c r="W425" s="5">
        <f>IF($F425="","",IFERROR(INDEX('CAT_CENTROS_COSTO'!$F$4:$F$13,MATCH($F425,'CAT_CENTROS_COSTO'!$A$4:$A$13,0)),"(sin catálogo)"))</f>
        <v/>
      </c>
      <c r="X425" s="5">
        <f>IF($F425="","",IFERROR(INDEX('CAT_CENTROS_COSTO'!$D$4:$D$13,MATCH($F425,'CAT_CENTROS_COSTO'!$A$4:$A$13,0)),"(sin catálogo)"))</f>
        <v/>
      </c>
      <c r="Y425" s="5">
        <f>IF($F425="","",IF((IFERROR(INDEX('CAT_CENTROS_COSTO'!$E$4:$E$13,MATCH($F425,'CAT_CENTROS_COSTO'!$A$4:$A$13,0)),""))&lt;&gt;"",IFERROR(INDEX('CAT_CENTROS_COSTO'!$E$4:$E$13,MATCH($F425,'CAT_CENTROS_COSTO'!$A$4:$A$13,0)),""),$X425))</f>
        <v/>
      </c>
      <c r="Z425" s="5">
        <f>IF($F425="","",IFERROR(INDEX('CAT_CENTROS_COSTO'!$G$4:$G$13,MATCH($F425,'CAT_CENTROS_COSTO'!$A$4:$A$13,0)),"(sin catálogo)"))</f>
        <v/>
      </c>
      <c r="AA425" s="5">
        <f>IF($G425="","",IFERROR(INDEX('CAT_PUESTOS'!$B$4:$B$8,MATCH($G425,'CAT_PUESTOS'!$A$4:$A$8,0)),"(sin catálogo)"))</f>
        <v/>
      </c>
      <c r="AB425" s="5">
        <f>IF($H425="","",IFERROR(INDEX('CAT_ACTIVIDADES'!$B$4:$B$11,MATCH($H425,'CAT_ACTIVIDADES'!$A$4:$A$11,0)),"(sin catálogo)"))</f>
        <v/>
      </c>
      <c r="AC425" s="20">
        <f>IF($J425="","",TODAY()-$J425)</f>
        <v/>
      </c>
      <c r="AD425" s="20">
        <f>IF($J425="","",IF($J425&lt;=TODAY(),COUNTIFS(cal_fechas,"&gt;="&amp;$J425,cal_fechas,"&lt;"&amp;TODAY(),cal_habil,"sí"),-COUNTIFS(cal_fechas,"&gt;="&amp;TODAY(),cal_fechas,"&lt;"&amp;$J425,cal_habil,"sí")))</f>
        <v/>
      </c>
      <c r="AE425" s="5">
        <f>IF($AD425="","",IF($AD425&lt;0,"FUTURO",IF($AD425&gt;p_dias_backlog_max,"BACKLOG","MES CORRIENTE")))</f>
        <v/>
      </c>
      <c r="AF425" s="5">
        <f>IF($AD425="",FALSE,AND($AD425&gt;p_dias_backlog_min,$AD425&lt;=p_dias_backlog_max))</f>
        <v/>
      </c>
      <c r="AG425" s="4" t="n"/>
      <c r="AH425" s="5">
        <f>IF($AG425="","",IF((IFERROR(INDEX('ASIGNACIONES'!$J$4:$J$451,MATCH($O425&amp;"|"&amp;$S425&amp;"|"&amp;$AG425,'ASIGNACIONES'!$N$4:$N$451,0)),""))=0,"",IFERROR(INDEX('ASIGNACIONES'!$J$4:$J$451,MATCH($O425&amp;"|"&amp;$S425&amp;"|"&amp;$AG425,'ASIGNACIONES'!$N$4:$N$451,0)),"")))</f>
        <v/>
      </c>
      <c r="AI425" s="25">
        <f>IF($AG425="","",SUMIFS('ORDENES'!$M$4:$M$1203,'ORDENES'!$AG$4:$AG$1203,$AG425,'ORDENES'!$O$4:$O$1203,$O425,'ORDENES'!$S$4:$S$1203,$S425))</f>
        <v/>
      </c>
      <c r="AJ425" s="25">
        <f>IF($AI425="","",p_factor_productividad*IFERROR(INDEX('ASIGNACIONES'!$M$4:$M$451,MATCH($O425&amp;"|"&amp;$S425&amp;"|"&amp;$AG425,'ASIGNACIONES'!$N$4:$N$451,0)),0)-$AI425)</f>
        <v/>
      </c>
      <c r="AK425" s="18">
        <f>IF($A425="","",IFERROR(INDEX('2_IMPORTAR_EJECUCION'!$F$9:$F$1208,MATCH($AT425,'2_IMPORTAR_EJECUCION'!$J$9:$J$1208,0)),0))</f>
        <v/>
      </c>
      <c r="AL425" s="18">
        <f>IF($A425="","",MAX(0,IFERROR(INDEX('2_IMPORTAR_EJECUCION'!$H$9:$H$1208,MATCH($AT425,'2_IMPORTAR_EJECUCION'!$J$9:$J$1208,0)),0)-$AK425))</f>
        <v/>
      </c>
      <c r="AM425" s="18">
        <f>IF($A425="","",$AK425+$AL425)</f>
        <v/>
      </c>
      <c r="AN425" s="5">
        <f>IF($A425="","",IF(OR((IFERROR(INDEX('CAT_ACTIVIDADES'!$D$4:$D$11,MATCH($H425,'CAT_ACTIVIDADES'!$A$4:$A$11,0)),""))=0,(IFERROR(INDEX('CAT_ACTIVIDADES'!$D$4:$D$11,MATCH($H425,'CAT_ACTIVIDADES'!$A$4:$A$11,0)),""))=""),"SIN CLASIFICAR",IFERROR(INDEX('CAT_ACTIVIDADES'!$D$4:$D$11,MATCH($H425,'CAT_ACTIVIDADES'!$A$4:$A$11,0)),"")))</f>
        <v/>
      </c>
      <c r="AO425" s="4" t="n"/>
      <c r="AP425" s="4" t="n"/>
      <c r="AQ425" s="4" t="n"/>
      <c r="AR425" s="5">
        <f>IF($AQ425="","",HYPERLINK(p_ruta_base_checklists&amp;$AQ425,"abrir"))</f>
        <v/>
      </c>
      <c r="AS425" s="4" t="n"/>
      <c r="AT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2" t="n"/>
      <c r="K426" s="5" t="n"/>
      <c r="L426" s="18" t="n"/>
      <c r="M426" s="5">
        <f>IF($A426="","",IFERROR(INDEX('AJUSTES'!$B$4:$B$303,MATCH($AT426,'AJUSTES'!$A$4:$A$303,0)),IF($K426="","",$K426)))</f>
        <v/>
      </c>
      <c r="N426" s="5">
        <f>IF($A426="","",IFERROR(INDEX('CAT_ESTADOS_ERP'!$B$4:$B$7,MATCH(IFERROR(INDEX('2_IMPORTAR_EJECUCION'!$C$9:$C$1208,MATCH($AT426,'2_IMPORTAR_EJECUCION'!$J$9:$J$1208,0)),""),'CAT_ESTADOS_ERP'!$A$4:$A$7,0)),"Pendiente"))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IF($J426="","",$P426&amp;"-"&amp;TEXT($Q426,"00"))</f>
        <v/>
      </c>
      <c r="S426" s="5">
        <f>IF($J426="","",INDEX(lista_dias,WEEKDAY($J426,2)))</f>
        <v/>
      </c>
      <c r="T426" s="5">
        <f>IF($J426="","",IFERROR(INDEX('CALENDARIO'!$C$15:$C$214,MATCH(TEXT($J426,"yyyy-mm-dd")&amp;"|"&amp;$X426&amp;"|"&amp;$Y426,'CALENDARIO'!$G$15:$G$214,0)),IFERROR(INDEX('CALENDARIO'!$C$15:$C$214,MATCH(TEXT($J426,"yyyy-mm-dd")&amp;"|"&amp;$X426&amp;"|",'CALENDARIO'!$G$15:$G$214,0)),IFERROR(INDEX('CALENDARIO'!$C$15:$C$214,MATCH(TEXT($J426,"yyyy-mm-dd")&amp;"||",'CALENDARIO'!$G$15:$G$214,0)),INDEX(patronHabil,WEEKDAY($J426,2))))))</f>
        <v/>
      </c>
      <c r="U426" s="5">
        <f>IF($I426="","",IFERROR(INDEX('CAT_TIPOS_OT'!$C$4:$C$8,MATCH($I426,'CAT_TIPOS_OT'!$A$4:$A$8,0)),"sin_clasificar"))</f>
        <v/>
      </c>
      <c r="V426" s="5">
        <f>IF($I426="","",IF(IFERROR(INDEX('CAT_TIPOS_OT'!$D$4:$D$8,MATCH($I426,'CAT_TIPOS_OT'!$A$4:$A$8,0)),"SIN CLASIFICAR")="","SIN CLASIFICAR",IFERROR(INDEX('CAT_TIPOS_OT'!$D$4:$D$8,MATCH($I426,'CAT_TIPOS_OT'!$A$4:$A$8,0)),"SIN CLASIFICAR")))</f>
        <v/>
      </c>
      <c r="W426" s="5">
        <f>IF($F426="","",IFERROR(INDEX('CAT_CENTROS_COSTO'!$F$4:$F$13,MATCH($F426,'CAT_CENTROS_COSTO'!$A$4:$A$13,0)),"(sin catálogo)"))</f>
        <v/>
      </c>
      <c r="X426" s="5">
        <f>IF($F426="","",IFERROR(INDEX('CAT_CENTROS_COSTO'!$D$4:$D$13,MATCH($F426,'CAT_CENTROS_COSTO'!$A$4:$A$13,0)),"(sin catálogo)"))</f>
        <v/>
      </c>
      <c r="Y426" s="5">
        <f>IF($F426="","",IF((IFERROR(INDEX('CAT_CENTROS_COSTO'!$E$4:$E$13,MATCH($F426,'CAT_CENTROS_COSTO'!$A$4:$A$13,0)),""))&lt;&gt;"",IFERROR(INDEX('CAT_CENTROS_COSTO'!$E$4:$E$13,MATCH($F426,'CAT_CENTROS_COSTO'!$A$4:$A$13,0)),""),$X426))</f>
        <v/>
      </c>
      <c r="Z426" s="5">
        <f>IF($F426="","",IFERROR(INDEX('CAT_CENTROS_COSTO'!$G$4:$G$13,MATCH($F426,'CAT_CENTROS_COSTO'!$A$4:$A$13,0)),"(sin catálogo)"))</f>
        <v/>
      </c>
      <c r="AA426" s="5">
        <f>IF($G426="","",IFERROR(INDEX('CAT_PUESTOS'!$B$4:$B$8,MATCH($G426,'CAT_PUESTOS'!$A$4:$A$8,0)),"(sin catálogo)"))</f>
        <v/>
      </c>
      <c r="AB426" s="5">
        <f>IF($H426="","",IFERROR(INDEX('CAT_ACTIVIDADES'!$B$4:$B$11,MATCH($H426,'CAT_ACTIVIDADES'!$A$4:$A$11,0)),"(sin catálogo)"))</f>
        <v/>
      </c>
      <c r="AC426" s="20">
        <f>IF($J426="","",TODAY()-$J426)</f>
        <v/>
      </c>
      <c r="AD426" s="20">
        <f>IF($J426="","",IF($J426&lt;=TODAY(),COUNTIFS(cal_fechas,"&gt;="&amp;$J426,cal_fechas,"&lt;"&amp;TODAY(),cal_habil,"sí"),-COUNTIFS(cal_fechas,"&gt;="&amp;TODAY(),cal_fechas,"&lt;"&amp;$J426,cal_habil,"sí")))</f>
        <v/>
      </c>
      <c r="AE426" s="5">
        <f>IF($AD426="","",IF($AD426&lt;0,"FUTURO",IF($AD426&gt;p_dias_backlog_max,"BACKLOG","MES CORRIENTE")))</f>
        <v/>
      </c>
      <c r="AF426" s="5">
        <f>IF($AD426="",FALSE,AND($AD426&gt;p_dias_backlog_min,$AD426&lt;=p_dias_backlog_max))</f>
        <v/>
      </c>
      <c r="AG426" s="4" t="n"/>
      <c r="AH426" s="5">
        <f>IF($AG426="","",IF((IFERROR(INDEX('ASIGNACIONES'!$J$4:$J$451,MATCH($O426&amp;"|"&amp;$S426&amp;"|"&amp;$AG426,'ASIGNACIONES'!$N$4:$N$451,0)),""))=0,"",IFERROR(INDEX('ASIGNACIONES'!$J$4:$J$451,MATCH($O426&amp;"|"&amp;$S426&amp;"|"&amp;$AG426,'ASIGNACIONES'!$N$4:$N$451,0)),"")))</f>
        <v/>
      </c>
      <c r="AI426" s="25">
        <f>IF($AG426="","",SUMIFS('ORDENES'!$M$4:$M$1203,'ORDENES'!$AG$4:$AG$1203,$AG426,'ORDENES'!$O$4:$O$1203,$O426,'ORDENES'!$S$4:$S$1203,$S426))</f>
        <v/>
      </c>
      <c r="AJ426" s="25">
        <f>IF($AI426="","",p_factor_productividad*IFERROR(INDEX('ASIGNACIONES'!$M$4:$M$451,MATCH($O426&amp;"|"&amp;$S426&amp;"|"&amp;$AG426,'ASIGNACIONES'!$N$4:$N$451,0)),0)-$AI426)</f>
        <v/>
      </c>
      <c r="AK426" s="18">
        <f>IF($A426="","",IFERROR(INDEX('2_IMPORTAR_EJECUCION'!$F$9:$F$1208,MATCH($AT426,'2_IMPORTAR_EJECUCION'!$J$9:$J$1208,0)),0))</f>
        <v/>
      </c>
      <c r="AL426" s="18">
        <f>IF($A426="","",MAX(0,IFERROR(INDEX('2_IMPORTAR_EJECUCION'!$H$9:$H$1208,MATCH($AT426,'2_IMPORTAR_EJECUCION'!$J$9:$J$1208,0)),0)-$AK426))</f>
        <v/>
      </c>
      <c r="AM426" s="18">
        <f>IF($A426="","",$AK426+$AL426)</f>
        <v/>
      </c>
      <c r="AN426" s="5">
        <f>IF($A426="","",IF(OR((IFERROR(INDEX('CAT_ACTIVIDADES'!$D$4:$D$11,MATCH($H426,'CAT_ACTIVIDADES'!$A$4:$A$11,0)),""))=0,(IFERROR(INDEX('CAT_ACTIVIDADES'!$D$4:$D$11,MATCH($H426,'CAT_ACTIVIDADES'!$A$4:$A$11,0)),""))=""),"SIN CLASIFICAR",IFERROR(INDEX('CAT_ACTIVIDADES'!$D$4:$D$11,MATCH($H426,'CAT_ACTIVIDADES'!$A$4:$A$11,0)),"")))</f>
        <v/>
      </c>
      <c r="AO426" s="4" t="n"/>
      <c r="AP426" s="4" t="n"/>
      <c r="AQ426" s="4" t="n"/>
      <c r="AR426" s="5">
        <f>IF($AQ426="","",HYPERLINK(p_ruta_base_checklists&amp;$AQ426,"abrir"))</f>
        <v/>
      </c>
      <c r="AS426" s="4" t="n"/>
      <c r="AT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2" t="n"/>
      <c r="K427" s="5" t="n"/>
      <c r="L427" s="18" t="n"/>
      <c r="M427" s="5">
        <f>IF($A427="","",IFERROR(INDEX('AJUSTES'!$B$4:$B$303,MATCH($AT427,'AJUSTES'!$A$4:$A$303,0)),IF($K427="","",$K427)))</f>
        <v/>
      </c>
      <c r="N427" s="5">
        <f>IF($A427="","",IFERROR(INDEX('CAT_ESTADOS_ERP'!$B$4:$B$7,MATCH(IFERROR(INDEX('2_IMPORTAR_EJECUCION'!$C$9:$C$1208,MATCH($AT427,'2_IMPORTAR_EJECUCION'!$J$9:$J$1208,0)),""),'CAT_ESTADOS_ERP'!$A$4:$A$7,0)),"Pendiente"))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IF($J427="","",$P427&amp;"-"&amp;TEXT($Q427,"00"))</f>
        <v/>
      </c>
      <c r="S427" s="5">
        <f>IF($J427="","",INDEX(lista_dias,WEEKDAY($J427,2)))</f>
        <v/>
      </c>
      <c r="T427" s="5">
        <f>IF($J427="","",IFERROR(INDEX('CALENDARIO'!$C$15:$C$214,MATCH(TEXT($J427,"yyyy-mm-dd")&amp;"|"&amp;$X427&amp;"|"&amp;$Y427,'CALENDARIO'!$G$15:$G$214,0)),IFERROR(INDEX('CALENDARIO'!$C$15:$C$214,MATCH(TEXT($J427,"yyyy-mm-dd")&amp;"|"&amp;$X427&amp;"|",'CALENDARIO'!$G$15:$G$214,0)),IFERROR(INDEX('CALENDARIO'!$C$15:$C$214,MATCH(TEXT($J427,"yyyy-mm-dd")&amp;"||",'CALENDARIO'!$G$15:$G$214,0)),INDEX(patronHabil,WEEKDAY($J427,2))))))</f>
        <v/>
      </c>
      <c r="U427" s="5">
        <f>IF($I427="","",IFERROR(INDEX('CAT_TIPOS_OT'!$C$4:$C$8,MATCH($I427,'CAT_TIPOS_OT'!$A$4:$A$8,0)),"sin_clasificar"))</f>
        <v/>
      </c>
      <c r="V427" s="5">
        <f>IF($I427="","",IF(IFERROR(INDEX('CAT_TIPOS_OT'!$D$4:$D$8,MATCH($I427,'CAT_TIPOS_OT'!$A$4:$A$8,0)),"SIN CLASIFICAR")="","SIN CLASIFICAR",IFERROR(INDEX('CAT_TIPOS_OT'!$D$4:$D$8,MATCH($I427,'CAT_TIPOS_OT'!$A$4:$A$8,0)),"SIN CLASIFICAR")))</f>
        <v/>
      </c>
      <c r="W427" s="5">
        <f>IF($F427="","",IFERROR(INDEX('CAT_CENTROS_COSTO'!$F$4:$F$13,MATCH($F427,'CAT_CENTROS_COSTO'!$A$4:$A$13,0)),"(sin catálogo)"))</f>
        <v/>
      </c>
      <c r="X427" s="5">
        <f>IF($F427="","",IFERROR(INDEX('CAT_CENTROS_COSTO'!$D$4:$D$13,MATCH($F427,'CAT_CENTROS_COSTO'!$A$4:$A$13,0)),"(sin catálogo)"))</f>
        <v/>
      </c>
      <c r="Y427" s="5">
        <f>IF($F427="","",IF((IFERROR(INDEX('CAT_CENTROS_COSTO'!$E$4:$E$13,MATCH($F427,'CAT_CENTROS_COSTO'!$A$4:$A$13,0)),""))&lt;&gt;"",IFERROR(INDEX('CAT_CENTROS_COSTO'!$E$4:$E$13,MATCH($F427,'CAT_CENTROS_COSTO'!$A$4:$A$13,0)),""),$X427))</f>
        <v/>
      </c>
      <c r="Z427" s="5">
        <f>IF($F427="","",IFERROR(INDEX('CAT_CENTROS_COSTO'!$G$4:$G$13,MATCH($F427,'CAT_CENTROS_COSTO'!$A$4:$A$13,0)),"(sin catálogo)"))</f>
        <v/>
      </c>
      <c r="AA427" s="5">
        <f>IF($G427="","",IFERROR(INDEX('CAT_PUESTOS'!$B$4:$B$8,MATCH($G427,'CAT_PUESTOS'!$A$4:$A$8,0)),"(sin catálogo)"))</f>
        <v/>
      </c>
      <c r="AB427" s="5">
        <f>IF($H427="","",IFERROR(INDEX('CAT_ACTIVIDADES'!$B$4:$B$11,MATCH($H427,'CAT_ACTIVIDADES'!$A$4:$A$11,0)),"(sin catálogo)"))</f>
        <v/>
      </c>
      <c r="AC427" s="20">
        <f>IF($J427="","",TODAY()-$J427)</f>
        <v/>
      </c>
      <c r="AD427" s="20">
        <f>IF($J427="","",IF($J427&lt;=TODAY(),COUNTIFS(cal_fechas,"&gt;="&amp;$J427,cal_fechas,"&lt;"&amp;TODAY(),cal_habil,"sí"),-COUNTIFS(cal_fechas,"&gt;="&amp;TODAY(),cal_fechas,"&lt;"&amp;$J427,cal_habil,"sí")))</f>
        <v/>
      </c>
      <c r="AE427" s="5">
        <f>IF($AD427="","",IF($AD427&lt;0,"FUTURO",IF($AD427&gt;p_dias_backlog_max,"BACKLOG","MES CORRIENTE")))</f>
        <v/>
      </c>
      <c r="AF427" s="5">
        <f>IF($AD427="",FALSE,AND($AD427&gt;p_dias_backlog_min,$AD427&lt;=p_dias_backlog_max))</f>
        <v/>
      </c>
      <c r="AG427" s="4" t="n"/>
      <c r="AH427" s="5">
        <f>IF($AG427="","",IF((IFERROR(INDEX('ASIGNACIONES'!$J$4:$J$451,MATCH($O427&amp;"|"&amp;$S427&amp;"|"&amp;$AG427,'ASIGNACIONES'!$N$4:$N$451,0)),""))=0,"",IFERROR(INDEX('ASIGNACIONES'!$J$4:$J$451,MATCH($O427&amp;"|"&amp;$S427&amp;"|"&amp;$AG427,'ASIGNACIONES'!$N$4:$N$451,0)),"")))</f>
        <v/>
      </c>
      <c r="AI427" s="25">
        <f>IF($AG427="","",SUMIFS('ORDENES'!$M$4:$M$1203,'ORDENES'!$AG$4:$AG$1203,$AG427,'ORDENES'!$O$4:$O$1203,$O427,'ORDENES'!$S$4:$S$1203,$S427))</f>
        <v/>
      </c>
      <c r="AJ427" s="25">
        <f>IF($AI427="","",p_factor_productividad*IFERROR(INDEX('ASIGNACIONES'!$M$4:$M$451,MATCH($O427&amp;"|"&amp;$S427&amp;"|"&amp;$AG427,'ASIGNACIONES'!$N$4:$N$451,0)),0)-$AI427)</f>
        <v/>
      </c>
      <c r="AK427" s="18">
        <f>IF($A427="","",IFERROR(INDEX('2_IMPORTAR_EJECUCION'!$F$9:$F$1208,MATCH($AT427,'2_IMPORTAR_EJECUCION'!$J$9:$J$1208,0)),0))</f>
        <v/>
      </c>
      <c r="AL427" s="18">
        <f>IF($A427="","",MAX(0,IFERROR(INDEX('2_IMPORTAR_EJECUCION'!$H$9:$H$1208,MATCH($AT427,'2_IMPORTAR_EJECUCION'!$J$9:$J$1208,0)),0)-$AK427))</f>
        <v/>
      </c>
      <c r="AM427" s="18">
        <f>IF($A427="","",$AK427+$AL427)</f>
        <v/>
      </c>
      <c r="AN427" s="5">
        <f>IF($A427="","",IF(OR((IFERROR(INDEX('CAT_ACTIVIDADES'!$D$4:$D$11,MATCH($H427,'CAT_ACTIVIDADES'!$A$4:$A$11,0)),""))=0,(IFERROR(INDEX('CAT_ACTIVIDADES'!$D$4:$D$11,MATCH($H427,'CAT_ACTIVIDADES'!$A$4:$A$11,0)),""))=""),"SIN CLASIFICAR",IFERROR(INDEX('CAT_ACTIVIDADES'!$D$4:$D$11,MATCH($H427,'CAT_ACTIVIDADES'!$A$4:$A$11,0)),"")))</f>
        <v/>
      </c>
      <c r="AO427" s="4" t="n"/>
      <c r="AP427" s="4" t="n"/>
      <c r="AQ427" s="4" t="n"/>
      <c r="AR427" s="5">
        <f>IF($AQ427="","",HYPERLINK(p_ruta_base_checklists&amp;$AQ427,"abrir"))</f>
        <v/>
      </c>
      <c r="AS427" s="4" t="n"/>
      <c r="AT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2" t="n"/>
      <c r="K428" s="5" t="n"/>
      <c r="L428" s="18" t="n"/>
      <c r="M428" s="5">
        <f>IF($A428="","",IFERROR(INDEX('AJUSTES'!$B$4:$B$303,MATCH($AT428,'AJUSTES'!$A$4:$A$303,0)),IF($K428="","",$K428)))</f>
        <v/>
      </c>
      <c r="N428" s="5">
        <f>IF($A428="","",IFERROR(INDEX('CAT_ESTADOS_ERP'!$B$4:$B$7,MATCH(IFERROR(INDEX('2_IMPORTAR_EJECUCION'!$C$9:$C$1208,MATCH($AT428,'2_IMPORTAR_EJECUCION'!$J$9:$J$1208,0)),""),'CAT_ESTADOS_ERP'!$A$4:$A$7,0)),"Pendiente"))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IF($J428="","",$P428&amp;"-"&amp;TEXT($Q428,"00"))</f>
        <v/>
      </c>
      <c r="S428" s="5">
        <f>IF($J428="","",INDEX(lista_dias,WEEKDAY($J428,2)))</f>
        <v/>
      </c>
      <c r="T428" s="5">
        <f>IF($J428="","",IFERROR(INDEX('CALENDARIO'!$C$15:$C$214,MATCH(TEXT($J428,"yyyy-mm-dd")&amp;"|"&amp;$X428&amp;"|"&amp;$Y428,'CALENDARIO'!$G$15:$G$214,0)),IFERROR(INDEX('CALENDARIO'!$C$15:$C$214,MATCH(TEXT($J428,"yyyy-mm-dd")&amp;"|"&amp;$X428&amp;"|",'CALENDARIO'!$G$15:$G$214,0)),IFERROR(INDEX('CALENDARIO'!$C$15:$C$214,MATCH(TEXT($J428,"yyyy-mm-dd")&amp;"||",'CALENDARIO'!$G$15:$G$214,0)),INDEX(patronHabil,WEEKDAY($J428,2))))))</f>
        <v/>
      </c>
      <c r="U428" s="5">
        <f>IF($I428="","",IFERROR(INDEX('CAT_TIPOS_OT'!$C$4:$C$8,MATCH($I428,'CAT_TIPOS_OT'!$A$4:$A$8,0)),"sin_clasificar"))</f>
        <v/>
      </c>
      <c r="V428" s="5">
        <f>IF($I428="","",IF(IFERROR(INDEX('CAT_TIPOS_OT'!$D$4:$D$8,MATCH($I428,'CAT_TIPOS_OT'!$A$4:$A$8,0)),"SIN CLASIFICAR")="","SIN CLASIFICAR",IFERROR(INDEX('CAT_TIPOS_OT'!$D$4:$D$8,MATCH($I428,'CAT_TIPOS_OT'!$A$4:$A$8,0)),"SIN CLASIFICAR")))</f>
        <v/>
      </c>
      <c r="W428" s="5">
        <f>IF($F428="","",IFERROR(INDEX('CAT_CENTROS_COSTO'!$F$4:$F$13,MATCH($F428,'CAT_CENTROS_COSTO'!$A$4:$A$13,0)),"(sin catálogo)"))</f>
        <v/>
      </c>
      <c r="X428" s="5">
        <f>IF($F428="","",IFERROR(INDEX('CAT_CENTROS_COSTO'!$D$4:$D$13,MATCH($F428,'CAT_CENTROS_COSTO'!$A$4:$A$13,0)),"(sin catálogo)"))</f>
        <v/>
      </c>
      <c r="Y428" s="5">
        <f>IF($F428="","",IF((IFERROR(INDEX('CAT_CENTROS_COSTO'!$E$4:$E$13,MATCH($F428,'CAT_CENTROS_COSTO'!$A$4:$A$13,0)),""))&lt;&gt;"",IFERROR(INDEX('CAT_CENTROS_COSTO'!$E$4:$E$13,MATCH($F428,'CAT_CENTROS_COSTO'!$A$4:$A$13,0)),""),$X428))</f>
        <v/>
      </c>
      <c r="Z428" s="5">
        <f>IF($F428="","",IFERROR(INDEX('CAT_CENTROS_COSTO'!$G$4:$G$13,MATCH($F428,'CAT_CENTROS_COSTO'!$A$4:$A$13,0)),"(sin catálogo)"))</f>
        <v/>
      </c>
      <c r="AA428" s="5">
        <f>IF($G428="","",IFERROR(INDEX('CAT_PUESTOS'!$B$4:$B$8,MATCH($G428,'CAT_PUESTOS'!$A$4:$A$8,0)),"(sin catálogo)"))</f>
        <v/>
      </c>
      <c r="AB428" s="5">
        <f>IF($H428="","",IFERROR(INDEX('CAT_ACTIVIDADES'!$B$4:$B$11,MATCH($H428,'CAT_ACTIVIDADES'!$A$4:$A$11,0)),"(sin catálogo)"))</f>
        <v/>
      </c>
      <c r="AC428" s="20">
        <f>IF($J428="","",TODAY()-$J428)</f>
        <v/>
      </c>
      <c r="AD428" s="20">
        <f>IF($J428="","",IF($J428&lt;=TODAY(),COUNTIFS(cal_fechas,"&gt;="&amp;$J428,cal_fechas,"&lt;"&amp;TODAY(),cal_habil,"sí"),-COUNTIFS(cal_fechas,"&gt;="&amp;TODAY(),cal_fechas,"&lt;"&amp;$J428,cal_habil,"sí")))</f>
        <v/>
      </c>
      <c r="AE428" s="5">
        <f>IF($AD428="","",IF($AD428&lt;0,"FUTURO",IF($AD428&gt;p_dias_backlog_max,"BACKLOG","MES CORRIENTE")))</f>
        <v/>
      </c>
      <c r="AF428" s="5">
        <f>IF($AD428="",FALSE,AND($AD428&gt;p_dias_backlog_min,$AD428&lt;=p_dias_backlog_max))</f>
        <v/>
      </c>
      <c r="AG428" s="4" t="n"/>
      <c r="AH428" s="5">
        <f>IF($AG428="","",IF((IFERROR(INDEX('ASIGNACIONES'!$J$4:$J$451,MATCH($O428&amp;"|"&amp;$S428&amp;"|"&amp;$AG428,'ASIGNACIONES'!$N$4:$N$451,0)),""))=0,"",IFERROR(INDEX('ASIGNACIONES'!$J$4:$J$451,MATCH($O428&amp;"|"&amp;$S428&amp;"|"&amp;$AG428,'ASIGNACIONES'!$N$4:$N$451,0)),"")))</f>
        <v/>
      </c>
      <c r="AI428" s="25">
        <f>IF($AG428="","",SUMIFS('ORDENES'!$M$4:$M$1203,'ORDENES'!$AG$4:$AG$1203,$AG428,'ORDENES'!$O$4:$O$1203,$O428,'ORDENES'!$S$4:$S$1203,$S428))</f>
        <v/>
      </c>
      <c r="AJ428" s="25">
        <f>IF($AI428="","",p_factor_productividad*IFERROR(INDEX('ASIGNACIONES'!$M$4:$M$451,MATCH($O428&amp;"|"&amp;$S428&amp;"|"&amp;$AG428,'ASIGNACIONES'!$N$4:$N$451,0)),0)-$AI428)</f>
        <v/>
      </c>
      <c r="AK428" s="18">
        <f>IF($A428="","",IFERROR(INDEX('2_IMPORTAR_EJECUCION'!$F$9:$F$1208,MATCH($AT428,'2_IMPORTAR_EJECUCION'!$J$9:$J$1208,0)),0))</f>
        <v/>
      </c>
      <c r="AL428" s="18">
        <f>IF($A428="","",MAX(0,IFERROR(INDEX('2_IMPORTAR_EJECUCION'!$H$9:$H$1208,MATCH($AT428,'2_IMPORTAR_EJECUCION'!$J$9:$J$1208,0)),0)-$AK428))</f>
        <v/>
      </c>
      <c r="AM428" s="18">
        <f>IF($A428="","",$AK428+$AL428)</f>
        <v/>
      </c>
      <c r="AN428" s="5">
        <f>IF($A428="","",IF(OR((IFERROR(INDEX('CAT_ACTIVIDADES'!$D$4:$D$11,MATCH($H428,'CAT_ACTIVIDADES'!$A$4:$A$11,0)),""))=0,(IFERROR(INDEX('CAT_ACTIVIDADES'!$D$4:$D$11,MATCH($H428,'CAT_ACTIVIDADES'!$A$4:$A$11,0)),""))=""),"SIN CLASIFICAR",IFERROR(INDEX('CAT_ACTIVIDADES'!$D$4:$D$11,MATCH($H428,'CAT_ACTIVIDADES'!$A$4:$A$11,0)),"")))</f>
        <v/>
      </c>
      <c r="AO428" s="4" t="n"/>
      <c r="AP428" s="4" t="n"/>
      <c r="AQ428" s="4" t="n"/>
      <c r="AR428" s="5">
        <f>IF($AQ428="","",HYPERLINK(p_ruta_base_checklists&amp;$AQ428,"abrir"))</f>
        <v/>
      </c>
      <c r="AS428" s="4" t="n"/>
      <c r="AT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2" t="n"/>
      <c r="K429" s="5" t="n"/>
      <c r="L429" s="18" t="n"/>
      <c r="M429" s="5">
        <f>IF($A429="","",IFERROR(INDEX('AJUSTES'!$B$4:$B$303,MATCH($AT429,'AJUSTES'!$A$4:$A$303,0)),IF($K429="","",$K429)))</f>
        <v/>
      </c>
      <c r="N429" s="5">
        <f>IF($A429="","",IFERROR(INDEX('CAT_ESTADOS_ERP'!$B$4:$B$7,MATCH(IFERROR(INDEX('2_IMPORTAR_EJECUCION'!$C$9:$C$1208,MATCH($AT429,'2_IMPORTAR_EJECUCION'!$J$9:$J$1208,0)),""),'CAT_ESTADOS_ERP'!$A$4:$A$7,0)),"Pendiente"))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IF($J429="","",$P429&amp;"-"&amp;TEXT($Q429,"00"))</f>
        <v/>
      </c>
      <c r="S429" s="5">
        <f>IF($J429="","",INDEX(lista_dias,WEEKDAY($J429,2)))</f>
        <v/>
      </c>
      <c r="T429" s="5">
        <f>IF($J429="","",IFERROR(INDEX('CALENDARIO'!$C$15:$C$214,MATCH(TEXT($J429,"yyyy-mm-dd")&amp;"|"&amp;$X429&amp;"|"&amp;$Y429,'CALENDARIO'!$G$15:$G$214,0)),IFERROR(INDEX('CALENDARIO'!$C$15:$C$214,MATCH(TEXT($J429,"yyyy-mm-dd")&amp;"|"&amp;$X429&amp;"|",'CALENDARIO'!$G$15:$G$214,0)),IFERROR(INDEX('CALENDARIO'!$C$15:$C$214,MATCH(TEXT($J429,"yyyy-mm-dd")&amp;"||",'CALENDARIO'!$G$15:$G$214,0)),INDEX(patronHabil,WEEKDAY($J429,2))))))</f>
        <v/>
      </c>
      <c r="U429" s="5">
        <f>IF($I429="","",IFERROR(INDEX('CAT_TIPOS_OT'!$C$4:$C$8,MATCH($I429,'CAT_TIPOS_OT'!$A$4:$A$8,0)),"sin_clasificar"))</f>
        <v/>
      </c>
      <c r="V429" s="5">
        <f>IF($I429="","",IF(IFERROR(INDEX('CAT_TIPOS_OT'!$D$4:$D$8,MATCH($I429,'CAT_TIPOS_OT'!$A$4:$A$8,0)),"SIN CLASIFICAR")="","SIN CLASIFICAR",IFERROR(INDEX('CAT_TIPOS_OT'!$D$4:$D$8,MATCH($I429,'CAT_TIPOS_OT'!$A$4:$A$8,0)),"SIN CLASIFICAR")))</f>
        <v/>
      </c>
      <c r="W429" s="5">
        <f>IF($F429="","",IFERROR(INDEX('CAT_CENTROS_COSTO'!$F$4:$F$13,MATCH($F429,'CAT_CENTROS_COSTO'!$A$4:$A$13,0)),"(sin catálogo)"))</f>
        <v/>
      </c>
      <c r="X429" s="5">
        <f>IF($F429="","",IFERROR(INDEX('CAT_CENTROS_COSTO'!$D$4:$D$13,MATCH($F429,'CAT_CENTROS_COSTO'!$A$4:$A$13,0)),"(sin catálogo)"))</f>
        <v/>
      </c>
      <c r="Y429" s="5">
        <f>IF($F429="","",IF((IFERROR(INDEX('CAT_CENTROS_COSTO'!$E$4:$E$13,MATCH($F429,'CAT_CENTROS_COSTO'!$A$4:$A$13,0)),""))&lt;&gt;"",IFERROR(INDEX('CAT_CENTROS_COSTO'!$E$4:$E$13,MATCH($F429,'CAT_CENTROS_COSTO'!$A$4:$A$13,0)),""),$X429))</f>
        <v/>
      </c>
      <c r="Z429" s="5">
        <f>IF($F429="","",IFERROR(INDEX('CAT_CENTROS_COSTO'!$G$4:$G$13,MATCH($F429,'CAT_CENTROS_COSTO'!$A$4:$A$13,0)),"(sin catálogo)"))</f>
        <v/>
      </c>
      <c r="AA429" s="5">
        <f>IF($G429="","",IFERROR(INDEX('CAT_PUESTOS'!$B$4:$B$8,MATCH($G429,'CAT_PUESTOS'!$A$4:$A$8,0)),"(sin catálogo)"))</f>
        <v/>
      </c>
      <c r="AB429" s="5">
        <f>IF($H429="","",IFERROR(INDEX('CAT_ACTIVIDADES'!$B$4:$B$11,MATCH($H429,'CAT_ACTIVIDADES'!$A$4:$A$11,0)),"(sin catálogo)"))</f>
        <v/>
      </c>
      <c r="AC429" s="20">
        <f>IF($J429="","",TODAY()-$J429)</f>
        <v/>
      </c>
      <c r="AD429" s="20">
        <f>IF($J429="","",IF($J429&lt;=TODAY(),COUNTIFS(cal_fechas,"&gt;="&amp;$J429,cal_fechas,"&lt;"&amp;TODAY(),cal_habil,"sí"),-COUNTIFS(cal_fechas,"&gt;="&amp;TODAY(),cal_fechas,"&lt;"&amp;$J429,cal_habil,"sí")))</f>
        <v/>
      </c>
      <c r="AE429" s="5">
        <f>IF($AD429="","",IF($AD429&lt;0,"FUTURO",IF($AD429&gt;p_dias_backlog_max,"BACKLOG","MES CORRIENTE")))</f>
        <v/>
      </c>
      <c r="AF429" s="5">
        <f>IF($AD429="",FALSE,AND($AD429&gt;p_dias_backlog_min,$AD429&lt;=p_dias_backlog_max))</f>
        <v/>
      </c>
      <c r="AG429" s="4" t="n"/>
      <c r="AH429" s="5">
        <f>IF($AG429="","",IF((IFERROR(INDEX('ASIGNACIONES'!$J$4:$J$451,MATCH($O429&amp;"|"&amp;$S429&amp;"|"&amp;$AG429,'ASIGNACIONES'!$N$4:$N$451,0)),""))=0,"",IFERROR(INDEX('ASIGNACIONES'!$J$4:$J$451,MATCH($O429&amp;"|"&amp;$S429&amp;"|"&amp;$AG429,'ASIGNACIONES'!$N$4:$N$451,0)),"")))</f>
        <v/>
      </c>
      <c r="AI429" s="25">
        <f>IF($AG429="","",SUMIFS('ORDENES'!$M$4:$M$1203,'ORDENES'!$AG$4:$AG$1203,$AG429,'ORDENES'!$O$4:$O$1203,$O429,'ORDENES'!$S$4:$S$1203,$S429))</f>
        <v/>
      </c>
      <c r="AJ429" s="25">
        <f>IF($AI429="","",p_factor_productividad*IFERROR(INDEX('ASIGNACIONES'!$M$4:$M$451,MATCH($O429&amp;"|"&amp;$S429&amp;"|"&amp;$AG429,'ASIGNACIONES'!$N$4:$N$451,0)),0)-$AI429)</f>
        <v/>
      </c>
      <c r="AK429" s="18">
        <f>IF($A429="","",IFERROR(INDEX('2_IMPORTAR_EJECUCION'!$F$9:$F$1208,MATCH($AT429,'2_IMPORTAR_EJECUCION'!$J$9:$J$1208,0)),0))</f>
        <v/>
      </c>
      <c r="AL429" s="18">
        <f>IF($A429="","",MAX(0,IFERROR(INDEX('2_IMPORTAR_EJECUCION'!$H$9:$H$1208,MATCH($AT429,'2_IMPORTAR_EJECUCION'!$J$9:$J$1208,0)),0)-$AK429))</f>
        <v/>
      </c>
      <c r="AM429" s="18">
        <f>IF($A429="","",$AK429+$AL429)</f>
        <v/>
      </c>
      <c r="AN429" s="5">
        <f>IF($A429="","",IF(OR((IFERROR(INDEX('CAT_ACTIVIDADES'!$D$4:$D$11,MATCH($H429,'CAT_ACTIVIDADES'!$A$4:$A$11,0)),""))=0,(IFERROR(INDEX('CAT_ACTIVIDADES'!$D$4:$D$11,MATCH($H429,'CAT_ACTIVIDADES'!$A$4:$A$11,0)),""))=""),"SIN CLASIFICAR",IFERROR(INDEX('CAT_ACTIVIDADES'!$D$4:$D$11,MATCH($H429,'CAT_ACTIVIDADES'!$A$4:$A$11,0)),"")))</f>
        <v/>
      </c>
      <c r="AO429" s="4" t="n"/>
      <c r="AP429" s="4" t="n"/>
      <c r="AQ429" s="4" t="n"/>
      <c r="AR429" s="5">
        <f>IF($AQ429="","",HYPERLINK(p_ruta_base_checklists&amp;$AQ429,"abrir"))</f>
        <v/>
      </c>
      <c r="AS429" s="4" t="n"/>
      <c r="AT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2" t="n"/>
      <c r="K430" s="5" t="n"/>
      <c r="L430" s="18" t="n"/>
      <c r="M430" s="5">
        <f>IF($A430="","",IFERROR(INDEX('AJUSTES'!$B$4:$B$303,MATCH($AT430,'AJUSTES'!$A$4:$A$303,0)),IF($K430="","",$K430)))</f>
        <v/>
      </c>
      <c r="N430" s="5">
        <f>IF($A430="","",IFERROR(INDEX('CAT_ESTADOS_ERP'!$B$4:$B$7,MATCH(IFERROR(INDEX('2_IMPORTAR_EJECUCION'!$C$9:$C$1208,MATCH($AT430,'2_IMPORTAR_EJECUCION'!$J$9:$J$1208,0)),""),'CAT_ESTADOS_ERP'!$A$4:$A$7,0)),"Pendiente"))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IF($J430="","",$P430&amp;"-"&amp;TEXT($Q430,"00"))</f>
        <v/>
      </c>
      <c r="S430" s="5">
        <f>IF($J430="","",INDEX(lista_dias,WEEKDAY($J430,2)))</f>
        <v/>
      </c>
      <c r="T430" s="5">
        <f>IF($J430="","",IFERROR(INDEX('CALENDARIO'!$C$15:$C$214,MATCH(TEXT($J430,"yyyy-mm-dd")&amp;"|"&amp;$X430&amp;"|"&amp;$Y430,'CALENDARIO'!$G$15:$G$214,0)),IFERROR(INDEX('CALENDARIO'!$C$15:$C$214,MATCH(TEXT($J430,"yyyy-mm-dd")&amp;"|"&amp;$X430&amp;"|",'CALENDARIO'!$G$15:$G$214,0)),IFERROR(INDEX('CALENDARIO'!$C$15:$C$214,MATCH(TEXT($J430,"yyyy-mm-dd")&amp;"||",'CALENDARIO'!$G$15:$G$214,0)),INDEX(patronHabil,WEEKDAY($J430,2))))))</f>
        <v/>
      </c>
      <c r="U430" s="5">
        <f>IF($I430="","",IFERROR(INDEX('CAT_TIPOS_OT'!$C$4:$C$8,MATCH($I430,'CAT_TIPOS_OT'!$A$4:$A$8,0)),"sin_clasificar"))</f>
        <v/>
      </c>
      <c r="V430" s="5">
        <f>IF($I430="","",IF(IFERROR(INDEX('CAT_TIPOS_OT'!$D$4:$D$8,MATCH($I430,'CAT_TIPOS_OT'!$A$4:$A$8,0)),"SIN CLASIFICAR")="","SIN CLASIFICAR",IFERROR(INDEX('CAT_TIPOS_OT'!$D$4:$D$8,MATCH($I430,'CAT_TIPOS_OT'!$A$4:$A$8,0)),"SIN CLASIFICAR")))</f>
        <v/>
      </c>
      <c r="W430" s="5">
        <f>IF($F430="","",IFERROR(INDEX('CAT_CENTROS_COSTO'!$F$4:$F$13,MATCH($F430,'CAT_CENTROS_COSTO'!$A$4:$A$13,0)),"(sin catálogo)"))</f>
        <v/>
      </c>
      <c r="X430" s="5">
        <f>IF($F430="","",IFERROR(INDEX('CAT_CENTROS_COSTO'!$D$4:$D$13,MATCH($F430,'CAT_CENTROS_COSTO'!$A$4:$A$13,0)),"(sin catálogo)"))</f>
        <v/>
      </c>
      <c r="Y430" s="5">
        <f>IF($F430="","",IF((IFERROR(INDEX('CAT_CENTROS_COSTO'!$E$4:$E$13,MATCH($F430,'CAT_CENTROS_COSTO'!$A$4:$A$13,0)),""))&lt;&gt;"",IFERROR(INDEX('CAT_CENTROS_COSTO'!$E$4:$E$13,MATCH($F430,'CAT_CENTROS_COSTO'!$A$4:$A$13,0)),""),$X430))</f>
        <v/>
      </c>
      <c r="Z430" s="5">
        <f>IF($F430="","",IFERROR(INDEX('CAT_CENTROS_COSTO'!$G$4:$G$13,MATCH($F430,'CAT_CENTROS_COSTO'!$A$4:$A$13,0)),"(sin catálogo)"))</f>
        <v/>
      </c>
      <c r="AA430" s="5">
        <f>IF($G430="","",IFERROR(INDEX('CAT_PUESTOS'!$B$4:$B$8,MATCH($G430,'CAT_PUESTOS'!$A$4:$A$8,0)),"(sin catálogo)"))</f>
        <v/>
      </c>
      <c r="AB430" s="5">
        <f>IF($H430="","",IFERROR(INDEX('CAT_ACTIVIDADES'!$B$4:$B$11,MATCH($H430,'CAT_ACTIVIDADES'!$A$4:$A$11,0)),"(sin catálogo)"))</f>
        <v/>
      </c>
      <c r="AC430" s="20">
        <f>IF($J430="","",TODAY()-$J430)</f>
        <v/>
      </c>
      <c r="AD430" s="20">
        <f>IF($J430="","",IF($J430&lt;=TODAY(),COUNTIFS(cal_fechas,"&gt;="&amp;$J430,cal_fechas,"&lt;"&amp;TODAY(),cal_habil,"sí"),-COUNTIFS(cal_fechas,"&gt;="&amp;TODAY(),cal_fechas,"&lt;"&amp;$J430,cal_habil,"sí")))</f>
        <v/>
      </c>
      <c r="AE430" s="5">
        <f>IF($AD430="","",IF($AD430&lt;0,"FUTURO",IF($AD430&gt;p_dias_backlog_max,"BACKLOG","MES CORRIENTE")))</f>
        <v/>
      </c>
      <c r="AF430" s="5">
        <f>IF($AD430="",FALSE,AND($AD430&gt;p_dias_backlog_min,$AD430&lt;=p_dias_backlog_max))</f>
        <v/>
      </c>
      <c r="AG430" s="4" t="n"/>
      <c r="AH430" s="5">
        <f>IF($AG430="","",IF((IFERROR(INDEX('ASIGNACIONES'!$J$4:$J$451,MATCH($O430&amp;"|"&amp;$S430&amp;"|"&amp;$AG430,'ASIGNACIONES'!$N$4:$N$451,0)),""))=0,"",IFERROR(INDEX('ASIGNACIONES'!$J$4:$J$451,MATCH($O430&amp;"|"&amp;$S430&amp;"|"&amp;$AG430,'ASIGNACIONES'!$N$4:$N$451,0)),"")))</f>
        <v/>
      </c>
      <c r="AI430" s="25">
        <f>IF($AG430="","",SUMIFS('ORDENES'!$M$4:$M$1203,'ORDENES'!$AG$4:$AG$1203,$AG430,'ORDENES'!$O$4:$O$1203,$O430,'ORDENES'!$S$4:$S$1203,$S430))</f>
        <v/>
      </c>
      <c r="AJ430" s="25">
        <f>IF($AI430="","",p_factor_productividad*IFERROR(INDEX('ASIGNACIONES'!$M$4:$M$451,MATCH($O430&amp;"|"&amp;$S430&amp;"|"&amp;$AG430,'ASIGNACIONES'!$N$4:$N$451,0)),0)-$AI430)</f>
        <v/>
      </c>
      <c r="AK430" s="18">
        <f>IF($A430="","",IFERROR(INDEX('2_IMPORTAR_EJECUCION'!$F$9:$F$1208,MATCH($AT430,'2_IMPORTAR_EJECUCION'!$J$9:$J$1208,0)),0))</f>
        <v/>
      </c>
      <c r="AL430" s="18">
        <f>IF($A430="","",MAX(0,IFERROR(INDEX('2_IMPORTAR_EJECUCION'!$H$9:$H$1208,MATCH($AT430,'2_IMPORTAR_EJECUCION'!$J$9:$J$1208,0)),0)-$AK430))</f>
        <v/>
      </c>
      <c r="AM430" s="18">
        <f>IF($A430="","",$AK430+$AL430)</f>
        <v/>
      </c>
      <c r="AN430" s="5">
        <f>IF($A430="","",IF(OR((IFERROR(INDEX('CAT_ACTIVIDADES'!$D$4:$D$11,MATCH($H430,'CAT_ACTIVIDADES'!$A$4:$A$11,0)),""))=0,(IFERROR(INDEX('CAT_ACTIVIDADES'!$D$4:$D$11,MATCH($H430,'CAT_ACTIVIDADES'!$A$4:$A$11,0)),""))=""),"SIN CLASIFICAR",IFERROR(INDEX('CAT_ACTIVIDADES'!$D$4:$D$11,MATCH($H430,'CAT_ACTIVIDADES'!$A$4:$A$11,0)),"")))</f>
        <v/>
      </c>
      <c r="AO430" s="4" t="n"/>
      <c r="AP430" s="4" t="n"/>
      <c r="AQ430" s="4" t="n"/>
      <c r="AR430" s="5">
        <f>IF($AQ430="","",HYPERLINK(p_ruta_base_checklists&amp;$AQ430,"abrir"))</f>
        <v/>
      </c>
      <c r="AS430" s="4" t="n"/>
      <c r="AT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2" t="n"/>
      <c r="K431" s="5" t="n"/>
      <c r="L431" s="18" t="n"/>
      <c r="M431" s="5">
        <f>IF($A431="","",IFERROR(INDEX('AJUSTES'!$B$4:$B$303,MATCH($AT431,'AJUSTES'!$A$4:$A$303,0)),IF($K431="","",$K431)))</f>
        <v/>
      </c>
      <c r="N431" s="5">
        <f>IF($A431="","",IFERROR(INDEX('CAT_ESTADOS_ERP'!$B$4:$B$7,MATCH(IFERROR(INDEX('2_IMPORTAR_EJECUCION'!$C$9:$C$1208,MATCH($AT431,'2_IMPORTAR_EJECUCION'!$J$9:$J$1208,0)),""),'CAT_ESTADOS_ERP'!$A$4:$A$7,0)),"Pendiente"))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IF($J431="","",$P431&amp;"-"&amp;TEXT($Q431,"00"))</f>
        <v/>
      </c>
      <c r="S431" s="5">
        <f>IF($J431="","",INDEX(lista_dias,WEEKDAY($J431,2)))</f>
        <v/>
      </c>
      <c r="T431" s="5">
        <f>IF($J431="","",IFERROR(INDEX('CALENDARIO'!$C$15:$C$214,MATCH(TEXT($J431,"yyyy-mm-dd")&amp;"|"&amp;$X431&amp;"|"&amp;$Y431,'CALENDARIO'!$G$15:$G$214,0)),IFERROR(INDEX('CALENDARIO'!$C$15:$C$214,MATCH(TEXT($J431,"yyyy-mm-dd")&amp;"|"&amp;$X431&amp;"|",'CALENDARIO'!$G$15:$G$214,0)),IFERROR(INDEX('CALENDARIO'!$C$15:$C$214,MATCH(TEXT($J431,"yyyy-mm-dd")&amp;"||",'CALENDARIO'!$G$15:$G$214,0)),INDEX(patronHabil,WEEKDAY($J431,2))))))</f>
        <v/>
      </c>
      <c r="U431" s="5">
        <f>IF($I431="","",IFERROR(INDEX('CAT_TIPOS_OT'!$C$4:$C$8,MATCH($I431,'CAT_TIPOS_OT'!$A$4:$A$8,0)),"sin_clasificar"))</f>
        <v/>
      </c>
      <c r="V431" s="5">
        <f>IF($I431="","",IF(IFERROR(INDEX('CAT_TIPOS_OT'!$D$4:$D$8,MATCH($I431,'CAT_TIPOS_OT'!$A$4:$A$8,0)),"SIN CLASIFICAR")="","SIN CLASIFICAR",IFERROR(INDEX('CAT_TIPOS_OT'!$D$4:$D$8,MATCH($I431,'CAT_TIPOS_OT'!$A$4:$A$8,0)),"SIN CLASIFICAR")))</f>
        <v/>
      </c>
      <c r="W431" s="5">
        <f>IF($F431="","",IFERROR(INDEX('CAT_CENTROS_COSTO'!$F$4:$F$13,MATCH($F431,'CAT_CENTROS_COSTO'!$A$4:$A$13,0)),"(sin catálogo)"))</f>
        <v/>
      </c>
      <c r="X431" s="5">
        <f>IF($F431="","",IFERROR(INDEX('CAT_CENTROS_COSTO'!$D$4:$D$13,MATCH($F431,'CAT_CENTROS_COSTO'!$A$4:$A$13,0)),"(sin catálogo)"))</f>
        <v/>
      </c>
      <c r="Y431" s="5">
        <f>IF($F431="","",IF((IFERROR(INDEX('CAT_CENTROS_COSTO'!$E$4:$E$13,MATCH($F431,'CAT_CENTROS_COSTO'!$A$4:$A$13,0)),""))&lt;&gt;"",IFERROR(INDEX('CAT_CENTROS_COSTO'!$E$4:$E$13,MATCH($F431,'CAT_CENTROS_COSTO'!$A$4:$A$13,0)),""),$X431))</f>
        <v/>
      </c>
      <c r="Z431" s="5">
        <f>IF($F431="","",IFERROR(INDEX('CAT_CENTROS_COSTO'!$G$4:$G$13,MATCH($F431,'CAT_CENTROS_COSTO'!$A$4:$A$13,0)),"(sin catálogo)"))</f>
        <v/>
      </c>
      <c r="AA431" s="5">
        <f>IF($G431="","",IFERROR(INDEX('CAT_PUESTOS'!$B$4:$B$8,MATCH($G431,'CAT_PUESTOS'!$A$4:$A$8,0)),"(sin catálogo)"))</f>
        <v/>
      </c>
      <c r="AB431" s="5">
        <f>IF($H431="","",IFERROR(INDEX('CAT_ACTIVIDADES'!$B$4:$B$11,MATCH($H431,'CAT_ACTIVIDADES'!$A$4:$A$11,0)),"(sin catálogo)"))</f>
        <v/>
      </c>
      <c r="AC431" s="20">
        <f>IF($J431="","",TODAY()-$J431)</f>
        <v/>
      </c>
      <c r="AD431" s="20">
        <f>IF($J431="","",IF($J431&lt;=TODAY(),COUNTIFS(cal_fechas,"&gt;="&amp;$J431,cal_fechas,"&lt;"&amp;TODAY(),cal_habil,"sí"),-COUNTIFS(cal_fechas,"&gt;="&amp;TODAY(),cal_fechas,"&lt;"&amp;$J431,cal_habil,"sí")))</f>
        <v/>
      </c>
      <c r="AE431" s="5">
        <f>IF($AD431="","",IF($AD431&lt;0,"FUTURO",IF($AD431&gt;p_dias_backlog_max,"BACKLOG","MES CORRIENTE")))</f>
        <v/>
      </c>
      <c r="AF431" s="5">
        <f>IF($AD431="",FALSE,AND($AD431&gt;p_dias_backlog_min,$AD431&lt;=p_dias_backlog_max))</f>
        <v/>
      </c>
      <c r="AG431" s="4" t="n"/>
      <c r="AH431" s="5">
        <f>IF($AG431="","",IF((IFERROR(INDEX('ASIGNACIONES'!$J$4:$J$451,MATCH($O431&amp;"|"&amp;$S431&amp;"|"&amp;$AG431,'ASIGNACIONES'!$N$4:$N$451,0)),""))=0,"",IFERROR(INDEX('ASIGNACIONES'!$J$4:$J$451,MATCH($O431&amp;"|"&amp;$S431&amp;"|"&amp;$AG431,'ASIGNACIONES'!$N$4:$N$451,0)),"")))</f>
        <v/>
      </c>
      <c r="AI431" s="25">
        <f>IF($AG431="","",SUMIFS('ORDENES'!$M$4:$M$1203,'ORDENES'!$AG$4:$AG$1203,$AG431,'ORDENES'!$O$4:$O$1203,$O431,'ORDENES'!$S$4:$S$1203,$S431))</f>
        <v/>
      </c>
      <c r="AJ431" s="25">
        <f>IF($AI431="","",p_factor_productividad*IFERROR(INDEX('ASIGNACIONES'!$M$4:$M$451,MATCH($O431&amp;"|"&amp;$S431&amp;"|"&amp;$AG431,'ASIGNACIONES'!$N$4:$N$451,0)),0)-$AI431)</f>
        <v/>
      </c>
      <c r="AK431" s="18">
        <f>IF($A431="","",IFERROR(INDEX('2_IMPORTAR_EJECUCION'!$F$9:$F$1208,MATCH($AT431,'2_IMPORTAR_EJECUCION'!$J$9:$J$1208,0)),0))</f>
        <v/>
      </c>
      <c r="AL431" s="18">
        <f>IF($A431="","",MAX(0,IFERROR(INDEX('2_IMPORTAR_EJECUCION'!$H$9:$H$1208,MATCH($AT431,'2_IMPORTAR_EJECUCION'!$J$9:$J$1208,0)),0)-$AK431))</f>
        <v/>
      </c>
      <c r="AM431" s="18">
        <f>IF($A431="","",$AK431+$AL431)</f>
        <v/>
      </c>
      <c r="AN431" s="5">
        <f>IF($A431="","",IF(OR((IFERROR(INDEX('CAT_ACTIVIDADES'!$D$4:$D$11,MATCH($H431,'CAT_ACTIVIDADES'!$A$4:$A$11,0)),""))=0,(IFERROR(INDEX('CAT_ACTIVIDADES'!$D$4:$D$11,MATCH($H431,'CAT_ACTIVIDADES'!$A$4:$A$11,0)),""))=""),"SIN CLASIFICAR",IFERROR(INDEX('CAT_ACTIVIDADES'!$D$4:$D$11,MATCH($H431,'CAT_ACTIVIDADES'!$A$4:$A$11,0)),"")))</f>
        <v/>
      </c>
      <c r="AO431" s="4" t="n"/>
      <c r="AP431" s="4" t="n"/>
      <c r="AQ431" s="4" t="n"/>
      <c r="AR431" s="5">
        <f>IF($AQ431="","",HYPERLINK(p_ruta_base_checklists&amp;$AQ431,"abrir"))</f>
        <v/>
      </c>
      <c r="AS431" s="4" t="n"/>
      <c r="AT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2" t="n"/>
      <c r="K432" s="5" t="n"/>
      <c r="L432" s="18" t="n"/>
      <c r="M432" s="5">
        <f>IF($A432="","",IFERROR(INDEX('AJUSTES'!$B$4:$B$303,MATCH($AT432,'AJUSTES'!$A$4:$A$303,0)),IF($K432="","",$K432)))</f>
        <v/>
      </c>
      <c r="N432" s="5">
        <f>IF($A432="","",IFERROR(INDEX('CAT_ESTADOS_ERP'!$B$4:$B$7,MATCH(IFERROR(INDEX('2_IMPORTAR_EJECUCION'!$C$9:$C$1208,MATCH($AT432,'2_IMPORTAR_EJECUCION'!$J$9:$J$1208,0)),""),'CAT_ESTADOS_ERP'!$A$4:$A$7,0)),"Pendiente"))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IF($J432="","",$P432&amp;"-"&amp;TEXT($Q432,"00"))</f>
        <v/>
      </c>
      <c r="S432" s="5">
        <f>IF($J432="","",INDEX(lista_dias,WEEKDAY($J432,2)))</f>
        <v/>
      </c>
      <c r="T432" s="5">
        <f>IF($J432="","",IFERROR(INDEX('CALENDARIO'!$C$15:$C$214,MATCH(TEXT($J432,"yyyy-mm-dd")&amp;"|"&amp;$X432&amp;"|"&amp;$Y432,'CALENDARIO'!$G$15:$G$214,0)),IFERROR(INDEX('CALENDARIO'!$C$15:$C$214,MATCH(TEXT($J432,"yyyy-mm-dd")&amp;"|"&amp;$X432&amp;"|",'CALENDARIO'!$G$15:$G$214,0)),IFERROR(INDEX('CALENDARIO'!$C$15:$C$214,MATCH(TEXT($J432,"yyyy-mm-dd")&amp;"||",'CALENDARIO'!$G$15:$G$214,0)),INDEX(patronHabil,WEEKDAY($J432,2))))))</f>
        <v/>
      </c>
      <c r="U432" s="5">
        <f>IF($I432="","",IFERROR(INDEX('CAT_TIPOS_OT'!$C$4:$C$8,MATCH($I432,'CAT_TIPOS_OT'!$A$4:$A$8,0)),"sin_clasificar"))</f>
        <v/>
      </c>
      <c r="V432" s="5">
        <f>IF($I432="","",IF(IFERROR(INDEX('CAT_TIPOS_OT'!$D$4:$D$8,MATCH($I432,'CAT_TIPOS_OT'!$A$4:$A$8,0)),"SIN CLASIFICAR")="","SIN CLASIFICAR",IFERROR(INDEX('CAT_TIPOS_OT'!$D$4:$D$8,MATCH($I432,'CAT_TIPOS_OT'!$A$4:$A$8,0)),"SIN CLASIFICAR")))</f>
        <v/>
      </c>
      <c r="W432" s="5">
        <f>IF($F432="","",IFERROR(INDEX('CAT_CENTROS_COSTO'!$F$4:$F$13,MATCH($F432,'CAT_CENTROS_COSTO'!$A$4:$A$13,0)),"(sin catálogo)"))</f>
        <v/>
      </c>
      <c r="X432" s="5">
        <f>IF($F432="","",IFERROR(INDEX('CAT_CENTROS_COSTO'!$D$4:$D$13,MATCH($F432,'CAT_CENTROS_COSTO'!$A$4:$A$13,0)),"(sin catálogo)"))</f>
        <v/>
      </c>
      <c r="Y432" s="5">
        <f>IF($F432="","",IF((IFERROR(INDEX('CAT_CENTROS_COSTO'!$E$4:$E$13,MATCH($F432,'CAT_CENTROS_COSTO'!$A$4:$A$13,0)),""))&lt;&gt;"",IFERROR(INDEX('CAT_CENTROS_COSTO'!$E$4:$E$13,MATCH($F432,'CAT_CENTROS_COSTO'!$A$4:$A$13,0)),""),$X432))</f>
        <v/>
      </c>
      <c r="Z432" s="5">
        <f>IF($F432="","",IFERROR(INDEX('CAT_CENTROS_COSTO'!$G$4:$G$13,MATCH($F432,'CAT_CENTROS_COSTO'!$A$4:$A$13,0)),"(sin catálogo)"))</f>
        <v/>
      </c>
      <c r="AA432" s="5">
        <f>IF($G432="","",IFERROR(INDEX('CAT_PUESTOS'!$B$4:$B$8,MATCH($G432,'CAT_PUESTOS'!$A$4:$A$8,0)),"(sin catálogo)"))</f>
        <v/>
      </c>
      <c r="AB432" s="5">
        <f>IF($H432="","",IFERROR(INDEX('CAT_ACTIVIDADES'!$B$4:$B$11,MATCH($H432,'CAT_ACTIVIDADES'!$A$4:$A$11,0)),"(sin catálogo)"))</f>
        <v/>
      </c>
      <c r="AC432" s="20">
        <f>IF($J432="","",TODAY()-$J432)</f>
        <v/>
      </c>
      <c r="AD432" s="20">
        <f>IF($J432="","",IF($J432&lt;=TODAY(),COUNTIFS(cal_fechas,"&gt;="&amp;$J432,cal_fechas,"&lt;"&amp;TODAY(),cal_habil,"sí"),-COUNTIFS(cal_fechas,"&gt;="&amp;TODAY(),cal_fechas,"&lt;"&amp;$J432,cal_habil,"sí")))</f>
        <v/>
      </c>
      <c r="AE432" s="5">
        <f>IF($AD432="","",IF($AD432&lt;0,"FUTURO",IF($AD432&gt;p_dias_backlog_max,"BACKLOG","MES CORRIENTE")))</f>
        <v/>
      </c>
      <c r="AF432" s="5">
        <f>IF($AD432="",FALSE,AND($AD432&gt;p_dias_backlog_min,$AD432&lt;=p_dias_backlog_max))</f>
        <v/>
      </c>
      <c r="AG432" s="4" t="n"/>
      <c r="AH432" s="5">
        <f>IF($AG432="","",IF((IFERROR(INDEX('ASIGNACIONES'!$J$4:$J$451,MATCH($O432&amp;"|"&amp;$S432&amp;"|"&amp;$AG432,'ASIGNACIONES'!$N$4:$N$451,0)),""))=0,"",IFERROR(INDEX('ASIGNACIONES'!$J$4:$J$451,MATCH($O432&amp;"|"&amp;$S432&amp;"|"&amp;$AG432,'ASIGNACIONES'!$N$4:$N$451,0)),"")))</f>
        <v/>
      </c>
      <c r="AI432" s="25">
        <f>IF($AG432="","",SUMIFS('ORDENES'!$M$4:$M$1203,'ORDENES'!$AG$4:$AG$1203,$AG432,'ORDENES'!$O$4:$O$1203,$O432,'ORDENES'!$S$4:$S$1203,$S432))</f>
        <v/>
      </c>
      <c r="AJ432" s="25">
        <f>IF($AI432="","",p_factor_productividad*IFERROR(INDEX('ASIGNACIONES'!$M$4:$M$451,MATCH($O432&amp;"|"&amp;$S432&amp;"|"&amp;$AG432,'ASIGNACIONES'!$N$4:$N$451,0)),0)-$AI432)</f>
        <v/>
      </c>
      <c r="AK432" s="18">
        <f>IF($A432="","",IFERROR(INDEX('2_IMPORTAR_EJECUCION'!$F$9:$F$1208,MATCH($AT432,'2_IMPORTAR_EJECUCION'!$J$9:$J$1208,0)),0))</f>
        <v/>
      </c>
      <c r="AL432" s="18">
        <f>IF($A432="","",MAX(0,IFERROR(INDEX('2_IMPORTAR_EJECUCION'!$H$9:$H$1208,MATCH($AT432,'2_IMPORTAR_EJECUCION'!$J$9:$J$1208,0)),0)-$AK432))</f>
        <v/>
      </c>
      <c r="AM432" s="18">
        <f>IF($A432="","",$AK432+$AL432)</f>
        <v/>
      </c>
      <c r="AN432" s="5">
        <f>IF($A432="","",IF(OR((IFERROR(INDEX('CAT_ACTIVIDADES'!$D$4:$D$11,MATCH($H432,'CAT_ACTIVIDADES'!$A$4:$A$11,0)),""))=0,(IFERROR(INDEX('CAT_ACTIVIDADES'!$D$4:$D$11,MATCH($H432,'CAT_ACTIVIDADES'!$A$4:$A$11,0)),""))=""),"SIN CLASIFICAR",IFERROR(INDEX('CAT_ACTIVIDADES'!$D$4:$D$11,MATCH($H432,'CAT_ACTIVIDADES'!$A$4:$A$11,0)),"")))</f>
        <v/>
      </c>
      <c r="AO432" s="4" t="n"/>
      <c r="AP432" s="4" t="n"/>
      <c r="AQ432" s="4" t="n"/>
      <c r="AR432" s="5">
        <f>IF($AQ432="","",HYPERLINK(p_ruta_base_checklists&amp;$AQ432,"abrir"))</f>
        <v/>
      </c>
      <c r="AS432" s="4" t="n"/>
      <c r="AT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2" t="n"/>
      <c r="K433" s="5" t="n"/>
      <c r="L433" s="18" t="n"/>
      <c r="M433" s="5">
        <f>IF($A433="","",IFERROR(INDEX('AJUSTES'!$B$4:$B$303,MATCH($AT433,'AJUSTES'!$A$4:$A$303,0)),IF($K433="","",$K433)))</f>
        <v/>
      </c>
      <c r="N433" s="5">
        <f>IF($A433="","",IFERROR(INDEX('CAT_ESTADOS_ERP'!$B$4:$B$7,MATCH(IFERROR(INDEX('2_IMPORTAR_EJECUCION'!$C$9:$C$1208,MATCH($AT433,'2_IMPORTAR_EJECUCION'!$J$9:$J$1208,0)),""),'CAT_ESTADOS_ERP'!$A$4:$A$7,0)),"Pendiente"))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IF($J433="","",$P433&amp;"-"&amp;TEXT($Q433,"00"))</f>
        <v/>
      </c>
      <c r="S433" s="5">
        <f>IF($J433="","",INDEX(lista_dias,WEEKDAY($J433,2)))</f>
        <v/>
      </c>
      <c r="T433" s="5">
        <f>IF($J433="","",IFERROR(INDEX('CALENDARIO'!$C$15:$C$214,MATCH(TEXT($J433,"yyyy-mm-dd")&amp;"|"&amp;$X433&amp;"|"&amp;$Y433,'CALENDARIO'!$G$15:$G$214,0)),IFERROR(INDEX('CALENDARIO'!$C$15:$C$214,MATCH(TEXT($J433,"yyyy-mm-dd")&amp;"|"&amp;$X433&amp;"|",'CALENDARIO'!$G$15:$G$214,0)),IFERROR(INDEX('CALENDARIO'!$C$15:$C$214,MATCH(TEXT($J433,"yyyy-mm-dd")&amp;"||",'CALENDARIO'!$G$15:$G$214,0)),INDEX(patronHabil,WEEKDAY($J433,2))))))</f>
        <v/>
      </c>
      <c r="U433" s="5">
        <f>IF($I433="","",IFERROR(INDEX('CAT_TIPOS_OT'!$C$4:$C$8,MATCH($I433,'CAT_TIPOS_OT'!$A$4:$A$8,0)),"sin_clasificar"))</f>
        <v/>
      </c>
      <c r="V433" s="5">
        <f>IF($I433="","",IF(IFERROR(INDEX('CAT_TIPOS_OT'!$D$4:$D$8,MATCH($I433,'CAT_TIPOS_OT'!$A$4:$A$8,0)),"SIN CLASIFICAR")="","SIN CLASIFICAR",IFERROR(INDEX('CAT_TIPOS_OT'!$D$4:$D$8,MATCH($I433,'CAT_TIPOS_OT'!$A$4:$A$8,0)),"SIN CLASIFICAR")))</f>
        <v/>
      </c>
      <c r="W433" s="5">
        <f>IF($F433="","",IFERROR(INDEX('CAT_CENTROS_COSTO'!$F$4:$F$13,MATCH($F433,'CAT_CENTROS_COSTO'!$A$4:$A$13,0)),"(sin catálogo)"))</f>
        <v/>
      </c>
      <c r="X433" s="5">
        <f>IF($F433="","",IFERROR(INDEX('CAT_CENTROS_COSTO'!$D$4:$D$13,MATCH($F433,'CAT_CENTROS_COSTO'!$A$4:$A$13,0)),"(sin catálogo)"))</f>
        <v/>
      </c>
      <c r="Y433" s="5">
        <f>IF($F433="","",IF((IFERROR(INDEX('CAT_CENTROS_COSTO'!$E$4:$E$13,MATCH($F433,'CAT_CENTROS_COSTO'!$A$4:$A$13,0)),""))&lt;&gt;"",IFERROR(INDEX('CAT_CENTROS_COSTO'!$E$4:$E$13,MATCH($F433,'CAT_CENTROS_COSTO'!$A$4:$A$13,0)),""),$X433))</f>
        <v/>
      </c>
      <c r="Z433" s="5">
        <f>IF($F433="","",IFERROR(INDEX('CAT_CENTROS_COSTO'!$G$4:$G$13,MATCH($F433,'CAT_CENTROS_COSTO'!$A$4:$A$13,0)),"(sin catálogo)"))</f>
        <v/>
      </c>
      <c r="AA433" s="5">
        <f>IF($G433="","",IFERROR(INDEX('CAT_PUESTOS'!$B$4:$B$8,MATCH($G433,'CAT_PUESTOS'!$A$4:$A$8,0)),"(sin catálogo)"))</f>
        <v/>
      </c>
      <c r="AB433" s="5">
        <f>IF($H433="","",IFERROR(INDEX('CAT_ACTIVIDADES'!$B$4:$B$11,MATCH($H433,'CAT_ACTIVIDADES'!$A$4:$A$11,0)),"(sin catálogo)"))</f>
        <v/>
      </c>
      <c r="AC433" s="20">
        <f>IF($J433="","",TODAY()-$J433)</f>
        <v/>
      </c>
      <c r="AD433" s="20">
        <f>IF($J433="","",IF($J433&lt;=TODAY(),COUNTIFS(cal_fechas,"&gt;="&amp;$J433,cal_fechas,"&lt;"&amp;TODAY(),cal_habil,"sí"),-COUNTIFS(cal_fechas,"&gt;="&amp;TODAY(),cal_fechas,"&lt;"&amp;$J433,cal_habil,"sí")))</f>
        <v/>
      </c>
      <c r="AE433" s="5">
        <f>IF($AD433="","",IF($AD433&lt;0,"FUTURO",IF($AD433&gt;p_dias_backlog_max,"BACKLOG","MES CORRIENTE")))</f>
        <v/>
      </c>
      <c r="AF433" s="5">
        <f>IF($AD433="",FALSE,AND($AD433&gt;p_dias_backlog_min,$AD433&lt;=p_dias_backlog_max))</f>
        <v/>
      </c>
      <c r="AG433" s="4" t="n"/>
      <c r="AH433" s="5">
        <f>IF($AG433="","",IF((IFERROR(INDEX('ASIGNACIONES'!$J$4:$J$451,MATCH($O433&amp;"|"&amp;$S433&amp;"|"&amp;$AG433,'ASIGNACIONES'!$N$4:$N$451,0)),""))=0,"",IFERROR(INDEX('ASIGNACIONES'!$J$4:$J$451,MATCH($O433&amp;"|"&amp;$S433&amp;"|"&amp;$AG433,'ASIGNACIONES'!$N$4:$N$451,0)),"")))</f>
        <v/>
      </c>
      <c r="AI433" s="25">
        <f>IF($AG433="","",SUMIFS('ORDENES'!$M$4:$M$1203,'ORDENES'!$AG$4:$AG$1203,$AG433,'ORDENES'!$O$4:$O$1203,$O433,'ORDENES'!$S$4:$S$1203,$S433))</f>
        <v/>
      </c>
      <c r="AJ433" s="25">
        <f>IF($AI433="","",p_factor_productividad*IFERROR(INDEX('ASIGNACIONES'!$M$4:$M$451,MATCH($O433&amp;"|"&amp;$S433&amp;"|"&amp;$AG433,'ASIGNACIONES'!$N$4:$N$451,0)),0)-$AI433)</f>
        <v/>
      </c>
      <c r="AK433" s="18">
        <f>IF($A433="","",IFERROR(INDEX('2_IMPORTAR_EJECUCION'!$F$9:$F$1208,MATCH($AT433,'2_IMPORTAR_EJECUCION'!$J$9:$J$1208,0)),0))</f>
        <v/>
      </c>
      <c r="AL433" s="18">
        <f>IF($A433="","",MAX(0,IFERROR(INDEX('2_IMPORTAR_EJECUCION'!$H$9:$H$1208,MATCH($AT433,'2_IMPORTAR_EJECUCION'!$J$9:$J$1208,0)),0)-$AK433))</f>
        <v/>
      </c>
      <c r="AM433" s="18">
        <f>IF($A433="","",$AK433+$AL433)</f>
        <v/>
      </c>
      <c r="AN433" s="5">
        <f>IF($A433="","",IF(OR((IFERROR(INDEX('CAT_ACTIVIDADES'!$D$4:$D$11,MATCH($H433,'CAT_ACTIVIDADES'!$A$4:$A$11,0)),""))=0,(IFERROR(INDEX('CAT_ACTIVIDADES'!$D$4:$D$11,MATCH($H433,'CAT_ACTIVIDADES'!$A$4:$A$11,0)),""))=""),"SIN CLASIFICAR",IFERROR(INDEX('CAT_ACTIVIDADES'!$D$4:$D$11,MATCH($H433,'CAT_ACTIVIDADES'!$A$4:$A$11,0)),"")))</f>
        <v/>
      </c>
      <c r="AO433" s="4" t="n"/>
      <c r="AP433" s="4" t="n"/>
      <c r="AQ433" s="4" t="n"/>
      <c r="AR433" s="5">
        <f>IF($AQ433="","",HYPERLINK(p_ruta_base_checklists&amp;$AQ433,"abrir"))</f>
        <v/>
      </c>
      <c r="AS433" s="4" t="n"/>
      <c r="AT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2" t="n"/>
      <c r="K434" s="5" t="n"/>
      <c r="L434" s="18" t="n"/>
      <c r="M434" s="5">
        <f>IF($A434="","",IFERROR(INDEX('AJUSTES'!$B$4:$B$303,MATCH($AT434,'AJUSTES'!$A$4:$A$303,0)),IF($K434="","",$K434)))</f>
        <v/>
      </c>
      <c r="N434" s="5">
        <f>IF($A434="","",IFERROR(INDEX('CAT_ESTADOS_ERP'!$B$4:$B$7,MATCH(IFERROR(INDEX('2_IMPORTAR_EJECUCION'!$C$9:$C$1208,MATCH($AT434,'2_IMPORTAR_EJECUCION'!$J$9:$J$1208,0)),""),'CAT_ESTADOS_ERP'!$A$4:$A$7,0)),"Pendiente"))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IF($J434="","",$P434&amp;"-"&amp;TEXT($Q434,"00"))</f>
        <v/>
      </c>
      <c r="S434" s="5">
        <f>IF($J434="","",INDEX(lista_dias,WEEKDAY($J434,2)))</f>
        <v/>
      </c>
      <c r="T434" s="5">
        <f>IF($J434="","",IFERROR(INDEX('CALENDARIO'!$C$15:$C$214,MATCH(TEXT($J434,"yyyy-mm-dd")&amp;"|"&amp;$X434&amp;"|"&amp;$Y434,'CALENDARIO'!$G$15:$G$214,0)),IFERROR(INDEX('CALENDARIO'!$C$15:$C$214,MATCH(TEXT($J434,"yyyy-mm-dd")&amp;"|"&amp;$X434&amp;"|",'CALENDARIO'!$G$15:$G$214,0)),IFERROR(INDEX('CALENDARIO'!$C$15:$C$214,MATCH(TEXT($J434,"yyyy-mm-dd")&amp;"||",'CALENDARIO'!$G$15:$G$214,0)),INDEX(patronHabil,WEEKDAY($J434,2))))))</f>
        <v/>
      </c>
      <c r="U434" s="5">
        <f>IF($I434="","",IFERROR(INDEX('CAT_TIPOS_OT'!$C$4:$C$8,MATCH($I434,'CAT_TIPOS_OT'!$A$4:$A$8,0)),"sin_clasificar"))</f>
        <v/>
      </c>
      <c r="V434" s="5">
        <f>IF($I434="","",IF(IFERROR(INDEX('CAT_TIPOS_OT'!$D$4:$D$8,MATCH($I434,'CAT_TIPOS_OT'!$A$4:$A$8,0)),"SIN CLASIFICAR")="","SIN CLASIFICAR",IFERROR(INDEX('CAT_TIPOS_OT'!$D$4:$D$8,MATCH($I434,'CAT_TIPOS_OT'!$A$4:$A$8,0)),"SIN CLASIFICAR")))</f>
        <v/>
      </c>
      <c r="W434" s="5">
        <f>IF($F434="","",IFERROR(INDEX('CAT_CENTROS_COSTO'!$F$4:$F$13,MATCH($F434,'CAT_CENTROS_COSTO'!$A$4:$A$13,0)),"(sin catálogo)"))</f>
        <v/>
      </c>
      <c r="X434" s="5">
        <f>IF($F434="","",IFERROR(INDEX('CAT_CENTROS_COSTO'!$D$4:$D$13,MATCH($F434,'CAT_CENTROS_COSTO'!$A$4:$A$13,0)),"(sin catálogo)"))</f>
        <v/>
      </c>
      <c r="Y434" s="5">
        <f>IF($F434="","",IF((IFERROR(INDEX('CAT_CENTROS_COSTO'!$E$4:$E$13,MATCH($F434,'CAT_CENTROS_COSTO'!$A$4:$A$13,0)),""))&lt;&gt;"",IFERROR(INDEX('CAT_CENTROS_COSTO'!$E$4:$E$13,MATCH($F434,'CAT_CENTROS_COSTO'!$A$4:$A$13,0)),""),$X434))</f>
        <v/>
      </c>
      <c r="Z434" s="5">
        <f>IF($F434="","",IFERROR(INDEX('CAT_CENTROS_COSTO'!$G$4:$G$13,MATCH($F434,'CAT_CENTROS_COSTO'!$A$4:$A$13,0)),"(sin catálogo)"))</f>
        <v/>
      </c>
      <c r="AA434" s="5">
        <f>IF($G434="","",IFERROR(INDEX('CAT_PUESTOS'!$B$4:$B$8,MATCH($G434,'CAT_PUESTOS'!$A$4:$A$8,0)),"(sin catálogo)"))</f>
        <v/>
      </c>
      <c r="AB434" s="5">
        <f>IF($H434="","",IFERROR(INDEX('CAT_ACTIVIDADES'!$B$4:$B$11,MATCH($H434,'CAT_ACTIVIDADES'!$A$4:$A$11,0)),"(sin catálogo)"))</f>
        <v/>
      </c>
      <c r="AC434" s="20">
        <f>IF($J434="","",TODAY()-$J434)</f>
        <v/>
      </c>
      <c r="AD434" s="20">
        <f>IF($J434="","",IF($J434&lt;=TODAY(),COUNTIFS(cal_fechas,"&gt;="&amp;$J434,cal_fechas,"&lt;"&amp;TODAY(),cal_habil,"sí"),-COUNTIFS(cal_fechas,"&gt;="&amp;TODAY(),cal_fechas,"&lt;"&amp;$J434,cal_habil,"sí")))</f>
        <v/>
      </c>
      <c r="AE434" s="5">
        <f>IF($AD434="","",IF($AD434&lt;0,"FUTURO",IF($AD434&gt;p_dias_backlog_max,"BACKLOG","MES CORRIENTE")))</f>
        <v/>
      </c>
      <c r="AF434" s="5">
        <f>IF($AD434="",FALSE,AND($AD434&gt;p_dias_backlog_min,$AD434&lt;=p_dias_backlog_max))</f>
        <v/>
      </c>
      <c r="AG434" s="4" t="n"/>
      <c r="AH434" s="5">
        <f>IF($AG434="","",IF((IFERROR(INDEX('ASIGNACIONES'!$J$4:$J$451,MATCH($O434&amp;"|"&amp;$S434&amp;"|"&amp;$AG434,'ASIGNACIONES'!$N$4:$N$451,0)),""))=0,"",IFERROR(INDEX('ASIGNACIONES'!$J$4:$J$451,MATCH($O434&amp;"|"&amp;$S434&amp;"|"&amp;$AG434,'ASIGNACIONES'!$N$4:$N$451,0)),"")))</f>
        <v/>
      </c>
      <c r="AI434" s="25">
        <f>IF($AG434="","",SUMIFS('ORDENES'!$M$4:$M$1203,'ORDENES'!$AG$4:$AG$1203,$AG434,'ORDENES'!$O$4:$O$1203,$O434,'ORDENES'!$S$4:$S$1203,$S434))</f>
        <v/>
      </c>
      <c r="AJ434" s="25">
        <f>IF($AI434="","",p_factor_productividad*IFERROR(INDEX('ASIGNACIONES'!$M$4:$M$451,MATCH($O434&amp;"|"&amp;$S434&amp;"|"&amp;$AG434,'ASIGNACIONES'!$N$4:$N$451,0)),0)-$AI434)</f>
        <v/>
      </c>
      <c r="AK434" s="18">
        <f>IF($A434="","",IFERROR(INDEX('2_IMPORTAR_EJECUCION'!$F$9:$F$1208,MATCH($AT434,'2_IMPORTAR_EJECUCION'!$J$9:$J$1208,0)),0))</f>
        <v/>
      </c>
      <c r="AL434" s="18">
        <f>IF($A434="","",MAX(0,IFERROR(INDEX('2_IMPORTAR_EJECUCION'!$H$9:$H$1208,MATCH($AT434,'2_IMPORTAR_EJECUCION'!$J$9:$J$1208,0)),0)-$AK434))</f>
        <v/>
      </c>
      <c r="AM434" s="18">
        <f>IF($A434="","",$AK434+$AL434)</f>
        <v/>
      </c>
      <c r="AN434" s="5">
        <f>IF($A434="","",IF(OR((IFERROR(INDEX('CAT_ACTIVIDADES'!$D$4:$D$11,MATCH($H434,'CAT_ACTIVIDADES'!$A$4:$A$11,0)),""))=0,(IFERROR(INDEX('CAT_ACTIVIDADES'!$D$4:$D$11,MATCH($H434,'CAT_ACTIVIDADES'!$A$4:$A$11,0)),""))=""),"SIN CLASIFICAR",IFERROR(INDEX('CAT_ACTIVIDADES'!$D$4:$D$11,MATCH($H434,'CAT_ACTIVIDADES'!$A$4:$A$11,0)),"")))</f>
        <v/>
      </c>
      <c r="AO434" s="4" t="n"/>
      <c r="AP434" s="4" t="n"/>
      <c r="AQ434" s="4" t="n"/>
      <c r="AR434" s="5">
        <f>IF($AQ434="","",HYPERLINK(p_ruta_base_checklists&amp;$AQ434,"abrir"))</f>
        <v/>
      </c>
      <c r="AS434" s="4" t="n"/>
      <c r="AT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2" t="n"/>
      <c r="K435" s="5" t="n"/>
      <c r="L435" s="18" t="n"/>
      <c r="M435" s="5">
        <f>IF($A435="","",IFERROR(INDEX('AJUSTES'!$B$4:$B$303,MATCH($AT435,'AJUSTES'!$A$4:$A$303,0)),IF($K435="","",$K435)))</f>
        <v/>
      </c>
      <c r="N435" s="5">
        <f>IF($A435="","",IFERROR(INDEX('CAT_ESTADOS_ERP'!$B$4:$B$7,MATCH(IFERROR(INDEX('2_IMPORTAR_EJECUCION'!$C$9:$C$1208,MATCH($AT435,'2_IMPORTAR_EJECUCION'!$J$9:$J$1208,0)),""),'CAT_ESTADOS_ERP'!$A$4:$A$7,0)),"Pendiente"))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IF($J435="","",$P435&amp;"-"&amp;TEXT($Q435,"00"))</f>
        <v/>
      </c>
      <c r="S435" s="5">
        <f>IF($J435="","",INDEX(lista_dias,WEEKDAY($J435,2)))</f>
        <v/>
      </c>
      <c r="T435" s="5">
        <f>IF($J435="","",IFERROR(INDEX('CALENDARIO'!$C$15:$C$214,MATCH(TEXT($J435,"yyyy-mm-dd")&amp;"|"&amp;$X435&amp;"|"&amp;$Y435,'CALENDARIO'!$G$15:$G$214,0)),IFERROR(INDEX('CALENDARIO'!$C$15:$C$214,MATCH(TEXT($J435,"yyyy-mm-dd")&amp;"|"&amp;$X435&amp;"|",'CALENDARIO'!$G$15:$G$214,0)),IFERROR(INDEX('CALENDARIO'!$C$15:$C$214,MATCH(TEXT($J435,"yyyy-mm-dd")&amp;"||",'CALENDARIO'!$G$15:$G$214,0)),INDEX(patronHabil,WEEKDAY($J435,2))))))</f>
        <v/>
      </c>
      <c r="U435" s="5">
        <f>IF($I435="","",IFERROR(INDEX('CAT_TIPOS_OT'!$C$4:$C$8,MATCH($I435,'CAT_TIPOS_OT'!$A$4:$A$8,0)),"sin_clasificar"))</f>
        <v/>
      </c>
      <c r="V435" s="5">
        <f>IF($I435="","",IF(IFERROR(INDEX('CAT_TIPOS_OT'!$D$4:$D$8,MATCH($I435,'CAT_TIPOS_OT'!$A$4:$A$8,0)),"SIN CLASIFICAR")="","SIN CLASIFICAR",IFERROR(INDEX('CAT_TIPOS_OT'!$D$4:$D$8,MATCH($I435,'CAT_TIPOS_OT'!$A$4:$A$8,0)),"SIN CLASIFICAR")))</f>
        <v/>
      </c>
      <c r="W435" s="5">
        <f>IF($F435="","",IFERROR(INDEX('CAT_CENTROS_COSTO'!$F$4:$F$13,MATCH($F435,'CAT_CENTROS_COSTO'!$A$4:$A$13,0)),"(sin catálogo)"))</f>
        <v/>
      </c>
      <c r="X435" s="5">
        <f>IF($F435="","",IFERROR(INDEX('CAT_CENTROS_COSTO'!$D$4:$D$13,MATCH($F435,'CAT_CENTROS_COSTO'!$A$4:$A$13,0)),"(sin catálogo)"))</f>
        <v/>
      </c>
      <c r="Y435" s="5">
        <f>IF($F435="","",IF((IFERROR(INDEX('CAT_CENTROS_COSTO'!$E$4:$E$13,MATCH($F435,'CAT_CENTROS_COSTO'!$A$4:$A$13,0)),""))&lt;&gt;"",IFERROR(INDEX('CAT_CENTROS_COSTO'!$E$4:$E$13,MATCH($F435,'CAT_CENTROS_COSTO'!$A$4:$A$13,0)),""),$X435))</f>
        <v/>
      </c>
      <c r="Z435" s="5">
        <f>IF($F435="","",IFERROR(INDEX('CAT_CENTROS_COSTO'!$G$4:$G$13,MATCH($F435,'CAT_CENTROS_COSTO'!$A$4:$A$13,0)),"(sin catálogo)"))</f>
        <v/>
      </c>
      <c r="AA435" s="5">
        <f>IF($G435="","",IFERROR(INDEX('CAT_PUESTOS'!$B$4:$B$8,MATCH($G435,'CAT_PUESTOS'!$A$4:$A$8,0)),"(sin catálogo)"))</f>
        <v/>
      </c>
      <c r="AB435" s="5">
        <f>IF($H435="","",IFERROR(INDEX('CAT_ACTIVIDADES'!$B$4:$B$11,MATCH($H435,'CAT_ACTIVIDADES'!$A$4:$A$11,0)),"(sin catálogo)"))</f>
        <v/>
      </c>
      <c r="AC435" s="20">
        <f>IF($J435="","",TODAY()-$J435)</f>
        <v/>
      </c>
      <c r="AD435" s="20">
        <f>IF($J435="","",IF($J435&lt;=TODAY(),COUNTIFS(cal_fechas,"&gt;="&amp;$J435,cal_fechas,"&lt;"&amp;TODAY(),cal_habil,"sí"),-COUNTIFS(cal_fechas,"&gt;="&amp;TODAY(),cal_fechas,"&lt;"&amp;$J435,cal_habil,"sí")))</f>
        <v/>
      </c>
      <c r="AE435" s="5">
        <f>IF($AD435="","",IF($AD435&lt;0,"FUTURO",IF($AD435&gt;p_dias_backlog_max,"BACKLOG","MES CORRIENTE")))</f>
        <v/>
      </c>
      <c r="AF435" s="5">
        <f>IF($AD435="",FALSE,AND($AD435&gt;p_dias_backlog_min,$AD435&lt;=p_dias_backlog_max))</f>
        <v/>
      </c>
      <c r="AG435" s="4" t="n"/>
      <c r="AH435" s="5">
        <f>IF($AG435="","",IF((IFERROR(INDEX('ASIGNACIONES'!$J$4:$J$451,MATCH($O435&amp;"|"&amp;$S435&amp;"|"&amp;$AG435,'ASIGNACIONES'!$N$4:$N$451,0)),""))=0,"",IFERROR(INDEX('ASIGNACIONES'!$J$4:$J$451,MATCH($O435&amp;"|"&amp;$S435&amp;"|"&amp;$AG435,'ASIGNACIONES'!$N$4:$N$451,0)),"")))</f>
        <v/>
      </c>
      <c r="AI435" s="25">
        <f>IF($AG435="","",SUMIFS('ORDENES'!$M$4:$M$1203,'ORDENES'!$AG$4:$AG$1203,$AG435,'ORDENES'!$O$4:$O$1203,$O435,'ORDENES'!$S$4:$S$1203,$S435))</f>
        <v/>
      </c>
      <c r="AJ435" s="25">
        <f>IF($AI435="","",p_factor_productividad*IFERROR(INDEX('ASIGNACIONES'!$M$4:$M$451,MATCH($O435&amp;"|"&amp;$S435&amp;"|"&amp;$AG435,'ASIGNACIONES'!$N$4:$N$451,0)),0)-$AI435)</f>
        <v/>
      </c>
      <c r="AK435" s="18">
        <f>IF($A435="","",IFERROR(INDEX('2_IMPORTAR_EJECUCION'!$F$9:$F$1208,MATCH($AT435,'2_IMPORTAR_EJECUCION'!$J$9:$J$1208,0)),0))</f>
        <v/>
      </c>
      <c r="AL435" s="18">
        <f>IF($A435="","",MAX(0,IFERROR(INDEX('2_IMPORTAR_EJECUCION'!$H$9:$H$1208,MATCH($AT435,'2_IMPORTAR_EJECUCION'!$J$9:$J$1208,0)),0)-$AK435))</f>
        <v/>
      </c>
      <c r="AM435" s="18">
        <f>IF($A435="","",$AK435+$AL435)</f>
        <v/>
      </c>
      <c r="AN435" s="5">
        <f>IF($A435="","",IF(OR((IFERROR(INDEX('CAT_ACTIVIDADES'!$D$4:$D$11,MATCH($H435,'CAT_ACTIVIDADES'!$A$4:$A$11,0)),""))=0,(IFERROR(INDEX('CAT_ACTIVIDADES'!$D$4:$D$11,MATCH($H435,'CAT_ACTIVIDADES'!$A$4:$A$11,0)),""))=""),"SIN CLASIFICAR",IFERROR(INDEX('CAT_ACTIVIDADES'!$D$4:$D$11,MATCH($H435,'CAT_ACTIVIDADES'!$A$4:$A$11,0)),"")))</f>
        <v/>
      </c>
      <c r="AO435" s="4" t="n"/>
      <c r="AP435" s="4" t="n"/>
      <c r="AQ435" s="4" t="n"/>
      <c r="AR435" s="5">
        <f>IF($AQ435="","",HYPERLINK(p_ruta_base_checklists&amp;$AQ435,"abrir"))</f>
        <v/>
      </c>
      <c r="AS435" s="4" t="n"/>
      <c r="AT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2" t="n"/>
      <c r="K436" s="5" t="n"/>
      <c r="L436" s="18" t="n"/>
      <c r="M436" s="5">
        <f>IF($A436="","",IFERROR(INDEX('AJUSTES'!$B$4:$B$303,MATCH($AT436,'AJUSTES'!$A$4:$A$303,0)),IF($K436="","",$K436)))</f>
        <v/>
      </c>
      <c r="N436" s="5">
        <f>IF($A436="","",IFERROR(INDEX('CAT_ESTADOS_ERP'!$B$4:$B$7,MATCH(IFERROR(INDEX('2_IMPORTAR_EJECUCION'!$C$9:$C$1208,MATCH($AT436,'2_IMPORTAR_EJECUCION'!$J$9:$J$1208,0)),""),'CAT_ESTADOS_ERP'!$A$4:$A$7,0)),"Pendiente"))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IF($J436="","",$P436&amp;"-"&amp;TEXT($Q436,"00"))</f>
        <v/>
      </c>
      <c r="S436" s="5">
        <f>IF($J436="","",INDEX(lista_dias,WEEKDAY($J436,2)))</f>
        <v/>
      </c>
      <c r="T436" s="5">
        <f>IF($J436="","",IFERROR(INDEX('CALENDARIO'!$C$15:$C$214,MATCH(TEXT($J436,"yyyy-mm-dd")&amp;"|"&amp;$X436&amp;"|"&amp;$Y436,'CALENDARIO'!$G$15:$G$214,0)),IFERROR(INDEX('CALENDARIO'!$C$15:$C$214,MATCH(TEXT($J436,"yyyy-mm-dd")&amp;"|"&amp;$X436&amp;"|",'CALENDARIO'!$G$15:$G$214,0)),IFERROR(INDEX('CALENDARIO'!$C$15:$C$214,MATCH(TEXT($J436,"yyyy-mm-dd")&amp;"||",'CALENDARIO'!$G$15:$G$214,0)),INDEX(patronHabil,WEEKDAY($J436,2))))))</f>
        <v/>
      </c>
      <c r="U436" s="5">
        <f>IF($I436="","",IFERROR(INDEX('CAT_TIPOS_OT'!$C$4:$C$8,MATCH($I436,'CAT_TIPOS_OT'!$A$4:$A$8,0)),"sin_clasificar"))</f>
        <v/>
      </c>
      <c r="V436" s="5">
        <f>IF($I436="","",IF(IFERROR(INDEX('CAT_TIPOS_OT'!$D$4:$D$8,MATCH($I436,'CAT_TIPOS_OT'!$A$4:$A$8,0)),"SIN CLASIFICAR")="","SIN CLASIFICAR",IFERROR(INDEX('CAT_TIPOS_OT'!$D$4:$D$8,MATCH($I436,'CAT_TIPOS_OT'!$A$4:$A$8,0)),"SIN CLASIFICAR")))</f>
        <v/>
      </c>
      <c r="W436" s="5">
        <f>IF($F436="","",IFERROR(INDEX('CAT_CENTROS_COSTO'!$F$4:$F$13,MATCH($F436,'CAT_CENTROS_COSTO'!$A$4:$A$13,0)),"(sin catálogo)"))</f>
        <v/>
      </c>
      <c r="X436" s="5">
        <f>IF($F436="","",IFERROR(INDEX('CAT_CENTROS_COSTO'!$D$4:$D$13,MATCH($F436,'CAT_CENTROS_COSTO'!$A$4:$A$13,0)),"(sin catálogo)"))</f>
        <v/>
      </c>
      <c r="Y436" s="5">
        <f>IF($F436="","",IF((IFERROR(INDEX('CAT_CENTROS_COSTO'!$E$4:$E$13,MATCH($F436,'CAT_CENTROS_COSTO'!$A$4:$A$13,0)),""))&lt;&gt;"",IFERROR(INDEX('CAT_CENTROS_COSTO'!$E$4:$E$13,MATCH($F436,'CAT_CENTROS_COSTO'!$A$4:$A$13,0)),""),$X436))</f>
        <v/>
      </c>
      <c r="Z436" s="5">
        <f>IF($F436="","",IFERROR(INDEX('CAT_CENTROS_COSTO'!$G$4:$G$13,MATCH($F436,'CAT_CENTROS_COSTO'!$A$4:$A$13,0)),"(sin catálogo)"))</f>
        <v/>
      </c>
      <c r="AA436" s="5">
        <f>IF($G436="","",IFERROR(INDEX('CAT_PUESTOS'!$B$4:$B$8,MATCH($G436,'CAT_PUESTOS'!$A$4:$A$8,0)),"(sin catálogo)"))</f>
        <v/>
      </c>
      <c r="AB436" s="5">
        <f>IF($H436="","",IFERROR(INDEX('CAT_ACTIVIDADES'!$B$4:$B$11,MATCH($H436,'CAT_ACTIVIDADES'!$A$4:$A$11,0)),"(sin catálogo)"))</f>
        <v/>
      </c>
      <c r="AC436" s="20">
        <f>IF($J436="","",TODAY()-$J436)</f>
        <v/>
      </c>
      <c r="AD436" s="20">
        <f>IF($J436="","",IF($J436&lt;=TODAY(),COUNTIFS(cal_fechas,"&gt;="&amp;$J436,cal_fechas,"&lt;"&amp;TODAY(),cal_habil,"sí"),-COUNTIFS(cal_fechas,"&gt;="&amp;TODAY(),cal_fechas,"&lt;"&amp;$J436,cal_habil,"sí")))</f>
        <v/>
      </c>
      <c r="AE436" s="5">
        <f>IF($AD436="","",IF($AD436&lt;0,"FUTURO",IF($AD436&gt;p_dias_backlog_max,"BACKLOG","MES CORRIENTE")))</f>
        <v/>
      </c>
      <c r="AF436" s="5">
        <f>IF($AD436="",FALSE,AND($AD436&gt;p_dias_backlog_min,$AD436&lt;=p_dias_backlog_max))</f>
        <v/>
      </c>
      <c r="AG436" s="4" t="n"/>
      <c r="AH436" s="5">
        <f>IF($AG436="","",IF((IFERROR(INDEX('ASIGNACIONES'!$J$4:$J$451,MATCH($O436&amp;"|"&amp;$S436&amp;"|"&amp;$AG436,'ASIGNACIONES'!$N$4:$N$451,0)),""))=0,"",IFERROR(INDEX('ASIGNACIONES'!$J$4:$J$451,MATCH($O436&amp;"|"&amp;$S436&amp;"|"&amp;$AG436,'ASIGNACIONES'!$N$4:$N$451,0)),"")))</f>
        <v/>
      </c>
      <c r="AI436" s="25">
        <f>IF($AG436="","",SUMIFS('ORDENES'!$M$4:$M$1203,'ORDENES'!$AG$4:$AG$1203,$AG436,'ORDENES'!$O$4:$O$1203,$O436,'ORDENES'!$S$4:$S$1203,$S436))</f>
        <v/>
      </c>
      <c r="AJ436" s="25">
        <f>IF($AI436="","",p_factor_productividad*IFERROR(INDEX('ASIGNACIONES'!$M$4:$M$451,MATCH($O436&amp;"|"&amp;$S436&amp;"|"&amp;$AG436,'ASIGNACIONES'!$N$4:$N$451,0)),0)-$AI436)</f>
        <v/>
      </c>
      <c r="AK436" s="18">
        <f>IF($A436="","",IFERROR(INDEX('2_IMPORTAR_EJECUCION'!$F$9:$F$1208,MATCH($AT436,'2_IMPORTAR_EJECUCION'!$J$9:$J$1208,0)),0))</f>
        <v/>
      </c>
      <c r="AL436" s="18">
        <f>IF($A436="","",MAX(0,IFERROR(INDEX('2_IMPORTAR_EJECUCION'!$H$9:$H$1208,MATCH($AT436,'2_IMPORTAR_EJECUCION'!$J$9:$J$1208,0)),0)-$AK436))</f>
        <v/>
      </c>
      <c r="AM436" s="18">
        <f>IF($A436="","",$AK436+$AL436)</f>
        <v/>
      </c>
      <c r="AN436" s="5">
        <f>IF($A436="","",IF(OR((IFERROR(INDEX('CAT_ACTIVIDADES'!$D$4:$D$11,MATCH($H436,'CAT_ACTIVIDADES'!$A$4:$A$11,0)),""))=0,(IFERROR(INDEX('CAT_ACTIVIDADES'!$D$4:$D$11,MATCH($H436,'CAT_ACTIVIDADES'!$A$4:$A$11,0)),""))=""),"SIN CLASIFICAR",IFERROR(INDEX('CAT_ACTIVIDADES'!$D$4:$D$11,MATCH($H436,'CAT_ACTIVIDADES'!$A$4:$A$11,0)),"")))</f>
        <v/>
      </c>
      <c r="AO436" s="4" t="n"/>
      <c r="AP436" s="4" t="n"/>
      <c r="AQ436" s="4" t="n"/>
      <c r="AR436" s="5">
        <f>IF($AQ436="","",HYPERLINK(p_ruta_base_checklists&amp;$AQ436,"abrir"))</f>
        <v/>
      </c>
      <c r="AS436" s="4" t="n"/>
      <c r="AT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2" t="n"/>
      <c r="K437" s="5" t="n"/>
      <c r="L437" s="18" t="n"/>
      <c r="M437" s="5">
        <f>IF($A437="","",IFERROR(INDEX('AJUSTES'!$B$4:$B$303,MATCH($AT437,'AJUSTES'!$A$4:$A$303,0)),IF($K437="","",$K437)))</f>
        <v/>
      </c>
      <c r="N437" s="5">
        <f>IF($A437="","",IFERROR(INDEX('CAT_ESTADOS_ERP'!$B$4:$B$7,MATCH(IFERROR(INDEX('2_IMPORTAR_EJECUCION'!$C$9:$C$1208,MATCH($AT437,'2_IMPORTAR_EJECUCION'!$J$9:$J$1208,0)),""),'CAT_ESTADOS_ERP'!$A$4:$A$7,0)),"Pendiente"))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IF($J437="","",$P437&amp;"-"&amp;TEXT($Q437,"00"))</f>
        <v/>
      </c>
      <c r="S437" s="5">
        <f>IF($J437="","",INDEX(lista_dias,WEEKDAY($J437,2)))</f>
        <v/>
      </c>
      <c r="T437" s="5">
        <f>IF($J437="","",IFERROR(INDEX('CALENDARIO'!$C$15:$C$214,MATCH(TEXT($J437,"yyyy-mm-dd")&amp;"|"&amp;$X437&amp;"|"&amp;$Y437,'CALENDARIO'!$G$15:$G$214,0)),IFERROR(INDEX('CALENDARIO'!$C$15:$C$214,MATCH(TEXT($J437,"yyyy-mm-dd")&amp;"|"&amp;$X437&amp;"|",'CALENDARIO'!$G$15:$G$214,0)),IFERROR(INDEX('CALENDARIO'!$C$15:$C$214,MATCH(TEXT($J437,"yyyy-mm-dd")&amp;"||",'CALENDARIO'!$G$15:$G$214,0)),INDEX(patronHabil,WEEKDAY($J437,2))))))</f>
        <v/>
      </c>
      <c r="U437" s="5">
        <f>IF($I437="","",IFERROR(INDEX('CAT_TIPOS_OT'!$C$4:$C$8,MATCH($I437,'CAT_TIPOS_OT'!$A$4:$A$8,0)),"sin_clasificar"))</f>
        <v/>
      </c>
      <c r="V437" s="5">
        <f>IF($I437="","",IF(IFERROR(INDEX('CAT_TIPOS_OT'!$D$4:$D$8,MATCH($I437,'CAT_TIPOS_OT'!$A$4:$A$8,0)),"SIN CLASIFICAR")="","SIN CLASIFICAR",IFERROR(INDEX('CAT_TIPOS_OT'!$D$4:$D$8,MATCH($I437,'CAT_TIPOS_OT'!$A$4:$A$8,0)),"SIN CLASIFICAR")))</f>
        <v/>
      </c>
      <c r="W437" s="5">
        <f>IF($F437="","",IFERROR(INDEX('CAT_CENTROS_COSTO'!$F$4:$F$13,MATCH($F437,'CAT_CENTROS_COSTO'!$A$4:$A$13,0)),"(sin catálogo)"))</f>
        <v/>
      </c>
      <c r="X437" s="5">
        <f>IF($F437="","",IFERROR(INDEX('CAT_CENTROS_COSTO'!$D$4:$D$13,MATCH($F437,'CAT_CENTROS_COSTO'!$A$4:$A$13,0)),"(sin catálogo)"))</f>
        <v/>
      </c>
      <c r="Y437" s="5">
        <f>IF($F437="","",IF((IFERROR(INDEX('CAT_CENTROS_COSTO'!$E$4:$E$13,MATCH($F437,'CAT_CENTROS_COSTO'!$A$4:$A$13,0)),""))&lt;&gt;"",IFERROR(INDEX('CAT_CENTROS_COSTO'!$E$4:$E$13,MATCH($F437,'CAT_CENTROS_COSTO'!$A$4:$A$13,0)),""),$X437))</f>
        <v/>
      </c>
      <c r="Z437" s="5">
        <f>IF($F437="","",IFERROR(INDEX('CAT_CENTROS_COSTO'!$G$4:$G$13,MATCH($F437,'CAT_CENTROS_COSTO'!$A$4:$A$13,0)),"(sin catálogo)"))</f>
        <v/>
      </c>
      <c r="AA437" s="5">
        <f>IF($G437="","",IFERROR(INDEX('CAT_PUESTOS'!$B$4:$B$8,MATCH($G437,'CAT_PUESTOS'!$A$4:$A$8,0)),"(sin catálogo)"))</f>
        <v/>
      </c>
      <c r="AB437" s="5">
        <f>IF($H437="","",IFERROR(INDEX('CAT_ACTIVIDADES'!$B$4:$B$11,MATCH($H437,'CAT_ACTIVIDADES'!$A$4:$A$11,0)),"(sin catálogo)"))</f>
        <v/>
      </c>
      <c r="AC437" s="20">
        <f>IF($J437="","",TODAY()-$J437)</f>
        <v/>
      </c>
      <c r="AD437" s="20">
        <f>IF($J437="","",IF($J437&lt;=TODAY(),COUNTIFS(cal_fechas,"&gt;="&amp;$J437,cal_fechas,"&lt;"&amp;TODAY(),cal_habil,"sí"),-COUNTIFS(cal_fechas,"&gt;="&amp;TODAY(),cal_fechas,"&lt;"&amp;$J437,cal_habil,"sí")))</f>
        <v/>
      </c>
      <c r="AE437" s="5">
        <f>IF($AD437="","",IF($AD437&lt;0,"FUTURO",IF($AD437&gt;p_dias_backlog_max,"BACKLOG","MES CORRIENTE")))</f>
        <v/>
      </c>
      <c r="AF437" s="5">
        <f>IF($AD437="",FALSE,AND($AD437&gt;p_dias_backlog_min,$AD437&lt;=p_dias_backlog_max))</f>
        <v/>
      </c>
      <c r="AG437" s="4" t="n"/>
      <c r="AH437" s="5">
        <f>IF($AG437="","",IF((IFERROR(INDEX('ASIGNACIONES'!$J$4:$J$451,MATCH($O437&amp;"|"&amp;$S437&amp;"|"&amp;$AG437,'ASIGNACIONES'!$N$4:$N$451,0)),""))=0,"",IFERROR(INDEX('ASIGNACIONES'!$J$4:$J$451,MATCH($O437&amp;"|"&amp;$S437&amp;"|"&amp;$AG437,'ASIGNACIONES'!$N$4:$N$451,0)),"")))</f>
        <v/>
      </c>
      <c r="AI437" s="25">
        <f>IF($AG437="","",SUMIFS('ORDENES'!$M$4:$M$1203,'ORDENES'!$AG$4:$AG$1203,$AG437,'ORDENES'!$O$4:$O$1203,$O437,'ORDENES'!$S$4:$S$1203,$S437))</f>
        <v/>
      </c>
      <c r="AJ437" s="25">
        <f>IF($AI437="","",p_factor_productividad*IFERROR(INDEX('ASIGNACIONES'!$M$4:$M$451,MATCH($O437&amp;"|"&amp;$S437&amp;"|"&amp;$AG437,'ASIGNACIONES'!$N$4:$N$451,0)),0)-$AI437)</f>
        <v/>
      </c>
      <c r="AK437" s="18">
        <f>IF($A437="","",IFERROR(INDEX('2_IMPORTAR_EJECUCION'!$F$9:$F$1208,MATCH($AT437,'2_IMPORTAR_EJECUCION'!$J$9:$J$1208,0)),0))</f>
        <v/>
      </c>
      <c r="AL437" s="18">
        <f>IF($A437="","",MAX(0,IFERROR(INDEX('2_IMPORTAR_EJECUCION'!$H$9:$H$1208,MATCH($AT437,'2_IMPORTAR_EJECUCION'!$J$9:$J$1208,0)),0)-$AK437))</f>
        <v/>
      </c>
      <c r="AM437" s="18">
        <f>IF($A437="","",$AK437+$AL437)</f>
        <v/>
      </c>
      <c r="AN437" s="5">
        <f>IF($A437="","",IF(OR((IFERROR(INDEX('CAT_ACTIVIDADES'!$D$4:$D$11,MATCH($H437,'CAT_ACTIVIDADES'!$A$4:$A$11,0)),""))=0,(IFERROR(INDEX('CAT_ACTIVIDADES'!$D$4:$D$11,MATCH($H437,'CAT_ACTIVIDADES'!$A$4:$A$11,0)),""))=""),"SIN CLASIFICAR",IFERROR(INDEX('CAT_ACTIVIDADES'!$D$4:$D$11,MATCH($H437,'CAT_ACTIVIDADES'!$A$4:$A$11,0)),"")))</f>
        <v/>
      </c>
      <c r="AO437" s="4" t="n"/>
      <c r="AP437" s="4" t="n"/>
      <c r="AQ437" s="4" t="n"/>
      <c r="AR437" s="5">
        <f>IF($AQ437="","",HYPERLINK(p_ruta_base_checklists&amp;$AQ437,"abrir"))</f>
        <v/>
      </c>
      <c r="AS437" s="4" t="n"/>
      <c r="AT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2" t="n"/>
      <c r="K438" s="5" t="n"/>
      <c r="L438" s="18" t="n"/>
      <c r="M438" s="5">
        <f>IF($A438="","",IFERROR(INDEX('AJUSTES'!$B$4:$B$303,MATCH($AT438,'AJUSTES'!$A$4:$A$303,0)),IF($K438="","",$K438)))</f>
        <v/>
      </c>
      <c r="N438" s="5">
        <f>IF($A438="","",IFERROR(INDEX('CAT_ESTADOS_ERP'!$B$4:$B$7,MATCH(IFERROR(INDEX('2_IMPORTAR_EJECUCION'!$C$9:$C$1208,MATCH($AT438,'2_IMPORTAR_EJECUCION'!$J$9:$J$1208,0)),""),'CAT_ESTADOS_ERP'!$A$4:$A$7,0)),"Pendiente"))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IF($J438="","",$P438&amp;"-"&amp;TEXT($Q438,"00"))</f>
        <v/>
      </c>
      <c r="S438" s="5">
        <f>IF($J438="","",INDEX(lista_dias,WEEKDAY($J438,2)))</f>
        <v/>
      </c>
      <c r="T438" s="5">
        <f>IF($J438="","",IFERROR(INDEX('CALENDARIO'!$C$15:$C$214,MATCH(TEXT($J438,"yyyy-mm-dd")&amp;"|"&amp;$X438&amp;"|"&amp;$Y438,'CALENDARIO'!$G$15:$G$214,0)),IFERROR(INDEX('CALENDARIO'!$C$15:$C$214,MATCH(TEXT($J438,"yyyy-mm-dd")&amp;"|"&amp;$X438&amp;"|",'CALENDARIO'!$G$15:$G$214,0)),IFERROR(INDEX('CALENDARIO'!$C$15:$C$214,MATCH(TEXT($J438,"yyyy-mm-dd")&amp;"||",'CALENDARIO'!$G$15:$G$214,0)),INDEX(patronHabil,WEEKDAY($J438,2))))))</f>
        <v/>
      </c>
      <c r="U438" s="5">
        <f>IF($I438="","",IFERROR(INDEX('CAT_TIPOS_OT'!$C$4:$C$8,MATCH($I438,'CAT_TIPOS_OT'!$A$4:$A$8,0)),"sin_clasificar"))</f>
        <v/>
      </c>
      <c r="V438" s="5">
        <f>IF($I438="","",IF(IFERROR(INDEX('CAT_TIPOS_OT'!$D$4:$D$8,MATCH($I438,'CAT_TIPOS_OT'!$A$4:$A$8,0)),"SIN CLASIFICAR")="","SIN CLASIFICAR",IFERROR(INDEX('CAT_TIPOS_OT'!$D$4:$D$8,MATCH($I438,'CAT_TIPOS_OT'!$A$4:$A$8,0)),"SIN CLASIFICAR")))</f>
        <v/>
      </c>
      <c r="W438" s="5">
        <f>IF($F438="","",IFERROR(INDEX('CAT_CENTROS_COSTO'!$F$4:$F$13,MATCH($F438,'CAT_CENTROS_COSTO'!$A$4:$A$13,0)),"(sin catálogo)"))</f>
        <v/>
      </c>
      <c r="X438" s="5">
        <f>IF($F438="","",IFERROR(INDEX('CAT_CENTROS_COSTO'!$D$4:$D$13,MATCH($F438,'CAT_CENTROS_COSTO'!$A$4:$A$13,0)),"(sin catálogo)"))</f>
        <v/>
      </c>
      <c r="Y438" s="5">
        <f>IF($F438="","",IF((IFERROR(INDEX('CAT_CENTROS_COSTO'!$E$4:$E$13,MATCH($F438,'CAT_CENTROS_COSTO'!$A$4:$A$13,0)),""))&lt;&gt;"",IFERROR(INDEX('CAT_CENTROS_COSTO'!$E$4:$E$13,MATCH($F438,'CAT_CENTROS_COSTO'!$A$4:$A$13,0)),""),$X438))</f>
        <v/>
      </c>
      <c r="Z438" s="5">
        <f>IF($F438="","",IFERROR(INDEX('CAT_CENTROS_COSTO'!$G$4:$G$13,MATCH($F438,'CAT_CENTROS_COSTO'!$A$4:$A$13,0)),"(sin catálogo)"))</f>
        <v/>
      </c>
      <c r="AA438" s="5">
        <f>IF($G438="","",IFERROR(INDEX('CAT_PUESTOS'!$B$4:$B$8,MATCH($G438,'CAT_PUESTOS'!$A$4:$A$8,0)),"(sin catálogo)"))</f>
        <v/>
      </c>
      <c r="AB438" s="5">
        <f>IF($H438="","",IFERROR(INDEX('CAT_ACTIVIDADES'!$B$4:$B$11,MATCH($H438,'CAT_ACTIVIDADES'!$A$4:$A$11,0)),"(sin catálogo)"))</f>
        <v/>
      </c>
      <c r="AC438" s="20">
        <f>IF($J438="","",TODAY()-$J438)</f>
        <v/>
      </c>
      <c r="AD438" s="20">
        <f>IF($J438="","",IF($J438&lt;=TODAY(),COUNTIFS(cal_fechas,"&gt;="&amp;$J438,cal_fechas,"&lt;"&amp;TODAY(),cal_habil,"sí"),-COUNTIFS(cal_fechas,"&gt;="&amp;TODAY(),cal_fechas,"&lt;"&amp;$J438,cal_habil,"sí")))</f>
        <v/>
      </c>
      <c r="AE438" s="5">
        <f>IF($AD438="","",IF($AD438&lt;0,"FUTURO",IF($AD438&gt;p_dias_backlog_max,"BACKLOG","MES CORRIENTE")))</f>
        <v/>
      </c>
      <c r="AF438" s="5">
        <f>IF($AD438="",FALSE,AND($AD438&gt;p_dias_backlog_min,$AD438&lt;=p_dias_backlog_max))</f>
        <v/>
      </c>
      <c r="AG438" s="4" t="n"/>
      <c r="AH438" s="5">
        <f>IF($AG438="","",IF((IFERROR(INDEX('ASIGNACIONES'!$J$4:$J$451,MATCH($O438&amp;"|"&amp;$S438&amp;"|"&amp;$AG438,'ASIGNACIONES'!$N$4:$N$451,0)),""))=0,"",IFERROR(INDEX('ASIGNACIONES'!$J$4:$J$451,MATCH($O438&amp;"|"&amp;$S438&amp;"|"&amp;$AG438,'ASIGNACIONES'!$N$4:$N$451,0)),"")))</f>
        <v/>
      </c>
      <c r="AI438" s="25">
        <f>IF($AG438="","",SUMIFS('ORDENES'!$M$4:$M$1203,'ORDENES'!$AG$4:$AG$1203,$AG438,'ORDENES'!$O$4:$O$1203,$O438,'ORDENES'!$S$4:$S$1203,$S438))</f>
        <v/>
      </c>
      <c r="AJ438" s="25">
        <f>IF($AI438="","",p_factor_productividad*IFERROR(INDEX('ASIGNACIONES'!$M$4:$M$451,MATCH($O438&amp;"|"&amp;$S438&amp;"|"&amp;$AG438,'ASIGNACIONES'!$N$4:$N$451,0)),0)-$AI438)</f>
        <v/>
      </c>
      <c r="AK438" s="18">
        <f>IF($A438="","",IFERROR(INDEX('2_IMPORTAR_EJECUCION'!$F$9:$F$1208,MATCH($AT438,'2_IMPORTAR_EJECUCION'!$J$9:$J$1208,0)),0))</f>
        <v/>
      </c>
      <c r="AL438" s="18">
        <f>IF($A438="","",MAX(0,IFERROR(INDEX('2_IMPORTAR_EJECUCION'!$H$9:$H$1208,MATCH($AT438,'2_IMPORTAR_EJECUCION'!$J$9:$J$1208,0)),0)-$AK438))</f>
        <v/>
      </c>
      <c r="AM438" s="18">
        <f>IF($A438="","",$AK438+$AL438)</f>
        <v/>
      </c>
      <c r="AN438" s="5">
        <f>IF($A438="","",IF(OR((IFERROR(INDEX('CAT_ACTIVIDADES'!$D$4:$D$11,MATCH($H438,'CAT_ACTIVIDADES'!$A$4:$A$11,0)),""))=0,(IFERROR(INDEX('CAT_ACTIVIDADES'!$D$4:$D$11,MATCH($H438,'CAT_ACTIVIDADES'!$A$4:$A$11,0)),""))=""),"SIN CLASIFICAR",IFERROR(INDEX('CAT_ACTIVIDADES'!$D$4:$D$11,MATCH($H438,'CAT_ACTIVIDADES'!$A$4:$A$11,0)),"")))</f>
        <v/>
      </c>
      <c r="AO438" s="4" t="n"/>
      <c r="AP438" s="4" t="n"/>
      <c r="AQ438" s="4" t="n"/>
      <c r="AR438" s="5">
        <f>IF($AQ438="","",HYPERLINK(p_ruta_base_checklists&amp;$AQ438,"abrir"))</f>
        <v/>
      </c>
      <c r="AS438" s="4" t="n"/>
      <c r="AT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2" t="n"/>
      <c r="K439" s="5" t="n"/>
      <c r="L439" s="18" t="n"/>
      <c r="M439" s="5">
        <f>IF($A439="","",IFERROR(INDEX('AJUSTES'!$B$4:$B$303,MATCH($AT439,'AJUSTES'!$A$4:$A$303,0)),IF($K439="","",$K439)))</f>
        <v/>
      </c>
      <c r="N439" s="5">
        <f>IF($A439="","",IFERROR(INDEX('CAT_ESTADOS_ERP'!$B$4:$B$7,MATCH(IFERROR(INDEX('2_IMPORTAR_EJECUCION'!$C$9:$C$1208,MATCH($AT439,'2_IMPORTAR_EJECUCION'!$J$9:$J$1208,0)),""),'CAT_ESTADOS_ERP'!$A$4:$A$7,0)),"Pendiente"))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IF($J439="","",$P439&amp;"-"&amp;TEXT($Q439,"00"))</f>
        <v/>
      </c>
      <c r="S439" s="5">
        <f>IF($J439="","",INDEX(lista_dias,WEEKDAY($J439,2)))</f>
        <v/>
      </c>
      <c r="T439" s="5">
        <f>IF($J439="","",IFERROR(INDEX('CALENDARIO'!$C$15:$C$214,MATCH(TEXT($J439,"yyyy-mm-dd")&amp;"|"&amp;$X439&amp;"|"&amp;$Y439,'CALENDARIO'!$G$15:$G$214,0)),IFERROR(INDEX('CALENDARIO'!$C$15:$C$214,MATCH(TEXT($J439,"yyyy-mm-dd")&amp;"|"&amp;$X439&amp;"|",'CALENDARIO'!$G$15:$G$214,0)),IFERROR(INDEX('CALENDARIO'!$C$15:$C$214,MATCH(TEXT($J439,"yyyy-mm-dd")&amp;"||",'CALENDARIO'!$G$15:$G$214,0)),INDEX(patronHabil,WEEKDAY($J439,2))))))</f>
        <v/>
      </c>
      <c r="U439" s="5">
        <f>IF($I439="","",IFERROR(INDEX('CAT_TIPOS_OT'!$C$4:$C$8,MATCH($I439,'CAT_TIPOS_OT'!$A$4:$A$8,0)),"sin_clasificar"))</f>
        <v/>
      </c>
      <c r="V439" s="5">
        <f>IF($I439="","",IF(IFERROR(INDEX('CAT_TIPOS_OT'!$D$4:$D$8,MATCH($I439,'CAT_TIPOS_OT'!$A$4:$A$8,0)),"SIN CLASIFICAR")="","SIN CLASIFICAR",IFERROR(INDEX('CAT_TIPOS_OT'!$D$4:$D$8,MATCH($I439,'CAT_TIPOS_OT'!$A$4:$A$8,0)),"SIN CLASIFICAR")))</f>
        <v/>
      </c>
      <c r="W439" s="5">
        <f>IF($F439="","",IFERROR(INDEX('CAT_CENTROS_COSTO'!$F$4:$F$13,MATCH($F439,'CAT_CENTROS_COSTO'!$A$4:$A$13,0)),"(sin catálogo)"))</f>
        <v/>
      </c>
      <c r="X439" s="5">
        <f>IF($F439="","",IFERROR(INDEX('CAT_CENTROS_COSTO'!$D$4:$D$13,MATCH($F439,'CAT_CENTROS_COSTO'!$A$4:$A$13,0)),"(sin catálogo)"))</f>
        <v/>
      </c>
      <c r="Y439" s="5">
        <f>IF($F439="","",IF((IFERROR(INDEX('CAT_CENTROS_COSTO'!$E$4:$E$13,MATCH($F439,'CAT_CENTROS_COSTO'!$A$4:$A$13,0)),""))&lt;&gt;"",IFERROR(INDEX('CAT_CENTROS_COSTO'!$E$4:$E$13,MATCH($F439,'CAT_CENTROS_COSTO'!$A$4:$A$13,0)),""),$X439))</f>
        <v/>
      </c>
      <c r="Z439" s="5">
        <f>IF($F439="","",IFERROR(INDEX('CAT_CENTROS_COSTO'!$G$4:$G$13,MATCH($F439,'CAT_CENTROS_COSTO'!$A$4:$A$13,0)),"(sin catálogo)"))</f>
        <v/>
      </c>
      <c r="AA439" s="5">
        <f>IF($G439="","",IFERROR(INDEX('CAT_PUESTOS'!$B$4:$B$8,MATCH($G439,'CAT_PUESTOS'!$A$4:$A$8,0)),"(sin catálogo)"))</f>
        <v/>
      </c>
      <c r="AB439" s="5">
        <f>IF($H439="","",IFERROR(INDEX('CAT_ACTIVIDADES'!$B$4:$B$11,MATCH($H439,'CAT_ACTIVIDADES'!$A$4:$A$11,0)),"(sin catálogo)"))</f>
        <v/>
      </c>
      <c r="AC439" s="20">
        <f>IF($J439="","",TODAY()-$J439)</f>
        <v/>
      </c>
      <c r="AD439" s="20">
        <f>IF($J439="","",IF($J439&lt;=TODAY(),COUNTIFS(cal_fechas,"&gt;="&amp;$J439,cal_fechas,"&lt;"&amp;TODAY(),cal_habil,"sí"),-COUNTIFS(cal_fechas,"&gt;="&amp;TODAY(),cal_fechas,"&lt;"&amp;$J439,cal_habil,"sí")))</f>
        <v/>
      </c>
      <c r="AE439" s="5">
        <f>IF($AD439="","",IF($AD439&lt;0,"FUTURO",IF($AD439&gt;p_dias_backlog_max,"BACKLOG","MES CORRIENTE")))</f>
        <v/>
      </c>
      <c r="AF439" s="5">
        <f>IF($AD439="",FALSE,AND($AD439&gt;p_dias_backlog_min,$AD439&lt;=p_dias_backlog_max))</f>
        <v/>
      </c>
      <c r="AG439" s="4" t="n"/>
      <c r="AH439" s="5">
        <f>IF($AG439="","",IF((IFERROR(INDEX('ASIGNACIONES'!$J$4:$J$451,MATCH($O439&amp;"|"&amp;$S439&amp;"|"&amp;$AG439,'ASIGNACIONES'!$N$4:$N$451,0)),""))=0,"",IFERROR(INDEX('ASIGNACIONES'!$J$4:$J$451,MATCH($O439&amp;"|"&amp;$S439&amp;"|"&amp;$AG439,'ASIGNACIONES'!$N$4:$N$451,0)),"")))</f>
        <v/>
      </c>
      <c r="AI439" s="25">
        <f>IF($AG439="","",SUMIFS('ORDENES'!$M$4:$M$1203,'ORDENES'!$AG$4:$AG$1203,$AG439,'ORDENES'!$O$4:$O$1203,$O439,'ORDENES'!$S$4:$S$1203,$S439))</f>
        <v/>
      </c>
      <c r="AJ439" s="25">
        <f>IF($AI439="","",p_factor_productividad*IFERROR(INDEX('ASIGNACIONES'!$M$4:$M$451,MATCH($O439&amp;"|"&amp;$S439&amp;"|"&amp;$AG439,'ASIGNACIONES'!$N$4:$N$451,0)),0)-$AI439)</f>
        <v/>
      </c>
      <c r="AK439" s="18">
        <f>IF($A439="","",IFERROR(INDEX('2_IMPORTAR_EJECUCION'!$F$9:$F$1208,MATCH($AT439,'2_IMPORTAR_EJECUCION'!$J$9:$J$1208,0)),0))</f>
        <v/>
      </c>
      <c r="AL439" s="18">
        <f>IF($A439="","",MAX(0,IFERROR(INDEX('2_IMPORTAR_EJECUCION'!$H$9:$H$1208,MATCH($AT439,'2_IMPORTAR_EJECUCION'!$J$9:$J$1208,0)),0)-$AK439))</f>
        <v/>
      </c>
      <c r="AM439" s="18">
        <f>IF($A439="","",$AK439+$AL439)</f>
        <v/>
      </c>
      <c r="AN439" s="5">
        <f>IF($A439="","",IF(OR((IFERROR(INDEX('CAT_ACTIVIDADES'!$D$4:$D$11,MATCH($H439,'CAT_ACTIVIDADES'!$A$4:$A$11,0)),""))=0,(IFERROR(INDEX('CAT_ACTIVIDADES'!$D$4:$D$11,MATCH($H439,'CAT_ACTIVIDADES'!$A$4:$A$11,0)),""))=""),"SIN CLASIFICAR",IFERROR(INDEX('CAT_ACTIVIDADES'!$D$4:$D$11,MATCH($H439,'CAT_ACTIVIDADES'!$A$4:$A$11,0)),"")))</f>
        <v/>
      </c>
      <c r="AO439" s="4" t="n"/>
      <c r="AP439" s="4" t="n"/>
      <c r="AQ439" s="4" t="n"/>
      <c r="AR439" s="5">
        <f>IF($AQ439="","",HYPERLINK(p_ruta_base_checklists&amp;$AQ439,"abrir"))</f>
        <v/>
      </c>
      <c r="AS439" s="4" t="n"/>
      <c r="AT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2" t="n"/>
      <c r="K440" s="5" t="n"/>
      <c r="L440" s="18" t="n"/>
      <c r="M440" s="5">
        <f>IF($A440="","",IFERROR(INDEX('AJUSTES'!$B$4:$B$303,MATCH($AT440,'AJUSTES'!$A$4:$A$303,0)),IF($K440="","",$K440)))</f>
        <v/>
      </c>
      <c r="N440" s="5">
        <f>IF($A440="","",IFERROR(INDEX('CAT_ESTADOS_ERP'!$B$4:$B$7,MATCH(IFERROR(INDEX('2_IMPORTAR_EJECUCION'!$C$9:$C$1208,MATCH($AT440,'2_IMPORTAR_EJECUCION'!$J$9:$J$1208,0)),""),'CAT_ESTADOS_ERP'!$A$4:$A$7,0)),"Pendiente"))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IF($J440="","",$P440&amp;"-"&amp;TEXT($Q440,"00"))</f>
        <v/>
      </c>
      <c r="S440" s="5">
        <f>IF($J440="","",INDEX(lista_dias,WEEKDAY($J440,2)))</f>
        <v/>
      </c>
      <c r="T440" s="5">
        <f>IF($J440="","",IFERROR(INDEX('CALENDARIO'!$C$15:$C$214,MATCH(TEXT($J440,"yyyy-mm-dd")&amp;"|"&amp;$X440&amp;"|"&amp;$Y440,'CALENDARIO'!$G$15:$G$214,0)),IFERROR(INDEX('CALENDARIO'!$C$15:$C$214,MATCH(TEXT($J440,"yyyy-mm-dd")&amp;"|"&amp;$X440&amp;"|",'CALENDARIO'!$G$15:$G$214,0)),IFERROR(INDEX('CALENDARIO'!$C$15:$C$214,MATCH(TEXT($J440,"yyyy-mm-dd")&amp;"||",'CALENDARIO'!$G$15:$G$214,0)),INDEX(patronHabil,WEEKDAY($J440,2))))))</f>
        <v/>
      </c>
      <c r="U440" s="5">
        <f>IF($I440="","",IFERROR(INDEX('CAT_TIPOS_OT'!$C$4:$C$8,MATCH($I440,'CAT_TIPOS_OT'!$A$4:$A$8,0)),"sin_clasificar"))</f>
        <v/>
      </c>
      <c r="V440" s="5">
        <f>IF($I440="","",IF(IFERROR(INDEX('CAT_TIPOS_OT'!$D$4:$D$8,MATCH($I440,'CAT_TIPOS_OT'!$A$4:$A$8,0)),"SIN CLASIFICAR")="","SIN CLASIFICAR",IFERROR(INDEX('CAT_TIPOS_OT'!$D$4:$D$8,MATCH($I440,'CAT_TIPOS_OT'!$A$4:$A$8,0)),"SIN CLASIFICAR")))</f>
        <v/>
      </c>
      <c r="W440" s="5">
        <f>IF($F440="","",IFERROR(INDEX('CAT_CENTROS_COSTO'!$F$4:$F$13,MATCH($F440,'CAT_CENTROS_COSTO'!$A$4:$A$13,0)),"(sin catálogo)"))</f>
        <v/>
      </c>
      <c r="X440" s="5">
        <f>IF($F440="","",IFERROR(INDEX('CAT_CENTROS_COSTO'!$D$4:$D$13,MATCH($F440,'CAT_CENTROS_COSTO'!$A$4:$A$13,0)),"(sin catálogo)"))</f>
        <v/>
      </c>
      <c r="Y440" s="5">
        <f>IF($F440="","",IF((IFERROR(INDEX('CAT_CENTROS_COSTO'!$E$4:$E$13,MATCH($F440,'CAT_CENTROS_COSTO'!$A$4:$A$13,0)),""))&lt;&gt;"",IFERROR(INDEX('CAT_CENTROS_COSTO'!$E$4:$E$13,MATCH($F440,'CAT_CENTROS_COSTO'!$A$4:$A$13,0)),""),$X440))</f>
        <v/>
      </c>
      <c r="Z440" s="5">
        <f>IF($F440="","",IFERROR(INDEX('CAT_CENTROS_COSTO'!$G$4:$G$13,MATCH($F440,'CAT_CENTROS_COSTO'!$A$4:$A$13,0)),"(sin catálogo)"))</f>
        <v/>
      </c>
      <c r="AA440" s="5">
        <f>IF($G440="","",IFERROR(INDEX('CAT_PUESTOS'!$B$4:$B$8,MATCH($G440,'CAT_PUESTOS'!$A$4:$A$8,0)),"(sin catálogo)"))</f>
        <v/>
      </c>
      <c r="AB440" s="5">
        <f>IF($H440="","",IFERROR(INDEX('CAT_ACTIVIDADES'!$B$4:$B$11,MATCH($H440,'CAT_ACTIVIDADES'!$A$4:$A$11,0)),"(sin catálogo)"))</f>
        <v/>
      </c>
      <c r="AC440" s="20">
        <f>IF($J440="","",TODAY()-$J440)</f>
        <v/>
      </c>
      <c r="AD440" s="20">
        <f>IF($J440="","",IF($J440&lt;=TODAY(),COUNTIFS(cal_fechas,"&gt;="&amp;$J440,cal_fechas,"&lt;"&amp;TODAY(),cal_habil,"sí"),-COUNTIFS(cal_fechas,"&gt;="&amp;TODAY(),cal_fechas,"&lt;"&amp;$J440,cal_habil,"sí")))</f>
        <v/>
      </c>
      <c r="AE440" s="5">
        <f>IF($AD440="","",IF($AD440&lt;0,"FUTURO",IF($AD440&gt;p_dias_backlog_max,"BACKLOG","MES CORRIENTE")))</f>
        <v/>
      </c>
      <c r="AF440" s="5">
        <f>IF($AD440="",FALSE,AND($AD440&gt;p_dias_backlog_min,$AD440&lt;=p_dias_backlog_max))</f>
        <v/>
      </c>
      <c r="AG440" s="4" t="n"/>
      <c r="AH440" s="5">
        <f>IF($AG440="","",IF((IFERROR(INDEX('ASIGNACIONES'!$J$4:$J$451,MATCH($O440&amp;"|"&amp;$S440&amp;"|"&amp;$AG440,'ASIGNACIONES'!$N$4:$N$451,0)),""))=0,"",IFERROR(INDEX('ASIGNACIONES'!$J$4:$J$451,MATCH($O440&amp;"|"&amp;$S440&amp;"|"&amp;$AG440,'ASIGNACIONES'!$N$4:$N$451,0)),"")))</f>
        <v/>
      </c>
      <c r="AI440" s="25">
        <f>IF($AG440="","",SUMIFS('ORDENES'!$M$4:$M$1203,'ORDENES'!$AG$4:$AG$1203,$AG440,'ORDENES'!$O$4:$O$1203,$O440,'ORDENES'!$S$4:$S$1203,$S440))</f>
        <v/>
      </c>
      <c r="AJ440" s="25">
        <f>IF($AI440="","",p_factor_productividad*IFERROR(INDEX('ASIGNACIONES'!$M$4:$M$451,MATCH($O440&amp;"|"&amp;$S440&amp;"|"&amp;$AG440,'ASIGNACIONES'!$N$4:$N$451,0)),0)-$AI440)</f>
        <v/>
      </c>
      <c r="AK440" s="18">
        <f>IF($A440="","",IFERROR(INDEX('2_IMPORTAR_EJECUCION'!$F$9:$F$1208,MATCH($AT440,'2_IMPORTAR_EJECUCION'!$J$9:$J$1208,0)),0))</f>
        <v/>
      </c>
      <c r="AL440" s="18">
        <f>IF($A440="","",MAX(0,IFERROR(INDEX('2_IMPORTAR_EJECUCION'!$H$9:$H$1208,MATCH($AT440,'2_IMPORTAR_EJECUCION'!$J$9:$J$1208,0)),0)-$AK440))</f>
        <v/>
      </c>
      <c r="AM440" s="18">
        <f>IF($A440="","",$AK440+$AL440)</f>
        <v/>
      </c>
      <c r="AN440" s="5">
        <f>IF($A440="","",IF(OR((IFERROR(INDEX('CAT_ACTIVIDADES'!$D$4:$D$11,MATCH($H440,'CAT_ACTIVIDADES'!$A$4:$A$11,0)),""))=0,(IFERROR(INDEX('CAT_ACTIVIDADES'!$D$4:$D$11,MATCH($H440,'CAT_ACTIVIDADES'!$A$4:$A$11,0)),""))=""),"SIN CLASIFICAR",IFERROR(INDEX('CAT_ACTIVIDADES'!$D$4:$D$11,MATCH($H440,'CAT_ACTIVIDADES'!$A$4:$A$11,0)),"")))</f>
        <v/>
      </c>
      <c r="AO440" s="4" t="n"/>
      <c r="AP440" s="4" t="n"/>
      <c r="AQ440" s="4" t="n"/>
      <c r="AR440" s="5">
        <f>IF($AQ440="","",HYPERLINK(p_ruta_base_checklists&amp;$AQ440,"abrir"))</f>
        <v/>
      </c>
      <c r="AS440" s="4" t="n"/>
      <c r="AT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2" t="n"/>
      <c r="K441" s="5" t="n"/>
      <c r="L441" s="18" t="n"/>
      <c r="M441" s="5">
        <f>IF($A441="","",IFERROR(INDEX('AJUSTES'!$B$4:$B$303,MATCH($AT441,'AJUSTES'!$A$4:$A$303,0)),IF($K441="","",$K441)))</f>
        <v/>
      </c>
      <c r="N441" s="5">
        <f>IF($A441="","",IFERROR(INDEX('CAT_ESTADOS_ERP'!$B$4:$B$7,MATCH(IFERROR(INDEX('2_IMPORTAR_EJECUCION'!$C$9:$C$1208,MATCH($AT441,'2_IMPORTAR_EJECUCION'!$J$9:$J$1208,0)),""),'CAT_ESTADOS_ERP'!$A$4:$A$7,0)),"Pendiente"))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IF($J441="","",$P441&amp;"-"&amp;TEXT($Q441,"00"))</f>
        <v/>
      </c>
      <c r="S441" s="5">
        <f>IF($J441="","",INDEX(lista_dias,WEEKDAY($J441,2)))</f>
        <v/>
      </c>
      <c r="T441" s="5">
        <f>IF($J441="","",IFERROR(INDEX('CALENDARIO'!$C$15:$C$214,MATCH(TEXT($J441,"yyyy-mm-dd")&amp;"|"&amp;$X441&amp;"|"&amp;$Y441,'CALENDARIO'!$G$15:$G$214,0)),IFERROR(INDEX('CALENDARIO'!$C$15:$C$214,MATCH(TEXT($J441,"yyyy-mm-dd")&amp;"|"&amp;$X441&amp;"|",'CALENDARIO'!$G$15:$G$214,0)),IFERROR(INDEX('CALENDARIO'!$C$15:$C$214,MATCH(TEXT($J441,"yyyy-mm-dd")&amp;"||",'CALENDARIO'!$G$15:$G$214,0)),INDEX(patronHabil,WEEKDAY($J441,2))))))</f>
        <v/>
      </c>
      <c r="U441" s="5">
        <f>IF($I441="","",IFERROR(INDEX('CAT_TIPOS_OT'!$C$4:$C$8,MATCH($I441,'CAT_TIPOS_OT'!$A$4:$A$8,0)),"sin_clasificar"))</f>
        <v/>
      </c>
      <c r="V441" s="5">
        <f>IF($I441="","",IF(IFERROR(INDEX('CAT_TIPOS_OT'!$D$4:$D$8,MATCH($I441,'CAT_TIPOS_OT'!$A$4:$A$8,0)),"SIN CLASIFICAR")="","SIN CLASIFICAR",IFERROR(INDEX('CAT_TIPOS_OT'!$D$4:$D$8,MATCH($I441,'CAT_TIPOS_OT'!$A$4:$A$8,0)),"SIN CLASIFICAR")))</f>
        <v/>
      </c>
      <c r="W441" s="5">
        <f>IF($F441="","",IFERROR(INDEX('CAT_CENTROS_COSTO'!$F$4:$F$13,MATCH($F441,'CAT_CENTROS_COSTO'!$A$4:$A$13,0)),"(sin catálogo)"))</f>
        <v/>
      </c>
      <c r="X441" s="5">
        <f>IF($F441="","",IFERROR(INDEX('CAT_CENTROS_COSTO'!$D$4:$D$13,MATCH($F441,'CAT_CENTROS_COSTO'!$A$4:$A$13,0)),"(sin catálogo)"))</f>
        <v/>
      </c>
      <c r="Y441" s="5">
        <f>IF($F441="","",IF((IFERROR(INDEX('CAT_CENTROS_COSTO'!$E$4:$E$13,MATCH($F441,'CAT_CENTROS_COSTO'!$A$4:$A$13,0)),""))&lt;&gt;"",IFERROR(INDEX('CAT_CENTROS_COSTO'!$E$4:$E$13,MATCH($F441,'CAT_CENTROS_COSTO'!$A$4:$A$13,0)),""),$X441))</f>
        <v/>
      </c>
      <c r="Z441" s="5">
        <f>IF($F441="","",IFERROR(INDEX('CAT_CENTROS_COSTO'!$G$4:$G$13,MATCH($F441,'CAT_CENTROS_COSTO'!$A$4:$A$13,0)),"(sin catálogo)"))</f>
        <v/>
      </c>
      <c r="AA441" s="5">
        <f>IF($G441="","",IFERROR(INDEX('CAT_PUESTOS'!$B$4:$B$8,MATCH($G441,'CAT_PUESTOS'!$A$4:$A$8,0)),"(sin catálogo)"))</f>
        <v/>
      </c>
      <c r="AB441" s="5">
        <f>IF($H441="","",IFERROR(INDEX('CAT_ACTIVIDADES'!$B$4:$B$11,MATCH($H441,'CAT_ACTIVIDADES'!$A$4:$A$11,0)),"(sin catálogo)"))</f>
        <v/>
      </c>
      <c r="AC441" s="20">
        <f>IF($J441="","",TODAY()-$J441)</f>
        <v/>
      </c>
      <c r="AD441" s="20">
        <f>IF($J441="","",IF($J441&lt;=TODAY(),COUNTIFS(cal_fechas,"&gt;="&amp;$J441,cal_fechas,"&lt;"&amp;TODAY(),cal_habil,"sí"),-COUNTIFS(cal_fechas,"&gt;="&amp;TODAY(),cal_fechas,"&lt;"&amp;$J441,cal_habil,"sí")))</f>
        <v/>
      </c>
      <c r="AE441" s="5">
        <f>IF($AD441="","",IF($AD441&lt;0,"FUTURO",IF($AD441&gt;p_dias_backlog_max,"BACKLOG","MES CORRIENTE")))</f>
        <v/>
      </c>
      <c r="AF441" s="5">
        <f>IF($AD441="",FALSE,AND($AD441&gt;p_dias_backlog_min,$AD441&lt;=p_dias_backlog_max))</f>
        <v/>
      </c>
      <c r="AG441" s="4" t="n"/>
      <c r="AH441" s="5">
        <f>IF($AG441="","",IF((IFERROR(INDEX('ASIGNACIONES'!$J$4:$J$451,MATCH($O441&amp;"|"&amp;$S441&amp;"|"&amp;$AG441,'ASIGNACIONES'!$N$4:$N$451,0)),""))=0,"",IFERROR(INDEX('ASIGNACIONES'!$J$4:$J$451,MATCH($O441&amp;"|"&amp;$S441&amp;"|"&amp;$AG441,'ASIGNACIONES'!$N$4:$N$451,0)),"")))</f>
        <v/>
      </c>
      <c r="AI441" s="25">
        <f>IF($AG441="","",SUMIFS('ORDENES'!$M$4:$M$1203,'ORDENES'!$AG$4:$AG$1203,$AG441,'ORDENES'!$O$4:$O$1203,$O441,'ORDENES'!$S$4:$S$1203,$S441))</f>
        <v/>
      </c>
      <c r="AJ441" s="25">
        <f>IF($AI441="","",p_factor_productividad*IFERROR(INDEX('ASIGNACIONES'!$M$4:$M$451,MATCH($O441&amp;"|"&amp;$S441&amp;"|"&amp;$AG441,'ASIGNACIONES'!$N$4:$N$451,0)),0)-$AI441)</f>
        <v/>
      </c>
      <c r="AK441" s="18">
        <f>IF($A441="","",IFERROR(INDEX('2_IMPORTAR_EJECUCION'!$F$9:$F$1208,MATCH($AT441,'2_IMPORTAR_EJECUCION'!$J$9:$J$1208,0)),0))</f>
        <v/>
      </c>
      <c r="AL441" s="18">
        <f>IF($A441="","",MAX(0,IFERROR(INDEX('2_IMPORTAR_EJECUCION'!$H$9:$H$1208,MATCH($AT441,'2_IMPORTAR_EJECUCION'!$J$9:$J$1208,0)),0)-$AK441))</f>
        <v/>
      </c>
      <c r="AM441" s="18">
        <f>IF($A441="","",$AK441+$AL441)</f>
        <v/>
      </c>
      <c r="AN441" s="5">
        <f>IF($A441="","",IF(OR((IFERROR(INDEX('CAT_ACTIVIDADES'!$D$4:$D$11,MATCH($H441,'CAT_ACTIVIDADES'!$A$4:$A$11,0)),""))=0,(IFERROR(INDEX('CAT_ACTIVIDADES'!$D$4:$D$11,MATCH($H441,'CAT_ACTIVIDADES'!$A$4:$A$11,0)),""))=""),"SIN CLASIFICAR",IFERROR(INDEX('CAT_ACTIVIDADES'!$D$4:$D$11,MATCH($H441,'CAT_ACTIVIDADES'!$A$4:$A$11,0)),"")))</f>
        <v/>
      </c>
      <c r="AO441" s="4" t="n"/>
      <c r="AP441" s="4" t="n"/>
      <c r="AQ441" s="4" t="n"/>
      <c r="AR441" s="5">
        <f>IF($AQ441="","",HYPERLINK(p_ruta_base_checklists&amp;$AQ441,"abrir"))</f>
        <v/>
      </c>
      <c r="AS441" s="4" t="n"/>
      <c r="AT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2" t="n"/>
      <c r="K442" s="5" t="n"/>
      <c r="L442" s="18" t="n"/>
      <c r="M442" s="5">
        <f>IF($A442="","",IFERROR(INDEX('AJUSTES'!$B$4:$B$303,MATCH($AT442,'AJUSTES'!$A$4:$A$303,0)),IF($K442="","",$K442)))</f>
        <v/>
      </c>
      <c r="N442" s="5">
        <f>IF($A442="","",IFERROR(INDEX('CAT_ESTADOS_ERP'!$B$4:$B$7,MATCH(IFERROR(INDEX('2_IMPORTAR_EJECUCION'!$C$9:$C$1208,MATCH($AT442,'2_IMPORTAR_EJECUCION'!$J$9:$J$1208,0)),""),'CAT_ESTADOS_ERP'!$A$4:$A$7,0)),"Pendiente"))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IF($J442="","",$P442&amp;"-"&amp;TEXT($Q442,"00"))</f>
        <v/>
      </c>
      <c r="S442" s="5">
        <f>IF($J442="","",INDEX(lista_dias,WEEKDAY($J442,2)))</f>
        <v/>
      </c>
      <c r="T442" s="5">
        <f>IF($J442="","",IFERROR(INDEX('CALENDARIO'!$C$15:$C$214,MATCH(TEXT($J442,"yyyy-mm-dd")&amp;"|"&amp;$X442&amp;"|"&amp;$Y442,'CALENDARIO'!$G$15:$G$214,0)),IFERROR(INDEX('CALENDARIO'!$C$15:$C$214,MATCH(TEXT($J442,"yyyy-mm-dd")&amp;"|"&amp;$X442&amp;"|",'CALENDARIO'!$G$15:$G$214,0)),IFERROR(INDEX('CALENDARIO'!$C$15:$C$214,MATCH(TEXT($J442,"yyyy-mm-dd")&amp;"||",'CALENDARIO'!$G$15:$G$214,0)),INDEX(patronHabil,WEEKDAY($J442,2))))))</f>
        <v/>
      </c>
      <c r="U442" s="5">
        <f>IF($I442="","",IFERROR(INDEX('CAT_TIPOS_OT'!$C$4:$C$8,MATCH($I442,'CAT_TIPOS_OT'!$A$4:$A$8,0)),"sin_clasificar"))</f>
        <v/>
      </c>
      <c r="V442" s="5">
        <f>IF($I442="","",IF(IFERROR(INDEX('CAT_TIPOS_OT'!$D$4:$D$8,MATCH($I442,'CAT_TIPOS_OT'!$A$4:$A$8,0)),"SIN CLASIFICAR")="","SIN CLASIFICAR",IFERROR(INDEX('CAT_TIPOS_OT'!$D$4:$D$8,MATCH($I442,'CAT_TIPOS_OT'!$A$4:$A$8,0)),"SIN CLASIFICAR")))</f>
        <v/>
      </c>
      <c r="W442" s="5">
        <f>IF($F442="","",IFERROR(INDEX('CAT_CENTROS_COSTO'!$F$4:$F$13,MATCH($F442,'CAT_CENTROS_COSTO'!$A$4:$A$13,0)),"(sin catálogo)"))</f>
        <v/>
      </c>
      <c r="X442" s="5">
        <f>IF($F442="","",IFERROR(INDEX('CAT_CENTROS_COSTO'!$D$4:$D$13,MATCH($F442,'CAT_CENTROS_COSTO'!$A$4:$A$13,0)),"(sin catálogo)"))</f>
        <v/>
      </c>
      <c r="Y442" s="5">
        <f>IF($F442="","",IF((IFERROR(INDEX('CAT_CENTROS_COSTO'!$E$4:$E$13,MATCH($F442,'CAT_CENTROS_COSTO'!$A$4:$A$13,0)),""))&lt;&gt;"",IFERROR(INDEX('CAT_CENTROS_COSTO'!$E$4:$E$13,MATCH($F442,'CAT_CENTROS_COSTO'!$A$4:$A$13,0)),""),$X442))</f>
        <v/>
      </c>
      <c r="Z442" s="5">
        <f>IF($F442="","",IFERROR(INDEX('CAT_CENTROS_COSTO'!$G$4:$G$13,MATCH($F442,'CAT_CENTROS_COSTO'!$A$4:$A$13,0)),"(sin catálogo)"))</f>
        <v/>
      </c>
      <c r="AA442" s="5">
        <f>IF($G442="","",IFERROR(INDEX('CAT_PUESTOS'!$B$4:$B$8,MATCH($G442,'CAT_PUESTOS'!$A$4:$A$8,0)),"(sin catálogo)"))</f>
        <v/>
      </c>
      <c r="AB442" s="5">
        <f>IF($H442="","",IFERROR(INDEX('CAT_ACTIVIDADES'!$B$4:$B$11,MATCH($H442,'CAT_ACTIVIDADES'!$A$4:$A$11,0)),"(sin catálogo)"))</f>
        <v/>
      </c>
      <c r="AC442" s="20">
        <f>IF($J442="","",TODAY()-$J442)</f>
        <v/>
      </c>
      <c r="AD442" s="20">
        <f>IF($J442="","",IF($J442&lt;=TODAY(),COUNTIFS(cal_fechas,"&gt;="&amp;$J442,cal_fechas,"&lt;"&amp;TODAY(),cal_habil,"sí"),-COUNTIFS(cal_fechas,"&gt;="&amp;TODAY(),cal_fechas,"&lt;"&amp;$J442,cal_habil,"sí")))</f>
        <v/>
      </c>
      <c r="AE442" s="5">
        <f>IF($AD442="","",IF($AD442&lt;0,"FUTURO",IF($AD442&gt;p_dias_backlog_max,"BACKLOG","MES CORRIENTE")))</f>
        <v/>
      </c>
      <c r="AF442" s="5">
        <f>IF($AD442="",FALSE,AND($AD442&gt;p_dias_backlog_min,$AD442&lt;=p_dias_backlog_max))</f>
        <v/>
      </c>
      <c r="AG442" s="4" t="n"/>
      <c r="AH442" s="5">
        <f>IF($AG442="","",IF((IFERROR(INDEX('ASIGNACIONES'!$J$4:$J$451,MATCH($O442&amp;"|"&amp;$S442&amp;"|"&amp;$AG442,'ASIGNACIONES'!$N$4:$N$451,0)),""))=0,"",IFERROR(INDEX('ASIGNACIONES'!$J$4:$J$451,MATCH($O442&amp;"|"&amp;$S442&amp;"|"&amp;$AG442,'ASIGNACIONES'!$N$4:$N$451,0)),"")))</f>
        <v/>
      </c>
      <c r="AI442" s="25">
        <f>IF($AG442="","",SUMIFS('ORDENES'!$M$4:$M$1203,'ORDENES'!$AG$4:$AG$1203,$AG442,'ORDENES'!$O$4:$O$1203,$O442,'ORDENES'!$S$4:$S$1203,$S442))</f>
        <v/>
      </c>
      <c r="AJ442" s="25">
        <f>IF($AI442="","",p_factor_productividad*IFERROR(INDEX('ASIGNACIONES'!$M$4:$M$451,MATCH($O442&amp;"|"&amp;$S442&amp;"|"&amp;$AG442,'ASIGNACIONES'!$N$4:$N$451,0)),0)-$AI442)</f>
        <v/>
      </c>
      <c r="AK442" s="18">
        <f>IF($A442="","",IFERROR(INDEX('2_IMPORTAR_EJECUCION'!$F$9:$F$1208,MATCH($AT442,'2_IMPORTAR_EJECUCION'!$J$9:$J$1208,0)),0))</f>
        <v/>
      </c>
      <c r="AL442" s="18">
        <f>IF($A442="","",MAX(0,IFERROR(INDEX('2_IMPORTAR_EJECUCION'!$H$9:$H$1208,MATCH($AT442,'2_IMPORTAR_EJECUCION'!$J$9:$J$1208,0)),0)-$AK442))</f>
        <v/>
      </c>
      <c r="AM442" s="18">
        <f>IF($A442="","",$AK442+$AL442)</f>
        <v/>
      </c>
      <c r="AN442" s="5">
        <f>IF($A442="","",IF(OR((IFERROR(INDEX('CAT_ACTIVIDADES'!$D$4:$D$11,MATCH($H442,'CAT_ACTIVIDADES'!$A$4:$A$11,0)),""))=0,(IFERROR(INDEX('CAT_ACTIVIDADES'!$D$4:$D$11,MATCH($H442,'CAT_ACTIVIDADES'!$A$4:$A$11,0)),""))=""),"SIN CLASIFICAR",IFERROR(INDEX('CAT_ACTIVIDADES'!$D$4:$D$11,MATCH($H442,'CAT_ACTIVIDADES'!$A$4:$A$11,0)),"")))</f>
        <v/>
      </c>
      <c r="AO442" s="4" t="n"/>
      <c r="AP442" s="4" t="n"/>
      <c r="AQ442" s="4" t="n"/>
      <c r="AR442" s="5">
        <f>IF($AQ442="","",HYPERLINK(p_ruta_base_checklists&amp;$AQ442,"abrir"))</f>
        <v/>
      </c>
      <c r="AS442" s="4" t="n"/>
      <c r="AT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2" t="n"/>
      <c r="K443" s="5" t="n"/>
      <c r="L443" s="18" t="n"/>
      <c r="M443" s="5">
        <f>IF($A443="","",IFERROR(INDEX('AJUSTES'!$B$4:$B$303,MATCH($AT443,'AJUSTES'!$A$4:$A$303,0)),IF($K443="","",$K443)))</f>
        <v/>
      </c>
      <c r="N443" s="5">
        <f>IF($A443="","",IFERROR(INDEX('CAT_ESTADOS_ERP'!$B$4:$B$7,MATCH(IFERROR(INDEX('2_IMPORTAR_EJECUCION'!$C$9:$C$1208,MATCH($AT443,'2_IMPORTAR_EJECUCION'!$J$9:$J$1208,0)),""),'CAT_ESTADOS_ERP'!$A$4:$A$7,0)),"Pendiente"))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IF($J443="","",$P443&amp;"-"&amp;TEXT($Q443,"00"))</f>
        <v/>
      </c>
      <c r="S443" s="5">
        <f>IF($J443="","",INDEX(lista_dias,WEEKDAY($J443,2)))</f>
        <v/>
      </c>
      <c r="T443" s="5">
        <f>IF($J443="","",IFERROR(INDEX('CALENDARIO'!$C$15:$C$214,MATCH(TEXT($J443,"yyyy-mm-dd")&amp;"|"&amp;$X443&amp;"|"&amp;$Y443,'CALENDARIO'!$G$15:$G$214,0)),IFERROR(INDEX('CALENDARIO'!$C$15:$C$214,MATCH(TEXT($J443,"yyyy-mm-dd")&amp;"|"&amp;$X443&amp;"|",'CALENDARIO'!$G$15:$G$214,0)),IFERROR(INDEX('CALENDARIO'!$C$15:$C$214,MATCH(TEXT($J443,"yyyy-mm-dd")&amp;"||",'CALENDARIO'!$G$15:$G$214,0)),INDEX(patronHabil,WEEKDAY($J443,2))))))</f>
        <v/>
      </c>
      <c r="U443" s="5">
        <f>IF($I443="","",IFERROR(INDEX('CAT_TIPOS_OT'!$C$4:$C$8,MATCH($I443,'CAT_TIPOS_OT'!$A$4:$A$8,0)),"sin_clasificar"))</f>
        <v/>
      </c>
      <c r="V443" s="5">
        <f>IF($I443="","",IF(IFERROR(INDEX('CAT_TIPOS_OT'!$D$4:$D$8,MATCH($I443,'CAT_TIPOS_OT'!$A$4:$A$8,0)),"SIN CLASIFICAR")="","SIN CLASIFICAR",IFERROR(INDEX('CAT_TIPOS_OT'!$D$4:$D$8,MATCH($I443,'CAT_TIPOS_OT'!$A$4:$A$8,0)),"SIN CLASIFICAR")))</f>
        <v/>
      </c>
      <c r="W443" s="5">
        <f>IF($F443="","",IFERROR(INDEX('CAT_CENTROS_COSTO'!$F$4:$F$13,MATCH($F443,'CAT_CENTROS_COSTO'!$A$4:$A$13,0)),"(sin catálogo)"))</f>
        <v/>
      </c>
      <c r="X443" s="5">
        <f>IF($F443="","",IFERROR(INDEX('CAT_CENTROS_COSTO'!$D$4:$D$13,MATCH($F443,'CAT_CENTROS_COSTO'!$A$4:$A$13,0)),"(sin catálogo)"))</f>
        <v/>
      </c>
      <c r="Y443" s="5">
        <f>IF($F443="","",IF((IFERROR(INDEX('CAT_CENTROS_COSTO'!$E$4:$E$13,MATCH($F443,'CAT_CENTROS_COSTO'!$A$4:$A$13,0)),""))&lt;&gt;"",IFERROR(INDEX('CAT_CENTROS_COSTO'!$E$4:$E$13,MATCH($F443,'CAT_CENTROS_COSTO'!$A$4:$A$13,0)),""),$X443))</f>
        <v/>
      </c>
      <c r="Z443" s="5">
        <f>IF($F443="","",IFERROR(INDEX('CAT_CENTROS_COSTO'!$G$4:$G$13,MATCH($F443,'CAT_CENTROS_COSTO'!$A$4:$A$13,0)),"(sin catálogo)"))</f>
        <v/>
      </c>
      <c r="AA443" s="5">
        <f>IF($G443="","",IFERROR(INDEX('CAT_PUESTOS'!$B$4:$B$8,MATCH($G443,'CAT_PUESTOS'!$A$4:$A$8,0)),"(sin catálogo)"))</f>
        <v/>
      </c>
      <c r="AB443" s="5">
        <f>IF($H443="","",IFERROR(INDEX('CAT_ACTIVIDADES'!$B$4:$B$11,MATCH($H443,'CAT_ACTIVIDADES'!$A$4:$A$11,0)),"(sin catálogo)"))</f>
        <v/>
      </c>
      <c r="AC443" s="20">
        <f>IF($J443="","",TODAY()-$J443)</f>
        <v/>
      </c>
      <c r="AD443" s="20">
        <f>IF($J443="","",IF($J443&lt;=TODAY(),COUNTIFS(cal_fechas,"&gt;="&amp;$J443,cal_fechas,"&lt;"&amp;TODAY(),cal_habil,"sí"),-COUNTIFS(cal_fechas,"&gt;="&amp;TODAY(),cal_fechas,"&lt;"&amp;$J443,cal_habil,"sí")))</f>
        <v/>
      </c>
      <c r="AE443" s="5">
        <f>IF($AD443="","",IF($AD443&lt;0,"FUTURO",IF($AD443&gt;p_dias_backlog_max,"BACKLOG","MES CORRIENTE")))</f>
        <v/>
      </c>
      <c r="AF443" s="5">
        <f>IF($AD443="",FALSE,AND($AD443&gt;p_dias_backlog_min,$AD443&lt;=p_dias_backlog_max))</f>
        <v/>
      </c>
      <c r="AG443" s="4" t="n"/>
      <c r="AH443" s="5">
        <f>IF($AG443="","",IF((IFERROR(INDEX('ASIGNACIONES'!$J$4:$J$451,MATCH($O443&amp;"|"&amp;$S443&amp;"|"&amp;$AG443,'ASIGNACIONES'!$N$4:$N$451,0)),""))=0,"",IFERROR(INDEX('ASIGNACIONES'!$J$4:$J$451,MATCH($O443&amp;"|"&amp;$S443&amp;"|"&amp;$AG443,'ASIGNACIONES'!$N$4:$N$451,0)),"")))</f>
        <v/>
      </c>
      <c r="AI443" s="25">
        <f>IF($AG443="","",SUMIFS('ORDENES'!$M$4:$M$1203,'ORDENES'!$AG$4:$AG$1203,$AG443,'ORDENES'!$O$4:$O$1203,$O443,'ORDENES'!$S$4:$S$1203,$S443))</f>
        <v/>
      </c>
      <c r="AJ443" s="25">
        <f>IF($AI443="","",p_factor_productividad*IFERROR(INDEX('ASIGNACIONES'!$M$4:$M$451,MATCH($O443&amp;"|"&amp;$S443&amp;"|"&amp;$AG443,'ASIGNACIONES'!$N$4:$N$451,0)),0)-$AI443)</f>
        <v/>
      </c>
      <c r="AK443" s="18">
        <f>IF($A443="","",IFERROR(INDEX('2_IMPORTAR_EJECUCION'!$F$9:$F$1208,MATCH($AT443,'2_IMPORTAR_EJECUCION'!$J$9:$J$1208,0)),0))</f>
        <v/>
      </c>
      <c r="AL443" s="18">
        <f>IF($A443="","",MAX(0,IFERROR(INDEX('2_IMPORTAR_EJECUCION'!$H$9:$H$1208,MATCH($AT443,'2_IMPORTAR_EJECUCION'!$J$9:$J$1208,0)),0)-$AK443))</f>
        <v/>
      </c>
      <c r="AM443" s="18">
        <f>IF($A443="","",$AK443+$AL443)</f>
        <v/>
      </c>
      <c r="AN443" s="5">
        <f>IF($A443="","",IF(OR((IFERROR(INDEX('CAT_ACTIVIDADES'!$D$4:$D$11,MATCH($H443,'CAT_ACTIVIDADES'!$A$4:$A$11,0)),""))=0,(IFERROR(INDEX('CAT_ACTIVIDADES'!$D$4:$D$11,MATCH($H443,'CAT_ACTIVIDADES'!$A$4:$A$11,0)),""))=""),"SIN CLASIFICAR",IFERROR(INDEX('CAT_ACTIVIDADES'!$D$4:$D$11,MATCH($H443,'CAT_ACTIVIDADES'!$A$4:$A$11,0)),"")))</f>
        <v/>
      </c>
      <c r="AO443" s="4" t="n"/>
      <c r="AP443" s="4" t="n"/>
      <c r="AQ443" s="4" t="n"/>
      <c r="AR443" s="5">
        <f>IF($AQ443="","",HYPERLINK(p_ruta_base_checklists&amp;$AQ443,"abrir"))</f>
        <v/>
      </c>
      <c r="AS443" s="4" t="n"/>
      <c r="AT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2" t="n"/>
      <c r="K444" s="5" t="n"/>
      <c r="L444" s="18" t="n"/>
      <c r="M444" s="5">
        <f>IF($A444="","",IFERROR(INDEX('AJUSTES'!$B$4:$B$303,MATCH($AT444,'AJUSTES'!$A$4:$A$303,0)),IF($K444="","",$K444)))</f>
        <v/>
      </c>
      <c r="N444" s="5">
        <f>IF($A444="","",IFERROR(INDEX('CAT_ESTADOS_ERP'!$B$4:$B$7,MATCH(IFERROR(INDEX('2_IMPORTAR_EJECUCION'!$C$9:$C$1208,MATCH($AT444,'2_IMPORTAR_EJECUCION'!$J$9:$J$1208,0)),""),'CAT_ESTADOS_ERP'!$A$4:$A$7,0)),"Pendiente"))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IF($J444="","",$P444&amp;"-"&amp;TEXT($Q444,"00"))</f>
        <v/>
      </c>
      <c r="S444" s="5">
        <f>IF($J444="","",INDEX(lista_dias,WEEKDAY($J444,2)))</f>
        <v/>
      </c>
      <c r="T444" s="5">
        <f>IF($J444="","",IFERROR(INDEX('CALENDARIO'!$C$15:$C$214,MATCH(TEXT($J444,"yyyy-mm-dd")&amp;"|"&amp;$X444&amp;"|"&amp;$Y444,'CALENDARIO'!$G$15:$G$214,0)),IFERROR(INDEX('CALENDARIO'!$C$15:$C$214,MATCH(TEXT($J444,"yyyy-mm-dd")&amp;"|"&amp;$X444&amp;"|",'CALENDARIO'!$G$15:$G$214,0)),IFERROR(INDEX('CALENDARIO'!$C$15:$C$214,MATCH(TEXT($J444,"yyyy-mm-dd")&amp;"||",'CALENDARIO'!$G$15:$G$214,0)),INDEX(patronHabil,WEEKDAY($J444,2))))))</f>
        <v/>
      </c>
      <c r="U444" s="5">
        <f>IF($I444="","",IFERROR(INDEX('CAT_TIPOS_OT'!$C$4:$C$8,MATCH($I444,'CAT_TIPOS_OT'!$A$4:$A$8,0)),"sin_clasificar"))</f>
        <v/>
      </c>
      <c r="V444" s="5">
        <f>IF($I444="","",IF(IFERROR(INDEX('CAT_TIPOS_OT'!$D$4:$D$8,MATCH($I444,'CAT_TIPOS_OT'!$A$4:$A$8,0)),"SIN CLASIFICAR")="","SIN CLASIFICAR",IFERROR(INDEX('CAT_TIPOS_OT'!$D$4:$D$8,MATCH($I444,'CAT_TIPOS_OT'!$A$4:$A$8,0)),"SIN CLASIFICAR")))</f>
        <v/>
      </c>
      <c r="W444" s="5">
        <f>IF($F444="","",IFERROR(INDEX('CAT_CENTROS_COSTO'!$F$4:$F$13,MATCH($F444,'CAT_CENTROS_COSTO'!$A$4:$A$13,0)),"(sin catálogo)"))</f>
        <v/>
      </c>
      <c r="X444" s="5">
        <f>IF($F444="","",IFERROR(INDEX('CAT_CENTROS_COSTO'!$D$4:$D$13,MATCH($F444,'CAT_CENTROS_COSTO'!$A$4:$A$13,0)),"(sin catálogo)"))</f>
        <v/>
      </c>
      <c r="Y444" s="5">
        <f>IF($F444="","",IF((IFERROR(INDEX('CAT_CENTROS_COSTO'!$E$4:$E$13,MATCH($F444,'CAT_CENTROS_COSTO'!$A$4:$A$13,0)),""))&lt;&gt;"",IFERROR(INDEX('CAT_CENTROS_COSTO'!$E$4:$E$13,MATCH($F444,'CAT_CENTROS_COSTO'!$A$4:$A$13,0)),""),$X444))</f>
        <v/>
      </c>
      <c r="Z444" s="5">
        <f>IF($F444="","",IFERROR(INDEX('CAT_CENTROS_COSTO'!$G$4:$G$13,MATCH($F444,'CAT_CENTROS_COSTO'!$A$4:$A$13,0)),"(sin catálogo)"))</f>
        <v/>
      </c>
      <c r="AA444" s="5">
        <f>IF($G444="","",IFERROR(INDEX('CAT_PUESTOS'!$B$4:$B$8,MATCH($G444,'CAT_PUESTOS'!$A$4:$A$8,0)),"(sin catálogo)"))</f>
        <v/>
      </c>
      <c r="AB444" s="5">
        <f>IF($H444="","",IFERROR(INDEX('CAT_ACTIVIDADES'!$B$4:$B$11,MATCH($H444,'CAT_ACTIVIDADES'!$A$4:$A$11,0)),"(sin catálogo)"))</f>
        <v/>
      </c>
      <c r="AC444" s="20">
        <f>IF($J444="","",TODAY()-$J444)</f>
        <v/>
      </c>
      <c r="AD444" s="20">
        <f>IF($J444="","",IF($J444&lt;=TODAY(),COUNTIFS(cal_fechas,"&gt;="&amp;$J444,cal_fechas,"&lt;"&amp;TODAY(),cal_habil,"sí"),-COUNTIFS(cal_fechas,"&gt;="&amp;TODAY(),cal_fechas,"&lt;"&amp;$J444,cal_habil,"sí")))</f>
        <v/>
      </c>
      <c r="AE444" s="5">
        <f>IF($AD444="","",IF($AD444&lt;0,"FUTURO",IF($AD444&gt;p_dias_backlog_max,"BACKLOG","MES CORRIENTE")))</f>
        <v/>
      </c>
      <c r="AF444" s="5">
        <f>IF($AD444="",FALSE,AND($AD444&gt;p_dias_backlog_min,$AD444&lt;=p_dias_backlog_max))</f>
        <v/>
      </c>
      <c r="AG444" s="4" t="n"/>
      <c r="AH444" s="5">
        <f>IF($AG444="","",IF((IFERROR(INDEX('ASIGNACIONES'!$J$4:$J$451,MATCH($O444&amp;"|"&amp;$S444&amp;"|"&amp;$AG444,'ASIGNACIONES'!$N$4:$N$451,0)),""))=0,"",IFERROR(INDEX('ASIGNACIONES'!$J$4:$J$451,MATCH($O444&amp;"|"&amp;$S444&amp;"|"&amp;$AG444,'ASIGNACIONES'!$N$4:$N$451,0)),"")))</f>
        <v/>
      </c>
      <c r="AI444" s="25">
        <f>IF($AG444="","",SUMIFS('ORDENES'!$M$4:$M$1203,'ORDENES'!$AG$4:$AG$1203,$AG444,'ORDENES'!$O$4:$O$1203,$O444,'ORDENES'!$S$4:$S$1203,$S444))</f>
        <v/>
      </c>
      <c r="AJ444" s="25">
        <f>IF($AI444="","",p_factor_productividad*IFERROR(INDEX('ASIGNACIONES'!$M$4:$M$451,MATCH($O444&amp;"|"&amp;$S444&amp;"|"&amp;$AG444,'ASIGNACIONES'!$N$4:$N$451,0)),0)-$AI444)</f>
        <v/>
      </c>
      <c r="AK444" s="18">
        <f>IF($A444="","",IFERROR(INDEX('2_IMPORTAR_EJECUCION'!$F$9:$F$1208,MATCH($AT444,'2_IMPORTAR_EJECUCION'!$J$9:$J$1208,0)),0))</f>
        <v/>
      </c>
      <c r="AL444" s="18">
        <f>IF($A444="","",MAX(0,IFERROR(INDEX('2_IMPORTAR_EJECUCION'!$H$9:$H$1208,MATCH($AT444,'2_IMPORTAR_EJECUCION'!$J$9:$J$1208,0)),0)-$AK444))</f>
        <v/>
      </c>
      <c r="AM444" s="18">
        <f>IF($A444="","",$AK444+$AL444)</f>
        <v/>
      </c>
      <c r="AN444" s="5">
        <f>IF($A444="","",IF(OR((IFERROR(INDEX('CAT_ACTIVIDADES'!$D$4:$D$11,MATCH($H444,'CAT_ACTIVIDADES'!$A$4:$A$11,0)),""))=0,(IFERROR(INDEX('CAT_ACTIVIDADES'!$D$4:$D$11,MATCH($H444,'CAT_ACTIVIDADES'!$A$4:$A$11,0)),""))=""),"SIN CLASIFICAR",IFERROR(INDEX('CAT_ACTIVIDADES'!$D$4:$D$11,MATCH($H444,'CAT_ACTIVIDADES'!$A$4:$A$11,0)),"")))</f>
        <v/>
      </c>
      <c r="AO444" s="4" t="n"/>
      <c r="AP444" s="4" t="n"/>
      <c r="AQ444" s="4" t="n"/>
      <c r="AR444" s="5">
        <f>IF($AQ444="","",HYPERLINK(p_ruta_base_checklists&amp;$AQ444,"abrir"))</f>
        <v/>
      </c>
      <c r="AS444" s="4" t="n"/>
      <c r="AT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2" t="n"/>
      <c r="K445" s="5" t="n"/>
      <c r="L445" s="18" t="n"/>
      <c r="M445" s="5">
        <f>IF($A445="","",IFERROR(INDEX('AJUSTES'!$B$4:$B$303,MATCH($AT445,'AJUSTES'!$A$4:$A$303,0)),IF($K445="","",$K445)))</f>
        <v/>
      </c>
      <c r="N445" s="5">
        <f>IF($A445="","",IFERROR(INDEX('CAT_ESTADOS_ERP'!$B$4:$B$7,MATCH(IFERROR(INDEX('2_IMPORTAR_EJECUCION'!$C$9:$C$1208,MATCH($AT445,'2_IMPORTAR_EJECUCION'!$J$9:$J$1208,0)),""),'CAT_ESTADOS_ERP'!$A$4:$A$7,0)),"Pendiente"))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IF($J445="","",$P445&amp;"-"&amp;TEXT($Q445,"00"))</f>
        <v/>
      </c>
      <c r="S445" s="5">
        <f>IF($J445="","",INDEX(lista_dias,WEEKDAY($J445,2)))</f>
        <v/>
      </c>
      <c r="T445" s="5">
        <f>IF($J445="","",IFERROR(INDEX('CALENDARIO'!$C$15:$C$214,MATCH(TEXT($J445,"yyyy-mm-dd")&amp;"|"&amp;$X445&amp;"|"&amp;$Y445,'CALENDARIO'!$G$15:$G$214,0)),IFERROR(INDEX('CALENDARIO'!$C$15:$C$214,MATCH(TEXT($J445,"yyyy-mm-dd")&amp;"|"&amp;$X445&amp;"|",'CALENDARIO'!$G$15:$G$214,0)),IFERROR(INDEX('CALENDARIO'!$C$15:$C$214,MATCH(TEXT($J445,"yyyy-mm-dd")&amp;"||",'CALENDARIO'!$G$15:$G$214,0)),INDEX(patronHabil,WEEKDAY($J445,2))))))</f>
        <v/>
      </c>
      <c r="U445" s="5">
        <f>IF($I445="","",IFERROR(INDEX('CAT_TIPOS_OT'!$C$4:$C$8,MATCH($I445,'CAT_TIPOS_OT'!$A$4:$A$8,0)),"sin_clasificar"))</f>
        <v/>
      </c>
      <c r="V445" s="5">
        <f>IF($I445="","",IF(IFERROR(INDEX('CAT_TIPOS_OT'!$D$4:$D$8,MATCH($I445,'CAT_TIPOS_OT'!$A$4:$A$8,0)),"SIN CLASIFICAR")="","SIN CLASIFICAR",IFERROR(INDEX('CAT_TIPOS_OT'!$D$4:$D$8,MATCH($I445,'CAT_TIPOS_OT'!$A$4:$A$8,0)),"SIN CLASIFICAR")))</f>
        <v/>
      </c>
      <c r="W445" s="5">
        <f>IF($F445="","",IFERROR(INDEX('CAT_CENTROS_COSTO'!$F$4:$F$13,MATCH($F445,'CAT_CENTROS_COSTO'!$A$4:$A$13,0)),"(sin catálogo)"))</f>
        <v/>
      </c>
      <c r="X445" s="5">
        <f>IF($F445="","",IFERROR(INDEX('CAT_CENTROS_COSTO'!$D$4:$D$13,MATCH($F445,'CAT_CENTROS_COSTO'!$A$4:$A$13,0)),"(sin catálogo)"))</f>
        <v/>
      </c>
      <c r="Y445" s="5">
        <f>IF($F445="","",IF((IFERROR(INDEX('CAT_CENTROS_COSTO'!$E$4:$E$13,MATCH($F445,'CAT_CENTROS_COSTO'!$A$4:$A$13,0)),""))&lt;&gt;"",IFERROR(INDEX('CAT_CENTROS_COSTO'!$E$4:$E$13,MATCH($F445,'CAT_CENTROS_COSTO'!$A$4:$A$13,0)),""),$X445))</f>
        <v/>
      </c>
      <c r="Z445" s="5">
        <f>IF($F445="","",IFERROR(INDEX('CAT_CENTROS_COSTO'!$G$4:$G$13,MATCH($F445,'CAT_CENTROS_COSTO'!$A$4:$A$13,0)),"(sin catálogo)"))</f>
        <v/>
      </c>
      <c r="AA445" s="5">
        <f>IF($G445="","",IFERROR(INDEX('CAT_PUESTOS'!$B$4:$B$8,MATCH($G445,'CAT_PUESTOS'!$A$4:$A$8,0)),"(sin catálogo)"))</f>
        <v/>
      </c>
      <c r="AB445" s="5">
        <f>IF($H445="","",IFERROR(INDEX('CAT_ACTIVIDADES'!$B$4:$B$11,MATCH($H445,'CAT_ACTIVIDADES'!$A$4:$A$11,0)),"(sin catálogo)"))</f>
        <v/>
      </c>
      <c r="AC445" s="20">
        <f>IF($J445="","",TODAY()-$J445)</f>
        <v/>
      </c>
      <c r="AD445" s="20">
        <f>IF($J445="","",IF($J445&lt;=TODAY(),COUNTIFS(cal_fechas,"&gt;="&amp;$J445,cal_fechas,"&lt;"&amp;TODAY(),cal_habil,"sí"),-COUNTIFS(cal_fechas,"&gt;="&amp;TODAY(),cal_fechas,"&lt;"&amp;$J445,cal_habil,"sí")))</f>
        <v/>
      </c>
      <c r="AE445" s="5">
        <f>IF($AD445="","",IF($AD445&lt;0,"FUTURO",IF($AD445&gt;p_dias_backlog_max,"BACKLOG","MES CORRIENTE")))</f>
        <v/>
      </c>
      <c r="AF445" s="5">
        <f>IF($AD445="",FALSE,AND($AD445&gt;p_dias_backlog_min,$AD445&lt;=p_dias_backlog_max))</f>
        <v/>
      </c>
      <c r="AG445" s="4" t="n"/>
      <c r="AH445" s="5">
        <f>IF($AG445="","",IF((IFERROR(INDEX('ASIGNACIONES'!$J$4:$J$451,MATCH($O445&amp;"|"&amp;$S445&amp;"|"&amp;$AG445,'ASIGNACIONES'!$N$4:$N$451,0)),""))=0,"",IFERROR(INDEX('ASIGNACIONES'!$J$4:$J$451,MATCH($O445&amp;"|"&amp;$S445&amp;"|"&amp;$AG445,'ASIGNACIONES'!$N$4:$N$451,0)),"")))</f>
        <v/>
      </c>
      <c r="AI445" s="25">
        <f>IF($AG445="","",SUMIFS('ORDENES'!$M$4:$M$1203,'ORDENES'!$AG$4:$AG$1203,$AG445,'ORDENES'!$O$4:$O$1203,$O445,'ORDENES'!$S$4:$S$1203,$S445))</f>
        <v/>
      </c>
      <c r="AJ445" s="25">
        <f>IF($AI445="","",p_factor_productividad*IFERROR(INDEX('ASIGNACIONES'!$M$4:$M$451,MATCH($O445&amp;"|"&amp;$S445&amp;"|"&amp;$AG445,'ASIGNACIONES'!$N$4:$N$451,0)),0)-$AI445)</f>
        <v/>
      </c>
      <c r="AK445" s="18">
        <f>IF($A445="","",IFERROR(INDEX('2_IMPORTAR_EJECUCION'!$F$9:$F$1208,MATCH($AT445,'2_IMPORTAR_EJECUCION'!$J$9:$J$1208,0)),0))</f>
        <v/>
      </c>
      <c r="AL445" s="18">
        <f>IF($A445="","",MAX(0,IFERROR(INDEX('2_IMPORTAR_EJECUCION'!$H$9:$H$1208,MATCH($AT445,'2_IMPORTAR_EJECUCION'!$J$9:$J$1208,0)),0)-$AK445))</f>
        <v/>
      </c>
      <c r="AM445" s="18">
        <f>IF($A445="","",$AK445+$AL445)</f>
        <v/>
      </c>
      <c r="AN445" s="5">
        <f>IF($A445="","",IF(OR((IFERROR(INDEX('CAT_ACTIVIDADES'!$D$4:$D$11,MATCH($H445,'CAT_ACTIVIDADES'!$A$4:$A$11,0)),""))=0,(IFERROR(INDEX('CAT_ACTIVIDADES'!$D$4:$D$11,MATCH($H445,'CAT_ACTIVIDADES'!$A$4:$A$11,0)),""))=""),"SIN CLASIFICAR",IFERROR(INDEX('CAT_ACTIVIDADES'!$D$4:$D$11,MATCH($H445,'CAT_ACTIVIDADES'!$A$4:$A$11,0)),"")))</f>
        <v/>
      </c>
      <c r="AO445" s="4" t="n"/>
      <c r="AP445" s="4" t="n"/>
      <c r="AQ445" s="4" t="n"/>
      <c r="AR445" s="5">
        <f>IF($AQ445="","",HYPERLINK(p_ruta_base_checklists&amp;$AQ445,"abrir"))</f>
        <v/>
      </c>
      <c r="AS445" s="4" t="n"/>
      <c r="AT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2" t="n"/>
      <c r="K446" s="5" t="n"/>
      <c r="L446" s="18" t="n"/>
      <c r="M446" s="5">
        <f>IF($A446="","",IFERROR(INDEX('AJUSTES'!$B$4:$B$303,MATCH($AT446,'AJUSTES'!$A$4:$A$303,0)),IF($K446="","",$K446)))</f>
        <v/>
      </c>
      <c r="N446" s="5">
        <f>IF($A446="","",IFERROR(INDEX('CAT_ESTADOS_ERP'!$B$4:$B$7,MATCH(IFERROR(INDEX('2_IMPORTAR_EJECUCION'!$C$9:$C$1208,MATCH($AT446,'2_IMPORTAR_EJECUCION'!$J$9:$J$1208,0)),""),'CAT_ESTADOS_ERP'!$A$4:$A$7,0)),"Pendiente"))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IF($J446="","",$P446&amp;"-"&amp;TEXT($Q446,"00"))</f>
        <v/>
      </c>
      <c r="S446" s="5">
        <f>IF($J446="","",INDEX(lista_dias,WEEKDAY($J446,2)))</f>
        <v/>
      </c>
      <c r="T446" s="5">
        <f>IF($J446="","",IFERROR(INDEX('CALENDARIO'!$C$15:$C$214,MATCH(TEXT($J446,"yyyy-mm-dd")&amp;"|"&amp;$X446&amp;"|"&amp;$Y446,'CALENDARIO'!$G$15:$G$214,0)),IFERROR(INDEX('CALENDARIO'!$C$15:$C$214,MATCH(TEXT($J446,"yyyy-mm-dd")&amp;"|"&amp;$X446&amp;"|",'CALENDARIO'!$G$15:$G$214,0)),IFERROR(INDEX('CALENDARIO'!$C$15:$C$214,MATCH(TEXT($J446,"yyyy-mm-dd")&amp;"||",'CALENDARIO'!$G$15:$G$214,0)),INDEX(patronHabil,WEEKDAY($J446,2))))))</f>
        <v/>
      </c>
      <c r="U446" s="5">
        <f>IF($I446="","",IFERROR(INDEX('CAT_TIPOS_OT'!$C$4:$C$8,MATCH($I446,'CAT_TIPOS_OT'!$A$4:$A$8,0)),"sin_clasificar"))</f>
        <v/>
      </c>
      <c r="V446" s="5">
        <f>IF($I446="","",IF(IFERROR(INDEX('CAT_TIPOS_OT'!$D$4:$D$8,MATCH($I446,'CAT_TIPOS_OT'!$A$4:$A$8,0)),"SIN CLASIFICAR")="","SIN CLASIFICAR",IFERROR(INDEX('CAT_TIPOS_OT'!$D$4:$D$8,MATCH($I446,'CAT_TIPOS_OT'!$A$4:$A$8,0)),"SIN CLASIFICAR")))</f>
        <v/>
      </c>
      <c r="W446" s="5">
        <f>IF($F446="","",IFERROR(INDEX('CAT_CENTROS_COSTO'!$F$4:$F$13,MATCH($F446,'CAT_CENTROS_COSTO'!$A$4:$A$13,0)),"(sin catálogo)"))</f>
        <v/>
      </c>
      <c r="X446" s="5">
        <f>IF($F446="","",IFERROR(INDEX('CAT_CENTROS_COSTO'!$D$4:$D$13,MATCH($F446,'CAT_CENTROS_COSTO'!$A$4:$A$13,0)),"(sin catálogo)"))</f>
        <v/>
      </c>
      <c r="Y446" s="5">
        <f>IF($F446="","",IF((IFERROR(INDEX('CAT_CENTROS_COSTO'!$E$4:$E$13,MATCH($F446,'CAT_CENTROS_COSTO'!$A$4:$A$13,0)),""))&lt;&gt;"",IFERROR(INDEX('CAT_CENTROS_COSTO'!$E$4:$E$13,MATCH($F446,'CAT_CENTROS_COSTO'!$A$4:$A$13,0)),""),$X446))</f>
        <v/>
      </c>
      <c r="Z446" s="5">
        <f>IF($F446="","",IFERROR(INDEX('CAT_CENTROS_COSTO'!$G$4:$G$13,MATCH($F446,'CAT_CENTROS_COSTO'!$A$4:$A$13,0)),"(sin catálogo)"))</f>
        <v/>
      </c>
      <c r="AA446" s="5">
        <f>IF($G446="","",IFERROR(INDEX('CAT_PUESTOS'!$B$4:$B$8,MATCH($G446,'CAT_PUESTOS'!$A$4:$A$8,0)),"(sin catálogo)"))</f>
        <v/>
      </c>
      <c r="AB446" s="5">
        <f>IF($H446="","",IFERROR(INDEX('CAT_ACTIVIDADES'!$B$4:$B$11,MATCH($H446,'CAT_ACTIVIDADES'!$A$4:$A$11,0)),"(sin catálogo)"))</f>
        <v/>
      </c>
      <c r="AC446" s="20">
        <f>IF($J446="","",TODAY()-$J446)</f>
        <v/>
      </c>
      <c r="AD446" s="20">
        <f>IF($J446="","",IF($J446&lt;=TODAY(),COUNTIFS(cal_fechas,"&gt;="&amp;$J446,cal_fechas,"&lt;"&amp;TODAY(),cal_habil,"sí"),-COUNTIFS(cal_fechas,"&gt;="&amp;TODAY(),cal_fechas,"&lt;"&amp;$J446,cal_habil,"sí")))</f>
        <v/>
      </c>
      <c r="AE446" s="5">
        <f>IF($AD446="","",IF($AD446&lt;0,"FUTURO",IF($AD446&gt;p_dias_backlog_max,"BACKLOG","MES CORRIENTE")))</f>
        <v/>
      </c>
      <c r="AF446" s="5">
        <f>IF($AD446="",FALSE,AND($AD446&gt;p_dias_backlog_min,$AD446&lt;=p_dias_backlog_max))</f>
        <v/>
      </c>
      <c r="AG446" s="4" t="n"/>
      <c r="AH446" s="5">
        <f>IF($AG446="","",IF((IFERROR(INDEX('ASIGNACIONES'!$J$4:$J$451,MATCH($O446&amp;"|"&amp;$S446&amp;"|"&amp;$AG446,'ASIGNACIONES'!$N$4:$N$451,0)),""))=0,"",IFERROR(INDEX('ASIGNACIONES'!$J$4:$J$451,MATCH($O446&amp;"|"&amp;$S446&amp;"|"&amp;$AG446,'ASIGNACIONES'!$N$4:$N$451,0)),"")))</f>
        <v/>
      </c>
      <c r="AI446" s="25">
        <f>IF($AG446="","",SUMIFS('ORDENES'!$M$4:$M$1203,'ORDENES'!$AG$4:$AG$1203,$AG446,'ORDENES'!$O$4:$O$1203,$O446,'ORDENES'!$S$4:$S$1203,$S446))</f>
        <v/>
      </c>
      <c r="AJ446" s="25">
        <f>IF($AI446="","",p_factor_productividad*IFERROR(INDEX('ASIGNACIONES'!$M$4:$M$451,MATCH($O446&amp;"|"&amp;$S446&amp;"|"&amp;$AG446,'ASIGNACIONES'!$N$4:$N$451,0)),0)-$AI446)</f>
        <v/>
      </c>
      <c r="AK446" s="18">
        <f>IF($A446="","",IFERROR(INDEX('2_IMPORTAR_EJECUCION'!$F$9:$F$1208,MATCH($AT446,'2_IMPORTAR_EJECUCION'!$J$9:$J$1208,0)),0))</f>
        <v/>
      </c>
      <c r="AL446" s="18">
        <f>IF($A446="","",MAX(0,IFERROR(INDEX('2_IMPORTAR_EJECUCION'!$H$9:$H$1208,MATCH($AT446,'2_IMPORTAR_EJECUCION'!$J$9:$J$1208,0)),0)-$AK446))</f>
        <v/>
      </c>
      <c r="AM446" s="18">
        <f>IF($A446="","",$AK446+$AL446)</f>
        <v/>
      </c>
      <c r="AN446" s="5">
        <f>IF($A446="","",IF(OR((IFERROR(INDEX('CAT_ACTIVIDADES'!$D$4:$D$11,MATCH($H446,'CAT_ACTIVIDADES'!$A$4:$A$11,0)),""))=0,(IFERROR(INDEX('CAT_ACTIVIDADES'!$D$4:$D$11,MATCH($H446,'CAT_ACTIVIDADES'!$A$4:$A$11,0)),""))=""),"SIN CLASIFICAR",IFERROR(INDEX('CAT_ACTIVIDADES'!$D$4:$D$11,MATCH($H446,'CAT_ACTIVIDADES'!$A$4:$A$11,0)),"")))</f>
        <v/>
      </c>
      <c r="AO446" s="4" t="n"/>
      <c r="AP446" s="4" t="n"/>
      <c r="AQ446" s="4" t="n"/>
      <c r="AR446" s="5">
        <f>IF($AQ446="","",HYPERLINK(p_ruta_base_checklists&amp;$AQ446,"abrir"))</f>
        <v/>
      </c>
      <c r="AS446" s="4" t="n"/>
      <c r="AT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2" t="n"/>
      <c r="K447" s="5" t="n"/>
      <c r="L447" s="18" t="n"/>
      <c r="M447" s="5">
        <f>IF($A447="","",IFERROR(INDEX('AJUSTES'!$B$4:$B$303,MATCH($AT447,'AJUSTES'!$A$4:$A$303,0)),IF($K447="","",$K447)))</f>
        <v/>
      </c>
      <c r="N447" s="5">
        <f>IF($A447="","",IFERROR(INDEX('CAT_ESTADOS_ERP'!$B$4:$B$7,MATCH(IFERROR(INDEX('2_IMPORTAR_EJECUCION'!$C$9:$C$1208,MATCH($AT447,'2_IMPORTAR_EJECUCION'!$J$9:$J$1208,0)),""),'CAT_ESTADOS_ERP'!$A$4:$A$7,0)),"Pendiente"))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IF($J447="","",$P447&amp;"-"&amp;TEXT($Q447,"00"))</f>
        <v/>
      </c>
      <c r="S447" s="5">
        <f>IF($J447="","",INDEX(lista_dias,WEEKDAY($J447,2)))</f>
        <v/>
      </c>
      <c r="T447" s="5">
        <f>IF($J447="","",IFERROR(INDEX('CALENDARIO'!$C$15:$C$214,MATCH(TEXT($J447,"yyyy-mm-dd")&amp;"|"&amp;$X447&amp;"|"&amp;$Y447,'CALENDARIO'!$G$15:$G$214,0)),IFERROR(INDEX('CALENDARIO'!$C$15:$C$214,MATCH(TEXT($J447,"yyyy-mm-dd")&amp;"|"&amp;$X447&amp;"|",'CALENDARIO'!$G$15:$G$214,0)),IFERROR(INDEX('CALENDARIO'!$C$15:$C$214,MATCH(TEXT($J447,"yyyy-mm-dd")&amp;"||",'CALENDARIO'!$G$15:$G$214,0)),INDEX(patronHabil,WEEKDAY($J447,2))))))</f>
        <v/>
      </c>
      <c r="U447" s="5">
        <f>IF($I447="","",IFERROR(INDEX('CAT_TIPOS_OT'!$C$4:$C$8,MATCH($I447,'CAT_TIPOS_OT'!$A$4:$A$8,0)),"sin_clasificar"))</f>
        <v/>
      </c>
      <c r="V447" s="5">
        <f>IF($I447="","",IF(IFERROR(INDEX('CAT_TIPOS_OT'!$D$4:$D$8,MATCH($I447,'CAT_TIPOS_OT'!$A$4:$A$8,0)),"SIN CLASIFICAR")="","SIN CLASIFICAR",IFERROR(INDEX('CAT_TIPOS_OT'!$D$4:$D$8,MATCH($I447,'CAT_TIPOS_OT'!$A$4:$A$8,0)),"SIN CLASIFICAR")))</f>
        <v/>
      </c>
      <c r="W447" s="5">
        <f>IF($F447="","",IFERROR(INDEX('CAT_CENTROS_COSTO'!$F$4:$F$13,MATCH($F447,'CAT_CENTROS_COSTO'!$A$4:$A$13,0)),"(sin catálogo)"))</f>
        <v/>
      </c>
      <c r="X447" s="5">
        <f>IF($F447="","",IFERROR(INDEX('CAT_CENTROS_COSTO'!$D$4:$D$13,MATCH($F447,'CAT_CENTROS_COSTO'!$A$4:$A$13,0)),"(sin catálogo)"))</f>
        <v/>
      </c>
      <c r="Y447" s="5">
        <f>IF($F447="","",IF((IFERROR(INDEX('CAT_CENTROS_COSTO'!$E$4:$E$13,MATCH($F447,'CAT_CENTROS_COSTO'!$A$4:$A$13,0)),""))&lt;&gt;"",IFERROR(INDEX('CAT_CENTROS_COSTO'!$E$4:$E$13,MATCH($F447,'CAT_CENTROS_COSTO'!$A$4:$A$13,0)),""),$X447))</f>
        <v/>
      </c>
      <c r="Z447" s="5">
        <f>IF($F447="","",IFERROR(INDEX('CAT_CENTROS_COSTO'!$G$4:$G$13,MATCH($F447,'CAT_CENTROS_COSTO'!$A$4:$A$13,0)),"(sin catálogo)"))</f>
        <v/>
      </c>
      <c r="AA447" s="5">
        <f>IF($G447="","",IFERROR(INDEX('CAT_PUESTOS'!$B$4:$B$8,MATCH($G447,'CAT_PUESTOS'!$A$4:$A$8,0)),"(sin catálogo)"))</f>
        <v/>
      </c>
      <c r="AB447" s="5">
        <f>IF($H447="","",IFERROR(INDEX('CAT_ACTIVIDADES'!$B$4:$B$11,MATCH($H447,'CAT_ACTIVIDADES'!$A$4:$A$11,0)),"(sin catálogo)"))</f>
        <v/>
      </c>
      <c r="AC447" s="20">
        <f>IF($J447="","",TODAY()-$J447)</f>
        <v/>
      </c>
      <c r="AD447" s="20">
        <f>IF($J447="","",IF($J447&lt;=TODAY(),COUNTIFS(cal_fechas,"&gt;="&amp;$J447,cal_fechas,"&lt;"&amp;TODAY(),cal_habil,"sí"),-COUNTIFS(cal_fechas,"&gt;="&amp;TODAY(),cal_fechas,"&lt;"&amp;$J447,cal_habil,"sí")))</f>
        <v/>
      </c>
      <c r="AE447" s="5">
        <f>IF($AD447="","",IF($AD447&lt;0,"FUTURO",IF($AD447&gt;p_dias_backlog_max,"BACKLOG","MES CORRIENTE")))</f>
        <v/>
      </c>
      <c r="AF447" s="5">
        <f>IF($AD447="",FALSE,AND($AD447&gt;p_dias_backlog_min,$AD447&lt;=p_dias_backlog_max))</f>
        <v/>
      </c>
      <c r="AG447" s="4" t="n"/>
      <c r="AH447" s="5">
        <f>IF($AG447="","",IF((IFERROR(INDEX('ASIGNACIONES'!$J$4:$J$451,MATCH($O447&amp;"|"&amp;$S447&amp;"|"&amp;$AG447,'ASIGNACIONES'!$N$4:$N$451,0)),""))=0,"",IFERROR(INDEX('ASIGNACIONES'!$J$4:$J$451,MATCH($O447&amp;"|"&amp;$S447&amp;"|"&amp;$AG447,'ASIGNACIONES'!$N$4:$N$451,0)),"")))</f>
        <v/>
      </c>
      <c r="AI447" s="25">
        <f>IF($AG447="","",SUMIFS('ORDENES'!$M$4:$M$1203,'ORDENES'!$AG$4:$AG$1203,$AG447,'ORDENES'!$O$4:$O$1203,$O447,'ORDENES'!$S$4:$S$1203,$S447))</f>
        <v/>
      </c>
      <c r="AJ447" s="25">
        <f>IF($AI447="","",p_factor_productividad*IFERROR(INDEX('ASIGNACIONES'!$M$4:$M$451,MATCH($O447&amp;"|"&amp;$S447&amp;"|"&amp;$AG447,'ASIGNACIONES'!$N$4:$N$451,0)),0)-$AI447)</f>
        <v/>
      </c>
      <c r="AK447" s="18">
        <f>IF($A447="","",IFERROR(INDEX('2_IMPORTAR_EJECUCION'!$F$9:$F$1208,MATCH($AT447,'2_IMPORTAR_EJECUCION'!$J$9:$J$1208,0)),0))</f>
        <v/>
      </c>
      <c r="AL447" s="18">
        <f>IF($A447="","",MAX(0,IFERROR(INDEX('2_IMPORTAR_EJECUCION'!$H$9:$H$1208,MATCH($AT447,'2_IMPORTAR_EJECUCION'!$J$9:$J$1208,0)),0)-$AK447))</f>
        <v/>
      </c>
      <c r="AM447" s="18">
        <f>IF($A447="","",$AK447+$AL447)</f>
        <v/>
      </c>
      <c r="AN447" s="5">
        <f>IF($A447="","",IF(OR((IFERROR(INDEX('CAT_ACTIVIDADES'!$D$4:$D$11,MATCH($H447,'CAT_ACTIVIDADES'!$A$4:$A$11,0)),""))=0,(IFERROR(INDEX('CAT_ACTIVIDADES'!$D$4:$D$11,MATCH($H447,'CAT_ACTIVIDADES'!$A$4:$A$11,0)),""))=""),"SIN CLASIFICAR",IFERROR(INDEX('CAT_ACTIVIDADES'!$D$4:$D$11,MATCH($H447,'CAT_ACTIVIDADES'!$A$4:$A$11,0)),"")))</f>
        <v/>
      </c>
      <c r="AO447" s="4" t="n"/>
      <c r="AP447" s="4" t="n"/>
      <c r="AQ447" s="4" t="n"/>
      <c r="AR447" s="5">
        <f>IF($AQ447="","",HYPERLINK(p_ruta_base_checklists&amp;$AQ447,"abrir"))</f>
        <v/>
      </c>
      <c r="AS447" s="4" t="n"/>
      <c r="AT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2" t="n"/>
      <c r="K448" s="5" t="n"/>
      <c r="L448" s="18" t="n"/>
      <c r="M448" s="5">
        <f>IF($A448="","",IFERROR(INDEX('AJUSTES'!$B$4:$B$303,MATCH($AT448,'AJUSTES'!$A$4:$A$303,0)),IF($K448="","",$K448)))</f>
        <v/>
      </c>
      <c r="N448" s="5">
        <f>IF($A448="","",IFERROR(INDEX('CAT_ESTADOS_ERP'!$B$4:$B$7,MATCH(IFERROR(INDEX('2_IMPORTAR_EJECUCION'!$C$9:$C$1208,MATCH($AT448,'2_IMPORTAR_EJECUCION'!$J$9:$J$1208,0)),""),'CAT_ESTADOS_ERP'!$A$4:$A$7,0)),"Pendiente"))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IF($J448="","",$P448&amp;"-"&amp;TEXT($Q448,"00"))</f>
        <v/>
      </c>
      <c r="S448" s="5">
        <f>IF($J448="","",INDEX(lista_dias,WEEKDAY($J448,2)))</f>
        <v/>
      </c>
      <c r="T448" s="5">
        <f>IF($J448="","",IFERROR(INDEX('CALENDARIO'!$C$15:$C$214,MATCH(TEXT($J448,"yyyy-mm-dd")&amp;"|"&amp;$X448&amp;"|"&amp;$Y448,'CALENDARIO'!$G$15:$G$214,0)),IFERROR(INDEX('CALENDARIO'!$C$15:$C$214,MATCH(TEXT($J448,"yyyy-mm-dd")&amp;"|"&amp;$X448&amp;"|",'CALENDARIO'!$G$15:$G$214,0)),IFERROR(INDEX('CALENDARIO'!$C$15:$C$214,MATCH(TEXT($J448,"yyyy-mm-dd")&amp;"||",'CALENDARIO'!$G$15:$G$214,0)),INDEX(patronHabil,WEEKDAY($J448,2))))))</f>
        <v/>
      </c>
      <c r="U448" s="5">
        <f>IF($I448="","",IFERROR(INDEX('CAT_TIPOS_OT'!$C$4:$C$8,MATCH($I448,'CAT_TIPOS_OT'!$A$4:$A$8,0)),"sin_clasificar"))</f>
        <v/>
      </c>
      <c r="V448" s="5">
        <f>IF($I448="","",IF(IFERROR(INDEX('CAT_TIPOS_OT'!$D$4:$D$8,MATCH($I448,'CAT_TIPOS_OT'!$A$4:$A$8,0)),"SIN CLASIFICAR")="","SIN CLASIFICAR",IFERROR(INDEX('CAT_TIPOS_OT'!$D$4:$D$8,MATCH($I448,'CAT_TIPOS_OT'!$A$4:$A$8,0)),"SIN CLASIFICAR")))</f>
        <v/>
      </c>
      <c r="W448" s="5">
        <f>IF($F448="","",IFERROR(INDEX('CAT_CENTROS_COSTO'!$F$4:$F$13,MATCH($F448,'CAT_CENTROS_COSTO'!$A$4:$A$13,0)),"(sin catálogo)"))</f>
        <v/>
      </c>
      <c r="X448" s="5">
        <f>IF($F448="","",IFERROR(INDEX('CAT_CENTROS_COSTO'!$D$4:$D$13,MATCH($F448,'CAT_CENTROS_COSTO'!$A$4:$A$13,0)),"(sin catálogo)"))</f>
        <v/>
      </c>
      <c r="Y448" s="5">
        <f>IF($F448="","",IF((IFERROR(INDEX('CAT_CENTROS_COSTO'!$E$4:$E$13,MATCH($F448,'CAT_CENTROS_COSTO'!$A$4:$A$13,0)),""))&lt;&gt;"",IFERROR(INDEX('CAT_CENTROS_COSTO'!$E$4:$E$13,MATCH($F448,'CAT_CENTROS_COSTO'!$A$4:$A$13,0)),""),$X448))</f>
        <v/>
      </c>
      <c r="Z448" s="5">
        <f>IF($F448="","",IFERROR(INDEX('CAT_CENTROS_COSTO'!$G$4:$G$13,MATCH($F448,'CAT_CENTROS_COSTO'!$A$4:$A$13,0)),"(sin catálogo)"))</f>
        <v/>
      </c>
      <c r="AA448" s="5">
        <f>IF($G448="","",IFERROR(INDEX('CAT_PUESTOS'!$B$4:$B$8,MATCH($G448,'CAT_PUESTOS'!$A$4:$A$8,0)),"(sin catálogo)"))</f>
        <v/>
      </c>
      <c r="AB448" s="5">
        <f>IF($H448="","",IFERROR(INDEX('CAT_ACTIVIDADES'!$B$4:$B$11,MATCH($H448,'CAT_ACTIVIDADES'!$A$4:$A$11,0)),"(sin catálogo)"))</f>
        <v/>
      </c>
      <c r="AC448" s="20">
        <f>IF($J448="","",TODAY()-$J448)</f>
        <v/>
      </c>
      <c r="AD448" s="20">
        <f>IF($J448="","",IF($J448&lt;=TODAY(),COUNTIFS(cal_fechas,"&gt;="&amp;$J448,cal_fechas,"&lt;"&amp;TODAY(),cal_habil,"sí"),-COUNTIFS(cal_fechas,"&gt;="&amp;TODAY(),cal_fechas,"&lt;"&amp;$J448,cal_habil,"sí")))</f>
        <v/>
      </c>
      <c r="AE448" s="5">
        <f>IF($AD448="","",IF($AD448&lt;0,"FUTURO",IF($AD448&gt;p_dias_backlog_max,"BACKLOG","MES CORRIENTE")))</f>
        <v/>
      </c>
      <c r="AF448" s="5">
        <f>IF($AD448="",FALSE,AND($AD448&gt;p_dias_backlog_min,$AD448&lt;=p_dias_backlog_max))</f>
        <v/>
      </c>
      <c r="AG448" s="4" t="n"/>
      <c r="AH448" s="5">
        <f>IF($AG448="","",IF((IFERROR(INDEX('ASIGNACIONES'!$J$4:$J$451,MATCH($O448&amp;"|"&amp;$S448&amp;"|"&amp;$AG448,'ASIGNACIONES'!$N$4:$N$451,0)),""))=0,"",IFERROR(INDEX('ASIGNACIONES'!$J$4:$J$451,MATCH($O448&amp;"|"&amp;$S448&amp;"|"&amp;$AG448,'ASIGNACIONES'!$N$4:$N$451,0)),"")))</f>
        <v/>
      </c>
      <c r="AI448" s="25">
        <f>IF($AG448="","",SUMIFS('ORDENES'!$M$4:$M$1203,'ORDENES'!$AG$4:$AG$1203,$AG448,'ORDENES'!$O$4:$O$1203,$O448,'ORDENES'!$S$4:$S$1203,$S448))</f>
        <v/>
      </c>
      <c r="AJ448" s="25">
        <f>IF($AI448="","",p_factor_productividad*IFERROR(INDEX('ASIGNACIONES'!$M$4:$M$451,MATCH($O448&amp;"|"&amp;$S448&amp;"|"&amp;$AG448,'ASIGNACIONES'!$N$4:$N$451,0)),0)-$AI448)</f>
        <v/>
      </c>
      <c r="AK448" s="18">
        <f>IF($A448="","",IFERROR(INDEX('2_IMPORTAR_EJECUCION'!$F$9:$F$1208,MATCH($AT448,'2_IMPORTAR_EJECUCION'!$J$9:$J$1208,0)),0))</f>
        <v/>
      </c>
      <c r="AL448" s="18">
        <f>IF($A448="","",MAX(0,IFERROR(INDEX('2_IMPORTAR_EJECUCION'!$H$9:$H$1208,MATCH($AT448,'2_IMPORTAR_EJECUCION'!$J$9:$J$1208,0)),0)-$AK448))</f>
        <v/>
      </c>
      <c r="AM448" s="18">
        <f>IF($A448="","",$AK448+$AL448)</f>
        <v/>
      </c>
      <c r="AN448" s="5">
        <f>IF($A448="","",IF(OR((IFERROR(INDEX('CAT_ACTIVIDADES'!$D$4:$D$11,MATCH($H448,'CAT_ACTIVIDADES'!$A$4:$A$11,0)),""))=0,(IFERROR(INDEX('CAT_ACTIVIDADES'!$D$4:$D$11,MATCH($H448,'CAT_ACTIVIDADES'!$A$4:$A$11,0)),""))=""),"SIN CLASIFICAR",IFERROR(INDEX('CAT_ACTIVIDADES'!$D$4:$D$11,MATCH($H448,'CAT_ACTIVIDADES'!$A$4:$A$11,0)),"")))</f>
        <v/>
      </c>
      <c r="AO448" s="4" t="n"/>
      <c r="AP448" s="4" t="n"/>
      <c r="AQ448" s="4" t="n"/>
      <c r="AR448" s="5">
        <f>IF($AQ448="","",HYPERLINK(p_ruta_base_checklists&amp;$AQ448,"abrir"))</f>
        <v/>
      </c>
      <c r="AS448" s="4" t="n"/>
      <c r="AT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2" t="n"/>
      <c r="K449" s="5" t="n"/>
      <c r="L449" s="18" t="n"/>
      <c r="M449" s="5">
        <f>IF($A449="","",IFERROR(INDEX('AJUSTES'!$B$4:$B$303,MATCH($AT449,'AJUSTES'!$A$4:$A$303,0)),IF($K449="","",$K449)))</f>
        <v/>
      </c>
      <c r="N449" s="5">
        <f>IF($A449="","",IFERROR(INDEX('CAT_ESTADOS_ERP'!$B$4:$B$7,MATCH(IFERROR(INDEX('2_IMPORTAR_EJECUCION'!$C$9:$C$1208,MATCH($AT449,'2_IMPORTAR_EJECUCION'!$J$9:$J$1208,0)),""),'CAT_ESTADOS_ERP'!$A$4:$A$7,0)),"Pendiente"))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IF($J449="","",$P449&amp;"-"&amp;TEXT($Q449,"00"))</f>
        <v/>
      </c>
      <c r="S449" s="5">
        <f>IF($J449="","",INDEX(lista_dias,WEEKDAY($J449,2)))</f>
        <v/>
      </c>
      <c r="T449" s="5">
        <f>IF($J449="","",IFERROR(INDEX('CALENDARIO'!$C$15:$C$214,MATCH(TEXT($J449,"yyyy-mm-dd")&amp;"|"&amp;$X449&amp;"|"&amp;$Y449,'CALENDARIO'!$G$15:$G$214,0)),IFERROR(INDEX('CALENDARIO'!$C$15:$C$214,MATCH(TEXT($J449,"yyyy-mm-dd")&amp;"|"&amp;$X449&amp;"|",'CALENDARIO'!$G$15:$G$214,0)),IFERROR(INDEX('CALENDARIO'!$C$15:$C$214,MATCH(TEXT($J449,"yyyy-mm-dd")&amp;"||",'CALENDARIO'!$G$15:$G$214,0)),INDEX(patronHabil,WEEKDAY($J449,2))))))</f>
        <v/>
      </c>
      <c r="U449" s="5">
        <f>IF($I449="","",IFERROR(INDEX('CAT_TIPOS_OT'!$C$4:$C$8,MATCH($I449,'CAT_TIPOS_OT'!$A$4:$A$8,0)),"sin_clasificar"))</f>
        <v/>
      </c>
      <c r="V449" s="5">
        <f>IF($I449="","",IF(IFERROR(INDEX('CAT_TIPOS_OT'!$D$4:$D$8,MATCH($I449,'CAT_TIPOS_OT'!$A$4:$A$8,0)),"SIN CLASIFICAR")="","SIN CLASIFICAR",IFERROR(INDEX('CAT_TIPOS_OT'!$D$4:$D$8,MATCH($I449,'CAT_TIPOS_OT'!$A$4:$A$8,0)),"SIN CLASIFICAR")))</f>
        <v/>
      </c>
      <c r="W449" s="5">
        <f>IF($F449="","",IFERROR(INDEX('CAT_CENTROS_COSTO'!$F$4:$F$13,MATCH($F449,'CAT_CENTROS_COSTO'!$A$4:$A$13,0)),"(sin catálogo)"))</f>
        <v/>
      </c>
      <c r="X449" s="5">
        <f>IF($F449="","",IFERROR(INDEX('CAT_CENTROS_COSTO'!$D$4:$D$13,MATCH($F449,'CAT_CENTROS_COSTO'!$A$4:$A$13,0)),"(sin catálogo)"))</f>
        <v/>
      </c>
      <c r="Y449" s="5">
        <f>IF($F449="","",IF((IFERROR(INDEX('CAT_CENTROS_COSTO'!$E$4:$E$13,MATCH($F449,'CAT_CENTROS_COSTO'!$A$4:$A$13,0)),""))&lt;&gt;"",IFERROR(INDEX('CAT_CENTROS_COSTO'!$E$4:$E$13,MATCH($F449,'CAT_CENTROS_COSTO'!$A$4:$A$13,0)),""),$X449))</f>
        <v/>
      </c>
      <c r="Z449" s="5">
        <f>IF($F449="","",IFERROR(INDEX('CAT_CENTROS_COSTO'!$G$4:$G$13,MATCH($F449,'CAT_CENTROS_COSTO'!$A$4:$A$13,0)),"(sin catálogo)"))</f>
        <v/>
      </c>
      <c r="AA449" s="5">
        <f>IF($G449="","",IFERROR(INDEX('CAT_PUESTOS'!$B$4:$B$8,MATCH($G449,'CAT_PUESTOS'!$A$4:$A$8,0)),"(sin catálogo)"))</f>
        <v/>
      </c>
      <c r="AB449" s="5">
        <f>IF($H449="","",IFERROR(INDEX('CAT_ACTIVIDADES'!$B$4:$B$11,MATCH($H449,'CAT_ACTIVIDADES'!$A$4:$A$11,0)),"(sin catálogo)"))</f>
        <v/>
      </c>
      <c r="AC449" s="20">
        <f>IF($J449="","",TODAY()-$J449)</f>
        <v/>
      </c>
      <c r="AD449" s="20">
        <f>IF($J449="","",IF($J449&lt;=TODAY(),COUNTIFS(cal_fechas,"&gt;="&amp;$J449,cal_fechas,"&lt;"&amp;TODAY(),cal_habil,"sí"),-COUNTIFS(cal_fechas,"&gt;="&amp;TODAY(),cal_fechas,"&lt;"&amp;$J449,cal_habil,"sí")))</f>
        <v/>
      </c>
      <c r="AE449" s="5">
        <f>IF($AD449="","",IF($AD449&lt;0,"FUTURO",IF($AD449&gt;p_dias_backlog_max,"BACKLOG","MES CORRIENTE")))</f>
        <v/>
      </c>
      <c r="AF449" s="5">
        <f>IF($AD449="",FALSE,AND($AD449&gt;p_dias_backlog_min,$AD449&lt;=p_dias_backlog_max))</f>
        <v/>
      </c>
      <c r="AG449" s="4" t="n"/>
      <c r="AH449" s="5">
        <f>IF($AG449="","",IF((IFERROR(INDEX('ASIGNACIONES'!$J$4:$J$451,MATCH($O449&amp;"|"&amp;$S449&amp;"|"&amp;$AG449,'ASIGNACIONES'!$N$4:$N$451,0)),""))=0,"",IFERROR(INDEX('ASIGNACIONES'!$J$4:$J$451,MATCH($O449&amp;"|"&amp;$S449&amp;"|"&amp;$AG449,'ASIGNACIONES'!$N$4:$N$451,0)),"")))</f>
        <v/>
      </c>
      <c r="AI449" s="25">
        <f>IF($AG449="","",SUMIFS('ORDENES'!$M$4:$M$1203,'ORDENES'!$AG$4:$AG$1203,$AG449,'ORDENES'!$O$4:$O$1203,$O449,'ORDENES'!$S$4:$S$1203,$S449))</f>
        <v/>
      </c>
      <c r="AJ449" s="25">
        <f>IF($AI449="","",p_factor_productividad*IFERROR(INDEX('ASIGNACIONES'!$M$4:$M$451,MATCH($O449&amp;"|"&amp;$S449&amp;"|"&amp;$AG449,'ASIGNACIONES'!$N$4:$N$451,0)),0)-$AI449)</f>
        <v/>
      </c>
      <c r="AK449" s="18">
        <f>IF($A449="","",IFERROR(INDEX('2_IMPORTAR_EJECUCION'!$F$9:$F$1208,MATCH($AT449,'2_IMPORTAR_EJECUCION'!$J$9:$J$1208,0)),0))</f>
        <v/>
      </c>
      <c r="AL449" s="18">
        <f>IF($A449="","",MAX(0,IFERROR(INDEX('2_IMPORTAR_EJECUCION'!$H$9:$H$1208,MATCH($AT449,'2_IMPORTAR_EJECUCION'!$J$9:$J$1208,0)),0)-$AK449))</f>
        <v/>
      </c>
      <c r="AM449" s="18">
        <f>IF($A449="","",$AK449+$AL449)</f>
        <v/>
      </c>
      <c r="AN449" s="5">
        <f>IF($A449="","",IF(OR((IFERROR(INDEX('CAT_ACTIVIDADES'!$D$4:$D$11,MATCH($H449,'CAT_ACTIVIDADES'!$A$4:$A$11,0)),""))=0,(IFERROR(INDEX('CAT_ACTIVIDADES'!$D$4:$D$11,MATCH($H449,'CAT_ACTIVIDADES'!$A$4:$A$11,0)),""))=""),"SIN CLASIFICAR",IFERROR(INDEX('CAT_ACTIVIDADES'!$D$4:$D$11,MATCH($H449,'CAT_ACTIVIDADES'!$A$4:$A$11,0)),"")))</f>
        <v/>
      </c>
      <c r="AO449" s="4" t="n"/>
      <c r="AP449" s="4" t="n"/>
      <c r="AQ449" s="4" t="n"/>
      <c r="AR449" s="5">
        <f>IF($AQ449="","",HYPERLINK(p_ruta_base_checklists&amp;$AQ449,"abrir"))</f>
        <v/>
      </c>
      <c r="AS449" s="4" t="n"/>
      <c r="AT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2" t="n"/>
      <c r="K450" s="5" t="n"/>
      <c r="L450" s="18" t="n"/>
      <c r="M450" s="5">
        <f>IF($A450="","",IFERROR(INDEX('AJUSTES'!$B$4:$B$303,MATCH($AT450,'AJUSTES'!$A$4:$A$303,0)),IF($K450="","",$K450)))</f>
        <v/>
      </c>
      <c r="N450" s="5">
        <f>IF($A450="","",IFERROR(INDEX('CAT_ESTADOS_ERP'!$B$4:$B$7,MATCH(IFERROR(INDEX('2_IMPORTAR_EJECUCION'!$C$9:$C$1208,MATCH($AT450,'2_IMPORTAR_EJECUCION'!$J$9:$J$1208,0)),""),'CAT_ESTADOS_ERP'!$A$4:$A$7,0)),"Pendiente"))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IF($J450="","",$P450&amp;"-"&amp;TEXT($Q450,"00"))</f>
        <v/>
      </c>
      <c r="S450" s="5">
        <f>IF($J450="","",INDEX(lista_dias,WEEKDAY($J450,2)))</f>
        <v/>
      </c>
      <c r="T450" s="5">
        <f>IF($J450="","",IFERROR(INDEX('CALENDARIO'!$C$15:$C$214,MATCH(TEXT($J450,"yyyy-mm-dd")&amp;"|"&amp;$X450&amp;"|"&amp;$Y450,'CALENDARIO'!$G$15:$G$214,0)),IFERROR(INDEX('CALENDARIO'!$C$15:$C$214,MATCH(TEXT($J450,"yyyy-mm-dd")&amp;"|"&amp;$X450&amp;"|",'CALENDARIO'!$G$15:$G$214,0)),IFERROR(INDEX('CALENDARIO'!$C$15:$C$214,MATCH(TEXT($J450,"yyyy-mm-dd")&amp;"||",'CALENDARIO'!$G$15:$G$214,0)),INDEX(patronHabil,WEEKDAY($J450,2))))))</f>
        <v/>
      </c>
      <c r="U450" s="5">
        <f>IF($I450="","",IFERROR(INDEX('CAT_TIPOS_OT'!$C$4:$C$8,MATCH($I450,'CAT_TIPOS_OT'!$A$4:$A$8,0)),"sin_clasificar"))</f>
        <v/>
      </c>
      <c r="V450" s="5">
        <f>IF($I450="","",IF(IFERROR(INDEX('CAT_TIPOS_OT'!$D$4:$D$8,MATCH($I450,'CAT_TIPOS_OT'!$A$4:$A$8,0)),"SIN CLASIFICAR")="","SIN CLASIFICAR",IFERROR(INDEX('CAT_TIPOS_OT'!$D$4:$D$8,MATCH($I450,'CAT_TIPOS_OT'!$A$4:$A$8,0)),"SIN CLASIFICAR")))</f>
        <v/>
      </c>
      <c r="W450" s="5">
        <f>IF($F450="","",IFERROR(INDEX('CAT_CENTROS_COSTO'!$F$4:$F$13,MATCH($F450,'CAT_CENTROS_COSTO'!$A$4:$A$13,0)),"(sin catálogo)"))</f>
        <v/>
      </c>
      <c r="X450" s="5">
        <f>IF($F450="","",IFERROR(INDEX('CAT_CENTROS_COSTO'!$D$4:$D$13,MATCH($F450,'CAT_CENTROS_COSTO'!$A$4:$A$13,0)),"(sin catálogo)"))</f>
        <v/>
      </c>
      <c r="Y450" s="5">
        <f>IF($F450="","",IF((IFERROR(INDEX('CAT_CENTROS_COSTO'!$E$4:$E$13,MATCH($F450,'CAT_CENTROS_COSTO'!$A$4:$A$13,0)),""))&lt;&gt;"",IFERROR(INDEX('CAT_CENTROS_COSTO'!$E$4:$E$13,MATCH($F450,'CAT_CENTROS_COSTO'!$A$4:$A$13,0)),""),$X450))</f>
        <v/>
      </c>
      <c r="Z450" s="5">
        <f>IF($F450="","",IFERROR(INDEX('CAT_CENTROS_COSTO'!$G$4:$G$13,MATCH($F450,'CAT_CENTROS_COSTO'!$A$4:$A$13,0)),"(sin catálogo)"))</f>
        <v/>
      </c>
      <c r="AA450" s="5">
        <f>IF($G450="","",IFERROR(INDEX('CAT_PUESTOS'!$B$4:$B$8,MATCH($G450,'CAT_PUESTOS'!$A$4:$A$8,0)),"(sin catálogo)"))</f>
        <v/>
      </c>
      <c r="AB450" s="5">
        <f>IF($H450="","",IFERROR(INDEX('CAT_ACTIVIDADES'!$B$4:$B$11,MATCH($H450,'CAT_ACTIVIDADES'!$A$4:$A$11,0)),"(sin catálogo)"))</f>
        <v/>
      </c>
      <c r="AC450" s="20">
        <f>IF($J450="","",TODAY()-$J450)</f>
        <v/>
      </c>
      <c r="AD450" s="20">
        <f>IF($J450="","",IF($J450&lt;=TODAY(),COUNTIFS(cal_fechas,"&gt;="&amp;$J450,cal_fechas,"&lt;"&amp;TODAY(),cal_habil,"sí"),-COUNTIFS(cal_fechas,"&gt;="&amp;TODAY(),cal_fechas,"&lt;"&amp;$J450,cal_habil,"sí")))</f>
        <v/>
      </c>
      <c r="AE450" s="5">
        <f>IF($AD450="","",IF($AD450&lt;0,"FUTURO",IF($AD450&gt;p_dias_backlog_max,"BACKLOG","MES CORRIENTE")))</f>
        <v/>
      </c>
      <c r="AF450" s="5">
        <f>IF($AD450="",FALSE,AND($AD450&gt;p_dias_backlog_min,$AD450&lt;=p_dias_backlog_max))</f>
        <v/>
      </c>
      <c r="AG450" s="4" t="n"/>
      <c r="AH450" s="5">
        <f>IF($AG450="","",IF((IFERROR(INDEX('ASIGNACIONES'!$J$4:$J$451,MATCH($O450&amp;"|"&amp;$S450&amp;"|"&amp;$AG450,'ASIGNACIONES'!$N$4:$N$451,0)),""))=0,"",IFERROR(INDEX('ASIGNACIONES'!$J$4:$J$451,MATCH($O450&amp;"|"&amp;$S450&amp;"|"&amp;$AG450,'ASIGNACIONES'!$N$4:$N$451,0)),"")))</f>
        <v/>
      </c>
      <c r="AI450" s="25">
        <f>IF($AG450="","",SUMIFS('ORDENES'!$M$4:$M$1203,'ORDENES'!$AG$4:$AG$1203,$AG450,'ORDENES'!$O$4:$O$1203,$O450,'ORDENES'!$S$4:$S$1203,$S450))</f>
        <v/>
      </c>
      <c r="AJ450" s="25">
        <f>IF($AI450="","",p_factor_productividad*IFERROR(INDEX('ASIGNACIONES'!$M$4:$M$451,MATCH($O450&amp;"|"&amp;$S450&amp;"|"&amp;$AG450,'ASIGNACIONES'!$N$4:$N$451,0)),0)-$AI450)</f>
        <v/>
      </c>
      <c r="AK450" s="18">
        <f>IF($A450="","",IFERROR(INDEX('2_IMPORTAR_EJECUCION'!$F$9:$F$1208,MATCH($AT450,'2_IMPORTAR_EJECUCION'!$J$9:$J$1208,0)),0))</f>
        <v/>
      </c>
      <c r="AL450" s="18">
        <f>IF($A450="","",MAX(0,IFERROR(INDEX('2_IMPORTAR_EJECUCION'!$H$9:$H$1208,MATCH($AT450,'2_IMPORTAR_EJECUCION'!$J$9:$J$1208,0)),0)-$AK450))</f>
        <v/>
      </c>
      <c r="AM450" s="18">
        <f>IF($A450="","",$AK450+$AL450)</f>
        <v/>
      </c>
      <c r="AN450" s="5">
        <f>IF($A450="","",IF(OR((IFERROR(INDEX('CAT_ACTIVIDADES'!$D$4:$D$11,MATCH($H450,'CAT_ACTIVIDADES'!$A$4:$A$11,0)),""))=0,(IFERROR(INDEX('CAT_ACTIVIDADES'!$D$4:$D$11,MATCH($H450,'CAT_ACTIVIDADES'!$A$4:$A$11,0)),""))=""),"SIN CLASIFICAR",IFERROR(INDEX('CAT_ACTIVIDADES'!$D$4:$D$11,MATCH($H450,'CAT_ACTIVIDADES'!$A$4:$A$11,0)),"")))</f>
        <v/>
      </c>
      <c r="AO450" s="4" t="n"/>
      <c r="AP450" s="4" t="n"/>
      <c r="AQ450" s="4" t="n"/>
      <c r="AR450" s="5">
        <f>IF($AQ450="","",HYPERLINK(p_ruta_base_checklists&amp;$AQ450,"abrir"))</f>
        <v/>
      </c>
      <c r="AS450" s="4" t="n"/>
      <c r="AT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2" t="n"/>
      <c r="K451" s="5" t="n"/>
      <c r="L451" s="18" t="n"/>
      <c r="M451" s="5">
        <f>IF($A451="","",IFERROR(INDEX('AJUSTES'!$B$4:$B$303,MATCH($AT451,'AJUSTES'!$A$4:$A$303,0)),IF($K451="","",$K451)))</f>
        <v/>
      </c>
      <c r="N451" s="5">
        <f>IF($A451="","",IFERROR(INDEX('CAT_ESTADOS_ERP'!$B$4:$B$7,MATCH(IFERROR(INDEX('2_IMPORTAR_EJECUCION'!$C$9:$C$1208,MATCH($AT451,'2_IMPORTAR_EJECUCION'!$J$9:$J$1208,0)),""),'CAT_ESTADOS_ERP'!$A$4:$A$7,0)),"Pendiente"))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IF($J451="","",$P451&amp;"-"&amp;TEXT($Q451,"00"))</f>
        <v/>
      </c>
      <c r="S451" s="5">
        <f>IF($J451="","",INDEX(lista_dias,WEEKDAY($J451,2)))</f>
        <v/>
      </c>
      <c r="T451" s="5">
        <f>IF($J451="","",IFERROR(INDEX('CALENDARIO'!$C$15:$C$214,MATCH(TEXT($J451,"yyyy-mm-dd")&amp;"|"&amp;$X451&amp;"|"&amp;$Y451,'CALENDARIO'!$G$15:$G$214,0)),IFERROR(INDEX('CALENDARIO'!$C$15:$C$214,MATCH(TEXT($J451,"yyyy-mm-dd")&amp;"|"&amp;$X451&amp;"|",'CALENDARIO'!$G$15:$G$214,0)),IFERROR(INDEX('CALENDARIO'!$C$15:$C$214,MATCH(TEXT($J451,"yyyy-mm-dd")&amp;"||",'CALENDARIO'!$G$15:$G$214,0)),INDEX(patronHabil,WEEKDAY($J451,2))))))</f>
        <v/>
      </c>
      <c r="U451" s="5">
        <f>IF($I451="","",IFERROR(INDEX('CAT_TIPOS_OT'!$C$4:$C$8,MATCH($I451,'CAT_TIPOS_OT'!$A$4:$A$8,0)),"sin_clasificar"))</f>
        <v/>
      </c>
      <c r="V451" s="5">
        <f>IF($I451="","",IF(IFERROR(INDEX('CAT_TIPOS_OT'!$D$4:$D$8,MATCH($I451,'CAT_TIPOS_OT'!$A$4:$A$8,0)),"SIN CLASIFICAR")="","SIN CLASIFICAR",IFERROR(INDEX('CAT_TIPOS_OT'!$D$4:$D$8,MATCH($I451,'CAT_TIPOS_OT'!$A$4:$A$8,0)),"SIN CLASIFICAR")))</f>
        <v/>
      </c>
      <c r="W451" s="5">
        <f>IF($F451="","",IFERROR(INDEX('CAT_CENTROS_COSTO'!$F$4:$F$13,MATCH($F451,'CAT_CENTROS_COSTO'!$A$4:$A$13,0)),"(sin catálogo)"))</f>
        <v/>
      </c>
      <c r="X451" s="5">
        <f>IF($F451="","",IFERROR(INDEX('CAT_CENTROS_COSTO'!$D$4:$D$13,MATCH($F451,'CAT_CENTROS_COSTO'!$A$4:$A$13,0)),"(sin catálogo)"))</f>
        <v/>
      </c>
      <c r="Y451" s="5">
        <f>IF($F451="","",IF((IFERROR(INDEX('CAT_CENTROS_COSTO'!$E$4:$E$13,MATCH($F451,'CAT_CENTROS_COSTO'!$A$4:$A$13,0)),""))&lt;&gt;"",IFERROR(INDEX('CAT_CENTROS_COSTO'!$E$4:$E$13,MATCH($F451,'CAT_CENTROS_COSTO'!$A$4:$A$13,0)),""),$X451))</f>
        <v/>
      </c>
      <c r="Z451" s="5">
        <f>IF($F451="","",IFERROR(INDEX('CAT_CENTROS_COSTO'!$G$4:$G$13,MATCH($F451,'CAT_CENTROS_COSTO'!$A$4:$A$13,0)),"(sin catálogo)"))</f>
        <v/>
      </c>
      <c r="AA451" s="5">
        <f>IF($G451="","",IFERROR(INDEX('CAT_PUESTOS'!$B$4:$B$8,MATCH($G451,'CAT_PUESTOS'!$A$4:$A$8,0)),"(sin catálogo)"))</f>
        <v/>
      </c>
      <c r="AB451" s="5">
        <f>IF($H451="","",IFERROR(INDEX('CAT_ACTIVIDADES'!$B$4:$B$11,MATCH($H451,'CAT_ACTIVIDADES'!$A$4:$A$11,0)),"(sin catálogo)"))</f>
        <v/>
      </c>
      <c r="AC451" s="20">
        <f>IF($J451="","",TODAY()-$J451)</f>
        <v/>
      </c>
      <c r="AD451" s="20">
        <f>IF($J451="","",IF($J451&lt;=TODAY(),COUNTIFS(cal_fechas,"&gt;="&amp;$J451,cal_fechas,"&lt;"&amp;TODAY(),cal_habil,"sí"),-COUNTIFS(cal_fechas,"&gt;="&amp;TODAY(),cal_fechas,"&lt;"&amp;$J451,cal_habil,"sí")))</f>
        <v/>
      </c>
      <c r="AE451" s="5">
        <f>IF($AD451="","",IF($AD451&lt;0,"FUTURO",IF($AD451&gt;p_dias_backlog_max,"BACKLOG","MES CORRIENTE")))</f>
        <v/>
      </c>
      <c r="AF451" s="5">
        <f>IF($AD451="",FALSE,AND($AD451&gt;p_dias_backlog_min,$AD451&lt;=p_dias_backlog_max))</f>
        <v/>
      </c>
      <c r="AG451" s="4" t="n"/>
      <c r="AH451" s="5">
        <f>IF($AG451="","",IF((IFERROR(INDEX('ASIGNACIONES'!$J$4:$J$451,MATCH($O451&amp;"|"&amp;$S451&amp;"|"&amp;$AG451,'ASIGNACIONES'!$N$4:$N$451,0)),""))=0,"",IFERROR(INDEX('ASIGNACIONES'!$J$4:$J$451,MATCH($O451&amp;"|"&amp;$S451&amp;"|"&amp;$AG451,'ASIGNACIONES'!$N$4:$N$451,0)),"")))</f>
        <v/>
      </c>
      <c r="AI451" s="25">
        <f>IF($AG451="","",SUMIFS('ORDENES'!$M$4:$M$1203,'ORDENES'!$AG$4:$AG$1203,$AG451,'ORDENES'!$O$4:$O$1203,$O451,'ORDENES'!$S$4:$S$1203,$S451))</f>
        <v/>
      </c>
      <c r="AJ451" s="25">
        <f>IF($AI451="","",p_factor_productividad*IFERROR(INDEX('ASIGNACIONES'!$M$4:$M$451,MATCH($O451&amp;"|"&amp;$S451&amp;"|"&amp;$AG451,'ASIGNACIONES'!$N$4:$N$451,0)),0)-$AI451)</f>
        <v/>
      </c>
      <c r="AK451" s="18">
        <f>IF($A451="","",IFERROR(INDEX('2_IMPORTAR_EJECUCION'!$F$9:$F$1208,MATCH($AT451,'2_IMPORTAR_EJECUCION'!$J$9:$J$1208,0)),0))</f>
        <v/>
      </c>
      <c r="AL451" s="18">
        <f>IF($A451="","",MAX(0,IFERROR(INDEX('2_IMPORTAR_EJECUCION'!$H$9:$H$1208,MATCH($AT451,'2_IMPORTAR_EJECUCION'!$J$9:$J$1208,0)),0)-$AK451))</f>
        <v/>
      </c>
      <c r="AM451" s="18">
        <f>IF($A451="","",$AK451+$AL451)</f>
        <v/>
      </c>
      <c r="AN451" s="5">
        <f>IF($A451="","",IF(OR((IFERROR(INDEX('CAT_ACTIVIDADES'!$D$4:$D$11,MATCH($H451,'CAT_ACTIVIDADES'!$A$4:$A$11,0)),""))=0,(IFERROR(INDEX('CAT_ACTIVIDADES'!$D$4:$D$11,MATCH($H451,'CAT_ACTIVIDADES'!$A$4:$A$11,0)),""))=""),"SIN CLASIFICAR",IFERROR(INDEX('CAT_ACTIVIDADES'!$D$4:$D$11,MATCH($H451,'CAT_ACTIVIDADES'!$A$4:$A$11,0)),"")))</f>
        <v/>
      </c>
      <c r="AO451" s="4" t="n"/>
      <c r="AP451" s="4" t="n"/>
      <c r="AQ451" s="4" t="n"/>
      <c r="AR451" s="5">
        <f>IF($AQ451="","",HYPERLINK(p_ruta_base_checklists&amp;$AQ451,"abrir"))</f>
        <v/>
      </c>
      <c r="AS451" s="4" t="n"/>
      <c r="AT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2" t="n"/>
      <c r="K452" s="5" t="n"/>
      <c r="L452" s="18" t="n"/>
      <c r="M452" s="5">
        <f>IF($A452="","",IFERROR(INDEX('AJUSTES'!$B$4:$B$303,MATCH($AT452,'AJUSTES'!$A$4:$A$303,0)),IF($K452="","",$K452)))</f>
        <v/>
      </c>
      <c r="N452" s="5">
        <f>IF($A452="","",IFERROR(INDEX('CAT_ESTADOS_ERP'!$B$4:$B$7,MATCH(IFERROR(INDEX('2_IMPORTAR_EJECUCION'!$C$9:$C$1208,MATCH($AT452,'2_IMPORTAR_EJECUCION'!$J$9:$J$1208,0)),""),'CAT_ESTADOS_ERP'!$A$4:$A$7,0)),"Pendiente"))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IF($J452="","",$P452&amp;"-"&amp;TEXT($Q452,"00"))</f>
        <v/>
      </c>
      <c r="S452" s="5">
        <f>IF($J452="","",INDEX(lista_dias,WEEKDAY($J452,2)))</f>
        <v/>
      </c>
      <c r="T452" s="5">
        <f>IF($J452="","",IFERROR(INDEX('CALENDARIO'!$C$15:$C$214,MATCH(TEXT($J452,"yyyy-mm-dd")&amp;"|"&amp;$X452&amp;"|"&amp;$Y452,'CALENDARIO'!$G$15:$G$214,0)),IFERROR(INDEX('CALENDARIO'!$C$15:$C$214,MATCH(TEXT($J452,"yyyy-mm-dd")&amp;"|"&amp;$X452&amp;"|",'CALENDARIO'!$G$15:$G$214,0)),IFERROR(INDEX('CALENDARIO'!$C$15:$C$214,MATCH(TEXT($J452,"yyyy-mm-dd")&amp;"||",'CALENDARIO'!$G$15:$G$214,0)),INDEX(patronHabil,WEEKDAY($J452,2))))))</f>
        <v/>
      </c>
      <c r="U452" s="5">
        <f>IF($I452="","",IFERROR(INDEX('CAT_TIPOS_OT'!$C$4:$C$8,MATCH($I452,'CAT_TIPOS_OT'!$A$4:$A$8,0)),"sin_clasificar"))</f>
        <v/>
      </c>
      <c r="V452" s="5">
        <f>IF($I452="","",IF(IFERROR(INDEX('CAT_TIPOS_OT'!$D$4:$D$8,MATCH($I452,'CAT_TIPOS_OT'!$A$4:$A$8,0)),"SIN CLASIFICAR")="","SIN CLASIFICAR",IFERROR(INDEX('CAT_TIPOS_OT'!$D$4:$D$8,MATCH($I452,'CAT_TIPOS_OT'!$A$4:$A$8,0)),"SIN CLASIFICAR")))</f>
        <v/>
      </c>
      <c r="W452" s="5">
        <f>IF($F452="","",IFERROR(INDEX('CAT_CENTROS_COSTO'!$F$4:$F$13,MATCH($F452,'CAT_CENTROS_COSTO'!$A$4:$A$13,0)),"(sin catálogo)"))</f>
        <v/>
      </c>
      <c r="X452" s="5">
        <f>IF($F452="","",IFERROR(INDEX('CAT_CENTROS_COSTO'!$D$4:$D$13,MATCH($F452,'CAT_CENTROS_COSTO'!$A$4:$A$13,0)),"(sin catálogo)"))</f>
        <v/>
      </c>
      <c r="Y452" s="5">
        <f>IF($F452="","",IF((IFERROR(INDEX('CAT_CENTROS_COSTO'!$E$4:$E$13,MATCH($F452,'CAT_CENTROS_COSTO'!$A$4:$A$13,0)),""))&lt;&gt;"",IFERROR(INDEX('CAT_CENTROS_COSTO'!$E$4:$E$13,MATCH($F452,'CAT_CENTROS_COSTO'!$A$4:$A$13,0)),""),$X452))</f>
        <v/>
      </c>
      <c r="Z452" s="5">
        <f>IF($F452="","",IFERROR(INDEX('CAT_CENTROS_COSTO'!$G$4:$G$13,MATCH($F452,'CAT_CENTROS_COSTO'!$A$4:$A$13,0)),"(sin catálogo)"))</f>
        <v/>
      </c>
      <c r="AA452" s="5">
        <f>IF($G452="","",IFERROR(INDEX('CAT_PUESTOS'!$B$4:$B$8,MATCH($G452,'CAT_PUESTOS'!$A$4:$A$8,0)),"(sin catálogo)"))</f>
        <v/>
      </c>
      <c r="AB452" s="5">
        <f>IF($H452="","",IFERROR(INDEX('CAT_ACTIVIDADES'!$B$4:$B$11,MATCH($H452,'CAT_ACTIVIDADES'!$A$4:$A$11,0)),"(sin catálogo)"))</f>
        <v/>
      </c>
      <c r="AC452" s="20">
        <f>IF($J452="","",TODAY()-$J452)</f>
        <v/>
      </c>
      <c r="AD452" s="20">
        <f>IF($J452="","",IF($J452&lt;=TODAY(),COUNTIFS(cal_fechas,"&gt;="&amp;$J452,cal_fechas,"&lt;"&amp;TODAY(),cal_habil,"sí"),-COUNTIFS(cal_fechas,"&gt;="&amp;TODAY(),cal_fechas,"&lt;"&amp;$J452,cal_habil,"sí")))</f>
        <v/>
      </c>
      <c r="AE452" s="5">
        <f>IF($AD452="","",IF($AD452&lt;0,"FUTURO",IF($AD452&gt;p_dias_backlog_max,"BACKLOG","MES CORRIENTE")))</f>
        <v/>
      </c>
      <c r="AF452" s="5">
        <f>IF($AD452="",FALSE,AND($AD452&gt;p_dias_backlog_min,$AD452&lt;=p_dias_backlog_max))</f>
        <v/>
      </c>
      <c r="AG452" s="4" t="n"/>
      <c r="AH452" s="5">
        <f>IF($AG452="","",IF((IFERROR(INDEX('ASIGNACIONES'!$J$4:$J$451,MATCH($O452&amp;"|"&amp;$S452&amp;"|"&amp;$AG452,'ASIGNACIONES'!$N$4:$N$451,0)),""))=0,"",IFERROR(INDEX('ASIGNACIONES'!$J$4:$J$451,MATCH($O452&amp;"|"&amp;$S452&amp;"|"&amp;$AG452,'ASIGNACIONES'!$N$4:$N$451,0)),"")))</f>
        <v/>
      </c>
      <c r="AI452" s="25">
        <f>IF($AG452="","",SUMIFS('ORDENES'!$M$4:$M$1203,'ORDENES'!$AG$4:$AG$1203,$AG452,'ORDENES'!$O$4:$O$1203,$O452,'ORDENES'!$S$4:$S$1203,$S452))</f>
        <v/>
      </c>
      <c r="AJ452" s="25">
        <f>IF($AI452="","",p_factor_productividad*IFERROR(INDEX('ASIGNACIONES'!$M$4:$M$451,MATCH($O452&amp;"|"&amp;$S452&amp;"|"&amp;$AG452,'ASIGNACIONES'!$N$4:$N$451,0)),0)-$AI452)</f>
        <v/>
      </c>
      <c r="AK452" s="18">
        <f>IF($A452="","",IFERROR(INDEX('2_IMPORTAR_EJECUCION'!$F$9:$F$1208,MATCH($AT452,'2_IMPORTAR_EJECUCION'!$J$9:$J$1208,0)),0))</f>
        <v/>
      </c>
      <c r="AL452" s="18">
        <f>IF($A452="","",MAX(0,IFERROR(INDEX('2_IMPORTAR_EJECUCION'!$H$9:$H$1208,MATCH($AT452,'2_IMPORTAR_EJECUCION'!$J$9:$J$1208,0)),0)-$AK452))</f>
        <v/>
      </c>
      <c r="AM452" s="18">
        <f>IF($A452="","",$AK452+$AL452)</f>
        <v/>
      </c>
      <c r="AN452" s="5">
        <f>IF($A452="","",IF(OR((IFERROR(INDEX('CAT_ACTIVIDADES'!$D$4:$D$11,MATCH($H452,'CAT_ACTIVIDADES'!$A$4:$A$11,0)),""))=0,(IFERROR(INDEX('CAT_ACTIVIDADES'!$D$4:$D$11,MATCH($H452,'CAT_ACTIVIDADES'!$A$4:$A$11,0)),""))=""),"SIN CLASIFICAR",IFERROR(INDEX('CAT_ACTIVIDADES'!$D$4:$D$11,MATCH($H452,'CAT_ACTIVIDADES'!$A$4:$A$11,0)),"")))</f>
        <v/>
      </c>
      <c r="AO452" s="4" t="n"/>
      <c r="AP452" s="4" t="n"/>
      <c r="AQ452" s="4" t="n"/>
      <c r="AR452" s="5">
        <f>IF($AQ452="","",HYPERLINK(p_ruta_base_checklists&amp;$AQ452,"abrir"))</f>
        <v/>
      </c>
      <c r="AS452" s="4" t="n"/>
      <c r="AT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2" t="n"/>
      <c r="K453" s="5" t="n"/>
      <c r="L453" s="18" t="n"/>
      <c r="M453" s="5">
        <f>IF($A453="","",IFERROR(INDEX('AJUSTES'!$B$4:$B$303,MATCH($AT453,'AJUSTES'!$A$4:$A$303,0)),IF($K453="","",$K453)))</f>
        <v/>
      </c>
      <c r="N453" s="5">
        <f>IF($A453="","",IFERROR(INDEX('CAT_ESTADOS_ERP'!$B$4:$B$7,MATCH(IFERROR(INDEX('2_IMPORTAR_EJECUCION'!$C$9:$C$1208,MATCH($AT453,'2_IMPORTAR_EJECUCION'!$J$9:$J$1208,0)),""),'CAT_ESTADOS_ERP'!$A$4:$A$7,0)),"Pendiente"))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IF($J453="","",$P453&amp;"-"&amp;TEXT($Q453,"00"))</f>
        <v/>
      </c>
      <c r="S453" s="5">
        <f>IF($J453="","",INDEX(lista_dias,WEEKDAY($J453,2)))</f>
        <v/>
      </c>
      <c r="T453" s="5">
        <f>IF($J453="","",IFERROR(INDEX('CALENDARIO'!$C$15:$C$214,MATCH(TEXT($J453,"yyyy-mm-dd")&amp;"|"&amp;$X453&amp;"|"&amp;$Y453,'CALENDARIO'!$G$15:$G$214,0)),IFERROR(INDEX('CALENDARIO'!$C$15:$C$214,MATCH(TEXT($J453,"yyyy-mm-dd")&amp;"|"&amp;$X453&amp;"|",'CALENDARIO'!$G$15:$G$214,0)),IFERROR(INDEX('CALENDARIO'!$C$15:$C$214,MATCH(TEXT($J453,"yyyy-mm-dd")&amp;"||",'CALENDARIO'!$G$15:$G$214,0)),INDEX(patronHabil,WEEKDAY($J453,2))))))</f>
        <v/>
      </c>
      <c r="U453" s="5">
        <f>IF($I453="","",IFERROR(INDEX('CAT_TIPOS_OT'!$C$4:$C$8,MATCH($I453,'CAT_TIPOS_OT'!$A$4:$A$8,0)),"sin_clasificar"))</f>
        <v/>
      </c>
      <c r="V453" s="5">
        <f>IF($I453="","",IF(IFERROR(INDEX('CAT_TIPOS_OT'!$D$4:$D$8,MATCH($I453,'CAT_TIPOS_OT'!$A$4:$A$8,0)),"SIN CLASIFICAR")="","SIN CLASIFICAR",IFERROR(INDEX('CAT_TIPOS_OT'!$D$4:$D$8,MATCH($I453,'CAT_TIPOS_OT'!$A$4:$A$8,0)),"SIN CLASIFICAR")))</f>
        <v/>
      </c>
      <c r="W453" s="5">
        <f>IF($F453="","",IFERROR(INDEX('CAT_CENTROS_COSTO'!$F$4:$F$13,MATCH($F453,'CAT_CENTROS_COSTO'!$A$4:$A$13,0)),"(sin catálogo)"))</f>
        <v/>
      </c>
      <c r="X453" s="5">
        <f>IF($F453="","",IFERROR(INDEX('CAT_CENTROS_COSTO'!$D$4:$D$13,MATCH($F453,'CAT_CENTROS_COSTO'!$A$4:$A$13,0)),"(sin catálogo)"))</f>
        <v/>
      </c>
      <c r="Y453" s="5">
        <f>IF($F453="","",IF((IFERROR(INDEX('CAT_CENTROS_COSTO'!$E$4:$E$13,MATCH($F453,'CAT_CENTROS_COSTO'!$A$4:$A$13,0)),""))&lt;&gt;"",IFERROR(INDEX('CAT_CENTROS_COSTO'!$E$4:$E$13,MATCH($F453,'CAT_CENTROS_COSTO'!$A$4:$A$13,0)),""),$X453))</f>
        <v/>
      </c>
      <c r="Z453" s="5">
        <f>IF($F453="","",IFERROR(INDEX('CAT_CENTROS_COSTO'!$G$4:$G$13,MATCH($F453,'CAT_CENTROS_COSTO'!$A$4:$A$13,0)),"(sin catálogo)"))</f>
        <v/>
      </c>
      <c r="AA453" s="5">
        <f>IF($G453="","",IFERROR(INDEX('CAT_PUESTOS'!$B$4:$B$8,MATCH($G453,'CAT_PUESTOS'!$A$4:$A$8,0)),"(sin catálogo)"))</f>
        <v/>
      </c>
      <c r="AB453" s="5">
        <f>IF($H453="","",IFERROR(INDEX('CAT_ACTIVIDADES'!$B$4:$B$11,MATCH($H453,'CAT_ACTIVIDADES'!$A$4:$A$11,0)),"(sin catálogo)"))</f>
        <v/>
      </c>
      <c r="AC453" s="20">
        <f>IF($J453="","",TODAY()-$J453)</f>
        <v/>
      </c>
      <c r="AD453" s="20">
        <f>IF($J453="","",IF($J453&lt;=TODAY(),COUNTIFS(cal_fechas,"&gt;="&amp;$J453,cal_fechas,"&lt;"&amp;TODAY(),cal_habil,"sí"),-COUNTIFS(cal_fechas,"&gt;="&amp;TODAY(),cal_fechas,"&lt;"&amp;$J453,cal_habil,"sí")))</f>
        <v/>
      </c>
      <c r="AE453" s="5">
        <f>IF($AD453="","",IF($AD453&lt;0,"FUTURO",IF($AD453&gt;p_dias_backlog_max,"BACKLOG","MES CORRIENTE")))</f>
        <v/>
      </c>
      <c r="AF453" s="5">
        <f>IF($AD453="",FALSE,AND($AD453&gt;p_dias_backlog_min,$AD453&lt;=p_dias_backlog_max))</f>
        <v/>
      </c>
      <c r="AG453" s="4" t="n"/>
      <c r="AH453" s="5">
        <f>IF($AG453="","",IF((IFERROR(INDEX('ASIGNACIONES'!$J$4:$J$451,MATCH($O453&amp;"|"&amp;$S453&amp;"|"&amp;$AG453,'ASIGNACIONES'!$N$4:$N$451,0)),""))=0,"",IFERROR(INDEX('ASIGNACIONES'!$J$4:$J$451,MATCH($O453&amp;"|"&amp;$S453&amp;"|"&amp;$AG453,'ASIGNACIONES'!$N$4:$N$451,0)),"")))</f>
        <v/>
      </c>
      <c r="AI453" s="25">
        <f>IF($AG453="","",SUMIFS('ORDENES'!$M$4:$M$1203,'ORDENES'!$AG$4:$AG$1203,$AG453,'ORDENES'!$O$4:$O$1203,$O453,'ORDENES'!$S$4:$S$1203,$S453))</f>
        <v/>
      </c>
      <c r="AJ453" s="25">
        <f>IF($AI453="","",p_factor_productividad*IFERROR(INDEX('ASIGNACIONES'!$M$4:$M$451,MATCH($O453&amp;"|"&amp;$S453&amp;"|"&amp;$AG453,'ASIGNACIONES'!$N$4:$N$451,0)),0)-$AI453)</f>
        <v/>
      </c>
      <c r="AK453" s="18">
        <f>IF($A453="","",IFERROR(INDEX('2_IMPORTAR_EJECUCION'!$F$9:$F$1208,MATCH($AT453,'2_IMPORTAR_EJECUCION'!$J$9:$J$1208,0)),0))</f>
        <v/>
      </c>
      <c r="AL453" s="18">
        <f>IF($A453="","",MAX(0,IFERROR(INDEX('2_IMPORTAR_EJECUCION'!$H$9:$H$1208,MATCH($AT453,'2_IMPORTAR_EJECUCION'!$J$9:$J$1208,0)),0)-$AK453))</f>
        <v/>
      </c>
      <c r="AM453" s="18">
        <f>IF($A453="","",$AK453+$AL453)</f>
        <v/>
      </c>
      <c r="AN453" s="5">
        <f>IF($A453="","",IF(OR((IFERROR(INDEX('CAT_ACTIVIDADES'!$D$4:$D$11,MATCH($H453,'CAT_ACTIVIDADES'!$A$4:$A$11,0)),""))=0,(IFERROR(INDEX('CAT_ACTIVIDADES'!$D$4:$D$11,MATCH($H453,'CAT_ACTIVIDADES'!$A$4:$A$11,0)),""))=""),"SIN CLASIFICAR",IFERROR(INDEX('CAT_ACTIVIDADES'!$D$4:$D$11,MATCH($H453,'CAT_ACTIVIDADES'!$A$4:$A$11,0)),"")))</f>
        <v/>
      </c>
      <c r="AO453" s="4" t="n"/>
      <c r="AP453" s="4" t="n"/>
      <c r="AQ453" s="4" t="n"/>
      <c r="AR453" s="5">
        <f>IF($AQ453="","",HYPERLINK(p_ruta_base_checklists&amp;$AQ453,"abrir"))</f>
        <v/>
      </c>
      <c r="AS453" s="4" t="n"/>
      <c r="AT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2" t="n"/>
      <c r="K454" s="5" t="n"/>
      <c r="L454" s="18" t="n"/>
      <c r="M454" s="5">
        <f>IF($A454="","",IFERROR(INDEX('AJUSTES'!$B$4:$B$303,MATCH($AT454,'AJUSTES'!$A$4:$A$303,0)),IF($K454="","",$K454)))</f>
        <v/>
      </c>
      <c r="N454" s="5">
        <f>IF($A454="","",IFERROR(INDEX('CAT_ESTADOS_ERP'!$B$4:$B$7,MATCH(IFERROR(INDEX('2_IMPORTAR_EJECUCION'!$C$9:$C$1208,MATCH($AT454,'2_IMPORTAR_EJECUCION'!$J$9:$J$1208,0)),""),'CAT_ESTADOS_ERP'!$A$4:$A$7,0)),"Pendiente"))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IF($J454="","",$P454&amp;"-"&amp;TEXT($Q454,"00"))</f>
        <v/>
      </c>
      <c r="S454" s="5">
        <f>IF($J454="","",INDEX(lista_dias,WEEKDAY($J454,2)))</f>
        <v/>
      </c>
      <c r="T454" s="5">
        <f>IF($J454="","",IFERROR(INDEX('CALENDARIO'!$C$15:$C$214,MATCH(TEXT($J454,"yyyy-mm-dd")&amp;"|"&amp;$X454&amp;"|"&amp;$Y454,'CALENDARIO'!$G$15:$G$214,0)),IFERROR(INDEX('CALENDARIO'!$C$15:$C$214,MATCH(TEXT($J454,"yyyy-mm-dd")&amp;"|"&amp;$X454&amp;"|",'CALENDARIO'!$G$15:$G$214,0)),IFERROR(INDEX('CALENDARIO'!$C$15:$C$214,MATCH(TEXT($J454,"yyyy-mm-dd")&amp;"||",'CALENDARIO'!$G$15:$G$214,0)),INDEX(patronHabil,WEEKDAY($J454,2))))))</f>
        <v/>
      </c>
      <c r="U454" s="5">
        <f>IF($I454="","",IFERROR(INDEX('CAT_TIPOS_OT'!$C$4:$C$8,MATCH($I454,'CAT_TIPOS_OT'!$A$4:$A$8,0)),"sin_clasificar"))</f>
        <v/>
      </c>
      <c r="V454" s="5">
        <f>IF($I454="","",IF(IFERROR(INDEX('CAT_TIPOS_OT'!$D$4:$D$8,MATCH($I454,'CAT_TIPOS_OT'!$A$4:$A$8,0)),"SIN CLASIFICAR")="","SIN CLASIFICAR",IFERROR(INDEX('CAT_TIPOS_OT'!$D$4:$D$8,MATCH($I454,'CAT_TIPOS_OT'!$A$4:$A$8,0)),"SIN CLASIFICAR")))</f>
        <v/>
      </c>
      <c r="W454" s="5">
        <f>IF($F454="","",IFERROR(INDEX('CAT_CENTROS_COSTO'!$F$4:$F$13,MATCH($F454,'CAT_CENTROS_COSTO'!$A$4:$A$13,0)),"(sin catálogo)"))</f>
        <v/>
      </c>
      <c r="X454" s="5">
        <f>IF($F454="","",IFERROR(INDEX('CAT_CENTROS_COSTO'!$D$4:$D$13,MATCH($F454,'CAT_CENTROS_COSTO'!$A$4:$A$13,0)),"(sin catálogo)"))</f>
        <v/>
      </c>
      <c r="Y454" s="5">
        <f>IF($F454="","",IF((IFERROR(INDEX('CAT_CENTROS_COSTO'!$E$4:$E$13,MATCH($F454,'CAT_CENTROS_COSTO'!$A$4:$A$13,0)),""))&lt;&gt;"",IFERROR(INDEX('CAT_CENTROS_COSTO'!$E$4:$E$13,MATCH($F454,'CAT_CENTROS_COSTO'!$A$4:$A$13,0)),""),$X454))</f>
        <v/>
      </c>
      <c r="Z454" s="5">
        <f>IF($F454="","",IFERROR(INDEX('CAT_CENTROS_COSTO'!$G$4:$G$13,MATCH($F454,'CAT_CENTROS_COSTO'!$A$4:$A$13,0)),"(sin catálogo)"))</f>
        <v/>
      </c>
      <c r="AA454" s="5">
        <f>IF($G454="","",IFERROR(INDEX('CAT_PUESTOS'!$B$4:$B$8,MATCH($G454,'CAT_PUESTOS'!$A$4:$A$8,0)),"(sin catálogo)"))</f>
        <v/>
      </c>
      <c r="AB454" s="5">
        <f>IF($H454="","",IFERROR(INDEX('CAT_ACTIVIDADES'!$B$4:$B$11,MATCH($H454,'CAT_ACTIVIDADES'!$A$4:$A$11,0)),"(sin catálogo)"))</f>
        <v/>
      </c>
      <c r="AC454" s="20">
        <f>IF($J454="","",TODAY()-$J454)</f>
        <v/>
      </c>
      <c r="AD454" s="20">
        <f>IF($J454="","",IF($J454&lt;=TODAY(),COUNTIFS(cal_fechas,"&gt;="&amp;$J454,cal_fechas,"&lt;"&amp;TODAY(),cal_habil,"sí"),-COUNTIFS(cal_fechas,"&gt;="&amp;TODAY(),cal_fechas,"&lt;"&amp;$J454,cal_habil,"sí")))</f>
        <v/>
      </c>
      <c r="AE454" s="5">
        <f>IF($AD454="","",IF($AD454&lt;0,"FUTURO",IF($AD454&gt;p_dias_backlog_max,"BACKLOG","MES CORRIENTE")))</f>
        <v/>
      </c>
      <c r="AF454" s="5">
        <f>IF($AD454="",FALSE,AND($AD454&gt;p_dias_backlog_min,$AD454&lt;=p_dias_backlog_max))</f>
        <v/>
      </c>
      <c r="AG454" s="4" t="n"/>
      <c r="AH454" s="5">
        <f>IF($AG454="","",IF((IFERROR(INDEX('ASIGNACIONES'!$J$4:$J$451,MATCH($O454&amp;"|"&amp;$S454&amp;"|"&amp;$AG454,'ASIGNACIONES'!$N$4:$N$451,0)),""))=0,"",IFERROR(INDEX('ASIGNACIONES'!$J$4:$J$451,MATCH($O454&amp;"|"&amp;$S454&amp;"|"&amp;$AG454,'ASIGNACIONES'!$N$4:$N$451,0)),"")))</f>
        <v/>
      </c>
      <c r="AI454" s="25">
        <f>IF($AG454="","",SUMIFS('ORDENES'!$M$4:$M$1203,'ORDENES'!$AG$4:$AG$1203,$AG454,'ORDENES'!$O$4:$O$1203,$O454,'ORDENES'!$S$4:$S$1203,$S454))</f>
        <v/>
      </c>
      <c r="AJ454" s="25">
        <f>IF($AI454="","",p_factor_productividad*IFERROR(INDEX('ASIGNACIONES'!$M$4:$M$451,MATCH($O454&amp;"|"&amp;$S454&amp;"|"&amp;$AG454,'ASIGNACIONES'!$N$4:$N$451,0)),0)-$AI454)</f>
        <v/>
      </c>
      <c r="AK454" s="18">
        <f>IF($A454="","",IFERROR(INDEX('2_IMPORTAR_EJECUCION'!$F$9:$F$1208,MATCH($AT454,'2_IMPORTAR_EJECUCION'!$J$9:$J$1208,0)),0))</f>
        <v/>
      </c>
      <c r="AL454" s="18">
        <f>IF($A454="","",MAX(0,IFERROR(INDEX('2_IMPORTAR_EJECUCION'!$H$9:$H$1208,MATCH($AT454,'2_IMPORTAR_EJECUCION'!$J$9:$J$1208,0)),0)-$AK454))</f>
        <v/>
      </c>
      <c r="AM454" s="18">
        <f>IF($A454="","",$AK454+$AL454)</f>
        <v/>
      </c>
      <c r="AN454" s="5">
        <f>IF($A454="","",IF(OR((IFERROR(INDEX('CAT_ACTIVIDADES'!$D$4:$D$11,MATCH($H454,'CAT_ACTIVIDADES'!$A$4:$A$11,0)),""))=0,(IFERROR(INDEX('CAT_ACTIVIDADES'!$D$4:$D$11,MATCH($H454,'CAT_ACTIVIDADES'!$A$4:$A$11,0)),""))=""),"SIN CLASIFICAR",IFERROR(INDEX('CAT_ACTIVIDADES'!$D$4:$D$11,MATCH($H454,'CAT_ACTIVIDADES'!$A$4:$A$11,0)),"")))</f>
        <v/>
      </c>
      <c r="AO454" s="4" t="n"/>
      <c r="AP454" s="4" t="n"/>
      <c r="AQ454" s="4" t="n"/>
      <c r="AR454" s="5">
        <f>IF($AQ454="","",HYPERLINK(p_ruta_base_checklists&amp;$AQ454,"abrir"))</f>
        <v/>
      </c>
      <c r="AS454" s="4" t="n"/>
      <c r="AT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2" t="n"/>
      <c r="K455" s="5" t="n"/>
      <c r="L455" s="18" t="n"/>
      <c r="M455" s="5">
        <f>IF($A455="","",IFERROR(INDEX('AJUSTES'!$B$4:$B$303,MATCH($AT455,'AJUSTES'!$A$4:$A$303,0)),IF($K455="","",$K455)))</f>
        <v/>
      </c>
      <c r="N455" s="5">
        <f>IF($A455="","",IFERROR(INDEX('CAT_ESTADOS_ERP'!$B$4:$B$7,MATCH(IFERROR(INDEX('2_IMPORTAR_EJECUCION'!$C$9:$C$1208,MATCH($AT455,'2_IMPORTAR_EJECUCION'!$J$9:$J$1208,0)),""),'CAT_ESTADOS_ERP'!$A$4:$A$7,0)),"Pendiente"))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IF($J455="","",$P455&amp;"-"&amp;TEXT($Q455,"00"))</f>
        <v/>
      </c>
      <c r="S455" s="5">
        <f>IF($J455="","",INDEX(lista_dias,WEEKDAY($J455,2)))</f>
        <v/>
      </c>
      <c r="T455" s="5">
        <f>IF($J455="","",IFERROR(INDEX('CALENDARIO'!$C$15:$C$214,MATCH(TEXT($J455,"yyyy-mm-dd")&amp;"|"&amp;$X455&amp;"|"&amp;$Y455,'CALENDARIO'!$G$15:$G$214,0)),IFERROR(INDEX('CALENDARIO'!$C$15:$C$214,MATCH(TEXT($J455,"yyyy-mm-dd")&amp;"|"&amp;$X455&amp;"|",'CALENDARIO'!$G$15:$G$214,0)),IFERROR(INDEX('CALENDARIO'!$C$15:$C$214,MATCH(TEXT($J455,"yyyy-mm-dd")&amp;"||",'CALENDARIO'!$G$15:$G$214,0)),INDEX(patronHabil,WEEKDAY($J455,2))))))</f>
        <v/>
      </c>
      <c r="U455" s="5">
        <f>IF($I455="","",IFERROR(INDEX('CAT_TIPOS_OT'!$C$4:$C$8,MATCH($I455,'CAT_TIPOS_OT'!$A$4:$A$8,0)),"sin_clasificar"))</f>
        <v/>
      </c>
      <c r="V455" s="5">
        <f>IF($I455="","",IF(IFERROR(INDEX('CAT_TIPOS_OT'!$D$4:$D$8,MATCH($I455,'CAT_TIPOS_OT'!$A$4:$A$8,0)),"SIN CLASIFICAR")="","SIN CLASIFICAR",IFERROR(INDEX('CAT_TIPOS_OT'!$D$4:$D$8,MATCH($I455,'CAT_TIPOS_OT'!$A$4:$A$8,0)),"SIN CLASIFICAR")))</f>
        <v/>
      </c>
      <c r="W455" s="5">
        <f>IF($F455="","",IFERROR(INDEX('CAT_CENTROS_COSTO'!$F$4:$F$13,MATCH($F455,'CAT_CENTROS_COSTO'!$A$4:$A$13,0)),"(sin catálogo)"))</f>
        <v/>
      </c>
      <c r="X455" s="5">
        <f>IF($F455="","",IFERROR(INDEX('CAT_CENTROS_COSTO'!$D$4:$D$13,MATCH($F455,'CAT_CENTROS_COSTO'!$A$4:$A$13,0)),"(sin catálogo)"))</f>
        <v/>
      </c>
      <c r="Y455" s="5">
        <f>IF($F455="","",IF((IFERROR(INDEX('CAT_CENTROS_COSTO'!$E$4:$E$13,MATCH($F455,'CAT_CENTROS_COSTO'!$A$4:$A$13,0)),""))&lt;&gt;"",IFERROR(INDEX('CAT_CENTROS_COSTO'!$E$4:$E$13,MATCH($F455,'CAT_CENTROS_COSTO'!$A$4:$A$13,0)),""),$X455))</f>
        <v/>
      </c>
      <c r="Z455" s="5">
        <f>IF($F455="","",IFERROR(INDEX('CAT_CENTROS_COSTO'!$G$4:$G$13,MATCH($F455,'CAT_CENTROS_COSTO'!$A$4:$A$13,0)),"(sin catálogo)"))</f>
        <v/>
      </c>
      <c r="AA455" s="5">
        <f>IF($G455="","",IFERROR(INDEX('CAT_PUESTOS'!$B$4:$B$8,MATCH($G455,'CAT_PUESTOS'!$A$4:$A$8,0)),"(sin catálogo)"))</f>
        <v/>
      </c>
      <c r="AB455" s="5">
        <f>IF($H455="","",IFERROR(INDEX('CAT_ACTIVIDADES'!$B$4:$B$11,MATCH($H455,'CAT_ACTIVIDADES'!$A$4:$A$11,0)),"(sin catálogo)"))</f>
        <v/>
      </c>
      <c r="AC455" s="20">
        <f>IF($J455="","",TODAY()-$J455)</f>
        <v/>
      </c>
      <c r="AD455" s="20">
        <f>IF($J455="","",IF($J455&lt;=TODAY(),COUNTIFS(cal_fechas,"&gt;="&amp;$J455,cal_fechas,"&lt;"&amp;TODAY(),cal_habil,"sí"),-COUNTIFS(cal_fechas,"&gt;="&amp;TODAY(),cal_fechas,"&lt;"&amp;$J455,cal_habil,"sí")))</f>
        <v/>
      </c>
      <c r="AE455" s="5">
        <f>IF($AD455="","",IF($AD455&lt;0,"FUTURO",IF($AD455&gt;p_dias_backlog_max,"BACKLOG","MES CORRIENTE")))</f>
        <v/>
      </c>
      <c r="AF455" s="5">
        <f>IF($AD455="",FALSE,AND($AD455&gt;p_dias_backlog_min,$AD455&lt;=p_dias_backlog_max))</f>
        <v/>
      </c>
      <c r="AG455" s="4" t="n"/>
      <c r="AH455" s="5">
        <f>IF($AG455="","",IF((IFERROR(INDEX('ASIGNACIONES'!$J$4:$J$451,MATCH($O455&amp;"|"&amp;$S455&amp;"|"&amp;$AG455,'ASIGNACIONES'!$N$4:$N$451,0)),""))=0,"",IFERROR(INDEX('ASIGNACIONES'!$J$4:$J$451,MATCH($O455&amp;"|"&amp;$S455&amp;"|"&amp;$AG455,'ASIGNACIONES'!$N$4:$N$451,0)),"")))</f>
        <v/>
      </c>
      <c r="AI455" s="25">
        <f>IF($AG455="","",SUMIFS('ORDENES'!$M$4:$M$1203,'ORDENES'!$AG$4:$AG$1203,$AG455,'ORDENES'!$O$4:$O$1203,$O455,'ORDENES'!$S$4:$S$1203,$S455))</f>
        <v/>
      </c>
      <c r="AJ455" s="25">
        <f>IF($AI455="","",p_factor_productividad*IFERROR(INDEX('ASIGNACIONES'!$M$4:$M$451,MATCH($O455&amp;"|"&amp;$S455&amp;"|"&amp;$AG455,'ASIGNACIONES'!$N$4:$N$451,0)),0)-$AI455)</f>
        <v/>
      </c>
      <c r="AK455" s="18">
        <f>IF($A455="","",IFERROR(INDEX('2_IMPORTAR_EJECUCION'!$F$9:$F$1208,MATCH($AT455,'2_IMPORTAR_EJECUCION'!$J$9:$J$1208,0)),0))</f>
        <v/>
      </c>
      <c r="AL455" s="18">
        <f>IF($A455="","",MAX(0,IFERROR(INDEX('2_IMPORTAR_EJECUCION'!$H$9:$H$1208,MATCH($AT455,'2_IMPORTAR_EJECUCION'!$J$9:$J$1208,0)),0)-$AK455))</f>
        <v/>
      </c>
      <c r="AM455" s="18">
        <f>IF($A455="","",$AK455+$AL455)</f>
        <v/>
      </c>
      <c r="AN455" s="5">
        <f>IF($A455="","",IF(OR((IFERROR(INDEX('CAT_ACTIVIDADES'!$D$4:$D$11,MATCH($H455,'CAT_ACTIVIDADES'!$A$4:$A$11,0)),""))=0,(IFERROR(INDEX('CAT_ACTIVIDADES'!$D$4:$D$11,MATCH($H455,'CAT_ACTIVIDADES'!$A$4:$A$11,0)),""))=""),"SIN CLASIFICAR",IFERROR(INDEX('CAT_ACTIVIDADES'!$D$4:$D$11,MATCH($H455,'CAT_ACTIVIDADES'!$A$4:$A$11,0)),"")))</f>
        <v/>
      </c>
      <c r="AO455" s="4" t="n"/>
      <c r="AP455" s="4" t="n"/>
      <c r="AQ455" s="4" t="n"/>
      <c r="AR455" s="5">
        <f>IF($AQ455="","",HYPERLINK(p_ruta_base_checklists&amp;$AQ455,"abrir"))</f>
        <v/>
      </c>
      <c r="AS455" s="4" t="n"/>
      <c r="AT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2" t="n"/>
      <c r="K456" s="5" t="n"/>
      <c r="L456" s="18" t="n"/>
      <c r="M456" s="5">
        <f>IF($A456="","",IFERROR(INDEX('AJUSTES'!$B$4:$B$303,MATCH($AT456,'AJUSTES'!$A$4:$A$303,0)),IF($K456="","",$K456)))</f>
        <v/>
      </c>
      <c r="N456" s="5">
        <f>IF($A456="","",IFERROR(INDEX('CAT_ESTADOS_ERP'!$B$4:$B$7,MATCH(IFERROR(INDEX('2_IMPORTAR_EJECUCION'!$C$9:$C$1208,MATCH($AT456,'2_IMPORTAR_EJECUCION'!$J$9:$J$1208,0)),""),'CAT_ESTADOS_ERP'!$A$4:$A$7,0)),"Pendiente"))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IF($J456="","",$P456&amp;"-"&amp;TEXT($Q456,"00"))</f>
        <v/>
      </c>
      <c r="S456" s="5">
        <f>IF($J456="","",INDEX(lista_dias,WEEKDAY($J456,2)))</f>
        <v/>
      </c>
      <c r="T456" s="5">
        <f>IF($J456="","",IFERROR(INDEX('CALENDARIO'!$C$15:$C$214,MATCH(TEXT($J456,"yyyy-mm-dd")&amp;"|"&amp;$X456&amp;"|"&amp;$Y456,'CALENDARIO'!$G$15:$G$214,0)),IFERROR(INDEX('CALENDARIO'!$C$15:$C$214,MATCH(TEXT($J456,"yyyy-mm-dd")&amp;"|"&amp;$X456&amp;"|",'CALENDARIO'!$G$15:$G$214,0)),IFERROR(INDEX('CALENDARIO'!$C$15:$C$214,MATCH(TEXT($J456,"yyyy-mm-dd")&amp;"||",'CALENDARIO'!$G$15:$G$214,0)),INDEX(patronHabil,WEEKDAY($J456,2))))))</f>
        <v/>
      </c>
      <c r="U456" s="5">
        <f>IF($I456="","",IFERROR(INDEX('CAT_TIPOS_OT'!$C$4:$C$8,MATCH($I456,'CAT_TIPOS_OT'!$A$4:$A$8,0)),"sin_clasificar"))</f>
        <v/>
      </c>
      <c r="V456" s="5">
        <f>IF($I456="","",IF(IFERROR(INDEX('CAT_TIPOS_OT'!$D$4:$D$8,MATCH($I456,'CAT_TIPOS_OT'!$A$4:$A$8,0)),"SIN CLASIFICAR")="","SIN CLASIFICAR",IFERROR(INDEX('CAT_TIPOS_OT'!$D$4:$D$8,MATCH($I456,'CAT_TIPOS_OT'!$A$4:$A$8,0)),"SIN CLASIFICAR")))</f>
        <v/>
      </c>
      <c r="W456" s="5">
        <f>IF($F456="","",IFERROR(INDEX('CAT_CENTROS_COSTO'!$F$4:$F$13,MATCH($F456,'CAT_CENTROS_COSTO'!$A$4:$A$13,0)),"(sin catálogo)"))</f>
        <v/>
      </c>
      <c r="X456" s="5">
        <f>IF($F456="","",IFERROR(INDEX('CAT_CENTROS_COSTO'!$D$4:$D$13,MATCH($F456,'CAT_CENTROS_COSTO'!$A$4:$A$13,0)),"(sin catálogo)"))</f>
        <v/>
      </c>
      <c r="Y456" s="5">
        <f>IF($F456="","",IF((IFERROR(INDEX('CAT_CENTROS_COSTO'!$E$4:$E$13,MATCH($F456,'CAT_CENTROS_COSTO'!$A$4:$A$13,0)),""))&lt;&gt;"",IFERROR(INDEX('CAT_CENTROS_COSTO'!$E$4:$E$13,MATCH($F456,'CAT_CENTROS_COSTO'!$A$4:$A$13,0)),""),$X456))</f>
        <v/>
      </c>
      <c r="Z456" s="5">
        <f>IF($F456="","",IFERROR(INDEX('CAT_CENTROS_COSTO'!$G$4:$G$13,MATCH($F456,'CAT_CENTROS_COSTO'!$A$4:$A$13,0)),"(sin catálogo)"))</f>
        <v/>
      </c>
      <c r="AA456" s="5">
        <f>IF($G456="","",IFERROR(INDEX('CAT_PUESTOS'!$B$4:$B$8,MATCH($G456,'CAT_PUESTOS'!$A$4:$A$8,0)),"(sin catálogo)"))</f>
        <v/>
      </c>
      <c r="AB456" s="5">
        <f>IF($H456="","",IFERROR(INDEX('CAT_ACTIVIDADES'!$B$4:$B$11,MATCH($H456,'CAT_ACTIVIDADES'!$A$4:$A$11,0)),"(sin catálogo)"))</f>
        <v/>
      </c>
      <c r="AC456" s="20">
        <f>IF($J456="","",TODAY()-$J456)</f>
        <v/>
      </c>
      <c r="AD456" s="20">
        <f>IF($J456="","",IF($J456&lt;=TODAY(),COUNTIFS(cal_fechas,"&gt;="&amp;$J456,cal_fechas,"&lt;"&amp;TODAY(),cal_habil,"sí"),-COUNTIFS(cal_fechas,"&gt;="&amp;TODAY(),cal_fechas,"&lt;"&amp;$J456,cal_habil,"sí")))</f>
        <v/>
      </c>
      <c r="AE456" s="5">
        <f>IF($AD456="","",IF($AD456&lt;0,"FUTURO",IF($AD456&gt;p_dias_backlog_max,"BACKLOG","MES CORRIENTE")))</f>
        <v/>
      </c>
      <c r="AF456" s="5">
        <f>IF($AD456="",FALSE,AND($AD456&gt;p_dias_backlog_min,$AD456&lt;=p_dias_backlog_max))</f>
        <v/>
      </c>
      <c r="AG456" s="4" t="n"/>
      <c r="AH456" s="5">
        <f>IF($AG456="","",IF((IFERROR(INDEX('ASIGNACIONES'!$J$4:$J$451,MATCH($O456&amp;"|"&amp;$S456&amp;"|"&amp;$AG456,'ASIGNACIONES'!$N$4:$N$451,0)),""))=0,"",IFERROR(INDEX('ASIGNACIONES'!$J$4:$J$451,MATCH($O456&amp;"|"&amp;$S456&amp;"|"&amp;$AG456,'ASIGNACIONES'!$N$4:$N$451,0)),"")))</f>
        <v/>
      </c>
      <c r="AI456" s="25">
        <f>IF($AG456="","",SUMIFS('ORDENES'!$M$4:$M$1203,'ORDENES'!$AG$4:$AG$1203,$AG456,'ORDENES'!$O$4:$O$1203,$O456,'ORDENES'!$S$4:$S$1203,$S456))</f>
        <v/>
      </c>
      <c r="AJ456" s="25">
        <f>IF($AI456="","",p_factor_productividad*IFERROR(INDEX('ASIGNACIONES'!$M$4:$M$451,MATCH($O456&amp;"|"&amp;$S456&amp;"|"&amp;$AG456,'ASIGNACIONES'!$N$4:$N$451,0)),0)-$AI456)</f>
        <v/>
      </c>
      <c r="AK456" s="18">
        <f>IF($A456="","",IFERROR(INDEX('2_IMPORTAR_EJECUCION'!$F$9:$F$1208,MATCH($AT456,'2_IMPORTAR_EJECUCION'!$J$9:$J$1208,0)),0))</f>
        <v/>
      </c>
      <c r="AL456" s="18">
        <f>IF($A456="","",MAX(0,IFERROR(INDEX('2_IMPORTAR_EJECUCION'!$H$9:$H$1208,MATCH($AT456,'2_IMPORTAR_EJECUCION'!$J$9:$J$1208,0)),0)-$AK456))</f>
        <v/>
      </c>
      <c r="AM456" s="18">
        <f>IF($A456="","",$AK456+$AL456)</f>
        <v/>
      </c>
      <c r="AN456" s="5">
        <f>IF($A456="","",IF(OR((IFERROR(INDEX('CAT_ACTIVIDADES'!$D$4:$D$11,MATCH($H456,'CAT_ACTIVIDADES'!$A$4:$A$11,0)),""))=0,(IFERROR(INDEX('CAT_ACTIVIDADES'!$D$4:$D$11,MATCH($H456,'CAT_ACTIVIDADES'!$A$4:$A$11,0)),""))=""),"SIN CLASIFICAR",IFERROR(INDEX('CAT_ACTIVIDADES'!$D$4:$D$11,MATCH($H456,'CAT_ACTIVIDADES'!$A$4:$A$11,0)),"")))</f>
        <v/>
      </c>
      <c r="AO456" s="4" t="n"/>
      <c r="AP456" s="4" t="n"/>
      <c r="AQ456" s="4" t="n"/>
      <c r="AR456" s="5">
        <f>IF($AQ456="","",HYPERLINK(p_ruta_base_checklists&amp;$AQ456,"abrir"))</f>
        <v/>
      </c>
      <c r="AS456" s="4" t="n"/>
      <c r="AT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2" t="n"/>
      <c r="K457" s="5" t="n"/>
      <c r="L457" s="18" t="n"/>
      <c r="M457" s="5">
        <f>IF($A457="","",IFERROR(INDEX('AJUSTES'!$B$4:$B$303,MATCH($AT457,'AJUSTES'!$A$4:$A$303,0)),IF($K457="","",$K457)))</f>
        <v/>
      </c>
      <c r="N457" s="5">
        <f>IF($A457="","",IFERROR(INDEX('CAT_ESTADOS_ERP'!$B$4:$B$7,MATCH(IFERROR(INDEX('2_IMPORTAR_EJECUCION'!$C$9:$C$1208,MATCH($AT457,'2_IMPORTAR_EJECUCION'!$J$9:$J$1208,0)),""),'CAT_ESTADOS_ERP'!$A$4:$A$7,0)),"Pendiente"))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IF($J457="","",$P457&amp;"-"&amp;TEXT($Q457,"00"))</f>
        <v/>
      </c>
      <c r="S457" s="5">
        <f>IF($J457="","",INDEX(lista_dias,WEEKDAY($J457,2)))</f>
        <v/>
      </c>
      <c r="T457" s="5">
        <f>IF($J457="","",IFERROR(INDEX('CALENDARIO'!$C$15:$C$214,MATCH(TEXT($J457,"yyyy-mm-dd")&amp;"|"&amp;$X457&amp;"|"&amp;$Y457,'CALENDARIO'!$G$15:$G$214,0)),IFERROR(INDEX('CALENDARIO'!$C$15:$C$214,MATCH(TEXT($J457,"yyyy-mm-dd")&amp;"|"&amp;$X457&amp;"|",'CALENDARIO'!$G$15:$G$214,0)),IFERROR(INDEX('CALENDARIO'!$C$15:$C$214,MATCH(TEXT($J457,"yyyy-mm-dd")&amp;"||",'CALENDARIO'!$G$15:$G$214,0)),INDEX(patronHabil,WEEKDAY($J457,2))))))</f>
        <v/>
      </c>
      <c r="U457" s="5">
        <f>IF($I457="","",IFERROR(INDEX('CAT_TIPOS_OT'!$C$4:$C$8,MATCH($I457,'CAT_TIPOS_OT'!$A$4:$A$8,0)),"sin_clasificar"))</f>
        <v/>
      </c>
      <c r="V457" s="5">
        <f>IF($I457="","",IF(IFERROR(INDEX('CAT_TIPOS_OT'!$D$4:$D$8,MATCH($I457,'CAT_TIPOS_OT'!$A$4:$A$8,0)),"SIN CLASIFICAR")="","SIN CLASIFICAR",IFERROR(INDEX('CAT_TIPOS_OT'!$D$4:$D$8,MATCH($I457,'CAT_TIPOS_OT'!$A$4:$A$8,0)),"SIN CLASIFICAR")))</f>
        <v/>
      </c>
      <c r="W457" s="5">
        <f>IF($F457="","",IFERROR(INDEX('CAT_CENTROS_COSTO'!$F$4:$F$13,MATCH($F457,'CAT_CENTROS_COSTO'!$A$4:$A$13,0)),"(sin catálogo)"))</f>
        <v/>
      </c>
      <c r="X457" s="5">
        <f>IF($F457="","",IFERROR(INDEX('CAT_CENTROS_COSTO'!$D$4:$D$13,MATCH($F457,'CAT_CENTROS_COSTO'!$A$4:$A$13,0)),"(sin catálogo)"))</f>
        <v/>
      </c>
      <c r="Y457" s="5">
        <f>IF($F457="","",IF((IFERROR(INDEX('CAT_CENTROS_COSTO'!$E$4:$E$13,MATCH($F457,'CAT_CENTROS_COSTO'!$A$4:$A$13,0)),""))&lt;&gt;"",IFERROR(INDEX('CAT_CENTROS_COSTO'!$E$4:$E$13,MATCH($F457,'CAT_CENTROS_COSTO'!$A$4:$A$13,0)),""),$X457))</f>
        <v/>
      </c>
      <c r="Z457" s="5">
        <f>IF($F457="","",IFERROR(INDEX('CAT_CENTROS_COSTO'!$G$4:$G$13,MATCH($F457,'CAT_CENTROS_COSTO'!$A$4:$A$13,0)),"(sin catálogo)"))</f>
        <v/>
      </c>
      <c r="AA457" s="5">
        <f>IF($G457="","",IFERROR(INDEX('CAT_PUESTOS'!$B$4:$B$8,MATCH($G457,'CAT_PUESTOS'!$A$4:$A$8,0)),"(sin catálogo)"))</f>
        <v/>
      </c>
      <c r="AB457" s="5">
        <f>IF($H457="","",IFERROR(INDEX('CAT_ACTIVIDADES'!$B$4:$B$11,MATCH($H457,'CAT_ACTIVIDADES'!$A$4:$A$11,0)),"(sin catálogo)"))</f>
        <v/>
      </c>
      <c r="AC457" s="20">
        <f>IF($J457="","",TODAY()-$J457)</f>
        <v/>
      </c>
      <c r="AD457" s="20">
        <f>IF($J457="","",IF($J457&lt;=TODAY(),COUNTIFS(cal_fechas,"&gt;="&amp;$J457,cal_fechas,"&lt;"&amp;TODAY(),cal_habil,"sí"),-COUNTIFS(cal_fechas,"&gt;="&amp;TODAY(),cal_fechas,"&lt;"&amp;$J457,cal_habil,"sí")))</f>
        <v/>
      </c>
      <c r="AE457" s="5">
        <f>IF($AD457="","",IF($AD457&lt;0,"FUTURO",IF($AD457&gt;p_dias_backlog_max,"BACKLOG","MES CORRIENTE")))</f>
        <v/>
      </c>
      <c r="AF457" s="5">
        <f>IF($AD457="",FALSE,AND($AD457&gt;p_dias_backlog_min,$AD457&lt;=p_dias_backlog_max))</f>
        <v/>
      </c>
      <c r="AG457" s="4" t="n"/>
      <c r="AH457" s="5">
        <f>IF($AG457="","",IF((IFERROR(INDEX('ASIGNACIONES'!$J$4:$J$451,MATCH($O457&amp;"|"&amp;$S457&amp;"|"&amp;$AG457,'ASIGNACIONES'!$N$4:$N$451,0)),""))=0,"",IFERROR(INDEX('ASIGNACIONES'!$J$4:$J$451,MATCH($O457&amp;"|"&amp;$S457&amp;"|"&amp;$AG457,'ASIGNACIONES'!$N$4:$N$451,0)),"")))</f>
        <v/>
      </c>
      <c r="AI457" s="25">
        <f>IF($AG457="","",SUMIFS('ORDENES'!$M$4:$M$1203,'ORDENES'!$AG$4:$AG$1203,$AG457,'ORDENES'!$O$4:$O$1203,$O457,'ORDENES'!$S$4:$S$1203,$S457))</f>
        <v/>
      </c>
      <c r="AJ457" s="25">
        <f>IF($AI457="","",p_factor_productividad*IFERROR(INDEX('ASIGNACIONES'!$M$4:$M$451,MATCH($O457&amp;"|"&amp;$S457&amp;"|"&amp;$AG457,'ASIGNACIONES'!$N$4:$N$451,0)),0)-$AI457)</f>
        <v/>
      </c>
      <c r="AK457" s="18">
        <f>IF($A457="","",IFERROR(INDEX('2_IMPORTAR_EJECUCION'!$F$9:$F$1208,MATCH($AT457,'2_IMPORTAR_EJECUCION'!$J$9:$J$1208,0)),0))</f>
        <v/>
      </c>
      <c r="AL457" s="18">
        <f>IF($A457="","",MAX(0,IFERROR(INDEX('2_IMPORTAR_EJECUCION'!$H$9:$H$1208,MATCH($AT457,'2_IMPORTAR_EJECUCION'!$J$9:$J$1208,0)),0)-$AK457))</f>
        <v/>
      </c>
      <c r="AM457" s="18">
        <f>IF($A457="","",$AK457+$AL457)</f>
        <v/>
      </c>
      <c r="AN457" s="5">
        <f>IF($A457="","",IF(OR((IFERROR(INDEX('CAT_ACTIVIDADES'!$D$4:$D$11,MATCH($H457,'CAT_ACTIVIDADES'!$A$4:$A$11,0)),""))=0,(IFERROR(INDEX('CAT_ACTIVIDADES'!$D$4:$D$11,MATCH($H457,'CAT_ACTIVIDADES'!$A$4:$A$11,0)),""))=""),"SIN CLASIFICAR",IFERROR(INDEX('CAT_ACTIVIDADES'!$D$4:$D$11,MATCH($H457,'CAT_ACTIVIDADES'!$A$4:$A$11,0)),"")))</f>
        <v/>
      </c>
      <c r="AO457" s="4" t="n"/>
      <c r="AP457" s="4" t="n"/>
      <c r="AQ457" s="4" t="n"/>
      <c r="AR457" s="5">
        <f>IF($AQ457="","",HYPERLINK(p_ruta_base_checklists&amp;$AQ457,"abrir"))</f>
        <v/>
      </c>
      <c r="AS457" s="4" t="n"/>
      <c r="AT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2" t="n"/>
      <c r="K458" s="5" t="n"/>
      <c r="L458" s="18" t="n"/>
      <c r="M458" s="5">
        <f>IF($A458="","",IFERROR(INDEX('AJUSTES'!$B$4:$B$303,MATCH($AT458,'AJUSTES'!$A$4:$A$303,0)),IF($K458="","",$K458)))</f>
        <v/>
      </c>
      <c r="N458" s="5">
        <f>IF($A458="","",IFERROR(INDEX('CAT_ESTADOS_ERP'!$B$4:$B$7,MATCH(IFERROR(INDEX('2_IMPORTAR_EJECUCION'!$C$9:$C$1208,MATCH($AT458,'2_IMPORTAR_EJECUCION'!$J$9:$J$1208,0)),""),'CAT_ESTADOS_ERP'!$A$4:$A$7,0)),"Pendiente"))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IF($J458="","",$P458&amp;"-"&amp;TEXT($Q458,"00"))</f>
        <v/>
      </c>
      <c r="S458" s="5">
        <f>IF($J458="","",INDEX(lista_dias,WEEKDAY($J458,2)))</f>
        <v/>
      </c>
      <c r="T458" s="5">
        <f>IF($J458="","",IFERROR(INDEX('CALENDARIO'!$C$15:$C$214,MATCH(TEXT($J458,"yyyy-mm-dd")&amp;"|"&amp;$X458&amp;"|"&amp;$Y458,'CALENDARIO'!$G$15:$G$214,0)),IFERROR(INDEX('CALENDARIO'!$C$15:$C$214,MATCH(TEXT($J458,"yyyy-mm-dd")&amp;"|"&amp;$X458&amp;"|",'CALENDARIO'!$G$15:$G$214,0)),IFERROR(INDEX('CALENDARIO'!$C$15:$C$214,MATCH(TEXT($J458,"yyyy-mm-dd")&amp;"||",'CALENDARIO'!$G$15:$G$214,0)),INDEX(patronHabil,WEEKDAY($J458,2))))))</f>
        <v/>
      </c>
      <c r="U458" s="5">
        <f>IF($I458="","",IFERROR(INDEX('CAT_TIPOS_OT'!$C$4:$C$8,MATCH($I458,'CAT_TIPOS_OT'!$A$4:$A$8,0)),"sin_clasificar"))</f>
        <v/>
      </c>
      <c r="V458" s="5">
        <f>IF($I458="","",IF(IFERROR(INDEX('CAT_TIPOS_OT'!$D$4:$D$8,MATCH($I458,'CAT_TIPOS_OT'!$A$4:$A$8,0)),"SIN CLASIFICAR")="","SIN CLASIFICAR",IFERROR(INDEX('CAT_TIPOS_OT'!$D$4:$D$8,MATCH($I458,'CAT_TIPOS_OT'!$A$4:$A$8,0)),"SIN CLASIFICAR")))</f>
        <v/>
      </c>
      <c r="W458" s="5">
        <f>IF($F458="","",IFERROR(INDEX('CAT_CENTROS_COSTO'!$F$4:$F$13,MATCH($F458,'CAT_CENTROS_COSTO'!$A$4:$A$13,0)),"(sin catálogo)"))</f>
        <v/>
      </c>
      <c r="X458" s="5">
        <f>IF($F458="","",IFERROR(INDEX('CAT_CENTROS_COSTO'!$D$4:$D$13,MATCH($F458,'CAT_CENTROS_COSTO'!$A$4:$A$13,0)),"(sin catálogo)"))</f>
        <v/>
      </c>
      <c r="Y458" s="5">
        <f>IF($F458="","",IF((IFERROR(INDEX('CAT_CENTROS_COSTO'!$E$4:$E$13,MATCH($F458,'CAT_CENTROS_COSTO'!$A$4:$A$13,0)),""))&lt;&gt;"",IFERROR(INDEX('CAT_CENTROS_COSTO'!$E$4:$E$13,MATCH($F458,'CAT_CENTROS_COSTO'!$A$4:$A$13,0)),""),$X458))</f>
        <v/>
      </c>
      <c r="Z458" s="5">
        <f>IF($F458="","",IFERROR(INDEX('CAT_CENTROS_COSTO'!$G$4:$G$13,MATCH($F458,'CAT_CENTROS_COSTO'!$A$4:$A$13,0)),"(sin catálogo)"))</f>
        <v/>
      </c>
      <c r="AA458" s="5">
        <f>IF($G458="","",IFERROR(INDEX('CAT_PUESTOS'!$B$4:$B$8,MATCH($G458,'CAT_PUESTOS'!$A$4:$A$8,0)),"(sin catálogo)"))</f>
        <v/>
      </c>
      <c r="AB458" s="5">
        <f>IF($H458="","",IFERROR(INDEX('CAT_ACTIVIDADES'!$B$4:$B$11,MATCH($H458,'CAT_ACTIVIDADES'!$A$4:$A$11,0)),"(sin catálogo)"))</f>
        <v/>
      </c>
      <c r="AC458" s="20">
        <f>IF($J458="","",TODAY()-$J458)</f>
        <v/>
      </c>
      <c r="AD458" s="20">
        <f>IF($J458="","",IF($J458&lt;=TODAY(),COUNTIFS(cal_fechas,"&gt;="&amp;$J458,cal_fechas,"&lt;"&amp;TODAY(),cal_habil,"sí"),-COUNTIFS(cal_fechas,"&gt;="&amp;TODAY(),cal_fechas,"&lt;"&amp;$J458,cal_habil,"sí")))</f>
        <v/>
      </c>
      <c r="AE458" s="5">
        <f>IF($AD458="","",IF($AD458&lt;0,"FUTURO",IF($AD458&gt;p_dias_backlog_max,"BACKLOG","MES CORRIENTE")))</f>
        <v/>
      </c>
      <c r="AF458" s="5">
        <f>IF($AD458="",FALSE,AND($AD458&gt;p_dias_backlog_min,$AD458&lt;=p_dias_backlog_max))</f>
        <v/>
      </c>
      <c r="AG458" s="4" t="n"/>
      <c r="AH458" s="5">
        <f>IF($AG458="","",IF((IFERROR(INDEX('ASIGNACIONES'!$J$4:$J$451,MATCH($O458&amp;"|"&amp;$S458&amp;"|"&amp;$AG458,'ASIGNACIONES'!$N$4:$N$451,0)),""))=0,"",IFERROR(INDEX('ASIGNACIONES'!$J$4:$J$451,MATCH($O458&amp;"|"&amp;$S458&amp;"|"&amp;$AG458,'ASIGNACIONES'!$N$4:$N$451,0)),"")))</f>
        <v/>
      </c>
      <c r="AI458" s="25">
        <f>IF($AG458="","",SUMIFS('ORDENES'!$M$4:$M$1203,'ORDENES'!$AG$4:$AG$1203,$AG458,'ORDENES'!$O$4:$O$1203,$O458,'ORDENES'!$S$4:$S$1203,$S458))</f>
        <v/>
      </c>
      <c r="AJ458" s="25">
        <f>IF($AI458="","",p_factor_productividad*IFERROR(INDEX('ASIGNACIONES'!$M$4:$M$451,MATCH($O458&amp;"|"&amp;$S458&amp;"|"&amp;$AG458,'ASIGNACIONES'!$N$4:$N$451,0)),0)-$AI458)</f>
        <v/>
      </c>
      <c r="AK458" s="18">
        <f>IF($A458="","",IFERROR(INDEX('2_IMPORTAR_EJECUCION'!$F$9:$F$1208,MATCH($AT458,'2_IMPORTAR_EJECUCION'!$J$9:$J$1208,0)),0))</f>
        <v/>
      </c>
      <c r="AL458" s="18">
        <f>IF($A458="","",MAX(0,IFERROR(INDEX('2_IMPORTAR_EJECUCION'!$H$9:$H$1208,MATCH($AT458,'2_IMPORTAR_EJECUCION'!$J$9:$J$1208,0)),0)-$AK458))</f>
        <v/>
      </c>
      <c r="AM458" s="18">
        <f>IF($A458="","",$AK458+$AL458)</f>
        <v/>
      </c>
      <c r="AN458" s="5">
        <f>IF($A458="","",IF(OR((IFERROR(INDEX('CAT_ACTIVIDADES'!$D$4:$D$11,MATCH($H458,'CAT_ACTIVIDADES'!$A$4:$A$11,0)),""))=0,(IFERROR(INDEX('CAT_ACTIVIDADES'!$D$4:$D$11,MATCH($H458,'CAT_ACTIVIDADES'!$A$4:$A$11,0)),""))=""),"SIN CLASIFICAR",IFERROR(INDEX('CAT_ACTIVIDADES'!$D$4:$D$11,MATCH($H458,'CAT_ACTIVIDADES'!$A$4:$A$11,0)),"")))</f>
        <v/>
      </c>
      <c r="AO458" s="4" t="n"/>
      <c r="AP458" s="4" t="n"/>
      <c r="AQ458" s="4" t="n"/>
      <c r="AR458" s="5">
        <f>IF($AQ458="","",HYPERLINK(p_ruta_base_checklists&amp;$AQ458,"abrir"))</f>
        <v/>
      </c>
      <c r="AS458" s="4" t="n"/>
      <c r="AT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2" t="n"/>
      <c r="K459" s="5" t="n"/>
      <c r="L459" s="18" t="n"/>
      <c r="M459" s="5">
        <f>IF($A459="","",IFERROR(INDEX('AJUSTES'!$B$4:$B$303,MATCH($AT459,'AJUSTES'!$A$4:$A$303,0)),IF($K459="","",$K459)))</f>
        <v/>
      </c>
      <c r="N459" s="5">
        <f>IF($A459="","",IFERROR(INDEX('CAT_ESTADOS_ERP'!$B$4:$B$7,MATCH(IFERROR(INDEX('2_IMPORTAR_EJECUCION'!$C$9:$C$1208,MATCH($AT459,'2_IMPORTAR_EJECUCION'!$J$9:$J$1208,0)),""),'CAT_ESTADOS_ERP'!$A$4:$A$7,0)),"Pendiente"))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IF($J459="","",$P459&amp;"-"&amp;TEXT($Q459,"00"))</f>
        <v/>
      </c>
      <c r="S459" s="5">
        <f>IF($J459="","",INDEX(lista_dias,WEEKDAY($J459,2)))</f>
        <v/>
      </c>
      <c r="T459" s="5">
        <f>IF($J459="","",IFERROR(INDEX('CALENDARIO'!$C$15:$C$214,MATCH(TEXT($J459,"yyyy-mm-dd")&amp;"|"&amp;$X459&amp;"|"&amp;$Y459,'CALENDARIO'!$G$15:$G$214,0)),IFERROR(INDEX('CALENDARIO'!$C$15:$C$214,MATCH(TEXT($J459,"yyyy-mm-dd")&amp;"|"&amp;$X459&amp;"|",'CALENDARIO'!$G$15:$G$214,0)),IFERROR(INDEX('CALENDARIO'!$C$15:$C$214,MATCH(TEXT($J459,"yyyy-mm-dd")&amp;"||",'CALENDARIO'!$G$15:$G$214,0)),INDEX(patronHabil,WEEKDAY($J459,2))))))</f>
        <v/>
      </c>
      <c r="U459" s="5">
        <f>IF($I459="","",IFERROR(INDEX('CAT_TIPOS_OT'!$C$4:$C$8,MATCH($I459,'CAT_TIPOS_OT'!$A$4:$A$8,0)),"sin_clasificar"))</f>
        <v/>
      </c>
      <c r="V459" s="5">
        <f>IF($I459="","",IF(IFERROR(INDEX('CAT_TIPOS_OT'!$D$4:$D$8,MATCH($I459,'CAT_TIPOS_OT'!$A$4:$A$8,0)),"SIN CLASIFICAR")="","SIN CLASIFICAR",IFERROR(INDEX('CAT_TIPOS_OT'!$D$4:$D$8,MATCH($I459,'CAT_TIPOS_OT'!$A$4:$A$8,0)),"SIN CLASIFICAR")))</f>
        <v/>
      </c>
      <c r="W459" s="5">
        <f>IF($F459="","",IFERROR(INDEX('CAT_CENTROS_COSTO'!$F$4:$F$13,MATCH($F459,'CAT_CENTROS_COSTO'!$A$4:$A$13,0)),"(sin catálogo)"))</f>
        <v/>
      </c>
      <c r="X459" s="5">
        <f>IF($F459="","",IFERROR(INDEX('CAT_CENTROS_COSTO'!$D$4:$D$13,MATCH($F459,'CAT_CENTROS_COSTO'!$A$4:$A$13,0)),"(sin catálogo)"))</f>
        <v/>
      </c>
      <c r="Y459" s="5">
        <f>IF($F459="","",IF((IFERROR(INDEX('CAT_CENTROS_COSTO'!$E$4:$E$13,MATCH($F459,'CAT_CENTROS_COSTO'!$A$4:$A$13,0)),""))&lt;&gt;"",IFERROR(INDEX('CAT_CENTROS_COSTO'!$E$4:$E$13,MATCH($F459,'CAT_CENTROS_COSTO'!$A$4:$A$13,0)),""),$X459))</f>
        <v/>
      </c>
      <c r="Z459" s="5">
        <f>IF($F459="","",IFERROR(INDEX('CAT_CENTROS_COSTO'!$G$4:$G$13,MATCH($F459,'CAT_CENTROS_COSTO'!$A$4:$A$13,0)),"(sin catálogo)"))</f>
        <v/>
      </c>
      <c r="AA459" s="5">
        <f>IF($G459="","",IFERROR(INDEX('CAT_PUESTOS'!$B$4:$B$8,MATCH($G459,'CAT_PUESTOS'!$A$4:$A$8,0)),"(sin catálogo)"))</f>
        <v/>
      </c>
      <c r="AB459" s="5">
        <f>IF($H459="","",IFERROR(INDEX('CAT_ACTIVIDADES'!$B$4:$B$11,MATCH($H459,'CAT_ACTIVIDADES'!$A$4:$A$11,0)),"(sin catálogo)"))</f>
        <v/>
      </c>
      <c r="AC459" s="20">
        <f>IF($J459="","",TODAY()-$J459)</f>
        <v/>
      </c>
      <c r="AD459" s="20">
        <f>IF($J459="","",IF($J459&lt;=TODAY(),COUNTIFS(cal_fechas,"&gt;="&amp;$J459,cal_fechas,"&lt;"&amp;TODAY(),cal_habil,"sí"),-COUNTIFS(cal_fechas,"&gt;="&amp;TODAY(),cal_fechas,"&lt;"&amp;$J459,cal_habil,"sí")))</f>
        <v/>
      </c>
      <c r="AE459" s="5">
        <f>IF($AD459="","",IF($AD459&lt;0,"FUTURO",IF($AD459&gt;p_dias_backlog_max,"BACKLOG","MES CORRIENTE")))</f>
        <v/>
      </c>
      <c r="AF459" s="5">
        <f>IF($AD459="",FALSE,AND($AD459&gt;p_dias_backlog_min,$AD459&lt;=p_dias_backlog_max))</f>
        <v/>
      </c>
      <c r="AG459" s="4" t="n"/>
      <c r="AH459" s="5">
        <f>IF($AG459="","",IF((IFERROR(INDEX('ASIGNACIONES'!$J$4:$J$451,MATCH($O459&amp;"|"&amp;$S459&amp;"|"&amp;$AG459,'ASIGNACIONES'!$N$4:$N$451,0)),""))=0,"",IFERROR(INDEX('ASIGNACIONES'!$J$4:$J$451,MATCH($O459&amp;"|"&amp;$S459&amp;"|"&amp;$AG459,'ASIGNACIONES'!$N$4:$N$451,0)),"")))</f>
        <v/>
      </c>
      <c r="AI459" s="25">
        <f>IF($AG459="","",SUMIFS('ORDENES'!$M$4:$M$1203,'ORDENES'!$AG$4:$AG$1203,$AG459,'ORDENES'!$O$4:$O$1203,$O459,'ORDENES'!$S$4:$S$1203,$S459))</f>
        <v/>
      </c>
      <c r="AJ459" s="25">
        <f>IF($AI459="","",p_factor_productividad*IFERROR(INDEX('ASIGNACIONES'!$M$4:$M$451,MATCH($O459&amp;"|"&amp;$S459&amp;"|"&amp;$AG459,'ASIGNACIONES'!$N$4:$N$451,0)),0)-$AI459)</f>
        <v/>
      </c>
      <c r="AK459" s="18">
        <f>IF($A459="","",IFERROR(INDEX('2_IMPORTAR_EJECUCION'!$F$9:$F$1208,MATCH($AT459,'2_IMPORTAR_EJECUCION'!$J$9:$J$1208,0)),0))</f>
        <v/>
      </c>
      <c r="AL459" s="18">
        <f>IF($A459="","",MAX(0,IFERROR(INDEX('2_IMPORTAR_EJECUCION'!$H$9:$H$1208,MATCH($AT459,'2_IMPORTAR_EJECUCION'!$J$9:$J$1208,0)),0)-$AK459))</f>
        <v/>
      </c>
      <c r="AM459" s="18">
        <f>IF($A459="","",$AK459+$AL459)</f>
        <v/>
      </c>
      <c r="AN459" s="5">
        <f>IF($A459="","",IF(OR((IFERROR(INDEX('CAT_ACTIVIDADES'!$D$4:$D$11,MATCH($H459,'CAT_ACTIVIDADES'!$A$4:$A$11,0)),""))=0,(IFERROR(INDEX('CAT_ACTIVIDADES'!$D$4:$D$11,MATCH($H459,'CAT_ACTIVIDADES'!$A$4:$A$11,0)),""))=""),"SIN CLASIFICAR",IFERROR(INDEX('CAT_ACTIVIDADES'!$D$4:$D$11,MATCH($H459,'CAT_ACTIVIDADES'!$A$4:$A$11,0)),"")))</f>
        <v/>
      </c>
      <c r="AO459" s="4" t="n"/>
      <c r="AP459" s="4" t="n"/>
      <c r="AQ459" s="4" t="n"/>
      <c r="AR459" s="5">
        <f>IF($AQ459="","",HYPERLINK(p_ruta_base_checklists&amp;$AQ459,"abrir"))</f>
        <v/>
      </c>
      <c r="AS459" s="4" t="n"/>
      <c r="AT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2" t="n"/>
      <c r="K460" s="5" t="n"/>
      <c r="L460" s="18" t="n"/>
      <c r="M460" s="5">
        <f>IF($A460="","",IFERROR(INDEX('AJUSTES'!$B$4:$B$303,MATCH($AT460,'AJUSTES'!$A$4:$A$303,0)),IF($K460="","",$K460)))</f>
        <v/>
      </c>
      <c r="N460" s="5">
        <f>IF($A460="","",IFERROR(INDEX('CAT_ESTADOS_ERP'!$B$4:$B$7,MATCH(IFERROR(INDEX('2_IMPORTAR_EJECUCION'!$C$9:$C$1208,MATCH($AT460,'2_IMPORTAR_EJECUCION'!$J$9:$J$1208,0)),""),'CAT_ESTADOS_ERP'!$A$4:$A$7,0)),"Pendiente"))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IF($J460="","",$P460&amp;"-"&amp;TEXT($Q460,"00"))</f>
        <v/>
      </c>
      <c r="S460" s="5">
        <f>IF($J460="","",INDEX(lista_dias,WEEKDAY($J460,2)))</f>
        <v/>
      </c>
      <c r="T460" s="5">
        <f>IF($J460="","",IFERROR(INDEX('CALENDARIO'!$C$15:$C$214,MATCH(TEXT($J460,"yyyy-mm-dd")&amp;"|"&amp;$X460&amp;"|"&amp;$Y460,'CALENDARIO'!$G$15:$G$214,0)),IFERROR(INDEX('CALENDARIO'!$C$15:$C$214,MATCH(TEXT($J460,"yyyy-mm-dd")&amp;"|"&amp;$X460&amp;"|",'CALENDARIO'!$G$15:$G$214,0)),IFERROR(INDEX('CALENDARIO'!$C$15:$C$214,MATCH(TEXT($J460,"yyyy-mm-dd")&amp;"||",'CALENDARIO'!$G$15:$G$214,0)),INDEX(patronHabil,WEEKDAY($J460,2))))))</f>
        <v/>
      </c>
      <c r="U460" s="5">
        <f>IF($I460="","",IFERROR(INDEX('CAT_TIPOS_OT'!$C$4:$C$8,MATCH($I460,'CAT_TIPOS_OT'!$A$4:$A$8,0)),"sin_clasificar"))</f>
        <v/>
      </c>
      <c r="V460" s="5">
        <f>IF($I460="","",IF(IFERROR(INDEX('CAT_TIPOS_OT'!$D$4:$D$8,MATCH($I460,'CAT_TIPOS_OT'!$A$4:$A$8,0)),"SIN CLASIFICAR")="","SIN CLASIFICAR",IFERROR(INDEX('CAT_TIPOS_OT'!$D$4:$D$8,MATCH($I460,'CAT_TIPOS_OT'!$A$4:$A$8,0)),"SIN CLASIFICAR")))</f>
        <v/>
      </c>
      <c r="W460" s="5">
        <f>IF($F460="","",IFERROR(INDEX('CAT_CENTROS_COSTO'!$F$4:$F$13,MATCH($F460,'CAT_CENTROS_COSTO'!$A$4:$A$13,0)),"(sin catálogo)"))</f>
        <v/>
      </c>
      <c r="X460" s="5">
        <f>IF($F460="","",IFERROR(INDEX('CAT_CENTROS_COSTO'!$D$4:$D$13,MATCH($F460,'CAT_CENTROS_COSTO'!$A$4:$A$13,0)),"(sin catálogo)"))</f>
        <v/>
      </c>
      <c r="Y460" s="5">
        <f>IF($F460="","",IF((IFERROR(INDEX('CAT_CENTROS_COSTO'!$E$4:$E$13,MATCH($F460,'CAT_CENTROS_COSTO'!$A$4:$A$13,0)),""))&lt;&gt;"",IFERROR(INDEX('CAT_CENTROS_COSTO'!$E$4:$E$13,MATCH($F460,'CAT_CENTROS_COSTO'!$A$4:$A$13,0)),""),$X460))</f>
        <v/>
      </c>
      <c r="Z460" s="5">
        <f>IF($F460="","",IFERROR(INDEX('CAT_CENTROS_COSTO'!$G$4:$G$13,MATCH($F460,'CAT_CENTROS_COSTO'!$A$4:$A$13,0)),"(sin catálogo)"))</f>
        <v/>
      </c>
      <c r="AA460" s="5">
        <f>IF($G460="","",IFERROR(INDEX('CAT_PUESTOS'!$B$4:$B$8,MATCH($G460,'CAT_PUESTOS'!$A$4:$A$8,0)),"(sin catálogo)"))</f>
        <v/>
      </c>
      <c r="AB460" s="5">
        <f>IF($H460="","",IFERROR(INDEX('CAT_ACTIVIDADES'!$B$4:$B$11,MATCH($H460,'CAT_ACTIVIDADES'!$A$4:$A$11,0)),"(sin catálogo)"))</f>
        <v/>
      </c>
      <c r="AC460" s="20">
        <f>IF($J460="","",TODAY()-$J460)</f>
        <v/>
      </c>
      <c r="AD460" s="20">
        <f>IF($J460="","",IF($J460&lt;=TODAY(),COUNTIFS(cal_fechas,"&gt;="&amp;$J460,cal_fechas,"&lt;"&amp;TODAY(),cal_habil,"sí"),-COUNTIFS(cal_fechas,"&gt;="&amp;TODAY(),cal_fechas,"&lt;"&amp;$J460,cal_habil,"sí")))</f>
        <v/>
      </c>
      <c r="AE460" s="5">
        <f>IF($AD460="","",IF($AD460&lt;0,"FUTURO",IF($AD460&gt;p_dias_backlog_max,"BACKLOG","MES CORRIENTE")))</f>
        <v/>
      </c>
      <c r="AF460" s="5">
        <f>IF($AD460="",FALSE,AND($AD460&gt;p_dias_backlog_min,$AD460&lt;=p_dias_backlog_max))</f>
        <v/>
      </c>
      <c r="AG460" s="4" t="n"/>
      <c r="AH460" s="5">
        <f>IF($AG460="","",IF((IFERROR(INDEX('ASIGNACIONES'!$J$4:$J$451,MATCH($O460&amp;"|"&amp;$S460&amp;"|"&amp;$AG460,'ASIGNACIONES'!$N$4:$N$451,0)),""))=0,"",IFERROR(INDEX('ASIGNACIONES'!$J$4:$J$451,MATCH($O460&amp;"|"&amp;$S460&amp;"|"&amp;$AG460,'ASIGNACIONES'!$N$4:$N$451,0)),"")))</f>
        <v/>
      </c>
      <c r="AI460" s="25">
        <f>IF($AG460="","",SUMIFS('ORDENES'!$M$4:$M$1203,'ORDENES'!$AG$4:$AG$1203,$AG460,'ORDENES'!$O$4:$O$1203,$O460,'ORDENES'!$S$4:$S$1203,$S460))</f>
        <v/>
      </c>
      <c r="AJ460" s="25">
        <f>IF($AI460="","",p_factor_productividad*IFERROR(INDEX('ASIGNACIONES'!$M$4:$M$451,MATCH($O460&amp;"|"&amp;$S460&amp;"|"&amp;$AG460,'ASIGNACIONES'!$N$4:$N$451,0)),0)-$AI460)</f>
        <v/>
      </c>
      <c r="AK460" s="18">
        <f>IF($A460="","",IFERROR(INDEX('2_IMPORTAR_EJECUCION'!$F$9:$F$1208,MATCH($AT460,'2_IMPORTAR_EJECUCION'!$J$9:$J$1208,0)),0))</f>
        <v/>
      </c>
      <c r="AL460" s="18">
        <f>IF($A460="","",MAX(0,IFERROR(INDEX('2_IMPORTAR_EJECUCION'!$H$9:$H$1208,MATCH($AT460,'2_IMPORTAR_EJECUCION'!$J$9:$J$1208,0)),0)-$AK460))</f>
        <v/>
      </c>
      <c r="AM460" s="18">
        <f>IF($A460="","",$AK460+$AL460)</f>
        <v/>
      </c>
      <c r="AN460" s="5">
        <f>IF($A460="","",IF(OR((IFERROR(INDEX('CAT_ACTIVIDADES'!$D$4:$D$11,MATCH($H460,'CAT_ACTIVIDADES'!$A$4:$A$11,0)),""))=0,(IFERROR(INDEX('CAT_ACTIVIDADES'!$D$4:$D$11,MATCH($H460,'CAT_ACTIVIDADES'!$A$4:$A$11,0)),""))=""),"SIN CLASIFICAR",IFERROR(INDEX('CAT_ACTIVIDADES'!$D$4:$D$11,MATCH($H460,'CAT_ACTIVIDADES'!$A$4:$A$11,0)),"")))</f>
        <v/>
      </c>
      <c r="AO460" s="4" t="n"/>
      <c r="AP460" s="4" t="n"/>
      <c r="AQ460" s="4" t="n"/>
      <c r="AR460" s="5">
        <f>IF($AQ460="","",HYPERLINK(p_ruta_base_checklists&amp;$AQ460,"abrir"))</f>
        <v/>
      </c>
      <c r="AS460" s="4" t="n"/>
      <c r="AT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2" t="n"/>
      <c r="K461" s="5" t="n"/>
      <c r="L461" s="18" t="n"/>
      <c r="M461" s="5">
        <f>IF($A461="","",IFERROR(INDEX('AJUSTES'!$B$4:$B$303,MATCH($AT461,'AJUSTES'!$A$4:$A$303,0)),IF($K461="","",$K461)))</f>
        <v/>
      </c>
      <c r="N461" s="5">
        <f>IF($A461="","",IFERROR(INDEX('CAT_ESTADOS_ERP'!$B$4:$B$7,MATCH(IFERROR(INDEX('2_IMPORTAR_EJECUCION'!$C$9:$C$1208,MATCH($AT461,'2_IMPORTAR_EJECUCION'!$J$9:$J$1208,0)),""),'CAT_ESTADOS_ERP'!$A$4:$A$7,0)),"Pendiente"))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IF($J461="","",$P461&amp;"-"&amp;TEXT($Q461,"00"))</f>
        <v/>
      </c>
      <c r="S461" s="5">
        <f>IF($J461="","",INDEX(lista_dias,WEEKDAY($J461,2)))</f>
        <v/>
      </c>
      <c r="T461" s="5">
        <f>IF($J461="","",IFERROR(INDEX('CALENDARIO'!$C$15:$C$214,MATCH(TEXT($J461,"yyyy-mm-dd")&amp;"|"&amp;$X461&amp;"|"&amp;$Y461,'CALENDARIO'!$G$15:$G$214,0)),IFERROR(INDEX('CALENDARIO'!$C$15:$C$214,MATCH(TEXT($J461,"yyyy-mm-dd")&amp;"|"&amp;$X461&amp;"|",'CALENDARIO'!$G$15:$G$214,0)),IFERROR(INDEX('CALENDARIO'!$C$15:$C$214,MATCH(TEXT($J461,"yyyy-mm-dd")&amp;"||",'CALENDARIO'!$G$15:$G$214,0)),INDEX(patronHabil,WEEKDAY($J461,2))))))</f>
        <v/>
      </c>
      <c r="U461" s="5">
        <f>IF($I461="","",IFERROR(INDEX('CAT_TIPOS_OT'!$C$4:$C$8,MATCH($I461,'CAT_TIPOS_OT'!$A$4:$A$8,0)),"sin_clasificar"))</f>
        <v/>
      </c>
      <c r="V461" s="5">
        <f>IF($I461="","",IF(IFERROR(INDEX('CAT_TIPOS_OT'!$D$4:$D$8,MATCH($I461,'CAT_TIPOS_OT'!$A$4:$A$8,0)),"SIN CLASIFICAR")="","SIN CLASIFICAR",IFERROR(INDEX('CAT_TIPOS_OT'!$D$4:$D$8,MATCH($I461,'CAT_TIPOS_OT'!$A$4:$A$8,0)),"SIN CLASIFICAR")))</f>
        <v/>
      </c>
      <c r="W461" s="5">
        <f>IF($F461="","",IFERROR(INDEX('CAT_CENTROS_COSTO'!$F$4:$F$13,MATCH($F461,'CAT_CENTROS_COSTO'!$A$4:$A$13,0)),"(sin catálogo)"))</f>
        <v/>
      </c>
      <c r="X461" s="5">
        <f>IF($F461="","",IFERROR(INDEX('CAT_CENTROS_COSTO'!$D$4:$D$13,MATCH($F461,'CAT_CENTROS_COSTO'!$A$4:$A$13,0)),"(sin catálogo)"))</f>
        <v/>
      </c>
      <c r="Y461" s="5">
        <f>IF($F461="","",IF((IFERROR(INDEX('CAT_CENTROS_COSTO'!$E$4:$E$13,MATCH($F461,'CAT_CENTROS_COSTO'!$A$4:$A$13,0)),""))&lt;&gt;"",IFERROR(INDEX('CAT_CENTROS_COSTO'!$E$4:$E$13,MATCH($F461,'CAT_CENTROS_COSTO'!$A$4:$A$13,0)),""),$X461))</f>
        <v/>
      </c>
      <c r="Z461" s="5">
        <f>IF($F461="","",IFERROR(INDEX('CAT_CENTROS_COSTO'!$G$4:$G$13,MATCH($F461,'CAT_CENTROS_COSTO'!$A$4:$A$13,0)),"(sin catálogo)"))</f>
        <v/>
      </c>
      <c r="AA461" s="5">
        <f>IF($G461="","",IFERROR(INDEX('CAT_PUESTOS'!$B$4:$B$8,MATCH($G461,'CAT_PUESTOS'!$A$4:$A$8,0)),"(sin catálogo)"))</f>
        <v/>
      </c>
      <c r="AB461" s="5">
        <f>IF($H461="","",IFERROR(INDEX('CAT_ACTIVIDADES'!$B$4:$B$11,MATCH($H461,'CAT_ACTIVIDADES'!$A$4:$A$11,0)),"(sin catálogo)"))</f>
        <v/>
      </c>
      <c r="AC461" s="20">
        <f>IF($J461="","",TODAY()-$J461)</f>
        <v/>
      </c>
      <c r="AD461" s="20">
        <f>IF($J461="","",IF($J461&lt;=TODAY(),COUNTIFS(cal_fechas,"&gt;="&amp;$J461,cal_fechas,"&lt;"&amp;TODAY(),cal_habil,"sí"),-COUNTIFS(cal_fechas,"&gt;="&amp;TODAY(),cal_fechas,"&lt;"&amp;$J461,cal_habil,"sí")))</f>
        <v/>
      </c>
      <c r="AE461" s="5">
        <f>IF($AD461="","",IF($AD461&lt;0,"FUTURO",IF($AD461&gt;p_dias_backlog_max,"BACKLOG","MES CORRIENTE")))</f>
        <v/>
      </c>
      <c r="AF461" s="5">
        <f>IF($AD461="",FALSE,AND($AD461&gt;p_dias_backlog_min,$AD461&lt;=p_dias_backlog_max))</f>
        <v/>
      </c>
      <c r="AG461" s="4" t="n"/>
      <c r="AH461" s="5">
        <f>IF($AG461="","",IF((IFERROR(INDEX('ASIGNACIONES'!$J$4:$J$451,MATCH($O461&amp;"|"&amp;$S461&amp;"|"&amp;$AG461,'ASIGNACIONES'!$N$4:$N$451,0)),""))=0,"",IFERROR(INDEX('ASIGNACIONES'!$J$4:$J$451,MATCH($O461&amp;"|"&amp;$S461&amp;"|"&amp;$AG461,'ASIGNACIONES'!$N$4:$N$451,0)),"")))</f>
        <v/>
      </c>
      <c r="AI461" s="25">
        <f>IF($AG461="","",SUMIFS('ORDENES'!$M$4:$M$1203,'ORDENES'!$AG$4:$AG$1203,$AG461,'ORDENES'!$O$4:$O$1203,$O461,'ORDENES'!$S$4:$S$1203,$S461))</f>
        <v/>
      </c>
      <c r="AJ461" s="25">
        <f>IF($AI461="","",p_factor_productividad*IFERROR(INDEX('ASIGNACIONES'!$M$4:$M$451,MATCH($O461&amp;"|"&amp;$S461&amp;"|"&amp;$AG461,'ASIGNACIONES'!$N$4:$N$451,0)),0)-$AI461)</f>
        <v/>
      </c>
      <c r="AK461" s="18">
        <f>IF($A461="","",IFERROR(INDEX('2_IMPORTAR_EJECUCION'!$F$9:$F$1208,MATCH($AT461,'2_IMPORTAR_EJECUCION'!$J$9:$J$1208,0)),0))</f>
        <v/>
      </c>
      <c r="AL461" s="18">
        <f>IF($A461="","",MAX(0,IFERROR(INDEX('2_IMPORTAR_EJECUCION'!$H$9:$H$1208,MATCH($AT461,'2_IMPORTAR_EJECUCION'!$J$9:$J$1208,0)),0)-$AK461))</f>
        <v/>
      </c>
      <c r="AM461" s="18">
        <f>IF($A461="","",$AK461+$AL461)</f>
        <v/>
      </c>
      <c r="AN461" s="5">
        <f>IF($A461="","",IF(OR((IFERROR(INDEX('CAT_ACTIVIDADES'!$D$4:$D$11,MATCH($H461,'CAT_ACTIVIDADES'!$A$4:$A$11,0)),""))=0,(IFERROR(INDEX('CAT_ACTIVIDADES'!$D$4:$D$11,MATCH($H461,'CAT_ACTIVIDADES'!$A$4:$A$11,0)),""))=""),"SIN CLASIFICAR",IFERROR(INDEX('CAT_ACTIVIDADES'!$D$4:$D$11,MATCH($H461,'CAT_ACTIVIDADES'!$A$4:$A$11,0)),"")))</f>
        <v/>
      </c>
      <c r="AO461" s="4" t="n"/>
      <c r="AP461" s="4" t="n"/>
      <c r="AQ461" s="4" t="n"/>
      <c r="AR461" s="5">
        <f>IF($AQ461="","",HYPERLINK(p_ruta_base_checklists&amp;$AQ461,"abrir"))</f>
        <v/>
      </c>
      <c r="AS461" s="4" t="n"/>
      <c r="AT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2" t="n"/>
      <c r="K462" s="5" t="n"/>
      <c r="L462" s="18" t="n"/>
      <c r="M462" s="5">
        <f>IF($A462="","",IFERROR(INDEX('AJUSTES'!$B$4:$B$303,MATCH($AT462,'AJUSTES'!$A$4:$A$303,0)),IF($K462="","",$K462)))</f>
        <v/>
      </c>
      <c r="N462" s="5">
        <f>IF($A462="","",IFERROR(INDEX('CAT_ESTADOS_ERP'!$B$4:$B$7,MATCH(IFERROR(INDEX('2_IMPORTAR_EJECUCION'!$C$9:$C$1208,MATCH($AT462,'2_IMPORTAR_EJECUCION'!$J$9:$J$1208,0)),""),'CAT_ESTADOS_ERP'!$A$4:$A$7,0)),"Pendiente"))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IF($J462="","",$P462&amp;"-"&amp;TEXT($Q462,"00"))</f>
        <v/>
      </c>
      <c r="S462" s="5">
        <f>IF($J462="","",INDEX(lista_dias,WEEKDAY($J462,2)))</f>
        <v/>
      </c>
      <c r="T462" s="5">
        <f>IF($J462="","",IFERROR(INDEX('CALENDARIO'!$C$15:$C$214,MATCH(TEXT($J462,"yyyy-mm-dd")&amp;"|"&amp;$X462&amp;"|"&amp;$Y462,'CALENDARIO'!$G$15:$G$214,0)),IFERROR(INDEX('CALENDARIO'!$C$15:$C$214,MATCH(TEXT($J462,"yyyy-mm-dd")&amp;"|"&amp;$X462&amp;"|",'CALENDARIO'!$G$15:$G$214,0)),IFERROR(INDEX('CALENDARIO'!$C$15:$C$214,MATCH(TEXT($J462,"yyyy-mm-dd")&amp;"||",'CALENDARIO'!$G$15:$G$214,0)),INDEX(patronHabil,WEEKDAY($J462,2))))))</f>
        <v/>
      </c>
      <c r="U462" s="5">
        <f>IF($I462="","",IFERROR(INDEX('CAT_TIPOS_OT'!$C$4:$C$8,MATCH($I462,'CAT_TIPOS_OT'!$A$4:$A$8,0)),"sin_clasificar"))</f>
        <v/>
      </c>
      <c r="V462" s="5">
        <f>IF($I462="","",IF(IFERROR(INDEX('CAT_TIPOS_OT'!$D$4:$D$8,MATCH($I462,'CAT_TIPOS_OT'!$A$4:$A$8,0)),"SIN CLASIFICAR")="","SIN CLASIFICAR",IFERROR(INDEX('CAT_TIPOS_OT'!$D$4:$D$8,MATCH($I462,'CAT_TIPOS_OT'!$A$4:$A$8,0)),"SIN CLASIFICAR")))</f>
        <v/>
      </c>
      <c r="W462" s="5">
        <f>IF($F462="","",IFERROR(INDEX('CAT_CENTROS_COSTO'!$F$4:$F$13,MATCH($F462,'CAT_CENTROS_COSTO'!$A$4:$A$13,0)),"(sin catálogo)"))</f>
        <v/>
      </c>
      <c r="X462" s="5">
        <f>IF($F462="","",IFERROR(INDEX('CAT_CENTROS_COSTO'!$D$4:$D$13,MATCH($F462,'CAT_CENTROS_COSTO'!$A$4:$A$13,0)),"(sin catálogo)"))</f>
        <v/>
      </c>
      <c r="Y462" s="5">
        <f>IF($F462="","",IF((IFERROR(INDEX('CAT_CENTROS_COSTO'!$E$4:$E$13,MATCH($F462,'CAT_CENTROS_COSTO'!$A$4:$A$13,0)),""))&lt;&gt;"",IFERROR(INDEX('CAT_CENTROS_COSTO'!$E$4:$E$13,MATCH($F462,'CAT_CENTROS_COSTO'!$A$4:$A$13,0)),""),$X462))</f>
        <v/>
      </c>
      <c r="Z462" s="5">
        <f>IF($F462="","",IFERROR(INDEX('CAT_CENTROS_COSTO'!$G$4:$G$13,MATCH($F462,'CAT_CENTROS_COSTO'!$A$4:$A$13,0)),"(sin catálogo)"))</f>
        <v/>
      </c>
      <c r="AA462" s="5">
        <f>IF($G462="","",IFERROR(INDEX('CAT_PUESTOS'!$B$4:$B$8,MATCH($G462,'CAT_PUESTOS'!$A$4:$A$8,0)),"(sin catálogo)"))</f>
        <v/>
      </c>
      <c r="AB462" s="5">
        <f>IF($H462="","",IFERROR(INDEX('CAT_ACTIVIDADES'!$B$4:$B$11,MATCH($H462,'CAT_ACTIVIDADES'!$A$4:$A$11,0)),"(sin catálogo)"))</f>
        <v/>
      </c>
      <c r="AC462" s="20">
        <f>IF($J462="","",TODAY()-$J462)</f>
        <v/>
      </c>
      <c r="AD462" s="20">
        <f>IF($J462="","",IF($J462&lt;=TODAY(),COUNTIFS(cal_fechas,"&gt;="&amp;$J462,cal_fechas,"&lt;"&amp;TODAY(),cal_habil,"sí"),-COUNTIFS(cal_fechas,"&gt;="&amp;TODAY(),cal_fechas,"&lt;"&amp;$J462,cal_habil,"sí")))</f>
        <v/>
      </c>
      <c r="AE462" s="5">
        <f>IF($AD462="","",IF($AD462&lt;0,"FUTURO",IF($AD462&gt;p_dias_backlog_max,"BACKLOG","MES CORRIENTE")))</f>
        <v/>
      </c>
      <c r="AF462" s="5">
        <f>IF($AD462="",FALSE,AND($AD462&gt;p_dias_backlog_min,$AD462&lt;=p_dias_backlog_max))</f>
        <v/>
      </c>
      <c r="AG462" s="4" t="n"/>
      <c r="AH462" s="5">
        <f>IF($AG462="","",IF((IFERROR(INDEX('ASIGNACIONES'!$J$4:$J$451,MATCH($O462&amp;"|"&amp;$S462&amp;"|"&amp;$AG462,'ASIGNACIONES'!$N$4:$N$451,0)),""))=0,"",IFERROR(INDEX('ASIGNACIONES'!$J$4:$J$451,MATCH($O462&amp;"|"&amp;$S462&amp;"|"&amp;$AG462,'ASIGNACIONES'!$N$4:$N$451,0)),"")))</f>
        <v/>
      </c>
      <c r="AI462" s="25">
        <f>IF($AG462="","",SUMIFS('ORDENES'!$M$4:$M$1203,'ORDENES'!$AG$4:$AG$1203,$AG462,'ORDENES'!$O$4:$O$1203,$O462,'ORDENES'!$S$4:$S$1203,$S462))</f>
        <v/>
      </c>
      <c r="AJ462" s="25">
        <f>IF($AI462="","",p_factor_productividad*IFERROR(INDEX('ASIGNACIONES'!$M$4:$M$451,MATCH($O462&amp;"|"&amp;$S462&amp;"|"&amp;$AG462,'ASIGNACIONES'!$N$4:$N$451,0)),0)-$AI462)</f>
        <v/>
      </c>
      <c r="AK462" s="18">
        <f>IF($A462="","",IFERROR(INDEX('2_IMPORTAR_EJECUCION'!$F$9:$F$1208,MATCH($AT462,'2_IMPORTAR_EJECUCION'!$J$9:$J$1208,0)),0))</f>
        <v/>
      </c>
      <c r="AL462" s="18">
        <f>IF($A462="","",MAX(0,IFERROR(INDEX('2_IMPORTAR_EJECUCION'!$H$9:$H$1208,MATCH($AT462,'2_IMPORTAR_EJECUCION'!$J$9:$J$1208,0)),0)-$AK462))</f>
        <v/>
      </c>
      <c r="AM462" s="18">
        <f>IF($A462="","",$AK462+$AL462)</f>
        <v/>
      </c>
      <c r="AN462" s="5">
        <f>IF($A462="","",IF(OR((IFERROR(INDEX('CAT_ACTIVIDADES'!$D$4:$D$11,MATCH($H462,'CAT_ACTIVIDADES'!$A$4:$A$11,0)),""))=0,(IFERROR(INDEX('CAT_ACTIVIDADES'!$D$4:$D$11,MATCH($H462,'CAT_ACTIVIDADES'!$A$4:$A$11,0)),""))=""),"SIN CLASIFICAR",IFERROR(INDEX('CAT_ACTIVIDADES'!$D$4:$D$11,MATCH($H462,'CAT_ACTIVIDADES'!$A$4:$A$11,0)),"")))</f>
        <v/>
      </c>
      <c r="AO462" s="4" t="n"/>
      <c r="AP462" s="4" t="n"/>
      <c r="AQ462" s="4" t="n"/>
      <c r="AR462" s="5">
        <f>IF($AQ462="","",HYPERLINK(p_ruta_base_checklists&amp;$AQ462,"abrir"))</f>
        <v/>
      </c>
      <c r="AS462" s="4" t="n"/>
      <c r="AT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2" t="n"/>
      <c r="K463" s="5" t="n"/>
      <c r="L463" s="18" t="n"/>
      <c r="M463" s="5">
        <f>IF($A463="","",IFERROR(INDEX('AJUSTES'!$B$4:$B$303,MATCH($AT463,'AJUSTES'!$A$4:$A$303,0)),IF($K463="","",$K463)))</f>
        <v/>
      </c>
      <c r="N463" s="5">
        <f>IF($A463="","",IFERROR(INDEX('CAT_ESTADOS_ERP'!$B$4:$B$7,MATCH(IFERROR(INDEX('2_IMPORTAR_EJECUCION'!$C$9:$C$1208,MATCH($AT463,'2_IMPORTAR_EJECUCION'!$J$9:$J$1208,0)),""),'CAT_ESTADOS_ERP'!$A$4:$A$7,0)),"Pendiente"))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IF($J463="","",$P463&amp;"-"&amp;TEXT($Q463,"00"))</f>
        <v/>
      </c>
      <c r="S463" s="5">
        <f>IF($J463="","",INDEX(lista_dias,WEEKDAY($J463,2)))</f>
        <v/>
      </c>
      <c r="T463" s="5">
        <f>IF($J463="","",IFERROR(INDEX('CALENDARIO'!$C$15:$C$214,MATCH(TEXT($J463,"yyyy-mm-dd")&amp;"|"&amp;$X463&amp;"|"&amp;$Y463,'CALENDARIO'!$G$15:$G$214,0)),IFERROR(INDEX('CALENDARIO'!$C$15:$C$214,MATCH(TEXT($J463,"yyyy-mm-dd")&amp;"|"&amp;$X463&amp;"|",'CALENDARIO'!$G$15:$G$214,0)),IFERROR(INDEX('CALENDARIO'!$C$15:$C$214,MATCH(TEXT($J463,"yyyy-mm-dd")&amp;"||",'CALENDARIO'!$G$15:$G$214,0)),INDEX(patronHabil,WEEKDAY($J463,2))))))</f>
        <v/>
      </c>
      <c r="U463" s="5">
        <f>IF($I463="","",IFERROR(INDEX('CAT_TIPOS_OT'!$C$4:$C$8,MATCH($I463,'CAT_TIPOS_OT'!$A$4:$A$8,0)),"sin_clasificar"))</f>
        <v/>
      </c>
      <c r="V463" s="5">
        <f>IF($I463="","",IF(IFERROR(INDEX('CAT_TIPOS_OT'!$D$4:$D$8,MATCH($I463,'CAT_TIPOS_OT'!$A$4:$A$8,0)),"SIN CLASIFICAR")="","SIN CLASIFICAR",IFERROR(INDEX('CAT_TIPOS_OT'!$D$4:$D$8,MATCH($I463,'CAT_TIPOS_OT'!$A$4:$A$8,0)),"SIN CLASIFICAR")))</f>
        <v/>
      </c>
      <c r="W463" s="5">
        <f>IF($F463="","",IFERROR(INDEX('CAT_CENTROS_COSTO'!$F$4:$F$13,MATCH($F463,'CAT_CENTROS_COSTO'!$A$4:$A$13,0)),"(sin catálogo)"))</f>
        <v/>
      </c>
      <c r="X463" s="5">
        <f>IF($F463="","",IFERROR(INDEX('CAT_CENTROS_COSTO'!$D$4:$D$13,MATCH($F463,'CAT_CENTROS_COSTO'!$A$4:$A$13,0)),"(sin catálogo)"))</f>
        <v/>
      </c>
      <c r="Y463" s="5">
        <f>IF($F463="","",IF((IFERROR(INDEX('CAT_CENTROS_COSTO'!$E$4:$E$13,MATCH($F463,'CAT_CENTROS_COSTO'!$A$4:$A$13,0)),""))&lt;&gt;"",IFERROR(INDEX('CAT_CENTROS_COSTO'!$E$4:$E$13,MATCH($F463,'CAT_CENTROS_COSTO'!$A$4:$A$13,0)),""),$X463))</f>
        <v/>
      </c>
      <c r="Z463" s="5">
        <f>IF($F463="","",IFERROR(INDEX('CAT_CENTROS_COSTO'!$G$4:$G$13,MATCH($F463,'CAT_CENTROS_COSTO'!$A$4:$A$13,0)),"(sin catálogo)"))</f>
        <v/>
      </c>
      <c r="AA463" s="5">
        <f>IF($G463="","",IFERROR(INDEX('CAT_PUESTOS'!$B$4:$B$8,MATCH($G463,'CAT_PUESTOS'!$A$4:$A$8,0)),"(sin catálogo)"))</f>
        <v/>
      </c>
      <c r="AB463" s="5">
        <f>IF($H463="","",IFERROR(INDEX('CAT_ACTIVIDADES'!$B$4:$B$11,MATCH($H463,'CAT_ACTIVIDADES'!$A$4:$A$11,0)),"(sin catálogo)"))</f>
        <v/>
      </c>
      <c r="AC463" s="20">
        <f>IF($J463="","",TODAY()-$J463)</f>
        <v/>
      </c>
      <c r="AD463" s="20">
        <f>IF($J463="","",IF($J463&lt;=TODAY(),COUNTIFS(cal_fechas,"&gt;="&amp;$J463,cal_fechas,"&lt;"&amp;TODAY(),cal_habil,"sí"),-COUNTIFS(cal_fechas,"&gt;="&amp;TODAY(),cal_fechas,"&lt;"&amp;$J463,cal_habil,"sí")))</f>
        <v/>
      </c>
      <c r="AE463" s="5">
        <f>IF($AD463="","",IF($AD463&lt;0,"FUTURO",IF($AD463&gt;p_dias_backlog_max,"BACKLOG","MES CORRIENTE")))</f>
        <v/>
      </c>
      <c r="AF463" s="5">
        <f>IF($AD463="",FALSE,AND($AD463&gt;p_dias_backlog_min,$AD463&lt;=p_dias_backlog_max))</f>
        <v/>
      </c>
      <c r="AG463" s="4" t="n"/>
      <c r="AH463" s="5">
        <f>IF($AG463="","",IF((IFERROR(INDEX('ASIGNACIONES'!$J$4:$J$451,MATCH($O463&amp;"|"&amp;$S463&amp;"|"&amp;$AG463,'ASIGNACIONES'!$N$4:$N$451,0)),""))=0,"",IFERROR(INDEX('ASIGNACIONES'!$J$4:$J$451,MATCH($O463&amp;"|"&amp;$S463&amp;"|"&amp;$AG463,'ASIGNACIONES'!$N$4:$N$451,0)),"")))</f>
        <v/>
      </c>
      <c r="AI463" s="25">
        <f>IF($AG463="","",SUMIFS('ORDENES'!$M$4:$M$1203,'ORDENES'!$AG$4:$AG$1203,$AG463,'ORDENES'!$O$4:$O$1203,$O463,'ORDENES'!$S$4:$S$1203,$S463))</f>
        <v/>
      </c>
      <c r="AJ463" s="25">
        <f>IF($AI463="","",p_factor_productividad*IFERROR(INDEX('ASIGNACIONES'!$M$4:$M$451,MATCH($O463&amp;"|"&amp;$S463&amp;"|"&amp;$AG463,'ASIGNACIONES'!$N$4:$N$451,0)),0)-$AI463)</f>
        <v/>
      </c>
      <c r="AK463" s="18">
        <f>IF($A463="","",IFERROR(INDEX('2_IMPORTAR_EJECUCION'!$F$9:$F$1208,MATCH($AT463,'2_IMPORTAR_EJECUCION'!$J$9:$J$1208,0)),0))</f>
        <v/>
      </c>
      <c r="AL463" s="18">
        <f>IF($A463="","",MAX(0,IFERROR(INDEX('2_IMPORTAR_EJECUCION'!$H$9:$H$1208,MATCH($AT463,'2_IMPORTAR_EJECUCION'!$J$9:$J$1208,0)),0)-$AK463))</f>
        <v/>
      </c>
      <c r="AM463" s="18">
        <f>IF($A463="","",$AK463+$AL463)</f>
        <v/>
      </c>
      <c r="AN463" s="5">
        <f>IF($A463="","",IF(OR((IFERROR(INDEX('CAT_ACTIVIDADES'!$D$4:$D$11,MATCH($H463,'CAT_ACTIVIDADES'!$A$4:$A$11,0)),""))=0,(IFERROR(INDEX('CAT_ACTIVIDADES'!$D$4:$D$11,MATCH($H463,'CAT_ACTIVIDADES'!$A$4:$A$11,0)),""))=""),"SIN CLASIFICAR",IFERROR(INDEX('CAT_ACTIVIDADES'!$D$4:$D$11,MATCH($H463,'CAT_ACTIVIDADES'!$A$4:$A$11,0)),"")))</f>
        <v/>
      </c>
      <c r="AO463" s="4" t="n"/>
      <c r="AP463" s="4" t="n"/>
      <c r="AQ463" s="4" t="n"/>
      <c r="AR463" s="5">
        <f>IF($AQ463="","",HYPERLINK(p_ruta_base_checklists&amp;$AQ463,"abrir"))</f>
        <v/>
      </c>
      <c r="AS463" s="4" t="n"/>
      <c r="AT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2" t="n"/>
      <c r="K464" s="5" t="n"/>
      <c r="L464" s="18" t="n"/>
      <c r="M464" s="5">
        <f>IF($A464="","",IFERROR(INDEX('AJUSTES'!$B$4:$B$303,MATCH($AT464,'AJUSTES'!$A$4:$A$303,0)),IF($K464="","",$K464)))</f>
        <v/>
      </c>
      <c r="N464" s="5">
        <f>IF($A464="","",IFERROR(INDEX('CAT_ESTADOS_ERP'!$B$4:$B$7,MATCH(IFERROR(INDEX('2_IMPORTAR_EJECUCION'!$C$9:$C$1208,MATCH($AT464,'2_IMPORTAR_EJECUCION'!$J$9:$J$1208,0)),""),'CAT_ESTADOS_ERP'!$A$4:$A$7,0)),"Pendiente"))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IF($J464="","",$P464&amp;"-"&amp;TEXT($Q464,"00"))</f>
        <v/>
      </c>
      <c r="S464" s="5">
        <f>IF($J464="","",INDEX(lista_dias,WEEKDAY($J464,2)))</f>
        <v/>
      </c>
      <c r="T464" s="5">
        <f>IF($J464="","",IFERROR(INDEX('CALENDARIO'!$C$15:$C$214,MATCH(TEXT($J464,"yyyy-mm-dd")&amp;"|"&amp;$X464&amp;"|"&amp;$Y464,'CALENDARIO'!$G$15:$G$214,0)),IFERROR(INDEX('CALENDARIO'!$C$15:$C$214,MATCH(TEXT($J464,"yyyy-mm-dd")&amp;"|"&amp;$X464&amp;"|",'CALENDARIO'!$G$15:$G$214,0)),IFERROR(INDEX('CALENDARIO'!$C$15:$C$214,MATCH(TEXT($J464,"yyyy-mm-dd")&amp;"||",'CALENDARIO'!$G$15:$G$214,0)),INDEX(patronHabil,WEEKDAY($J464,2))))))</f>
        <v/>
      </c>
      <c r="U464" s="5">
        <f>IF($I464="","",IFERROR(INDEX('CAT_TIPOS_OT'!$C$4:$C$8,MATCH($I464,'CAT_TIPOS_OT'!$A$4:$A$8,0)),"sin_clasificar"))</f>
        <v/>
      </c>
      <c r="V464" s="5">
        <f>IF($I464="","",IF(IFERROR(INDEX('CAT_TIPOS_OT'!$D$4:$D$8,MATCH($I464,'CAT_TIPOS_OT'!$A$4:$A$8,0)),"SIN CLASIFICAR")="","SIN CLASIFICAR",IFERROR(INDEX('CAT_TIPOS_OT'!$D$4:$D$8,MATCH($I464,'CAT_TIPOS_OT'!$A$4:$A$8,0)),"SIN CLASIFICAR")))</f>
        <v/>
      </c>
      <c r="W464" s="5">
        <f>IF($F464="","",IFERROR(INDEX('CAT_CENTROS_COSTO'!$F$4:$F$13,MATCH($F464,'CAT_CENTROS_COSTO'!$A$4:$A$13,0)),"(sin catálogo)"))</f>
        <v/>
      </c>
      <c r="X464" s="5">
        <f>IF($F464="","",IFERROR(INDEX('CAT_CENTROS_COSTO'!$D$4:$D$13,MATCH($F464,'CAT_CENTROS_COSTO'!$A$4:$A$13,0)),"(sin catálogo)"))</f>
        <v/>
      </c>
      <c r="Y464" s="5">
        <f>IF($F464="","",IF((IFERROR(INDEX('CAT_CENTROS_COSTO'!$E$4:$E$13,MATCH($F464,'CAT_CENTROS_COSTO'!$A$4:$A$13,0)),""))&lt;&gt;"",IFERROR(INDEX('CAT_CENTROS_COSTO'!$E$4:$E$13,MATCH($F464,'CAT_CENTROS_COSTO'!$A$4:$A$13,0)),""),$X464))</f>
        <v/>
      </c>
      <c r="Z464" s="5">
        <f>IF($F464="","",IFERROR(INDEX('CAT_CENTROS_COSTO'!$G$4:$G$13,MATCH($F464,'CAT_CENTROS_COSTO'!$A$4:$A$13,0)),"(sin catálogo)"))</f>
        <v/>
      </c>
      <c r="AA464" s="5">
        <f>IF($G464="","",IFERROR(INDEX('CAT_PUESTOS'!$B$4:$B$8,MATCH($G464,'CAT_PUESTOS'!$A$4:$A$8,0)),"(sin catálogo)"))</f>
        <v/>
      </c>
      <c r="AB464" s="5">
        <f>IF($H464="","",IFERROR(INDEX('CAT_ACTIVIDADES'!$B$4:$B$11,MATCH($H464,'CAT_ACTIVIDADES'!$A$4:$A$11,0)),"(sin catálogo)"))</f>
        <v/>
      </c>
      <c r="AC464" s="20">
        <f>IF($J464="","",TODAY()-$J464)</f>
        <v/>
      </c>
      <c r="AD464" s="20">
        <f>IF($J464="","",IF($J464&lt;=TODAY(),COUNTIFS(cal_fechas,"&gt;="&amp;$J464,cal_fechas,"&lt;"&amp;TODAY(),cal_habil,"sí"),-COUNTIFS(cal_fechas,"&gt;="&amp;TODAY(),cal_fechas,"&lt;"&amp;$J464,cal_habil,"sí")))</f>
        <v/>
      </c>
      <c r="AE464" s="5">
        <f>IF($AD464="","",IF($AD464&lt;0,"FUTURO",IF($AD464&gt;p_dias_backlog_max,"BACKLOG","MES CORRIENTE")))</f>
        <v/>
      </c>
      <c r="AF464" s="5">
        <f>IF($AD464="",FALSE,AND($AD464&gt;p_dias_backlog_min,$AD464&lt;=p_dias_backlog_max))</f>
        <v/>
      </c>
      <c r="AG464" s="4" t="n"/>
      <c r="AH464" s="5">
        <f>IF($AG464="","",IF((IFERROR(INDEX('ASIGNACIONES'!$J$4:$J$451,MATCH($O464&amp;"|"&amp;$S464&amp;"|"&amp;$AG464,'ASIGNACIONES'!$N$4:$N$451,0)),""))=0,"",IFERROR(INDEX('ASIGNACIONES'!$J$4:$J$451,MATCH($O464&amp;"|"&amp;$S464&amp;"|"&amp;$AG464,'ASIGNACIONES'!$N$4:$N$451,0)),"")))</f>
        <v/>
      </c>
      <c r="AI464" s="25">
        <f>IF($AG464="","",SUMIFS('ORDENES'!$M$4:$M$1203,'ORDENES'!$AG$4:$AG$1203,$AG464,'ORDENES'!$O$4:$O$1203,$O464,'ORDENES'!$S$4:$S$1203,$S464))</f>
        <v/>
      </c>
      <c r="AJ464" s="25">
        <f>IF($AI464="","",p_factor_productividad*IFERROR(INDEX('ASIGNACIONES'!$M$4:$M$451,MATCH($O464&amp;"|"&amp;$S464&amp;"|"&amp;$AG464,'ASIGNACIONES'!$N$4:$N$451,0)),0)-$AI464)</f>
        <v/>
      </c>
      <c r="AK464" s="18">
        <f>IF($A464="","",IFERROR(INDEX('2_IMPORTAR_EJECUCION'!$F$9:$F$1208,MATCH($AT464,'2_IMPORTAR_EJECUCION'!$J$9:$J$1208,0)),0))</f>
        <v/>
      </c>
      <c r="AL464" s="18">
        <f>IF($A464="","",MAX(0,IFERROR(INDEX('2_IMPORTAR_EJECUCION'!$H$9:$H$1208,MATCH($AT464,'2_IMPORTAR_EJECUCION'!$J$9:$J$1208,0)),0)-$AK464))</f>
        <v/>
      </c>
      <c r="AM464" s="18">
        <f>IF($A464="","",$AK464+$AL464)</f>
        <v/>
      </c>
      <c r="AN464" s="5">
        <f>IF($A464="","",IF(OR((IFERROR(INDEX('CAT_ACTIVIDADES'!$D$4:$D$11,MATCH($H464,'CAT_ACTIVIDADES'!$A$4:$A$11,0)),""))=0,(IFERROR(INDEX('CAT_ACTIVIDADES'!$D$4:$D$11,MATCH($H464,'CAT_ACTIVIDADES'!$A$4:$A$11,0)),""))=""),"SIN CLASIFICAR",IFERROR(INDEX('CAT_ACTIVIDADES'!$D$4:$D$11,MATCH($H464,'CAT_ACTIVIDADES'!$A$4:$A$11,0)),"")))</f>
        <v/>
      </c>
      <c r="AO464" s="4" t="n"/>
      <c r="AP464" s="4" t="n"/>
      <c r="AQ464" s="4" t="n"/>
      <c r="AR464" s="5">
        <f>IF($AQ464="","",HYPERLINK(p_ruta_base_checklists&amp;$AQ464,"abrir"))</f>
        <v/>
      </c>
      <c r="AS464" s="4" t="n"/>
      <c r="AT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2" t="n"/>
      <c r="K465" s="5" t="n"/>
      <c r="L465" s="18" t="n"/>
      <c r="M465" s="5">
        <f>IF($A465="","",IFERROR(INDEX('AJUSTES'!$B$4:$B$303,MATCH($AT465,'AJUSTES'!$A$4:$A$303,0)),IF($K465="","",$K465)))</f>
        <v/>
      </c>
      <c r="N465" s="5">
        <f>IF($A465="","",IFERROR(INDEX('CAT_ESTADOS_ERP'!$B$4:$B$7,MATCH(IFERROR(INDEX('2_IMPORTAR_EJECUCION'!$C$9:$C$1208,MATCH($AT465,'2_IMPORTAR_EJECUCION'!$J$9:$J$1208,0)),""),'CAT_ESTADOS_ERP'!$A$4:$A$7,0)),"Pendiente"))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IF($J465="","",$P465&amp;"-"&amp;TEXT($Q465,"00"))</f>
        <v/>
      </c>
      <c r="S465" s="5">
        <f>IF($J465="","",INDEX(lista_dias,WEEKDAY($J465,2)))</f>
        <v/>
      </c>
      <c r="T465" s="5">
        <f>IF($J465="","",IFERROR(INDEX('CALENDARIO'!$C$15:$C$214,MATCH(TEXT($J465,"yyyy-mm-dd")&amp;"|"&amp;$X465&amp;"|"&amp;$Y465,'CALENDARIO'!$G$15:$G$214,0)),IFERROR(INDEX('CALENDARIO'!$C$15:$C$214,MATCH(TEXT($J465,"yyyy-mm-dd")&amp;"|"&amp;$X465&amp;"|",'CALENDARIO'!$G$15:$G$214,0)),IFERROR(INDEX('CALENDARIO'!$C$15:$C$214,MATCH(TEXT($J465,"yyyy-mm-dd")&amp;"||",'CALENDARIO'!$G$15:$G$214,0)),INDEX(patronHabil,WEEKDAY($J465,2))))))</f>
        <v/>
      </c>
      <c r="U465" s="5">
        <f>IF($I465="","",IFERROR(INDEX('CAT_TIPOS_OT'!$C$4:$C$8,MATCH($I465,'CAT_TIPOS_OT'!$A$4:$A$8,0)),"sin_clasificar"))</f>
        <v/>
      </c>
      <c r="V465" s="5">
        <f>IF($I465="","",IF(IFERROR(INDEX('CAT_TIPOS_OT'!$D$4:$D$8,MATCH($I465,'CAT_TIPOS_OT'!$A$4:$A$8,0)),"SIN CLASIFICAR")="","SIN CLASIFICAR",IFERROR(INDEX('CAT_TIPOS_OT'!$D$4:$D$8,MATCH($I465,'CAT_TIPOS_OT'!$A$4:$A$8,0)),"SIN CLASIFICAR")))</f>
        <v/>
      </c>
      <c r="W465" s="5">
        <f>IF($F465="","",IFERROR(INDEX('CAT_CENTROS_COSTO'!$F$4:$F$13,MATCH($F465,'CAT_CENTROS_COSTO'!$A$4:$A$13,0)),"(sin catálogo)"))</f>
        <v/>
      </c>
      <c r="X465" s="5">
        <f>IF($F465="","",IFERROR(INDEX('CAT_CENTROS_COSTO'!$D$4:$D$13,MATCH($F465,'CAT_CENTROS_COSTO'!$A$4:$A$13,0)),"(sin catálogo)"))</f>
        <v/>
      </c>
      <c r="Y465" s="5">
        <f>IF($F465="","",IF((IFERROR(INDEX('CAT_CENTROS_COSTO'!$E$4:$E$13,MATCH($F465,'CAT_CENTROS_COSTO'!$A$4:$A$13,0)),""))&lt;&gt;"",IFERROR(INDEX('CAT_CENTROS_COSTO'!$E$4:$E$13,MATCH($F465,'CAT_CENTROS_COSTO'!$A$4:$A$13,0)),""),$X465))</f>
        <v/>
      </c>
      <c r="Z465" s="5">
        <f>IF($F465="","",IFERROR(INDEX('CAT_CENTROS_COSTO'!$G$4:$G$13,MATCH($F465,'CAT_CENTROS_COSTO'!$A$4:$A$13,0)),"(sin catálogo)"))</f>
        <v/>
      </c>
      <c r="AA465" s="5">
        <f>IF($G465="","",IFERROR(INDEX('CAT_PUESTOS'!$B$4:$B$8,MATCH($G465,'CAT_PUESTOS'!$A$4:$A$8,0)),"(sin catálogo)"))</f>
        <v/>
      </c>
      <c r="AB465" s="5">
        <f>IF($H465="","",IFERROR(INDEX('CAT_ACTIVIDADES'!$B$4:$B$11,MATCH($H465,'CAT_ACTIVIDADES'!$A$4:$A$11,0)),"(sin catálogo)"))</f>
        <v/>
      </c>
      <c r="AC465" s="20">
        <f>IF($J465="","",TODAY()-$J465)</f>
        <v/>
      </c>
      <c r="AD465" s="20">
        <f>IF($J465="","",IF($J465&lt;=TODAY(),COUNTIFS(cal_fechas,"&gt;="&amp;$J465,cal_fechas,"&lt;"&amp;TODAY(),cal_habil,"sí"),-COUNTIFS(cal_fechas,"&gt;="&amp;TODAY(),cal_fechas,"&lt;"&amp;$J465,cal_habil,"sí")))</f>
        <v/>
      </c>
      <c r="AE465" s="5">
        <f>IF($AD465="","",IF($AD465&lt;0,"FUTURO",IF($AD465&gt;p_dias_backlog_max,"BACKLOG","MES CORRIENTE")))</f>
        <v/>
      </c>
      <c r="AF465" s="5">
        <f>IF($AD465="",FALSE,AND($AD465&gt;p_dias_backlog_min,$AD465&lt;=p_dias_backlog_max))</f>
        <v/>
      </c>
      <c r="AG465" s="4" t="n"/>
      <c r="AH465" s="5">
        <f>IF($AG465="","",IF((IFERROR(INDEX('ASIGNACIONES'!$J$4:$J$451,MATCH($O465&amp;"|"&amp;$S465&amp;"|"&amp;$AG465,'ASIGNACIONES'!$N$4:$N$451,0)),""))=0,"",IFERROR(INDEX('ASIGNACIONES'!$J$4:$J$451,MATCH($O465&amp;"|"&amp;$S465&amp;"|"&amp;$AG465,'ASIGNACIONES'!$N$4:$N$451,0)),"")))</f>
        <v/>
      </c>
      <c r="AI465" s="25">
        <f>IF($AG465="","",SUMIFS('ORDENES'!$M$4:$M$1203,'ORDENES'!$AG$4:$AG$1203,$AG465,'ORDENES'!$O$4:$O$1203,$O465,'ORDENES'!$S$4:$S$1203,$S465))</f>
        <v/>
      </c>
      <c r="AJ465" s="25">
        <f>IF($AI465="","",p_factor_productividad*IFERROR(INDEX('ASIGNACIONES'!$M$4:$M$451,MATCH($O465&amp;"|"&amp;$S465&amp;"|"&amp;$AG465,'ASIGNACIONES'!$N$4:$N$451,0)),0)-$AI465)</f>
        <v/>
      </c>
      <c r="AK465" s="18">
        <f>IF($A465="","",IFERROR(INDEX('2_IMPORTAR_EJECUCION'!$F$9:$F$1208,MATCH($AT465,'2_IMPORTAR_EJECUCION'!$J$9:$J$1208,0)),0))</f>
        <v/>
      </c>
      <c r="AL465" s="18">
        <f>IF($A465="","",MAX(0,IFERROR(INDEX('2_IMPORTAR_EJECUCION'!$H$9:$H$1208,MATCH($AT465,'2_IMPORTAR_EJECUCION'!$J$9:$J$1208,0)),0)-$AK465))</f>
        <v/>
      </c>
      <c r="AM465" s="18">
        <f>IF($A465="","",$AK465+$AL465)</f>
        <v/>
      </c>
      <c r="AN465" s="5">
        <f>IF($A465="","",IF(OR((IFERROR(INDEX('CAT_ACTIVIDADES'!$D$4:$D$11,MATCH($H465,'CAT_ACTIVIDADES'!$A$4:$A$11,0)),""))=0,(IFERROR(INDEX('CAT_ACTIVIDADES'!$D$4:$D$11,MATCH($H465,'CAT_ACTIVIDADES'!$A$4:$A$11,0)),""))=""),"SIN CLASIFICAR",IFERROR(INDEX('CAT_ACTIVIDADES'!$D$4:$D$11,MATCH($H465,'CAT_ACTIVIDADES'!$A$4:$A$11,0)),"")))</f>
        <v/>
      </c>
      <c r="AO465" s="4" t="n"/>
      <c r="AP465" s="4" t="n"/>
      <c r="AQ465" s="4" t="n"/>
      <c r="AR465" s="5">
        <f>IF($AQ465="","",HYPERLINK(p_ruta_base_checklists&amp;$AQ465,"abrir"))</f>
        <v/>
      </c>
      <c r="AS465" s="4" t="n"/>
      <c r="AT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2" t="n"/>
      <c r="K466" s="5" t="n"/>
      <c r="L466" s="18" t="n"/>
      <c r="M466" s="5">
        <f>IF($A466="","",IFERROR(INDEX('AJUSTES'!$B$4:$B$303,MATCH($AT466,'AJUSTES'!$A$4:$A$303,0)),IF($K466="","",$K466)))</f>
        <v/>
      </c>
      <c r="N466" s="5">
        <f>IF($A466="","",IFERROR(INDEX('CAT_ESTADOS_ERP'!$B$4:$B$7,MATCH(IFERROR(INDEX('2_IMPORTAR_EJECUCION'!$C$9:$C$1208,MATCH($AT466,'2_IMPORTAR_EJECUCION'!$J$9:$J$1208,0)),""),'CAT_ESTADOS_ERP'!$A$4:$A$7,0)),"Pendiente"))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IF($J466="","",$P466&amp;"-"&amp;TEXT($Q466,"00"))</f>
        <v/>
      </c>
      <c r="S466" s="5">
        <f>IF($J466="","",INDEX(lista_dias,WEEKDAY($J466,2)))</f>
        <v/>
      </c>
      <c r="T466" s="5">
        <f>IF($J466="","",IFERROR(INDEX('CALENDARIO'!$C$15:$C$214,MATCH(TEXT($J466,"yyyy-mm-dd")&amp;"|"&amp;$X466&amp;"|"&amp;$Y466,'CALENDARIO'!$G$15:$G$214,0)),IFERROR(INDEX('CALENDARIO'!$C$15:$C$214,MATCH(TEXT($J466,"yyyy-mm-dd")&amp;"|"&amp;$X466&amp;"|",'CALENDARIO'!$G$15:$G$214,0)),IFERROR(INDEX('CALENDARIO'!$C$15:$C$214,MATCH(TEXT($J466,"yyyy-mm-dd")&amp;"||",'CALENDARIO'!$G$15:$G$214,0)),INDEX(patronHabil,WEEKDAY($J466,2))))))</f>
        <v/>
      </c>
      <c r="U466" s="5">
        <f>IF($I466="","",IFERROR(INDEX('CAT_TIPOS_OT'!$C$4:$C$8,MATCH($I466,'CAT_TIPOS_OT'!$A$4:$A$8,0)),"sin_clasificar"))</f>
        <v/>
      </c>
      <c r="V466" s="5">
        <f>IF($I466="","",IF(IFERROR(INDEX('CAT_TIPOS_OT'!$D$4:$D$8,MATCH($I466,'CAT_TIPOS_OT'!$A$4:$A$8,0)),"SIN CLASIFICAR")="","SIN CLASIFICAR",IFERROR(INDEX('CAT_TIPOS_OT'!$D$4:$D$8,MATCH($I466,'CAT_TIPOS_OT'!$A$4:$A$8,0)),"SIN CLASIFICAR")))</f>
        <v/>
      </c>
      <c r="W466" s="5">
        <f>IF($F466="","",IFERROR(INDEX('CAT_CENTROS_COSTO'!$F$4:$F$13,MATCH($F466,'CAT_CENTROS_COSTO'!$A$4:$A$13,0)),"(sin catálogo)"))</f>
        <v/>
      </c>
      <c r="X466" s="5">
        <f>IF($F466="","",IFERROR(INDEX('CAT_CENTROS_COSTO'!$D$4:$D$13,MATCH($F466,'CAT_CENTROS_COSTO'!$A$4:$A$13,0)),"(sin catálogo)"))</f>
        <v/>
      </c>
      <c r="Y466" s="5">
        <f>IF($F466="","",IF((IFERROR(INDEX('CAT_CENTROS_COSTO'!$E$4:$E$13,MATCH($F466,'CAT_CENTROS_COSTO'!$A$4:$A$13,0)),""))&lt;&gt;"",IFERROR(INDEX('CAT_CENTROS_COSTO'!$E$4:$E$13,MATCH($F466,'CAT_CENTROS_COSTO'!$A$4:$A$13,0)),""),$X466))</f>
        <v/>
      </c>
      <c r="Z466" s="5">
        <f>IF($F466="","",IFERROR(INDEX('CAT_CENTROS_COSTO'!$G$4:$G$13,MATCH($F466,'CAT_CENTROS_COSTO'!$A$4:$A$13,0)),"(sin catálogo)"))</f>
        <v/>
      </c>
      <c r="AA466" s="5">
        <f>IF($G466="","",IFERROR(INDEX('CAT_PUESTOS'!$B$4:$B$8,MATCH($G466,'CAT_PUESTOS'!$A$4:$A$8,0)),"(sin catálogo)"))</f>
        <v/>
      </c>
      <c r="AB466" s="5">
        <f>IF($H466="","",IFERROR(INDEX('CAT_ACTIVIDADES'!$B$4:$B$11,MATCH($H466,'CAT_ACTIVIDADES'!$A$4:$A$11,0)),"(sin catálogo)"))</f>
        <v/>
      </c>
      <c r="AC466" s="20">
        <f>IF($J466="","",TODAY()-$J466)</f>
        <v/>
      </c>
      <c r="AD466" s="20">
        <f>IF($J466="","",IF($J466&lt;=TODAY(),COUNTIFS(cal_fechas,"&gt;="&amp;$J466,cal_fechas,"&lt;"&amp;TODAY(),cal_habil,"sí"),-COUNTIFS(cal_fechas,"&gt;="&amp;TODAY(),cal_fechas,"&lt;"&amp;$J466,cal_habil,"sí")))</f>
        <v/>
      </c>
      <c r="AE466" s="5">
        <f>IF($AD466="","",IF($AD466&lt;0,"FUTURO",IF($AD466&gt;p_dias_backlog_max,"BACKLOG","MES CORRIENTE")))</f>
        <v/>
      </c>
      <c r="AF466" s="5">
        <f>IF($AD466="",FALSE,AND($AD466&gt;p_dias_backlog_min,$AD466&lt;=p_dias_backlog_max))</f>
        <v/>
      </c>
      <c r="AG466" s="4" t="n"/>
      <c r="AH466" s="5">
        <f>IF($AG466="","",IF((IFERROR(INDEX('ASIGNACIONES'!$J$4:$J$451,MATCH($O466&amp;"|"&amp;$S466&amp;"|"&amp;$AG466,'ASIGNACIONES'!$N$4:$N$451,0)),""))=0,"",IFERROR(INDEX('ASIGNACIONES'!$J$4:$J$451,MATCH($O466&amp;"|"&amp;$S466&amp;"|"&amp;$AG466,'ASIGNACIONES'!$N$4:$N$451,0)),"")))</f>
        <v/>
      </c>
      <c r="AI466" s="25">
        <f>IF($AG466="","",SUMIFS('ORDENES'!$M$4:$M$1203,'ORDENES'!$AG$4:$AG$1203,$AG466,'ORDENES'!$O$4:$O$1203,$O466,'ORDENES'!$S$4:$S$1203,$S466))</f>
        <v/>
      </c>
      <c r="AJ466" s="25">
        <f>IF($AI466="","",p_factor_productividad*IFERROR(INDEX('ASIGNACIONES'!$M$4:$M$451,MATCH($O466&amp;"|"&amp;$S466&amp;"|"&amp;$AG466,'ASIGNACIONES'!$N$4:$N$451,0)),0)-$AI466)</f>
        <v/>
      </c>
      <c r="AK466" s="18">
        <f>IF($A466="","",IFERROR(INDEX('2_IMPORTAR_EJECUCION'!$F$9:$F$1208,MATCH($AT466,'2_IMPORTAR_EJECUCION'!$J$9:$J$1208,0)),0))</f>
        <v/>
      </c>
      <c r="AL466" s="18">
        <f>IF($A466="","",MAX(0,IFERROR(INDEX('2_IMPORTAR_EJECUCION'!$H$9:$H$1208,MATCH($AT466,'2_IMPORTAR_EJECUCION'!$J$9:$J$1208,0)),0)-$AK466))</f>
        <v/>
      </c>
      <c r="AM466" s="18">
        <f>IF($A466="","",$AK466+$AL466)</f>
        <v/>
      </c>
      <c r="AN466" s="5">
        <f>IF($A466="","",IF(OR((IFERROR(INDEX('CAT_ACTIVIDADES'!$D$4:$D$11,MATCH($H466,'CAT_ACTIVIDADES'!$A$4:$A$11,0)),""))=0,(IFERROR(INDEX('CAT_ACTIVIDADES'!$D$4:$D$11,MATCH($H466,'CAT_ACTIVIDADES'!$A$4:$A$11,0)),""))=""),"SIN CLASIFICAR",IFERROR(INDEX('CAT_ACTIVIDADES'!$D$4:$D$11,MATCH($H466,'CAT_ACTIVIDADES'!$A$4:$A$11,0)),"")))</f>
        <v/>
      </c>
      <c r="AO466" s="4" t="n"/>
      <c r="AP466" s="4" t="n"/>
      <c r="AQ466" s="4" t="n"/>
      <c r="AR466" s="5">
        <f>IF($AQ466="","",HYPERLINK(p_ruta_base_checklists&amp;$AQ466,"abrir"))</f>
        <v/>
      </c>
      <c r="AS466" s="4" t="n"/>
      <c r="AT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2" t="n"/>
      <c r="K467" s="5" t="n"/>
      <c r="L467" s="18" t="n"/>
      <c r="M467" s="5">
        <f>IF($A467="","",IFERROR(INDEX('AJUSTES'!$B$4:$B$303,MATCH($AT467,'AJUSTES'!$A$4:$A$303,0)),IF($K467="","",$K467)))</f>
        <v/>
      </c>
      <c r="N467" s="5">
        <f>IF($A467="","",IFERROR(INDEX('CAT_ESTADOS_ERP'!$B$4:$B$7,MATCH(IFERROR(INDEX('2_IMPORTAR_EJECUCION'!$C$9:$C$1208,MATCH($AT467,'2_IMPORTAR_EJECUCION'!$J$9:$J$1208,0)),""),'CAT_ESTADOS_ERP'!$A$4:$A$7,0)),"Pendiente"))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IF($J467="","",$P467&amp;"-"&amp;TEXT($Q467,"00"))</f>
        <v/>
      </c>
      <c r="S467" s="5">
        <f>IF($J467="","",INDEX(lista_dias,WEEKDAY($J467,2)))</f>
        <v/>
      </c>
      <c r="T467" s="5">
        <f>IF($J467="","",IFERROR(INDEX('CALENDARIO'!$C$15:$C$214,MATCH(TEXT($J467,"yyyy-mm-dd")&amp;"|"&amp;$X467&amp;"|"&amp;$Y467,'CALENDARIO'!$G$15:$G$214,0)),IFERROR(INDEX('CALENDARIO'!$C$15:$C$214,MATCH(TEXT($J467,"yyyy-mm-dd")&amp;"|"&amp;$X467&amp;"|",'CALENDARIO'!$G$15:$G$214,0)),IFERROR(INDEX('CALENDARIO'!$C$15:$C$214,MATCH(TEXT($J467,"yyyy-mm-dd")&amp;"||",'CALENDARIO'!$G$15:$G$214,0)),INDEX(patronHabil,WEEKDAY($J467,2))))))</f>
        <v/>
      </c>
      <c r="U467" s="5">
        <f>IF($I467="","",IFERROR(INDEX('CAT_TIPOS_OT'!$C$4:$C$8,MATCH($I467,'CAT_TIPOS_OT'!$A$4:$A$8,0)),"sin_clasificar"))</f>
        <v/>
      </c>
      <c r="V467" s="5">
        <f>IF($I467="","",IF(IFERROR(INDEX('CAT_TIPOS_OT'!$D$4:$D$8,MATCH($I467,'CAT_TIPOS_OT'!$A$4:$A$8,0)),"SIN CLASIFICAR")="","SIN CLASIFICAR",IFERROR(INDEX('CAT_TIPOS_OT'!$D$4:$D$8,MATCH($I467,'CAT_TIPOS_OT'!$A$4:$A$8,0)),"SIN CLASIFICAR")))</f>
        <v/>
      </c>
      <c r="W467" s="5">
        <f>IF($F467="","",IFERROR(INDEX('CAT_CENTROS_COSTO'!$F$4:$F$13,MATCH($F467,'CAT_CENTROS_COSTO'!$A$4:$A$13,0)),"(sin catálogo)"))</f>
        <v/>
      </c>
      <c r="X467" s="5">
        <f>IF($F467="","",IFERROR(INDEX('CAT_CENTROS_COSTO'!$D$4:$D$13,MATCH($F467,'CAT_CENTROS_COSTO'!$A$4:$A$13,0)),"(sin catálogo)"))</f>
        <v/>
      </c>
      <c r="Y467" s="5">
        <f>IF($F467="","",IF((IFERROR(INDEX('CAT_CENTROS_COSTO'!$E$4:$E$13,MATCH($F467,'CAT_CENTROS_COSTO'!$A$4:$A$13,0)),""))&lt;&gt;"",IFERROR(INDEX('CAT_CENTROS_COSTO'!$E$4:$E$13,MATCH($F467,'CAT_CENTROS_COSTO'!$A$4:$A$13,0)),""),$X467))</f>
        <v/>
      </c>
      <c r="Z467" s="5">
        <f>IF($F467="","",IFERROR(INDEX('CAT_CENTROS_COSTO'!$G$4:$G$13,MATCH($F467,'CAT_CENTROS_COSTO'!$A$4:$A$13,0)),"(sin catálogo)"))</f>
        <v/>
      </c>
      <c r="AA467" s="5">
        <f>IF($G467="","",IFERROR(INDEX('CAT_PUESTOS'!$B$4:$B$8,MATCH($G467,'CAT_PUESTOS'!$A$4:$A$8,0)),"(sin catálogo)"))</f>
        <v/>
      </c>
      <c r="AB467" s="5">
        <f>IF($H467="","",IFERROR(INDEX('CAT_ACTIVIDADES'!$B$4:$B$11,MATCH($H467,'CAT_ACTIVIDADES'!$A$4:$A$11,0)),"(sin catálogo)"))</f>
        <v/>
      </c>
      <c r="AC467" s="20">
        <f>IF($J467="","",TODAY()-$J467)</f>
        <v/>
      </c>
      <c r="AD467" s="20">
        <f>IF($J467="","",IF($J467&lt;=TODAY(),COUNTIFS(cal_fechas,"&gt;="&amp;$J467,cal_fechas,"&lt;"&amp;TODAY(),cal_habil,"sí"),-COUNTIFS(cal_fechas,"&gt;="&amp;TODAY(),cal_fechas,"&lt;"&amp;$J467,cal_habil,"sí")))</f>
        <v/>
      </c>
      <c r="AE467" s="5">
        <f>IF($AD467="","",IF($AD467&lt;0,"FUTURO",IF($AD467&gt;p_dias_backlog_max,"BACKLOG","MES CORRIENTE")))</f>
        <v/>
      </c>
      <c r="AF467" s="5">
        <f>IF($AD467="",FALSE,AND($AD467&gt;p_dias_backlog_min,$AD467&lt;=p_dias_backlog_max))</f>
        <v/>
      </c>
      <c r="AG467" s="4" t="n"/>
      <c r="AH467" s="5">
        <f>IF($AG467="","",IF((IFERROR(INDEX('ASIGNACIONES'!$J$4:$J$451,MATCH($O467&amp;"|"&amp;$S467&amp;"|"&amp;$AG467,'ASIGNACIONES'!$N$4:$N$451,0)),""))=0,"",IFERROR(INDEX('ASIGNACIONES'!$J$4:$J$451,MATCH($O467&amp;"|"&amp;$S467&amp;"|"&amp;$AG467,'ASIGNACIONES'!$N$4:$N$451,0)),"")))</f>
        <v/>
      </c>
      <c r="AI467" s="25">
        <f>IF($AG467="","",SUMIFS('ORDENES'!$M$4:$M$1203,'ORDENES'!$AG$4:$AG$1203,$AG467,'ORDENES'!$O$4:$O$1203,$O467,'ORDENES'!$S$4:$S$1203,$S467))</f>
        <v/>
      </c>
      <c r="AJ467" s="25">
        <f>IF($AI467="","",p_factor_productividad*IFERROR(INDEX('ASIGNACIONES'!$M$4:$M$451,MATCH($O467&amp;"|"&amp;$S467&amp;"|"&amp;$AG467,'ASIGNACIONES'!$N$4:$N$451,0)),0)-$AI467)</f>
        <v/>
      </c>
      <c r="AK467" s="18">
        <f>IF($A467="","",IFERROR(INDEX('2_IMPORTAR_EJECUCION'!$F$9:$F$1208,MATCH($AT467,'2_IMPORTAR_EJECUCION'!$J$9:$J$1208,0)),0))</f>
        <v/>
      </c>
      <c r="AL467" s="18">
        <f>IF($A467="","",MAX(0,IFERROR(INDEX('2_IMPORTAR_EJECUCION'!$H$9:$H$1208,MATCH($AT467,'2_IMPORTAR_EJECUCION'!$J$9:$J$1208,0)),0)-$AK467))</f>
        <v/>
      </c>
      <c r="AM467" s="18">
        <f>IF($A467="","",$AK467+$AL467)</f>
        <v/>
      </c>
      <c r="AN467" s="5">
        <f>IF($A467="","",IF(OR((IFERROR(INDEX('CAT_ACTIVIDADES'!$D$4:$D$11,MATCH($H467,'CAT_ACTIVIDADES'!$A$4:$A$11,0)),""))=0,(IFERROR(INDEX('CAT_ACTIVIDADES'!$D$4:$D$11,MATCH($H467,'CAT_ACTIVIDADES'!$A$4:$A$11,0)),""))=""),"SIN CLASIFICAR",IFERROR(INDEX('CAT_ACTIVIDADES'!$D$4:$D$11,MATCH($H467,'CAT_ACTIVIDADES'!$A$4:$A$11,0)),"")))</f>
        <v/>
      </c>
      <c r="AO467" s="4" t="n"/>
      <c r="AP467" s="4" t="n"/>
      <c r="AQ467" s="4" t="n"/>
      <c r="AR467" s="5">
        <f>IF($AQ467="","",HYPERLINK(p_ruta_base_checklists&amp;$AQ467,"abrir"))</f>
        <v/>
      </c>
      <c r="AS467" s="4" t="n"/>
      <c r="AT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2" t="n"/>
      <c r="K468" s="5" t="n"/>
      <c r="L468" s="18" t="n"/>
      <c r="M468" s="5">
        <f>IF($A468="","",IFERROR(INDEX('AJUSTES'!$B$4:$B$303,MATCH($AT468,'AJUSTES'!$A$4:$A$303,0)),IF($K468="","",$K468)))</f>
        <v/>
      </c>
      <c r="N468" s="5">
        <f>IF($A468="","",IFERROR(INDEX('CAT_ESTADOS_ERP'!$B$4:$B$7,MATCH(IFERROR(INDEX('2_IMPORTAR_EJECUCION'!$C$9:$C$1208,MATCH($AT468,'2_IMPORTAR_EJECUCION'!$J$9:$J$1208,0)),""),'CAT_ESTADOS_ERP'!$A$4:$A$7,0)),"Pendiente"))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IF($J468="","",$P468&amp;"-"&amp;TEXT($Q468,"00"))</f>
        <v/>
      </c>
      <c r="S468" s="5">
        <f>IF($J468="","",INDEX(lista_dias,WEEKDAY($J468,2)))</f>
        <v/>
      </c>
      <c r="T468" s="5">
        <f>IF($J468="","",IFERROR(INDEX('CALENDARIO'!$C$15:$C$214,MATCH(TEXT($J468,"yyyy-mm-dd")&amp;"|"&amp;$X468&amp;"|"&amp;$Y468,'CALENDARIO'!$G$15:$G$214,0)),IFERROR(INDEX('CALENDARIO'!$C$15:$C$214,MATCH(TEXT($J468,"yyyy-mm-dd")&amp;"|"&amp;$X468&amp;"|",'CALENDARIO'!$G$15:$G$214,0)),IFERROR(INDEX('CALENDARIO'!$C$15:$C$214,MATCH(TEXT($J468,"yyyy-mm-dd")&amp;"||",'CALENDARIO'!$G$15:$G$214,0)),INDEX(patronHabil,WEEKDAY($J468,2))))))</f>
        <v/>
      </c>
      <c r="U468" s="5">
        <f>IF($I468="","",IFERROR(INDEX('CAT_TIPOS_OT'!$C$4:$C$8,MATCH($I468,'CAT_TIPOS_OT'!$A$4:$A$8,0)),"sin_clasificar"))</f>
        <v/>
      </c>
      <c r="V468" s="5">
        <f>IF($I468="","",IF(IFERROR(INDEX('CAT_TIPOS_OT'!$D$4:$D$8,MATCH($I468,'CAT_TIPOS_OT'!$A$4:$A$8,0)),"SIN CLASIFICAR")="","SIN CLASIFICAR",IFERROR(INDEX('CAT_TIPOS_OT'!$D$4:$D$8,MATCH($I468,'CAT_TIPOS_OT'!$A$4:$A$8,0)),"SIN CLASIFICAR")))</f>
        <v/>
      </c>
      <c r="W468" s="5">
        <f>IF($F468="","",IFERROR(INDEX('CAT_CENTROS_COSTO'!$F$4:$F$13,MATCH($F468,'CAT_CENTROS_COSTO'!$A$4:$A$13,0)),"(sin catálogo)"))</f>
        <v/>
      </c>
      <c r="X468" s="5">
        <f>IF($F468="","",IFERROR(INDEX('CAT_CENTROS_COSTO'!$D$4:$D$13,MATCH($F468,'CAT_CENTROS_COSTO'!$A$4:$A$13,0)),"(sin catálogo)"))</f>
        <v/>
      </c>
      <c r="Y468" s="5">
        <f>IF($F468="","",IF((IFERROR(INDEX('CAT_CENTROS_COSTO'!$E$4:$E$13,MATCH($F468,'CAT_CENTROS_COSTO'!$A$4:$A$13,0)),""))&lt;&gt;"",IFERROR(INDEX('CAT_CENTROS_COSTO'!$E$4:$E$13,MATCH($F468,'CAT_CENTROS_COSTO'!$A$4:$A$13,0)),""),$X468))</f>
        <v/>
      </c>
      <c r="Z468" s="5">
        <f>IF($F468="","",IFERROR(INDEX('CAT_CENTROS_COSTO'!$G$4:$G$13,MATCH($F468,'CAT_CENTROS_COSTO'!$A$4:$A$13,0)),"(sin catálogo)"))</f>
        <v/>
      </c>
      <c r="AA468" s="5">
        <f>IF($G468="","",IFERROR(INDEX('CAT_PUESTOS'!$B$4:$B$8,MATCH($G468,'CAT_PUESTOS'!$A$4:$A$8,0)),"(sin catálogo)"))</f>
        <v/>
      </c>
      <c r="AB468" s="5">
        <f>IF($H468="","",IFERROR(INDEX('CAT_ACTIVIDADES'!$B$4:$B$11,MATCH($H468,'CAT_ACTIVIDADES'!$A$4:$A$11,0)),"(sin catálogo)"))</f>
        <v/>
      </c>
      <c r="AC468" s="20">
        <f>IF($J468="","",TODAY()-$J468)</f>
        <v/>
      </c>
      <c r="AD468" s="20">
        <f>IF($J468="","",IF($J468&lt;=TODAY(),COUNTIFS(cal_fechas,"&gt;="&amp;$J468,cal_fechas,"&lt;"&amp;TODAY(),cal_habil,"sí"),-COUNTIFS(cal_fechas,"&gt;="&amp;TODAY(),cal_fechas,"&lt;"&amp;$J468,cal_habil,"sí")))</f>
        <v/>
      </c>
      <c r="AE468" s="5">
        <f>IF($AD468="","",IF($AD468&lt;0,"FUTURO",IF($AD468&gt;p_dias_backlog_max,"BACKLOG","MES CORRIENTE")))</f>
        <v/>
      </c>
      <c r="AF468" s="5">
        <f>IF($AD468="",FALSE,AND($AD468&gt;p_dias_backlog_min,$AD468&lt;=p_dias_backlog_max))</f>
        <v/>
      </c>
      <c r="AG468" s="4" t="n"/>
      <c r="AH468" s="5">
        <f>IF($AG468="","",IF((IFERROR(INDEX('ASIGNACIONES'!$J$4:$J$451,MATCH($O468&amp;"|"&amp;$S468&amp;"|"&amp;$AG468,'ASIGNACIONES'!$N$4:$N$451,0)),""))=0,"",IFERROR(INDEX('ASIGNACIONES'!$J$4:$J$451,MATCH($O468&amp;"|"&amp;$S468&amp;"|"&amp;$AG468,'ASIGNACIONES'!$N$4:$N$451,0)),"")))</f>
        <v/>
      </c>
      <c r="AI468" s="25">
        <f>IF($AG468="","",SUMIFS('ORDENES'!$M$4:$M$1203,'ORDENES'!$AG$4:$AG$1203,$AG468,'ORDENES'!$O$4:$O$1203,$O468,'ORDENES'!$S$4:$S$1203,$S468))</f>
        <v/>
      </c>
      <c r="AJ468" s="25">
        <f>IF($AI468="","",p_factor_productividad*IFERROR(INDEX('ASIGNACIONES'!$M$4:$M$451,MATCH($O468&amp;"|"&amp;$S468&amp;"|"&amp;$AG468,'ASIGNACIONES'!$N$4:$N$451,0)),0)-$AI468)</f>
        <v/>
      </c>
      <c r="AK468" s="18">
        <f>IF($A468="","",IFERROR(INDEX('2_IMPORTAR_EJECUCION'!$F$9:$F$1208,MATCH($AT468,'2_IMPORTAR_EJECUCION'!$J$9:$J$1208,0)),0))</f>
        <v/>
      </c>
      <c r="AL468" s="18">
        <f>IF($A468="","",MAX(0,IFERROR(INDEX('2_IMPORTAR_EJECUCION'!$H$9:$H$1208,MATCH($AT468,'2_IMPORTAR_EJECUCION'!$J$9:$J$1208,0)),0)-$AK468))</f>
        <v/>
      </c>
      <c r="AM468" s="18">
        <f>IF($A468="","",$AK468+$AL468)</f>
        <v/>
      </c>
      <c r="AN468" s="5">
        <f>IF($A468="","",IF(OR((IFERROR(INDEX('CAT_ACTIVIDADES'!$D$4:$D$11,MATCH($H468,'CAT_ACTIVIDADES'!$A$4:$A$11,0)),""))=0,(IFERROR(INDEX('CAT_ACTIVIDADES'!$D$4:$D$11,MATCH($H468,'CAT_ACTIVIDADES'!$A$4:$A$11,0)),""))=""),"SIN CLASIFICAR",IFERROR(INDEX('CAT_ACTIVIDADES'!$D$4:$D$11,MATCH($H468,'CAT_ACTIVIDADES'!$A$4:$A$11,0)),"")))</f>
        <v/>
      </c>
      <c r="AO468" s="4" t="n"/>
      <c r="AP468" s="4" t="n"/>
      <c r="AQ468" s="4" t="n"/>
      <c r="AR468" s="5">
        <f>IF($AQ468="","",HYPERLINK(p_ruta_base_checklists&amp;$AQ468,"abrir"))</f>
        <v/>
      </c>
      <c r="AS468" s="4" t="n"/>
      <c r="AT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2" t="n"/>
      <c r="K469" s="5" t="n"/>
      <c r="L469" s="18" t="n"/>
      <c r="M469" s="5">
        <f>IF($A469="","",IFERROR(INDEX('AJUSTES'!$B$4:$B$303,MATCH($AT469,'AJUSTES'!$A$4:$A$303,0)),IF($K469="","",$K469)))</f>
        <v/>
      </c>
      <c r="N469" s="5">
        <f>IF($A469="","",IFERROR(INDEX('CAT_ESTADOS_ERP'!$B$4:$B$7,MATCH(IFERROR(INDEX('2_IMPORTAR_EJECUCION'!$C$9:$C$1208,MATCH($AT469,'2_IMPORTAR_EJECUCION'!$J$9:$J$1208,0)),""),'CAT_ESTADOS_ERP'!$A$4:$A$7,0)),"Pendiente"))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IF($J469="","",$P469&amp;"-"&amp;TEXT($Q469,"00"))</f>
        <v/>
      </c>
      <c r="S469" s="5">
        <f>IF($J469="","",INDEX(lista_dias,WEEKDAY($J469,2)))</f>
        <v/>
      </c>
      <c r="T469" s="5">
        <f>IF($J469="","",IFERROR(INDEX('CALENDARIO'!$C$15:$C$214,MATCH(TEXT($J469,"yyyy-mm-dd")&amp;"|"&amp;$X469&amp;"|"&amp;$Y469,'CALENDARIO'!$G$15:$G$214,0)),IFERROR(INDEX('CALENDARIO'!$C$15:$C$214,MATCH(TEXT($J469,"yyyy-mm-dd")&amp;"|"&amp;$X469&amp;"|",'CALENDARIO'!$G$15:$G$214,0)),IFERROR(INDEX('CALENDARIO'!$C$15:$C$214,MATCH(TEXT($J469,"yyyy-mm-dd")&amp;"||",'CALENDARIO'!$G$15:$G$214,0)),INDEX(patronHabil,WEEKDAY($J469,2))))))</f>
        <v/>
      </c>
      <c r="U469" s="5">
        <f>IF($I469="","",IFERROR(INDEX('CAT_TIPOS_OT'!$C$4:$C$8,MATCH($I469,'CAT_TIPOS_OT'!$A$4:$A$8,0)),"sin_clasificar"))</f>
        <v/>
      </c>
      <c r="V469" s="5">
        <f>IF($I469="","",IF(IFERROR(INDEX('CAT_TIPOS_OT'!$D$4:$D$8,MATCH($I469,'CAT_TIPOS_OT'!$A$4:$A$8,0)),"SIN CLASIFICAR")="","SIN CLASIFICAR",IFERROR(INDEX('CAT_TIPOS_OT'!$D$4:$D$8,MATCH($I469,'CAT_TIPOS_OT'!$A$4:$A$8,0)),"SIN CLASIFICAR")))</f>
        <v/>
      </c>
      <c r="W469" s="5">
        <f>IF($F469="","",IFERROR(INDEX('CAT_CENTROS_COSTO'!$F$4:$F$13,MATCH($F469,'CAT_CENTROS_COSTO'!$A$4:$A$13,0)),"(sin catálogo)"))</f>
        <v/>
      </c>
      <c r="X469" s="5">
        <f>IF($F469="","",IFERROR(INDEX('CAT_CENTROS_COSTO'!$D$4:$D$13,MATCH($F469,'CAT_CENTROS_COSTO'!$A$4:$A$13,0)),"(sin catálogo)"))</f>
        <v/>
      </c>
      <c r="Y469" s="5">
        <f>IF($F469="","",IF((IFERROR(INDEX('CAT_CENTROS_COSTO'!$E$4:$E$13,MATCH($F469,'CAT_CENTROS_COSTO'!$A$4:$A$13,0)),""))&lt;&gt;"",IFERROR(INDEX('CAT_CENTROS_COSTO'!$E$4:$E$13,MATCH($F469,'CAT_CENTROS_COSTO'!$A$4:$A$13,0)),""),$X469))</f>
        <v/>
      </c>
      <c r="Z469" s="5">
        <f>IF($F469="","",IFERROR(INDEX('CAT_CENTROS_COSTO'!$G$4:$G$13,MATCH($F469,'CAT_CENTROS_COSTO'!$A$4:$A$13,0)),"(sin catálogo)"))</f>
        <v/>
      </c>
      <c r="AA469" s="5">
        <f>IF($G469="","",IFERROR(INDEX('CAT_PUESTOS'!$B$4:$B$8,MATCH($G469,'CAT_PUESTOS'!$A$4:$A$8,0)),"(sin catálogo)"))</f>
        <v/>
      </c>
      <c r="AB469" s="5">
        <f>IF($H469="","",IFERROR(INDEX('CAT_ACTIVIDADES'!$B$4:$B$11,MATCH($H469,'CAT_ACTIVIDADES'!$A$4:$A$11,0)),"(sin catálogo)"))</f>
        <v/>
      </c>
      <c r="AC469" s="20">
        <f>IF($J469="","",TODAY()-$J469)</f>
        <v/>
      </c>
      <c r="AD469" s="20">
        <f>IF($J469="","",IF($J469&lt;=TODAY(),COUNTIFS(cal_fechas,"&gt;="&amp;$J469,cal_fechas,"&lt;"&amp;TODAY(),cal_habil,"sí"),-COUNTIFS(cal_fechas,"&gt;="&amp;TODAY(),cal_fechas,"&lt;"&amp;$J469,cal_habil,"sí")))</f>
        <v/>
      </c>
      <c r="AE469" s="5">
        <f>IF($AD469="","",IF($AD469&lt;0,"FUTURO",IF($AD469&gt;p_dias_backlog_max,"BACKLOG","MES CORRIENTE")))</f>
        <v/>
      </c>
      <c r="AF469" s="5">
        <f>IF($AD469="",FALSE,AND($AD469&gt;p_dias_backlog_min,$AD469&lt;=p_dias_backlog_max))</f>
        <v/>
      </c>
      <c r="AG469" s="4" t="n"/>
      <c r="AH469" s="5">
        <f>IF($AG469="","",IF((IFERROR(INDEX('ASIGNACIONES'!$J$4:$J$451,MATCH($O469&amp;"|"&amp;$S469&amp;"|"&amp;$AG469,'ASIGNACIONES'!$N$4:$N$451,0)),""))=0,"",IFERROR(INDEX('ASIGNACIONES'!$J$4:$J$451,MATCH($O469&amp;"|"&amp;$S469&amp;"|"&amp;$AG469,'ASIGNACIONES'!$N$4:$N$451,0)),"")))</f>
        <v/>
      </c>
      <c r="AI469" s="25">
        <f>IF($AG469="","",SUMIFS('ORDENES'!$M$4:$M$1203,'ORDENES'!$AG$4:$AG$1203,$AG469,'ORDENES'!$O$4:$O$1203,$O469,'ORDENES'!$S$4:$S$1203,$S469))</f>
        <v/>
      </c>
      <c r="AJ469" s="25">
        <f>IF($AI469="","",p_factor_productividad*IFERROR(INDEX('ASIGNACIONES'!$M$4:$M$451,MATCH($O469&amp;"|"&amp;$S469&amp;"|"&amp;$AG469,'ASIGNACIONES'!$N$4:$N$451,0)),0)-$AI469)</f>
        <v/>
      </c>
      <c r="AK469" s="18">
        <f>IF($A469="","",IFERROR(INDEX('2_IMPORTAR_EJECUCION'!$F$9:$F$1208,MATCH($AT469,'2_IMPORTAR_EJECUCION'!$J$9:$J$1208,0)),0))</f>
        <v/>
      </c>
      <c r="AL469" s="18">
        <f>IF($A469="","",MAX(0,IFERROR(INDEX('2_IMPORTAR_EJECUCION'!$H$9:$H$1208,MATCH($AT469,'2_IMPORTAR_EJECUCION'!$J$9:$J$1208,0)),0)-$AK469))</f>
        <v/>
      </c>
      <c r="AM469" s="18">
        <f>IF($A469="","",$AK469+$AL469)</f>
        <v/>
      </c>
      <c r="AN469" s="5">
        <f>IF($A469="","",IF(OR((IFERROR(INDEX('CAT_ACTIVIDADES'!$D$4:$D$11,MATCH($H469,'CAT_ACTIVIDADES'!$A$4:$A$11,0)),""))=0,(IFERROR(INDEX('CAT_ACTIVIDADES'!$D$4:$D$11,MATCH($H469,'CAT_ACTIVIDADES'!$A$4:$A$11,0)),""))=""),"SIN CLASIFICAR",IFERROR(INDEX('CAT_ACTIVIDADES'!$D$4:$D$11,MATCH($H469,'CAT_ACTIVIDADES'!$A$4:$A$11,0)),"")))</f>
        <v/>
      </c>
      <c r="AO469" s="4" t="n"/>
      <c r="AP469" s="4" t="n"/>
      <c r="AQ469" s="4" t="n"/>
      <c r="AR469" s="5">
        <f>IF($AQ469="","",HYPERLINK(p_ruta_base_checklists&amp;$AQ469,"abrir"))</f>
        <v/>
      </c>
      <c r="AS469" s="4" t="n"/>
      <c r="AT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2" t="n"/>
      <c r="K470" s="5" t="n"/>
      <c r="L470" s="18" t="n"/>
      <c r="M470" s="5">
        <f>IF($A470="","",IFERROR(INDEX('AJUSTES'!$B$4:$B$303,MATCH($AT470,'AJUSTES'!$A$4:$A$303,0)),IF($K470="","",$K470)))</f>
        <v/>
      </c>
      <c r="N470" s="5">
        <f>IF($A470="","",IFERROR(INDEX('CAT_ESTADOS_ERP'!$B$4:$B$7,MATCH(IFERROR(INDEX('2_IMPORTAR_EJECUCION'!$C$9:$C$1208,MATCH($AT470,'2_IMPORTAR_EJECUCION'!$J$9:$J$1208,0)),""),'CAT_ESTADOS_ERP'!$A$4:$A$7,0)),"Pendiente"))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IF($J470="","",$P470&amp;"-"&amp;TEXT($Q470,"00"))</f>
        <v/>
      </c>
      <c r="S470" s="5">
        <f>IF($J470="","",INDEX(lista_dias,WEEKDAY($J470,2)))</f>
        <v/>
      </c>
      <c r="T470" s="5">
        <f>IF($J470="","",IFERROR(INDEX('CALENDARIO'!$C$15:$C$214,MATCH(TEXT($J470,"yyyy-mm-dd")&amp;"|"&amp;$X470&amp;"|"&amp;$Y470,'CALENDARIO'!$G$15:$G$214,0)),IFERROR(INDEX('CALENDARIO'!$C$15:$C$214,MATCH(TEXT($J470,"yyyy-mm-dd")&amp;"|"&amp;$X470&amp;"|",'CALENDARIO'!$G$15:$G$214,0)),IFERROR(INDEX('CALENDARIO'!$C$15:$C$214,MATCH(TEXT($J470,"yyyy-mm-dd")&amp;"||",'CALENDARIO'!$G$15:$G$214,0)),INDEX(patronHabil,WEEKDAY($J470,2))))))</f>
        <v/>
      </c>
      <c r="U470" s="5">
        <f>IF($I470="","",IFERROR(INDEX('CAT_TIPOS_OT'!$C$4:$C$8,MATCH($I470,'CAT_TIPOS_OT'!$A$4:$A$8,0)),"sin_clasificar"))</f>
        <v/>
      </c>
      <c r="V470" s="5">
        <f>IF($I470="","",IF(IFERROR(INDEX('CAT_TIPOS_OT'!$D$4:$D$8,MATCH($I470,'CAT_TIPOS_OT'!$A$4:$A$8,0)),"SIN CLASIFICAR")="","SIN CLASIFICAR",IFERROR(INDEX('CAT_TIPOS_OT'!$D$4:$D$8,MATCH($I470,'CAT_TIPOS_OT'!$A$4:$A$8,0)),"SIN CLASIFICAR")))</f>
        <v/>
      </c>
      <c r="W470" s="5">
        <f>IF($F470="","",IFERROR(INDEX('CAT_CENTROS_COSTO'!$F$4:$F$13,MATCH($F470,'CAT_CENTROS_COSTO'!$A$4:$A$13,0)),"(sin catálogo)"))</f>
        <v/>
      </c>
      <c r="X470" s="5">
        <f>IF($F470="","",IFERROR(INDEX('CAT_CENTROS_COSTO'!$D$4:$D$13,MATCH($F470,'CAT_CENTROS_COSTO'!$A$4:$A$13,0)),"(sin catálogo)"))</f>
        <v/>
      </c>
      <c r="Y470" s="5">
        <f>IF($F470="","",IF((IFERROR(INDEX('CAT_CENTROS_COSTO'!$E$4:$E$13,MATCH($F470,'CAT_CENTROS_COSTO'!$A$4:$A$13,0)),""))&lt;&gt;"",IFERROR(INDEX('CAT_CENTROS_COSTO'!$E$4:$E$13,MATCH($F470,'CAT_CENTROS_COSTO'!$A$4:$A$13,0)),""),$X470))</f>
        <v/>
      </c>
      <c r="Z470" s="5">
        <f>IF($F470="","",IFERROR(INDEX('CAT_CENTROS_COSTO'!$G$4:$G$13,MATCH($F470,'CAT_CENTROS_COSTO'!$A$4:$A$13,0)),"(sin catálogo)"))</f>
        <v/>
      </c>
      <c r="AA470" s="5">
        <f>IF($G470="","",IFERROR(INDEX('CAT_PUESTOS'!$B$4:$B$8,MATCH($G470,'CAT_PUESTOS'!$A$4:$A$8,0)),"(sin catálogo)"))</f>
        <v/>
      </c>
      <c r="AB470" s="5">
        <f>IF($H470="","",IFERROR(INDEX('CAT_ACTIVIDADES'!$B$4:$B$11,MATCH($H470,'CAT_ACTIVIDADES'!$A$4:$A$11,0)),"(sin catálogo)"))</f>
        <v/>
      </c>
      <c r="AC470" s="20">
        <f>IF($J470="","",TODAY()-$J470)</f>
        <v/>
      </c>
      <c r="AD470" s="20">
        <f>IF($J470="","",IF($J470&lt;=TODAY(),COUNTIFS(cal_fechas,"&gt;="&amp;$J470,cal_fechas,"&lt;"&amp;TODAY(),cal_habil,"sí"),-COUNTIFS(cal_fechas,"&gt;="&amp;TODAY(),cal_fechas,"&lt;"&amp;$J470,cal_habil,"sí")))</f>
        <v/>
      </c>
      <c r="AE470" s="5">
        <f>IF($AD470="","",IF($AD470&lt;0,"FUTURO",IF($AD470&gt;p_dias_backlog_max,"BACKLOG","MES CORRIENTE")))</f>
        <v/>
      </c>
      <c r="AF470" s="5">
        <f>IF($AD470="",FALSE,AND($AD470&gt;p_dias_backlog_min,$AD470&lt;=p_dias_backlog_max))</f>
        <v/>
      </c>
      <c r="AG470" s="4" t="n"/>
      <c r="AH470" s="5">
        <f>IF($AG470="","",IF((IFERROR(INDEX('ASIGNACIONES'!$J$4:$J$451,MATCH($O470&amp;"|"&amp;$S470&amp;"|"&amp;$AG470,'ASIGNACIONES'!$N$4:$N$451,0)),""))=0,"",IFERROR(INDEX('ASIGNACIONES'!$J$4:$J$451,MATCH($O470&amp;"|"&amp;$S470&amp;"|"&amp;$AG470,'ASIGNACIONES'!$N$4:$N$451,0)),"")))</f>
        <v/>
      </c>
      <c r="AI470" s="25">
        <f>IF($AG470="","",SUMIFS('ORDENES'!$M$4:$M$1203,'ORDENES'!$AG$4:$AG$1203,$AG470,'ORDENES'!$O$4:$O$1203,$O470,'ORDENES'!$S$4:$S$1203,$S470))</f>
        <v/>
      </c>
      <c r="AJ470" s="25">
        <f>IF($AI470="","",p_factor_productividad*IFERROR(INDEX('ASIGNACIONES'!$M$4:$M$451,MATCH($O470&amp;"|"&amp;$S470&amp;"|"&amp;$AG470,'ASIGNACIONES'!$N$4:$N$451,0)),0)-$AI470)</f>
        <v/>
      </c>
      <c r="AK470" s="18">
        <f>IF($A470="","",IFERROR(INDEX('2_IMPORTAR_EJECUCION'!$F$9:$F$1208,MATCH($AT470,'2_IMPORTAR_EJECUCION'!$J$9:$J$1208,0)),0))</f>
        <v/>
      </c>
      <c r="AL470" s="18">
        <f>IF($A470="","",MAX(0,IFERROR(INDEX('2_IMPORTAR_EJECUCION'!$H$9:$H$1208,MATCH($AT470,'2_IMPORTAR_EJECUCION'!$J$9:$J$1208,0)),0)-$AK470))</f>
        <v/>
      </c>
      <c r="AM470" s="18">
        <f>IF($A470="","",$AK470+$AL470)</f>
        <v/>
      </c>
      <c r="AN470" s="5">
        <f>IF($A470="","",IF(OR((IFERROR(INDEX('CAT_ACTIVIDADES'!$D$4:$D$11,MATCH($H470,'CAT_ACTIVIDADES'!$A$4:$A$11,0)),""))=0,(IFERROR(INDEX('CAT_ACTIVIDADES'!$D$4:$D$11,MATCH($H470,'CAT_ACTIVIDADES'!$A$4:$A$11,0)),""))=""),"SIN CLASIFICAR",IFERROR(INDEX('CAT_ACTIVIDADES'!$D$4:$D$11,MATCH($H470,'CAT_ACTIVIDADES'!$A$4:$A$11,0)),"")))</f>
        <v/>
      </c>
      <c r="AO470" s="4" t="n"/>
      <c r="AP470" s="4" t="n"/>
      <c r="AQ470" s="4" t="n"/>
      <c r="AR470" s="5">
        <f>IF($AQ470="","",HYPERLINK(p_ruta_base_checklists&amp;$AQ470,"abrir"))</f>
        <v/>
      </c>
      <c r="AS470" s="4" t="n"/>
      <c r="AT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2" t="n"/>
      <c r="K471" s="5" t="n"/>
      <c r="L471" s="18" t="n"/>
      <c r="M471" s="5">
        <f>IF($A471="","",IFERROR(INDEX('AJUSTES'!$B$4:$B$303,MATCH($AT471,'AJUSTES'!$A$4:$A$303,0)),IF($K471="","",$K471)))</f>
        <v/>
      </c>
      <c r="N471" s="5">
        <f>IF($A471="","",IFERROR(INDEX('CAT_ESTADOS_ERP'!$B$4:$B$7,MATCH(IFERROR(INDEX('2_IMPORTAR_EJECUCION'!$C$9:$C$1208,MATCH($AT471,'2_IMPORTAR_EJECUCION'!$J$9:$J$1208,0)),""),'CAT_ESTADOS_ERP'!$A$4:$A$7,0)),"Pendiente"))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IF($J471="","",$P471&amp;"-"&amp;TEXT($Q471,"00"))</f>
        <v/>
      </c>
      <c r="S471" s="5">
        <f>IF($J471="","",INDEX(lista_dias,WEEKDAY($J471,2)))</f>
        <v/>
      </c>
      <c r="T471" s="5">
        <f>IF($J471="","",IFERROR(INDEX('CALENDARIO'!$C$15:$C$214,MATCH(TEXT($J471,"yyyy-mm-dd")&amp;"|"&amp;$X471&amp;"|"&amp;$Y471,'CALENDARIO'!$G$15:$G$214,0)),IFERROR(INDEX('CALENDARIO'!$C$15:$C$214,MATCH(TEXT($J471,"yyyy-mm-dd")&amp;"|"&amp;$X471&amp;"|",'CALENDARIO'!$G$15:$G$214,0)),IFERROR(INDEX('CALENDARIO'!$C$15:$C$214,MATCH(TEXT($J471,"yyyy-mm-dd")&amp;"||",'CALENDARIO'!$G$15:$G$214,0)),INDEX(patronHabil,WEEKDAY($J471,2))))))</f>
        <v/>
      </c>
      <c r="U471" s="5">
        <f>IF($I471="","",IFERROR(INDEX('CAT_TIPOS_OT'!$C$4:$C$8,MATCH($I471,'CAT_TIPOS_OT'!$A$4:$A$8,0)),"sin_clasificar"))</f>
        <v/>
      </c>
      <c r="V471" s="5">
        <f>IF($I471="","",IF(IFERROR(INDEX('CAT_TIPOS_OT'!$D$4:$D$8,MATCH($I471,'CAT_TIPOS_OT'!$A$4:$A$8,0)),"SIN CLASIFICAR")="","SIN CLASIFICAR",IFERROR(INDEX('CAT_TIPOS_OT'!$D$4:$D$8,MATCH($I471,'CAT_TIPOS_OT'!$A$4:$A$8,0)),"SIN CLASIFICAR")))</f>
        <v/>
      </c>
      <c r="W471" s="5">
        <f>IF($F471="","",IFERROR(INDEX('CAT_CENTROS_COSTO'!$F$4:$F$13,MATCH($F471,'CAT_CENTROS_COSTO'!$A$4:$A$13,0)),"(sin catálogo)"))</f>
        <v/>
      </c>
      <c r="X471" s="5">
        <f>IF($F471="","",IFERROR(INDEX('CAT_CENTROS_COSTO'!$D$4:$D$13,MATCH($F471,'CAT_CENTROS_COSTO'!$A$4:$A$13,0)),"(sin catálogo)"))</f>
        <v/>
      </c>
      <c r="Y471" s="5">
        <f>IF($F471="","",IF((IFERROR(INDEX('CAT_CENTROS_COSTO'!$E$4:$E$13,MATCH($F471,'CAT_CENTROS_COSTO'!$A$4:$A$13,0)),""))&lt;&gt;"",IFERROR(INDEX('CAT_CENTROS_COSTO'!$E$4:$E$13,MATCH($F471,'CAT_CENTROS_COSTO'!$A$4:$A$13,0)),""),$X471))</f>
        <v/>
      </c>
      <c r="Z471" s="5">
        <f>IF($F471="","",IFERROR(INDEX('CAT_CENTROS_COSTO'!$G$4:$G$13,MATCH($F471,'CAT_CENTROS_COSTO'!$A$4:$A$13,0)),"(sin catálogo)"))</f>
        <v/>
      </c>
      <c r="AA471" s="5">
        <f>IF($G471="","",IFERROR(INDEX('CAT_PUESTOS'!$B$4:$B$8,MATCH($G471,'CAT_PUESTOS'!$A$4:$A$8,0)),"(sin catálogo)"))</f>
        <v/>
      </c>
      <c r="AB471" s="5">
        <f>IF($H471="","",IFERROR(INDEX('CAT_ACTIVIDADES'!$B$4:$B$11,MATCH($H471,'CAT_ACTIVIDADES'!$A$4:$A$11,0)),"(sin catálogo)"))</f>
        <v/>
      </c>
      <c r="AC471" s="20">
        <f>IF($J471="","",TODAY()-$J471)</f>
        <v/>
      </c>
      <c r="AD471" s="20">
        <f>IF($J471="","",IF($J471&lt;=TODAY(),COUNTIFS(cal_fechas,"&gt;="&amp;$J471,cal_fechas,"&lt;"&amp;TODAY(),cal_habil,"sí"),-COUNTIFS(cal_fechas,"&gt;="&amp;TODAY(),cal_fechas,"&lt;"&amp;$J471,cal_habil,"sí")))</f>
        <v/>
      </c>
      <c r="AE471" s="5">
        <f>IF($AD471="","",IF($AD471&lt;0,"FUTURO",IF($AD471&gt;p_dias_backlog_max,"BACKLOG","MES CORRIENTE")))</f>
        <v/>
      </c>
      <c r="AF471" s="5">
        <f>IF($AD471="",FALSE,AND($AD471&gt;p_dias_backlog_min,$AD471&lt;=p_dias_backlog_max))</f>
        <v/>
      </c>
      <c r="AG471" s="4" t="n"/>
      <c r="AH471" s="5">
        <f>IF($AG471="","",IF((IFERROR(INDEX('ASIGNACIONES'!$J$4:$J$451,MATCH($O471&amp;"|"&amp;$S471&amp;"|"&amp;$AG471,'ASIGNACIONES'!$N$4:$N$451,0)),""))=0,"",IFERROR(INDEX('ASIGNACIONES'!$J$4:$J$451,MATCH($O471&amp;"|"&amp;$S471&amp;"|"&amp;$AG471,'ASIGNACIONES'!$N$4:$N$451,0)),"")))</f>
        <v/>
      </c>
      <c r="AI471" s="25">
        <f>IF($AG471="","",SUMIFS('ORDENES'!$M$4:$M$1203,'ORDENES'!$AG$4:$AG$1203,$AG471,'ORDENES'!$O$4:$O$1203,$O471,'ORDENES'!$S$4:$S$1203,$S471))</f>
        <v/>
      </c>
      <c r="AJ471" s="25">
        <f>IF($AI471="","",p_factor_productividad*IFERROR(INDEX('ASIGNACIONES'!$M$4:$M$451,MATCH($O471&amp;"|"&amp;$S471&amp;"|"&amp;$AG471,'ASIGNACIONES'!$N$4:$N$451,0)),0)-$AI471)</f>
        <v/>
      </c>
      <c r="AK471" s="18">
        <f>IF($A471="","",IFERROR(INDEX('2_IMPORTAR_EJECUCION'!$F$9:$F$1208,MATCH($AT471,'2_IMPORTAR_EJECUCION'!$J$9:$J$1208,0)),0))</f>
        <v/>
      </c>
      <c r="AL471" s="18">
        <f>IF($A471="","",MAX(0,IFERROR(INDEX('2_IMPORTAR_EJECUCION'!$H$9:$H$1208,MATCH($AT471,'2_IMPORTAR_EJECUCION'!$J$9:$J$1208,0)),0)-$AK471))</f>
        <v/>
      </c>
      <c r="AM471" s="18">
        <f>IF($A471="","",$AK471+$AL471)</f>
        <v/>
      </c>
      <c r="AN471" s="5">
        <f>IF($A471="","",IF(OR((IFERROR(INDEX('CAT_ACTIVIDADES'!$D$4:$D$11,MATCH($H471,'CAT_ACTIVIDADES'!$A$4:$A$11,0)),""))=0,(IFERROR(INDEX('CAT_ACTIVIDADES'!$D$4:$D$11,MATCH($H471,'CAT_ACTIVIDADES'!$A$4:$A$11,0)),""))=""),"SIN CLASIFICAR",IFERROR(INDEX('CAT_ACTIVIDADES'!$D$4:$D$11,MATCH($H471,'CAT_ACTIVIDADES'!$A$4:$A$11,0)),"")))</f>
        <v/>
      </c>
      <c r="AO471" s="4" t="n"/>
      <c r="AP471" s="4" t="n"/>
      <c r="AQ471" s="4" t="n"/>
      <c r="AR471" s="5">
        <f>IF($AQ471="","",HYPERLINK(p_ruta_base_checklists&amp;$AQ471,"abrir"))</f>
        <v/>
      </c>
      <c r="AS471" s="4" t="n"/>
      <c r="AT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2" t="n"/>
      <c r="K472" s="5" t="n"/>
      <c r="L472" s="18" t="n"/>
      <c r="M472" s="5">
        <f>IF($A472="","",IFERROR(INDEX('AJUSTES'!$B$4:$B$303,MATCH($AT472,'AJUSTES'!$A$4:$A$303,0)),IF($K472="","",$K472)))</f>
        <v/>
      </c>
      <c r="N472" s="5">
        <f>IF($A472="","",IFERROR(INDEX('CAT_ESTADOS_ERP'!$B$4:$B$7,MATCH(IFERROR(INDEX('2_IMPORTAR_EJECUCION'!$C$9:$C$1208,MATCH($AT472,'2_IMPORTAR_EJECUCION'!$J$9:$J$1208,0)),""),'CAT_ESTADOS_ERP'!$A$4:$A$7,0)),"Pendiente"))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IF($J472="","",$P472&amp;"-"&amp;TEXT($Q472,"00"))</f>
        <v/>
      </c>
      <c r="S472" s="5">
        <f>IF($J472="","",INDEX(lista_dias,WEEKDAY($J472,2)))</f>
        <v/>
      </c>
      <c r="T472" s="5">
        <f>IF($J472="","",IFERROR(INDEX('CALENDARIO'!$C$15:$C$214,MATCH(TEXT($J472,"yyyy-mm-dd")&amp;"|"&amp;$X472&amp;"|"&amp;$Y472,'CALENDARIO'!$G$15:$G$214,0)),IFERROR(INDEX('CALENDARIO'!$C$15:$C$214,MATCH(TEXT($J472,"yyyy-mm-dd")&amp;"|"&amp;$X472&amp;"|",'CALENDARIO'!$G$15:$G$214,0)),IFERROR(INDEX('CALENDARIO'!$C$15:$C$214,MATCH(TEXT($J472,"yyyy-mm-dd")&amp;"||",'CALENDARIO'!$G$15:$G$214,0)),INDEX(patronHabil,WEEKDAY($J472,2))))))</f>
        <v/>
      </c>
      <c r="U472" s="5">
        <f>IF($I472="","",IFERROR(INDEX('CAT_TIPOS_OT'!$C$4:$C$8,MATCH($I472,'CAT_TIPOS_OT'!$A$4:$A$8,0)),"sin_clasificar"))</f>
        <v/>
      </c>
      <c r="V472" s="5">
        <f>IF($I472="","",IF(IFERROR(INDEX('CAT_TIPOS_OT'!$D$4:$D$8,MATCH($I472,'CAT_TIPOS_OT'!$A$4:$A$8,0)),"SIN CLASIFICAR")="","SIN CLASIFICAR",IFERROR(INDEX('CAT_TIPOS_OT'!$D$4:$D$8,MATCH($I472,'CAT_TIPOS_OT'!$A$4:$A$8,0)),"SIN CLASIFICAR")))</f>
        <v/>
      </c>
      <c r="W472" s="5">
        <f>IF($F472="","",IFERROR(INDEX('CAT_CENTROS_COSTO'!$F$4:$F$13,MATCH($F472,'CAT_CENTROS_COSTO'!$A$4:$A$13,0)),"(sin catálogo)"))</f>
        <v/>
      </c>
      <c r="X472" s="5">
        <f>IF($F472="","",IFERROR(INDEX('CAT_CENTROS_COSTO'!$D$4:$D$13,MATCH($F472,'CAT_CENTROS_COSTO'!$A$4:$A$13,0)),"(sin catálogo)"))</f>
        <v/>
      </c>
      <c r="Y472" s="5">
        <f>IF($F472="","",IF((IFERROR(INDEX('CAT_CENTROS_COSTO'!$E$4:$E$13,MATCH($F472,'CAT_CENTROS_COSTO'!$A$4:$A$13,0)),""))&lt;&gt;"",IFERROR(INDEX('CAT_CENTROS_COSTO'!$E$4:$E$13,MATCH($F472,'CAT_CENTROS_COSTO'!$A$4:$A$13,0)),""),$X472))</f>
        <v/>
      </c>
      <c r="Z472" s="5">
        <f>IF($F472="","",IFERROR(INDEX('CAT_CENTROS_COSTO'!$G$4:$G$13,MATCH($F472,'CAT_CENTROS_COSTO'!$A$4:$A$13,0)),"(sin catálogo)"))</f>
        <v/>
      </c>
      <c r="AA472" s="5">
        <f>IF($G472="","",IFERROR(INDEX('CAT_PUESTOS'!$B$4:$B$8,MATCH($G472,'CAT_PUESTOS'!$A$4:$A$8,0)),"(sin catálogo)"))</f>
        <v/>
      </c>
      <c r="AB472" s="5">
        <f>IF($H472="","",IFERROR(INDEX('CAT_ACTIVIDADES'!$B$4:$B$11,MATCH($H472,'CAT_ACTIVIDADES'!$A$4:$A$11,0)),"(sin catálogo)"))</f>
        <v/>
      </c>
      <c r="AC472" s="20">
        <f>IF($J472="","",TODAY()-$J472)</f>
        <v/>
      </c>
      <c r="AD472" s="20">
        <f>IF($J472="","",IF($J472&lt;=TODAY(),COUNTIFS(cal_fechas,"&gt;="&amp;$J472,cal_fechas,"&lt;"&amp;TODAY(),cal_habil,"sí"),-COUNTIFS(cal_fechas,"&gt;="&amp;TODAY(),cal_fechas,"&lt;"&amp;$J472,cal_habil,"sí")))</f>
        <v/>
      </c>
      <c r="AE472" s="5">
        <f>IF($AD472="","",IF($AD472&lt;0,"FUTURO",IF($AD472&gt;p_dias_backlog_max,"BACKLOG","MES CORRIENTE")))</f>
        <v/>
      </c>
      <c r="AF472" s="5">
        <f>IF($AD472="",FALSE,AND($AD472&gt;p_dias_backlog_min,$AD472&lt;=p_dias_backlog_max))</f>
        <v/>
      </c>
      <c r="AG472" s="4" t="n"/>
      <c r="AH472" s="5">
        <f>IF($AG472="","",IF((IFERROR(INDEX('ASIGNACIONES'!$J$4:$J$451,MATCH($O472&amp;"|"&amp;$S472&amp;"|"&amp;$AG472,'ASIGNACIONES'!$N$4:$N$451,0)),""))=0,"",IFERROR(INDEX('ASIGNACIONES'!$J$4:$J$451,MATCH($O472&amp;"|"&amp;$S472&amp;"|"&amp;$AG472,'ASIGNACIONES'!$N$4:$N$451,0)),"")))</f>
        <v/>
      </c>
      <c r="AI472" s="25">
        <f>IF($AG472="","",SUMIFS('ORDENES'!$M$4:$M$1203,'ORDENES'!$AG$4:$AG$1203,$AG472,'ORDENES'!$O$4:$O$1203,$O472,'ORDENES'!$S$4:$S$1203,$S472))</f>
        <v/>
      </c>
      <c r="AJ472" s="25">
        <f>IF($AI472="","",p_factor_productividad*IFERROR(INDEX('ASIGNACIONES'!$M$4:$M$451,MATCH($O472&amp;"|"&amp;$S472&amp;"|"&amp;$AG472,'ASIGNACIONES'!$N$4:$N$451,0)),0)-$AI472)</f>
        <v/>
      </c>
      <c r="AK472" s="18">
        <f>IF($A472="","",IFERROR(INDEX('2_IMPORTAR_EJECUCION'!$F$9:$F$1208,MATCH($AT472,'2_IMPORTAR_EJECUCION'!$J$9:$J$1208,0)),0))</f>
        <v/>
      </c>
      <c r="AL472" s="18">
        <f>IF($A472="","",MAX(0,IFERROR(INDEX('2_IMPORTAR_EJECUCION'!$H$9:$H$1208,MATCH($AT472,'2_IMPORTAR_EJECUCION'!$J$9:$J$1208,0)),0)-$AK472))</f>
        <v/>
      </c>
      <c r="AM472" s="18">
        <f>IF($A472="","",$AK472+$AL472)</f>
        <v/>
      </c>
      <c r="AN472" s="5">
        <f>IF($A472="","",IF(OR((IFERROR(INDEX('CAT_ACTIVIDADES'!$D$4:$D$11,MATCH($H472,'CAT_ACTIVIDADES'!$A$4:$A$11,0)),""))=0,(IFERROR(INDEX('CAT_ACTIVIDADES'!$D$4:$D$11,MATCH($H472,'CAT_ACTIVIDADES'!$A$4:$A$11,0)),""))=""),"SIN CLASIFICAR",IFERROR(INDEX('CAT_ACTIVIDADES'!$D$4:$D$11,MATCH($H472,'CAT_ACTIVIDADES'!$A$4:$A$11,0)),"")))</f>
        <v/>
      </c>
      <c r="AO472" s="4" t="n"/>
      <c r="AP472" s="4" t="n"/>
      <c r="AQ472" s="4" t="n"/>
      <c r="AR472" s="5">
        <f>IF($AQ472="","",HYPERLINK(p_ruta_base_checklists&amp;$AQ472,"abrir"))</f>
        <v/>
      </c>
      <c r="AS472" s="4" t="n"/>
      <c r="AT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2" t="n"/>
      <c r="K473" s="5" t="n"/>
      <c r="L473" s="18" t="n"/>
      <c r="M473" s="5">
        <f>IF($A473="","",IFERROR(INDEX('AJUSTES'!$B$4:$B$303,MATCH($AT473,'AJUSTES'!$A$4:$A$303,0)),IF($K473="","",$K473)))</f>
        <v/>
      </c>
      <c r="N473" s="5">
        <f>IF($A473="","",IFERROR(INDEX('CAT_ESTADOS_ERP'!$B$4:$B$7,MATCH(IFERROR(INDEX('2_IMPORTAR_EJECUCION'!$C$9:$C$1208,MATCH($AT473,'2_IMPORTAR_EJECUCION'!$J$9:$J$1208,0)),""),'CAT_ESTADOS_ERP'!$A$4:$A$7,0)),"Pendiente"))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IF($J473="","",$P473&amp;"-"&amp;TEXT($Q473,"00"))</f>
        <v/>
      </c>
      <c r="S473" s="5">
        <f>IF($J473="","",INDEX(lista_dias,WEEKDAY($J473,2)))</f>
        <v/>
      </c>
      <c r="T473" s="5">
        <f>IF($J473="","",IFERROR(INDEX('CALENDARIO'!$C$15:$C$214,MATCH(TEXT($J473,"yyyy-mm-dd")&amp;"|"&amp;$X473&amp;"|"&amp;$Y473,'CALENDARIO'!$G$15:$G$214,0)),IFERROR(INDEX('CALENDARIO'!$C$15:$C$214,MATCH(TEXT($J473,"yyyy-mm-dd")&amp;"|"&amp;$X473&amp;"|",'CALENDARIO'!$G$15:$G$214,0)),IFERROR(INDEX('CALENDARIO'!$C$15:$C$214,MATCH(TEXT($J473,"yyyy-mm-dd")&amp;"||",'CALENDARIO'!$G$15:$G$214,0)),INDEX(patronHabil,WEEKDAY($J473,2))))))</f>
        <v/>
      </c>
      <c r="U473" s="5">
        <f>IF($I473="","",IFERROR(INDEX('CAT_TIPOS_OT'!$C$4:$C$8,MATCH($I473,'CAT_TIPOS_OT'!$A$4:$A$8,0)),"sin_clasificar"))</f>
        <v/>
      </c>
      <c r="V473" s="5">
        <f>IF($I473="","",IF(IFERROR(INDEX('CAT_TIPOS_OT'!$D$4:$D$8,MATCH($I473,'CAT_TIPOS_OT'!$A$4:$A$8,0)),"SIN CLASIFICAR")="","SIN CLASIFICAR",IFERROR(INDEX('CAT_TIPOS_OT'!$D$4:$D$8,MATCH($I473,'CAT_TIPOS_OT'!$A$4:$A$8,0)),"SIN CLASIFICAR")))</f>
        <v/>
      </c>
      <c r="W473" s="5">
        <f>IF($F473="","",IFERROR(INDEX('CAT_CENTROS_COSTO'!$F$4:$F$13,MATCH($F473,'CAT_CENTROS_COSTO'!$A$4:$A$13,0)),"(sin catálogo)"))</f>
        <v/>
      </c>
      <c r="X473" s="5">
        <f>IF($F473="","",IFERROR(INDEX('CAT_CENTROS_COSTO'!$D$4:$D$13,MATCH($F473,'CAT_CENTROS_COSTO'!$A$4:$A$13,0)),"(sin catálogo)"))</f>
        <v/>
      </c>
      <c r="Y473" s="5">
        <f>IF($F473="","",IF((IFERROR(INDEX('CAT_CENTROS_COSTO'!$E$4:$E$13,MATCH($F473,'CAT_CENTROS_COSTO'!$A$4:$A$13,0)),""))&lt;&gt;"",IFERROR(INDEX('CAT_CENTROS_COSTO'!$E$4:$E$13,MATCH($F473,'CAT_CENTROS_COSTO'!$A$4:$A$13,0)),""),$X473))</f>
        <v/>
      </c>
      <c r="Z473" s="5">
        <f>IF($F473="","",IFERROR(INDEX('CAT_CENTROS_COSTO'!$G$4:$G$13,MATCH($F473,'CAT_CENTROS_COSTO'!$A$4:$A$13,0)),"(sin catálogo)"))</f>
        <v/>
      </c>
      <c r="AA473" s="5">
        <f>IF($G473="","",IFERROR(INDEX('CAT_PUESTOS'!$B$4:$B$8,MATCH($G473,'CAT_PUESTOS'!$A$4:$A$8,0)),"(sin catálogo)"))</f>
        <v/>
      </c>
      <c r="AB473" s="5">
        <f>IF($H473="","",IFERROR(INDEX('CAT_ACTIVIDADES'!$B$4:$B$11,MATCH($H473,'CAT_ACTIVIDADES'!$A$4:$A$11,0)),"(sin catálogo)"))</f>
        <v/>
      </c>
      <c r="AC473" s="20">
        <f>IF($J473="","",TODAY()-$J473)</f>
        <v/>
      </c>
      <c r="AD473" s="20">
        <f>IF($J473="","",IF($J473&lt;=TODAY(),COUNTIFS(cal_fechas,"&gt;="&amp;$J473,cal_fechas,"&lt;"&amp;TODAY(),cal_habil,"sí"),-COUNTIFS(cal_fechas,"&gt;="&amp;TODAY(),cal_fechas,"&lt;"&amp;$J473,cal_habil,"sí")))</f>
        <v/>
      </c>
      <c r="AE473" s="5">
        <f>IF($AD473="","",IF($AD473&lt;0,"FUTURO",IF($AD473&gt;p_dias_backlog_max,"BACKLOG","MES CORRIENTE")))</f>
        <v/>
      </c>
      <c r="AF473" s="5">
        <f>IF($AD473="",FALSE,AND($AD473&gt;p_dias_backlog_min,$AD473&lt;=p_dias_backlog_max))</f>
        <v/>
      </c>
      <c r="AG473" s="4" t="n"/>
      <c r="AH473" s="5">
        <f>IF($AG473="","",IF((IFERROR(INDEX('ASIGNACIONES'!$J$4:$J$451,MATCH($O473&amp;"|"&amp;$S473&amp;"|"&amp;$AG473,'ASIGNACIONES'!$N$4:$N$451,0)),""))=0,"",IFERROR(INDEX('ASIGNACIONES'!$J$4:$J$451,MATCH($O473&amp;"|"&amp;$S473&amp;"|"&amp;$AG473,'ASIGNACIONES'!$N$4:$N$451,0)),"")))</f>
        <v/>
      </c>
      <c r="AI473" s="25">
        <f>IF($AG473="","",SUMIFS('ORDENES'!$M$4:$M$1203,'ORDENES'!$AG$4:$AG$1203,$AG473,'ORDENES'!$O$4:$O$1203,$O473,'ORDENES'!$S$4:$S$1203,$S473))</f>
        <v/>
      </c>
      <c r="AJ473" s="25">
        <f>IF($AI473="","",p_factor_productividad*IFERROR(INDEX('ASIGNACIONES'!$M$4:$M$451,MATCH($O473&amp;"|"&amp;$S473&amp;"|"&amp;$AG473,'ASIGNACIONES'!$N$4:$N$451,0)),0)-$AI473)</f>
        <v/>
      </c>
      <c r="AK473" s="18">
        <f>IF($A473="","",IFERROR(INDEX('2_IMPORTAR_EJECUCION'!$F$9:$F$1208,MATCH($AT473,'2_IMPORTAR_EJECUCION'!$J$9:$J$1208,0)),0))</f>
        <v/>
      </c>
      <c r="AL473" s="18">
        <f>IF($A473="","",MAX(0,IFERROR(INDEX('2_IMPORTAR_EJECUCION'!$H$9:$H$1208,MATCH($AT473,'2_IMPORTAR_EJECUCION'!$J$9:$J$1208,0)),0)-$AK473))</f>
        <v/>
      </c>
      <c r="AM473" s="18">
        <f>IF($A473="","",$AK473+$AL473)</f>
        <v/>
      </c>
      <c r="AN473" s="5">
        <f>IF($A473="","",IF(OR((IFERROR(INDEX('CAT_ACTIVIDADES'!$D$4:$D$11,MATCH($H473,'CAT_ACTIVIDADES'!$A$4:$A$11,0)),""))=0,(IFERROR(INDEX('CAT_ACTIVIDADES'!$D$4:$D$11,MATCH($H473,'CAT_ACTIVIDADES'!$A$4:$A$11,0)),""))=""),"SIN CLASIFICAR",IFERROR(INDEX('CAT_ACTIVIDADES'!$D$4:$D$11,MATCH($H473,'CAT_ACTIVIDADES'!$A$4:$A$11,0)),"")))</f>
        <v/>
      </c>
      <c r="AO473" s="4" t="n"/>
      <c r="AP473" s="4" t="n"/>
      <c r="AQ473" s="4" t="n"/>
      <c r="AR473" s="5">
        <f>IF($AQ473="","",HYPERLINK(p_ruta_base_checklists&amp;$AQ473,"abrir"))</f>
        <v/>
      </c>
      <c r="AS473" s="4" t="n"/>
      <c r="AT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2" t="n"/>
      <c r="K474" s="5" t="n"/>
      <c r="L474" s="18" t="n"/>
      <c r="M474" s="5">
        <f>IF($A474="","",IFERROR(INDEX('AJUSTES'!$B$4:$B$303,MATCH($AT474,'AJUSTES'!$A$4:$A$303,0)),IF($K474="","",$K474)))</f>
        <v/>
      </c>
      <c r="N474" s="5">
        <f>IF($A474="","",IFERROR(INDEX('CAT_ESTADOS_ERP'!$B$4:$B$7,MATCH(IFERROR(INDEX('2_IMPORTAR_EJECUCION'!$C$9:$C$1208,MATCH($AT474,'2_IMPORTAR_EJECUCION'!$J$9:$J$1208,0)),""),'CAT_ESTADOS_ERP'!$A$4:$A$7,0)),"Pendiente"))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IF($J474="","",$P474&amp;"-"&amp;TEXT($Q474,"00"))</f>
        <v/>
      </c>
      <c r="S474" s="5">
        <f>IF($J474="","",INDEX(lista_dias,WEEKDAY($J474,2)))</f>
        <v/>
      </c>
      <c r="T474" s="5">
        <f>IF($J474="","",IFERROR(INDEX('CALENDARIO'!$C$15:$C$214,MATCH(TEXT($J474,"yyyy-mm-dd")&amp;"|"&amp;$X474&amp;"|"&amp;$Y474,'CALENDARIO'!$G$15:$G$214,0)),IFERROR(INDEX('CALENDARIO'!$C$15:$C$214,MATCH(TEXT($J474,"yyyy-mm-dd")&amp;"|"&amp;$X474&amp;"|",'CALENDARIO'!$G$15:$G$214,0)),IFERROR(INDEX('CALENDARIO'!$C$15:$C$214,MATCH(TEXT($J474,"yyyy-mm-dd")&amp;"||",'CALENDARIO'!$G$15:$G$214,0)),INDEX(patronHabil,WEEKDAY($J474,2))))))</f>
        <v/>
      </c>
      <c r="U474" s="5">
        <f>IF($I474="","",IFERROR(INDEX('CAT_TIPOS_OT'!$C$4:$C$8,MATCH($I474,'CAT_TIPOS_OT'!$A$4:$A$8,0)),"sin_clasificar"))</f>
        <v/>
      </c>
      <c r="V474" s="5">
        <f>IF($I474="","",IF(IFERROR(INDEX('CAT_TIPOS_OT'!$D$4:$D$8,MATCH($I474,'CAT_TIPOS_OT'!$A$4:$A$8,0)),"SIN CLASIFICAR")="","SIN CLASIFICAR",IFERROR(INDEX('CAT_TIPOS_OT'!$D$4:$D$8,MATCH($I474,'CAT_TIPOS_OT'!$A$4:$A$8,0)),"SIN CLASIFICAR")))</f>
        <v/>
      </c>
      <c r="W474" s="5">
        <f>IF($F474="","",IFERROR(INDEX('CAT_CENTROS_COSTO'!$F$4:$F$13,MATCH($F474,'CAT_CENTROS_COSTO'!$A$4:$A$13,0)),"(sin catálogo)"))</f>
        <v/>
      </c>
      <c r="X474" s="5">
        <f>IF($F474="","",IFERROR(INDEX('CAT_CENTROS_COSTO'!$D$4:$D$13,MATCH($F474,'CAT_CENTROS_COSTO'!$A$4:$A$13,0)),"(sin catálogo)"))</f>
        <v/>
      </c>
      <c r="Y474" s="5">
        <f>IF($F474="","",IF((IFERROR(INDEX('CAT_CENTROS_COSTO'!$E$4:$E$13,MATCH($F474,'CAT_CENTROS_COSTO'!$A$4:$A$13,0)),""))&lt;&gt;"",IFERROR(INDEX('CAT_CENTROS_COSTO'!$E$4:$E$13,MATCH($F474,'CAT_CENTROS_COSTO'!$A$4:$A$13,0)),""),$X474))</f>
        <v/>
      </c>
      <c r="Z474" s="5">
        <f>IF($F474="","",IFERROR(INDEX('CAT_CENTROS_COSTO'!$G$4:$G$13,MATCH($F474,'CAT_CENTROS_COSTO'!$A$4:$A$13,0)),"(sin catálogo)"))</f>
        <v/>
      </c>
      <c r="AA474" s="5">
        <f>IF($G474="","",IFERROR(INDEX('CAT_PUESTOS'!$B$4:$B$8,MATCH($G474,'CAT_PUESTOS'!$A$4:$A$8,0)),"(sin catálogo)"))</f>
        <v/>
      </c>
      <c r="AB474" s="5">
        <f>IF($H474="","",IFERROR(INDEX('CAT_ACTIVIDADES'!$B$4:$B$11,MATCH($H474,'CAT_ACTIVIDADES'!$A$4:$A$11,0)),"(sin catálogo)"))</f>
        <v/>
      </c>
      <c r="AC474" s="20">
        <f>IF($J474="","",TODAY()-$J474)</f>
        <v/>
      </c>
      <c r="AD474" s="20">
        <f>IF($J474="","",IF($J474&lt;=TODAY(),COUNTIFS(cal_fechas,"&gt;="&amp;$J474,cal_fechas,"&lt;"&amp;TODAY(),cal_habil,"sí"),-COUNTIFS(cal_fechas,"&gt;="&amp;TODAY(),cal_fechas,"&lt;"&amp;$J474,cal_habil,"sí")))</f>
        <v/>
      </c>
      <c r="AE474" s="5">
        <f>IF($AD474="","",IF($AD474&lt;0,"FUTURO",IF($AD474&gt;p_dias_backlog_max,"BACKLOG","MES CORRIENTE")))</f>
        <v/>
      </c>
      <c r="AF474" s="5">
        <f>IF($AD474="",FALSE,AND($AD474&gt;p_dias_backlog_min,$AD474&lt;=p_dias_backlog_max))</f>
        <v/>
      </c>
      <c r="AG474" s="4" t="n"/>
      <c r="AH474" s="5">
        <f>IF($AG474="","",IF((IFERROR(INDEX('ASIGNACIONES'!$J$4:$J$451,MATCH($O474&amp;"|"&amp;$S474&amp;"|"&amp;$AG474,'ASIGNACIONES'!$N$4:$N$451,0)),""))=0,"",IFERROR(INDEX('ASIGNACIONES'!$J$4:$J$451,MATCH($O474&amp;"|"&amp;$S474&amp;"|"&amp;$AG474,'ASIGNACIONES'!$N$4:$N$451,0)),"")))</f>
        <v/>
      </c>
      <c r="AI474" s="25">
        <f>IF($AG474="","",SUMIFS('ORDENES'!$M$4:$M$1203,'ORDENES'!$AG$4:$AG$1203,$AG474,'ORDENES'!$O$4:$O$1203,$O474,'ORDENES'!$S$4:$S$1203,$S474))</f>
        <v/>
      </c>
      <c r="AJ474" s="25">
        <f>IF($AI474="","",p_factor_productividad*IFERROR(INDEX('ASIGNACIONES'!$M$4:$M$451,MATCH($O474&amp;"|"&amp;$S474&amp;"|"&amp;$AG474,'ASIGNACIONES'!$N$4:$N$451,0)),0)-$AI474)</f>
        <v/>
      </c>
      <c r="AK474" s="18">
        <f>IF($A474="","",IFERROR(INDEX('2_IMPORTAR_EJECUCION'!$F$9:$F$1208,MATCH($AT474,'2_IMPORTAR_EJECUCION'!$J$9:$J$1208,0)),0))</f>
        <v/>
      </c>
      <c r="AL474" s="18">
        <f>IF($A474="","",MAX(0,IFERROR(INDEX('2_IMPORTAR_EJECUCION'!$H$9:$H$1208,MATCH($AT474,'2_IMPORTAR_EJECUCION'!$J$9:$J$1208,0)),0)-$AK474))</f>
        <v/>
      </c>
      <c r="AM474" s="18">
        <f>IF($A474="","",$AK474+$AL474)</f>
        <v/>
      </c>
      <c r="AN474" s="5">
        <f>IF($A474="","",IF(OR((IFERROR(INDEX('CAT_ACTIVIDADES'!$D$4:$D$11,MATCH($H474,'CAT_ACTIVIDADES'!$A$4:$A$11,0)),""))=0,(IFERROR(INDEX('CAT_ACTIVIDADES'!$D$4:$D$11,MATCH($H474,'CAT_ACTIVIDADES'!$A$4:$A$11,0)),""))=""),"SIN CLASIFICAR",IFERROR(INDEX('CAT_ACTIVIDADES'!$D$4:$D$11,MATCH($H474,'CAT_ACTIVIDADES'!$A$4:$A$11,0)),"")))</f>
        <v/>
      </c>
      <c r="AO474" s="4" t="n"/>
      <c r="AP474" s="4" t="n"/>
      <c r="AQ474" s="4" t="n"/>
      <c r="AR474" s="5">
        <f>IF($AQ474="","",HYPERLINK(p_ruta_base_checklists&amp;$AQ474,"abrir"))</f>
        <v/>
      </c>
      <c r="AS474" s="4" t="n"/>
      <c r="AT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2" t="n"/>
      <c r="K475" s="5" t="n"/>
      <c r="L475" s="18" t="n"/>
      <c r="M475" s="5">
        <f>IF($A475="","",IFERROR(INDEX('AJUSTES'!$B$4:$B$303,MATCH($AT475,'AJUSTES'!$A$4:$A$303,0)),IF($K475="","",$K475)))</f>
        <v/>
      </c>
      <c r="N475" s="5">
        <f>IF($A475="","",IFERROR(INDEX('CAT_ESTADOS_ERP'!$B$4:$B$7,MATCH(IFERROR(INDEX('2_IMPORTAR_EJECUCION'!$C$9:$C$1208,MATCH($AT475,'2_IMPORTAR_EJECUCION'!$J$9:$J$1208,0)),""),'CAT_ESTADOS_ERP'!$A$4:$A$7,0)),"Pendiente"))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IF($J475="","",$P475&amp;"-"&amp;TEXT($Q475,"00"))</f>
        <v/>
      </c>
      <c r="S475" s="5">
        <f>IF($J475="","",INDEX(lista_dias,WEEKDAY($J475,2)))</f>
        <v/>
      </c>
      <c r="T475" s="5">
        <f>IF($J475="","",IFERROR(INDEX('CALENDARIO'!$C$15:$C$214,MATCH(TEXT($J475,"yyyy-mm-dd")&amp;"|"&amp;$X475&amp;"|"&amp;$Y475,'CALENDARIO'!$G$15:$G$214,0)),IFERROR(INDEX('CALENDARIO'!$C$15:$C$214,MATCH(TEXT($J475,"yyyy-mm-dd")&amp;"|"&amp;$X475&amp;"|",'CALENDARIO'!$G$15:$G$214,0)),IFERROR(INDEX('CALENDARIO'!$C$15:$C$214,MATCH(TEXT($J475,"yyyy-mm-dd")&amp;"||",'CALENDARIO'!$G$15:$G$214,0)),INDEX(patronHabil,WEEKDAY($J475,2))))))</f>
        <v/>
      </c>
      <c r="U475" s="5">
        <f>IF($I475="","",IFERROR(INDEX('CAT_TIPOS_OT'!$C$4:$C$8,MATCH($I475,'CAT_TIPOS_OT'!$A$4:$A$8,0)),"sin_clasificar"))</f>
        <v/>
      </c>
      <c r="V475" s="5">
        <f>IF($I475="","",IF(IFERROR(INDEX('CAT_TIPOS_OT'!$D$4:$D$8,MATCH($I475,'CAT_TIPOS_OT'!$A$4:$A$8,0)),"SIN CLASIFICAR")="","SIN CLASIFICAR",IFERROR(INDEX('CAT_TIPOS_OT'!$D$4:$D$8,MATCH($I475,'CAT_TIPOS_OT'!$A$4:$A$8,0)),"SIN CLASIFICAR")))</f>
        <v/>
      </c>
      <c r="W475" s="5">
        <f>IF($F475="","",IFERROR(INDEX('CAT_CENTROS_COSTO'!$F$4:$F$13,MATCH($F475,'CAT_CENTROS_COSTO'!$A$4:$A$13,0)),"(sin catálogo)"))</f>
        <v/>
      </c>
      <c r="X475" s="5">
        <f>IF($F475="","",IFERROR(INDEX('CAT_CENTROS_COSTO'!$D$4:$D$13,MATCH($F475,'CAT_CENTROS_COSTO'!$A$4:$A$13,0)),"(sin catálogo)"))</f>
        <v/>
      </c>
      <c r="Y475" s="5">
        <f>IF($F475="","",IF((IFERROR(INDEX('CAT_CENTROS_COSTO'!$E$4:$E$13,MATCH($F475,'CAT_CENTROS_COSTO'!$A$4:$A$13,0)),""))&lt;&gt;"",IFERROR(INDEX('CAT_CENTROS_COSTO'!$E$4:$E$13,MATCH($F475,'CAT_CENTROS_COSTO'!$A$4:$A$13,0)),""),$X475))</f>
        <v/>
      </c>
      <c r="Z475" s="5">
        <f>IF($F475="","",IFERROR(INDEX('CAT_CENTROS_COSTO'!$G$4:$G$13,MATCH($F475,'CAT_CENTROS_COSTO'!$A$4:$A$13,0)),"(sin catálogo)"))</f>
        <v/>
      </c>
      <c r="AA475" s="5">
        <f>IF($G475="","",IFERROR(INDEX('CAT_PUESTOS'!$B$4:$B$8,MATCH($G475,'CAT_PUESTOS'!$A$4:$A$8,0)),"(sin catálogo)"))</f>
        <v/>
      </c>
      <c r="AB475" s="5">
        <f>IF($H475="","",IFERROR(INDEX('CAT_ACTIVIDADES'!$B$4:$B$11,MATCH($H475,'CAT_ACTIVIDADES'!$A$4:$A$11,0)),"(sin catálogo)"))</f>
        <v/>
      </c>
      <c r="AC475" s="20">
        <f>IF($J475="","",TODAY()-$J475)</f>
        <v/>
      </c>
      <c r="AD475" s="20">
        <f>IF($J475="","",IF($J475&lt;=TODAY(),COUNTIFS(cal_fechas,"&gt;="&amp;$J475,cal_fechas,"&lt;"&amp;TODAY(),cal_habil,"sí"),-COUNTIFS(cal_fechas,"&gt;="&amp;TODAY(),cal_fechas,"&lt;"&amp;$J475,cal_habil,"sí")))</f>
        <v/>
      </c>
      <c r="AE475" s="5">
        <f>IF($AD475="","",IF($AD475&lt;0,"FUTURO",IF($AD475&gt;p_dias_backlog_max,"BACKLOG","MES CORRIENTE")))</f>
        <v/>
      </c>
      <c r="AF475" s="5">
        <f>IF($AD475="",FALSE,AND($AD475&gt;p_dias_backlog_min,$AD475&lt;=p_dias_backlog_max))</f>
        <v/>
      </c>
      <c r="AG475" s="4" t="n"/>
      <c r="AH475" s="5">
        <f>IF($AG475="","",IF((IFERROR(INDEX('ASIGNACIONES'!$J$4:$J$451,MATCH($O475&amp;"|"&amp;$S475&amp;"|"&amp;$AG475,'ASIGNACIONES'!$N$4:$N$451,0)),""))=0,"",IFERROR(INDEX('ASIGNACIONES'!$J$4:$J$451,MATCH($O475&amp;"|"&amp;$S475&amp;"|"&amp;$AG475,'ASIGNACIONES'!$N$4:$N$451,0)),"")))</f>
        <v/>
      </c>
      <c r="AI475" s="25">
        <f>IF($AG475="","",SUMIFS('ORDENES'!$M$4:$M$1203,'ORDENES'!$AG$4:$AG$1203,$AG475,'ORDENES'!$O$4:$O$1203,$O475,'ORDENES'!$S$4:$S$1203,$S475))</f>
        <v/>
      </c>
      <c r="AJ475" s="25">
        <f>IF($AI475="","",p_factor_productividad*IFERROR(INDEX('ASIGNACIONES'!$M$4:$M$451,MATCH($O475&amp;"|"&amp;$S475&amp;"|"&amp;$AG475,'ASIGNACIONES'!$N$4:$N$451,0)),0)-$AI475)</f>
        <v/>
      </c>
      <c r="AK475" s="18">
        <f>IF($A475="","",IFERROR(INDEX('2_IMPORTAR_EJECUCION'!$F$9:$F$1208,MATCH($AT475,'2_IMPORTAR_EJECUCION'!$J$9:$J$1208,0)),0))</f>
        <v/>
      </c>
      <c r="AL475" s="18">
        <f>IF($A475="","",MAX(0,IFERROR(INDEX('2_IMPORTAR_EJECUCION'!$H$9:$H$1208,MATCH($AT475,'2_IMPORTAR_EJECUCION'!$J$9:$J$1208,0)),0)-$AK475))</f>
        <v/>
      </c>
      <c r="AM475" s="18">
        <f>IF($A475="","",$AK475+$AL475)</f>
        <v/>
      </c>
      <c r="AN475" s="5">
        <f>IF($A475="","",IF(OR((IFERROR(INDEX('CAT_ACTIVIDADES'!$D$4:$D$11,MATCH($H475,'CAT_ACTIVIDADES'!$A$4:$A$11,0)),""))=0,(IFERROR(INDEX('CAT_ACTIVIDADES'!$D$4:$D$11,MATCH($H475,'CAT_ACTIVIDADES'!$A$4:$A$11,0)),""))=""),"SIN CLASIFICAR",IFERROR(INDEX('CAT_ACTIVIDADES'!$D$4:$D$11,MATCH($H475,'CAT_ACTIVIDADES'!$A$4:$A$11,0)),"")))</f>
        <v/>
      </c>
      <c r="AO475" s="4" t="n"/>
      <c r="AP475" s="4" t="n"/>
      <c r="AQ475" s="4" t="n"/>
      <c r="AR475" s="5">
        <f>IF($AQ475="","",HYPERLINK(p_ruta_base_checklists&amp;$AQ475,"abrir"))</f>
        <v/>
      </c>
      <c r="AS475" s="4" t="n"/>
      <c r="AT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2" t="n"/>
      <c r="K476" s="5" t="n"/>
      <c r="L476" s="18" t="n"/>
      <c r="M476" s="5">
        <f>IF($A476="","",IFERROR(INDEX('AJUSTES'!$B$4:$B$303,MATCH($AT476,'AJUSTES'!$A$4:$A$303,0)),IF($K476="","",$K476)))</f>
        <v/>
      </c>
      <c r="N476" s="5">
        <f>IF($A476="","",IFERROR(INDEX('CAT_ESTADOS_ERP'!$B$4:$B$7,MATCH(IFERROR(INDEX('2_IMPORTAR_EJECUCION'!$C$9:$C$1208,MATCH($AT476,'2_IMPORTAR_EJECUCION'!$J$9:$J$1208,0)),""),'CAT_ESTADOS_ERP'!$A$4:$A$7,0)),"Pendiente"))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IF($J476="","",$P476&amp;"-"&amp;TEXT($Q476,"00"))</f>
        <v/>
      </c>
      <c r="S476" s="5">
        <f>IF($J476="","",INDEX(lista_dias,WEEKDAY($J476,2)))</f>
        <v/>
      </c>
      <c r="T476" s="5">
        <f>IF($J476="","",IFERROR(INDEX('CALENDARIO'!$C$15:$C$214,MATCH(TEXT($J476,"yyyy-mm-dd")&amp;"|"&amp;$X476&amp;"|"&amp;$Y476,'CALENDARIO'!$G$15:$G$214,0)),IFERROR(INDEX('CALENDARIO'!$C$15:$C$214,MATCH(TEXT($J476,"yyyy-mm-dd")&amp;"|"&amp;$X476&amp;"|",'CALENDARIO'!$G$15:$G$214,0)),IFERROR(INDEX('CALENDARIO'!$C$15:$C$214,MATCH(TEXT($J476,"yyyy-mm-dd")&amp;"||",'CALENDARIO'!$G$15:$G$214,0)),INDEX(patronHabil,WEEKDAY($J476,2))))))</f>
        <v/>
      </c>
      <c r="U476" s="5">
        <f>IF($I476="","",IFERROR(INDEX('CAT_TIPOS_OT'!$C$4:$C$8,MATCH($I476,'CAT_TIPOS_OT'!$A$4:$A$8,0)),"sin_clasificar"))</f>
        <v/>
      </c>
      <c r="V476" s="5">
        <f>IF($I476="","",IF(IFERROR(INDEX('CAT_TIPOS_OT'!$D$4:$D$8,MATCH($I476,'CAT_TIPOS_OT'!$A$4:$A$8,0)),"SIN CLASIFICAR")="","SIN CLASIFICAR",IFERROR(INDEX('CAT_TIPOS_OT'!$D$4:$D$8,MATCH($I476,'CAT_TIPOS_OT'!$A$4:$A$8,0)),"SIN CLASIFICAR")))</f>
        <v/>
      </c>
      <c r="W476" s="5">
        <f>IF($F476="","",IFERROR(INDEX('CAT_CENTROS_COSTO'!$F$4:$F$13,MATCH($F476,'CAT_CENTROS_COSTO'!$A$4:$A$13,0)),"(sin catálogo)"))</f>
        <v/>
      </c>
      <c r="X476" s="5">
        <f>IF($F476="","",IFERROR(INDEX('CAT_CENTROS_COSTO'!$D$4:$D$13,MATCH($F476,'CAT_CENTROS_COSTO'!$A$4:$A$13,0)),"(sin catálogo)"))</f>
        <v/>
      </c>
      <c r="Y476" s="5">
        <f>IF($F476="","",IF((IFERROR(INDEX('CAT_CENTROS_COSTO'!$E$4:$E$13,MATCH($F476,'CAT_CENTROS_COSTO'!$A$4:$A$13,0)),""))&lt;&gt;"",IFERROR(INDEX('CAT_CENTROS_COSTO'!$E$4:$E$13,MATCH($F476,'CAT_CENTROS_COSTO'!$A$4:$A$13,0)),""),$X476))</f>
        <v/>
      </c>
      <c r="Z476" s="5">
        <f>IF($F476="","",IFERROR(INDEX('CAT_CENTROS_COSTO'!$G$4:$G$13,MATCH($F476,'CAT_CENTROS_COSTO'!$A$4:$A$13,0)),"(sin catálogo)"))</f>
        <v/>
      </c>
      <c r="AA476" s="5">
        <f>IF($G476="","",IFERROR(INDEX('CAT_PUESTOS'!$B$4:$B$8,MATCH($G476,'CAT_PUESTOS'!$A$4:$A$8,0)),"(sin catálogo)"))</f>
        <v/>
      </c>
      <c r="AB476" s="5">
        <f>IF($H476="","",IFERROR(INDEX('CAT_ACTIVIDADES'!$B$4:$B$11,MATCH($H476,'CAT_ACTIVIDADES'!$A$4:$A$11,0)),"(sin catálogo)"))</f>
        <v/>
      </c>
      <c r="AC476" s="20">
        <f>IF($J476="","",TODAY()-$J476)</f>
        <v/>
      </c>
      <c r="AD476" s="20">
        <f>IF($J476="","",IF($J476&lt;=TODAY(),COUNTIFS(cal_fechas,"&gt;="&amp;$J476,cal_fechas,"&lt;"&amp;TODAY(),cal_habil,"sí"),-COUNTIFS(cal_fechas,"&gt;="&amp;TODAY(),cal_fechas,"&lt;"&amp;$J476,cal_habil,"sí")))</f>
        <v/>
      </c>
      <c r="AE476" s="5">
        <f>IF($AD476="","",IF($AD476&lt;0,"FUTURO",IF($AD476&gt;p_dias_backlog_max,"BACKLOG","MES CORRIENTE")))</f>
        <v/>
      </c>
      <c r="AF476" s="5">
        <f>IF($AD476="",FALSE,AND($AD476&gt;p_dias_backlog_min,$AD476&lt;=p_dias_backlog_max))</f>
        <v/>
      </c>
      <c r="AG476" s="4" t="n"/>
      <c r="AH476" s="5">
        <f>IF($AG476="","",IF((IFERROR(INDEX('ASIGNACIONES'!$J$4:$J$451,MATCH($O476&amp;"|"&amp;$S476&amp;"|"&amp;$AG476,'ASIGNACIONES'!$N$4:$N$451,0)),""))=0,"",IFERROR(INDEX('ASIGNACIONES'!$J$4:$J$451,MATCH($O476&amp;"|"&amp;$S476&amp;"|"&amp;$AG476,'ASIGNACIONES'!$N$4:$N$451,0)),"")))</f>
        <v/>
      </c>
      <c r="AI476" s="25">
        <f>IF($AG476="","",SUMIFS('ORDENES'!$M$4:$M$1203,'ORDENES'!$AG$4:$AG$1203,$AG476,'ORDENES'!$O$4:$O$1203,$O476,'ORDENES'!$S$4:$S$1203,$S476))</f>
        <v/>
      </c>
      <c r="AJ476" s="25">
        <f>IF($AI476="","",p_factor_productividad*IFERROR(INDEX('ASIGNACIONES'!$M$4:$M$451,MATCH($O476&amp;"|"&amp;$S476&amp;"|"&amp;$AG476,'ASIGNACIONES'!$N$4:$N$451,0)),0)-$AI476)</f>
        <v/>
      </c>
      <c r="AK476" s="18">
        <f>IF($A476="","",IFERROR(INDEX('2_IMPORTAR_EJECUCION'!$F$9:$F$1208,MATCH($AT476,'2_IMPORTAR_EJECUCION'!$J$9:$J$1208,0)),0))</f>
        <v/>
      </c>
      <c r="AL476" s="18">
        <f>IF($A476="","",MAX(0,IFERROR(INDEX('2_IMPORTAR_EJECUCION'!$H$9:$H$1208,MATCH($AT476,'2_IMPORTAR_EJECUCION'!$J$9:$J$1208,0)),0)-$AK476))</f>
        <v/>
      </c>
      <c r="AM476" s="18">
        <f>IF($A476="","",$AK476+$AL476)</f>
        <v/>
      </c>
      <c r="AN476" s="5">
        <f>IF($A476="","",IF(OR((IFERROR(INDEX('CAT_ACTIVIDADES'!$D$4:$D$11,MATCH($H476,'CAT_ACTIVIDADES'!$A$4:$A$11,0)),""))=0,(IFERROR(INDEX('CAT_ACTIVIDADES'!$D$4:$D$11,MATCH($H476,'CAT_ACTIVIDADES'!$A$4:$A$11,0)),""))=""),"SIN CLASIFICAR",IFERROR(INDEX('CAT_ACTIVIDADES'!$D$4:$D$11,MATCH($H476,'CAT_ACTIVIDADES'!$A$4:$A$11,0)),"")))</f>
        <v/>
      </c>
      <c r="AO476" s="4" t="n"/>
      <c r="AP476" s="4" t="n"/>
      <c r="AQ476" s="4" t="n"/>
      <c r="AR476" s="5">
        <f>IF($AQ476="","",HYPERLINK(p_ruta_base_checklists&amp;$AQ476,"abrir"))</f>
        <v/>
      </c>
      <c r="AS476" s="4" t="n"/>
      <c r="AT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2" t="n"/>
      <c r="K477" s="5" t="n"/>
      <c r="L477" s="18" t="n"/>
      <c r="M477" s="5">
        <f>IF($A477="","",IFERROR(INDEX('AJUSTES'!$B$4:$B$303,MATCH($AT477,'AJUSTES'!$A$4:$A$303,0)),IF($K477="","",$K477)))</f>
        <v/>
      </c>
      <c r="N477" s="5">
        <f>IF($A477="","",IFERROR(INDEX('CAT_ESTADOS_ERP'!$B$4:$B$7,MATCH(IFERROR(INDEX('2_IMPORTAR_EJECUCION'!$C$9:$C$1208,MATCH($AT477,'2_IMPORTAR_EJECUCION'!$J$9:$J$1208,0)),""),'CAT_ESTADOS_ERP'!$A$4:$A$7,0)),"Pendiente"))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IF($J477="","",$P477&amp;"-"&amp;TEXT($Q477,"00"))</f>
        <v/>
      </c>
      <c r="S477" s="5">
        <f>IF($J477="","",INDEX(lista_dias,WEEKDAY($J477,2)))</f>
        <v/>
      </c>
      <c r="T477" s="5">
        <f>IF($J477="","",IFERROR(INDEX('CALENDARIO'!$C$15:$C$214,MATCH(TEXT($J477,"yyyy-mm-dd")&amp;"|"&amp;$X477&amp;"|"&amp;$Y477,'CALENDARIO'!$G$15:$G$214,0)),IFERROR(INDEX('CALENDARIO'!$C$15:$C$214,MATCH(TEXT($J477,"yyyy-mm-dd")&amp;"|"&amp;$X477&amp;"|",'CALENDARIO'!$G$15:$G$214,0)),IFERROR(INDEX('CALENDARIO'!$C$15:$C$214,MATCH(TEXT($J477,"yyyy-mm-dd")&amp;"||",'CALENDARIO'!$G$15:$G$214,0)),INDEX(patronHabil,WEEKDAY($J477,2))))))</f>
        <v/>
      </c>
      <c r="U477" s="5">
        <f>IF($I477="","",IFERROR(INDEX('CAT_TIPOS_OT'!$C$4:$C$8,MATCH($I477,'CAT_TIPOS_OT'!$A$4:$A$8,0)),"sin_clasificar"))</f>
        <v/>
      </c>
      <c r="V477" s="5">
        <f>IF($I477="","",IF(IFERROR(INDEX('CAT_TIPOS_OT'!$D$4:$D$8,MATCH($I477,'CAT_TIPOS_OT'!$A$4:$A$8,0)),"SIN CLASIFICAR")="","SIN CLASIFICAR",IFERROR(INDEX('CAT_TIPOS_OT'!$D$4:$D$8,MATCH($I477,'CAT_TIPOS_OT'!$A$4:$A$8,0)),"SIN CLASIFICAR")))</f>
        <v/>
      </c>
      <c r="W477" s="5">
        <f>IF($F477="","",IFERROR(INDEX('CAT_CENTROS_COSTO'!$F$4:$F$13,MATCH($F477,'CAT_CENTROS_COSTO'!$A$4:$A$13,0)),"(sin catálogo)"))</f>
        <v/>
      </c>
      <c r="X477" s="5">
        <f>IF($F477="","",IFERROR(INDEX('CAT_CENTROS_COSTO'!$D$4:$D$13,MATCH($F477,'CAT_CENTROS_COSTO'!$A$4:$A$13,0)),"(sin catálogo)"))</f>
        <v/>
      </c>
      <c r="Y477" s="5">
        <f>IF($F477="","",IF((IFERROR(INDEX('CAT_CENTROS_COSTO'!$E$4:$E$13,MATCH($F477,'CAT_CENTROS_COSTO'!$A$4:$A$13,0)),""))&lt;&gt;"",IFERROR(INDEX('CAT_CENTROS_COSTO'!$E$4:$E$13,MATCH($F477,'CAT_CENTROS_COSTO'!$A$4:$A$13,0)),""),$X477))</f>
        <v/>
      </c>
      <c r="Z477" s="5">
        <f>IF($F477="","",IFERROR(INDEX('CAT_CENTROS_COSTO'!$G$4:$G$13,MATCH($F477,'CAT_CENTROS_COSTO'!$A$4:$A$13,0)),"(sin catálogo)"))</f>
        <v/>
      </c>
      <c r="AA477" s="5">
        <f>IF($G477="","",IFERROR(INDEX('CAT_PUESTOS'!$B$4:$B$8,MATCH($G477,'CAT_PUESTOS'!$A$4:$A$8,0)),"(sin catálogo)"))</f>
        <v/>
      </c>
      <c r="AB477" s="5">
        <f>IF($H477="","",IFERROR(INDEX('CAT_ACTIVIDADES'!$B$4:$B$11,MATCH($H477,'CAT_ACTIVIDADES'!$A$4:$A$11,0)),"(sin catálogo)"))</f>
        <v/>
      </c>
      <c r="AC477" s="20">
        <f>IF($J477="","",TODAY()-$J477)</f>
        <v/>
      </c>
      <c r="AD477" s="20">
        <f>IF($J477="","",IF($J477&lt;=TODAY(),COUNTIFS(cal_fechas,"&gt;="&amp;$J477,cal_fechas,"&lt;"&amp;TODAY(),cal_habil,"sí"),-COUNTIFS(cal_fechas,"&gt;="&amp;TODAY(),cal_fechas,"&lt;"&amp;$J477,cal_habil,"sí")))</f>
        <v/>
      </c>
      <c r="AE477" s="5">
        <f>IF($AD477="","",IF($AD477&lt;0,"FUTURO",IF($AD477&gt;p_dias_backlog_max,"BACKLOG","MES CORRIENTE")))</f>
        <v/>
      </c>
      <c r="AF477" s="5">
        <f>IF($AD477="",FALSE,AND($AD477&gt;p_dias_backlog_min,$AD477&lt;=p_dias_backlog_max))</f>
        <v/>
      </c>
      <c r="AG477" s="4" t="n"/>
      <c r="AH477" s="5">
        <f>IF($AG477="","",IF((IFERROR(INDEX('ASIGNACIONES'!$J$4:$J$451,MATCH($O477&amp;"|"&amp;$S477&amp;"|"&amp;$AG477,'ASIGNACIONES'!$N$4:$N$451,0)),""))=0,"",IFERROR(INDEX('ASIGNACIONES'!$J$4:$J$451,MATCH($O477&amp;"|"&amp;$S477&amp;"|"&amp;$AG477,'ASIGNACIONES'!$N$4:$N$451,0)),"")))</f>
        <v/>
      </c>
      <c r="AI477" s="25">
        <f>IF($AG477="","",SUMIFS('ORDENES'!$M$4:$M$1203,'ORDENES'!$AG$4:$AG$1203,$AG477,'ORDENES'!$O$4:$O$1203,$O477,'ORDENES'!$S$4:$S$1203,$S477))</f>
        <v/>
      </c>
      <c r="AJ477" s="25">
        <f>IF($AI477="","",p_factor_productividad*IFERROR(INDEX('ASIGNACIONES'!$M$4:$M$451,MATCH($O477&amp;"|"&amp;$S477&amp;"|"&amp;$AG477,'ASIGNACIONES'!$N$4:$N$451,0)),0)-$AI477)</f>
        <v/>
      </c>
      <c r="AK477" s="18">
        <f>IF($A477="","",IFERROR(INDEX('2_IMPORTAR_EJECUCION'!$F$9:$F$1208,MATCH($AT477,'2_IMPORTAR_EJECUCION'!$J$9:$J$1208,0)),0))</f>
        <v/>
      </c>
      <c r="AL477" s="18">
        <f>IF($A477="","",MAX(0,IFERROR(INDEX('2_IMPORTAR_EJECUCION'!$H$9:$H$1208,MATCH($AT477,'2_IMPORTAR_EJECUCION'!$J$9:$J$1208,0)),0)-$AK477))</f>
        <v/>
      </c>
      <c r="AM477" s="18">
        <f>IF($A477="","",$AK477+$AL477)</f>
        <v/>
      </c>
      <c r="AN477" s="5">
        <f>IF($A477="","",IF(OR((IFERROR(INDEX('CAT_ACTIVIDADES'!$D$4:$D$11,MATCH($H477,'CAT_ACTIVIDADES'!$A$4:$A$11,0)),""))=0,(IFERROR(INDEX('CAT_ACTIVIDADES'!$D$4:$D$11,MATCH($H477,'CAT_ACTIVIDADES'!$A$4:$A$11,0)),""))=""),"SIN CLASIFICAR",IFERROR(INDEX('CAT_ACTIVIDADES'!$D$4:$D$11,MATCH($H477,'CAT_ACTIVIDADES'!$A$4:$A$11,0)),"")))</f>
        <v/>
      </c>
      <c r="AO477" s="4" t="n"/>
      <c r="AP477" s="4" t="n"/>
      <c r="AQ477" s="4" t="n"/>
      <c r="AR477" s="5">
        <f>IF($AQ477="","",HYPERLINK(p_ruta_base_checklists&amp;$AQ477,"abrir"))</f>
        <v/>
      </c>
      <c r="AS477" s="4" t="n"/>
      <c r="AT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2" t="n"/>
      <c r="K478" s="5" t="n"/>
      <c r="L478" s="18" t="n"/>
      <c r="M478" s="5">
        <f>IF($A478="","",IFERROR(INDEX('AJUSTES'!$B$4:$B$303,MATCH($AT478,'AJUSTES'!$A$4:$A$303,0)),IF($K478="","",$K478)))</f>
        <v/>
      </c>
      <c r="N478" s="5">
        <f>IF($A478="","",IFERROR(INDEX('CAT_ESTADOS_ERP'!$B$4:$B$7,MATCH(IFERROR(INDEX('2_IMPORTAR_EJECUCION'!$C$9:$C$1208,MATCH($AT478,'2_IMPORTAR_EJECUCION'!$J$9:$J$1208,0)),""),'CAT_ESTADOS_ERP'!$A$4:$A$7,0)),"Pendiente"))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IF($J478="","",$P478&amp;"-"&amp;TEXT($Q478,"00"))</f>
        <v/>
      </c>
      <c r="S478" s="5">
        <f>IF($J478="","",INDEX(lista_dias,WEEKDAY($J478,2)))</f>
        <v/>
      </c>
      <c r="T478" s="5">
        <f>IF($J478="","",IFERROR(INDEX('CALENDARIO'!$C$15:$C$214,MATCH(TEXT($J478,"yyyy-mm-dd")&amp;"|"&amp;$X478&amp;"|"&amp;$Y478,'CALENDARIO'!$G$15:$G$214,0)),IFERROR(INDEX('CALENDARIO'!$C$15:$C$214,MATCH(TEXT($J478,"yyyy-mm-dd")&amp;"|"&amp;$X478&amp;"|",'CALENDARIO'!$G$15:$G$214,0)),IFERROR(INDEX('CALENDARIO'!$C$15:$C$214,MATCH(TEXT($J478,"yyyy-mm-dd")&amp;"||",'CALENDARIO'!$G$15:$G$214,0)),INDEX(patronHabil,WEEKDAY($J478,2))))))</f>
        <v/>
      </c>
      <c r="U478" s="5">
        <f>IF($I478="","",IFERROR(INDEX('CAT_TIPOS_OT'!$C$4:$C$8,MATCH($I478,'CAT_TIPOS_OT'!$A$4:$A$8,0)),"sin_clasificar"))</f>
        <v/>
      </c>
      <c r="V478" s="5">
        <f>IF($I478="","",IF(IFERROR(INDEX('CAT_TIPOS_OT'!$D$4:$D$8,MATCH($I478,'CAT_TIPOS_OT'!$A$4:$A$8,0)),"SIN CLASIFICAR")="","SIN CLASIFICAR",IFERROR(INDEX('CAT_TIPOS_OT'!$D$4:$D$8,MATCH($I478,'CAT_TIPOS_OT'!$A$4:$A$8,0)),"SIN CLASIFICAR")))</f>
        <v/>
      </c>
      <c r="W478" s="5">
        <f>IF($F478="","",IFERROR(INDEX('CAT_CENTROS_COSTO'!$F$4:$F$13,MATCH($F478,'CAT_CENTROS_COSTO'!$A$4:$A$13,0)),"(sin catálogo)"))</f>
        <v/>
      </c>
      <c r="X478" s="5">
        <f>IF($F478="","",IFERROR(INDEX('CAT_CENTROS_COSTO'!$D$4:$D$13,MATCH($F478,'CAT_CENTROS_COSTO'!$A$4:$A$13,0)),"(sin catálogo)"))</f>
        <v/>
      </c>
      <c r="Y478" s="5">
        <f>IF($F478="","",IF((IFERROR(INDEX('CAT_CENTROS_COSTO'!$E$4:$E$13,MATCH($F478,'CAT_CENTROS_COSTO'!$A$4:$A$13,0)),""))&lt;&gt;"",IFERROR(INDEX('CAT_CENTROS_COSTO'!$E$4:$E$13,MATCH($F478,'CAT_CENTROS_COSTO'!$A$4:$A$13,0)),""),$X478))</f>
        <v/>
      </c>
      <c r="Z478" s="5">
        <f>IF($F478="","",IFERROR(INDEX('CAT_CENTROS_COSTO'!$G$4:$G$13,MATCH($F478,'CAT_CENTROS_COSTO'!$A$4:$A$13,0)),"(sin catálogo)"))</f>
        <v/>
      </c>
      <c r="AA478" s="5">
        <f>IF($G478="","",IFERROR(INDEX('CAT_PUESTOS'!$B$4:$B$8,MATCH($G478,'CAT_PUESTOS'!$A$4:$A$8,0)),"(sin catálogo)"))</f>
        <v/>
      </c>
      <c r="AB478" s="5">
        <f>IF($H478="","",IFERROR(INDEX('CAT_ACTIVIDADES'!$B$4:$B$11,MATCH($H478,'CAT_ACTIVIDADES'!$A$4:$A$11,0)),"(sin catálogo)"))</f>
        <v/>
      </c>
      <c r="AC478" s="20">
        <f>IF($J478="","",TODAY()-$J478)</f>
        <v/>
      </c>
      <c r="AD478" s="20">
        <f>IF($J478="","",IF($J478&lt;=TODAY(),COUNTIFS(cal_fechas,"&gt;="&amp;$J478,cal_fechas,"&lt;"&amp;TODAY(),cal_habil,"sí"),-COUNTIFS(cal_fechas,"&gt;="&amp;TODAY(),cal_fechas,"&lt;"&amp;$J478,cal_habil,"sí")))</f>
        <v/>
      </c>
      <c r="AE478" s="5">
        <f>IF($AD478="","",IF($AD478&lt;0,"FUTURO",IF($AD478&gt;p_dias_backlog_max,"BACKLOG","MES CORRIENTE")))</f>
        <v/>
      </c>
      <c r="AF478" s="5">
        <f>IF($AD478="",FALSE,AND($AD478&gt;p_dias_backlog_min,$AD478&lt;=p_dias_backlog_max))</f>
        <v/>
      </c>
      <c r="AG478" s="4" t="n"/>
      <c r="AH478" s="5">
        <f>IF($AG478="","",IF((IFERROR(INDEX('ASIGNACIONES'!$J$4:$J$451,MATCH($O478&amp;"|"&amp;$S478&amp;"|"&amp;$AG478,'ASIGNACIONES'!$N$4:$N$451,0)),""))=0,"",IFERROR(INDEX('ASIGNACIONES'!$J$4:$J$451,MATCH($O478&amp;"|"&amp;$S478&amp;"|"&amp;$AG478,'ASIGNACIONES'!$N$4:$N$451,0)),"")))</f>
        <v/>
      </c>
      <c r="AI478" s="25">
        <f>IF($AG478="","",SUMIFS('ORDENES'!$M$4:$M$1203,'ORDENES'!$AG$4:$AG$1203,$AG478,'ORDENES'!$O$4:$O$1203,$O478,'ORDENES'!$S$4:$S$1203,$S478))</f>
        <v/>
      </c>
      <c r="AJ478" s="25">
        <f>IF($AI478="","",p_factor_productividad*IFERROR(INDEX('ASIGNACIONES'!$M$4:$M$451,MATCH($O478&amp;"|"&amp;$S478&amp;"|"&amp;$AG478,'ASIGNACIONES'!$N$4:$N$451,0)),0)-$AI478)</f>
        <v/>
      </c>
      <c r="AK478" s="18">
        <f>IF($A478="","",IFERROR(INDEX('2_IMPORTAR_EJECUCION'!$F$9:$F$1208,MATCH($AT478,'2_IMPORTAR_EJECUCION'!$J$9:$J$1208,0)),0))</f>
        <v/>
      </c>
      <c r="AL478" s="18">
        <f>IF($A478="","",MAX(0,IFERROR(INDEX('2_IMPORTAR_EJECUCION'!$H$9:$H$1208,MATCH($AT478,'2_IMPORTAR_EJECUCION'!$J$9:$J$1208,0)),0)-$AK478))</f>
        <v/>
      </c>
      <c r="AM478" s="18">
        <f>IF($A478="","",$AK478+$AL478)</f>
        <v/>
      </c>
      <c r="AN478" s="5">
        <f>IF($A478="","",IF(OR((IFERROR(INDEX('CAT_ACTIVIDADES'!$D$4:$D$11,MATCH($H478,'CAT_ACTIVIDADES'!$A$4:$A$11,0)),""))=0,(IFERROR(INDEX('CAT_ACTIVIDADES'!$D$4:$D$11,MATCH($H478,'CAT_ACTIVIDADES'!$A$4:$A$11,0)),""))=""),"SIN CLASIFICAR",IFERROR(INDEX('CAT_ACTIVIDADES'!$D$4:$D$11,MATCH($H478,'CAT_ACTIVIDADES'!$A$4:$A$11,0)),"")))</f>
        <v/>
      </c>
      <c r="AO478" s="4" t="n"/>
      <c r="AP478" s="4" t="n"/>
      <c r="AQ478" s="4" t="n"/>
      <c r="AR478" s="5">
        <f>IF($AQ478="","",HYPERLINK(p_ruta_base_checklists&amp;$AQ478,"abrir"))</f>
        <v/>
      </c>
      <c r="AS478" s="4" t="n"/>
      <c r="AT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2" t="n"/>
      <c r="K479" s="5" t="n"/>
      <c r="L479" s="18" t="n"/>
      <c r="M479" s="5">
        <f>IF($A479="","",IFERROR(INDEX('AJUSTES'!$B$4:$B$303,MATCH($AT479,'AJUSTES'!$A$4:$A$303,0)),IF($K479="","",$K479)))</f>
        <v/>
      </c>
      <c r="N479" s="5">
        <f>IF($A479="","",IFERROR(INDEX('CAT_ESTADOS_ERP'!$B$4:$B$7,MATCH(IFERROR(INDEX('2_IMPORTAR_EJECUCION'!$C$9:$C$1208,MATCH($AT479,'2_IMPORTAR_EJECUCION'!$J$9:$J$1208,0)),""),'CAT_ESTADOS_ERP'!$A$4:$A$7,0)),"Pendiente"))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IF($J479="","",$P479&amp;"-"&amp;TEXT($Q479,"00"))</f>
        <v/>
      </c>
      <c r="S479" s="5">
        <f>IF($J479="","",INDEX(lista_dias,WEEKDAY($J479,2)))</f>
        <v/>
      </c>
      <c r="T479" s="5">
        <f>IF($J479="","",IFERROR(INDEX('CALENDARIO'!$C$15:$C$214,MATCH(TEXT($J479,"yyyy-mm-dd")&amp;"|"&amp;$X479&amp;"|"&amp;$Y479,'CALENDARIO'!$G$15:$G$214,0)),IFERROR(INDEX('CALENDARIO'!$C$15:$C$214,MATCH(TEXT($J479,"yyyy-mm-dd")&amp;"|"&amp;$X479&amp;"|",'CALENDARIO'!$G$15:$G$214,0)),IFERROR(INDEX('CALENDARIO'!$C$15:$C$214,MATCH(TEXT($J479,"yyyy-mm-dd")&amp;"||",'CALENDARIO'!$G$15:$G$214,0)),INDEX(patronHabil,WEEKDAY($J479,2))))))</f>
        <v/>
      </c>
      <c r="U479" s="5">
        <f>IF($I479="","",IFERROR(INDEX('CAT_TIPOS_OT'!$C$4:$C$8,MATCH($I479,'CAT_TIPOS_OT'!$A$4:$A$8,0)),"sin_clasificar"))</f>
        <v/>
      </c>
      <c r="V479" s="5">
        <f>IF($I479="","",IF(IFERROR(INDEX('CAT_TIPOS_OT'!$D$4:$D$8,MATCH($I479,'CAT_TIPOS_OT'!$A$4:$A$8,0)),"SIN CLASIFICAR")="","SIN CLASIFICAR",IFERROR(INDEX('CAT_TIPOS_OT'!$D$4:$D$8,MATCH($I479,'CAT_TIPOS_OT'!$A$4:$A$8,0)),"SIN CLASIFICAR")))</f>
        <v/>
      </c>
      <c r="W479" s="5">
        <f>IF($F479="","",IFERROR(INDEX('CAT_CENTROS_COSTO'!$F$4:$F$13,MATCH($F479,'CAT_CENTROS_COSTO'!$A$4:$A$13,0)),"(sin catálogo)"))</f>
        <v/>
      </c>
      <c r="X479" s="5">
        <f>IF($F479="","",IFERROR(INDEX('CAT_CENTROS_COSTO'!$D$4:$D$13,MATCH($F479,'CAT_CENTROS_COSTO'!$A$4:$A$13,0)),"(sin catálogo)"))</f>
        <v/>
      </c>
      <c r="Y479" s="5">
        <f>IF($F479="","",IF((IFERROR(INDEX('CAT_CENTROS_COSTO'!$E$4:$E$13,MATCH($F479,'CAT_CENTROS_COSTO'!$A$4:$A$13,0)),""))&lt;&gt;"",IFERROR(INDEX('CAT_CENTROS_COSTO'!$E$4:$E$13,MATCH($F479,'CAT_CENTROS_COSTO'!$A$4:$A$13,0)),""),$X479))</f>
        <v/>
      </c>
      <c r="Z479" s="5">
        <f>IF($F479="","",IFERROR(INDEX('CAT_CENTROS_COSTO'!$G$4:$G$13,MATCH($F479,'CAT_CENTROS_COSTO'!$A$4:$A$13,0)),"(sin catálogo)"))</f>
        <v/>
      </c>
      <c r="AA479" s="5">
        <f>IF($G479="","",IFERROR(INDEX('CAT_PUESTOS'!$B$4:$B$8,MATCH($G479,'CAT_PUESTOS'!$A$4:$A$8,0)),"(sin catálogo)"))</f>
        <v/>
      </c>
      <c r="AB479" s="5">
        <f>IF($H479="","",IFERROR(INDEX('CAT_ACTIVIDADES'!$B$4:$B$11,MATCH($H479,'CAT_ACTIVIDADES'!$A$4:$A$11,0)),"(sin catálogo)"))</f>
        <v/>
      </c>
      <c r="AC479" s="20">
        <f>IF($J479="","",TODAY()-$J479)</f>
        <v/>
      </c>
      <c r="AD479" s="20">
        <f>IF($J479="","",IF($J479&lt;=TODAY(),COUNTIFS(cal_fechas,"&gt;="&amp;$J479,cal_fechas,"&lt;"&amp;TODAY(),cal_habil,"sí"),-COUNTIFS(cal_fechas,"&gt;="&amp;TODAY(),cal_fechas,"&lt;"&amp;$J479,cal_habil,"sí")))</f>
        <v/>
      </c>
      <c r="AE479" s="5">
        <f>IF($AD479="","",IF($AD479&lt;0,"FUTURO",IF($AD479&gt;p_dias_backlog_max,"BACKLOG","MES CORRIENTE")))</f>
        <v/>
      </c>
      <c r="AF479" s="5">
        <f>IF($AD479="",FALSE,AND($AD479&gt;p_dias_backlog_min,$AD479&lt;=p_dias_backlog_max))</f>
        <v/>
      </c>
      <c r="AG479" s="4" t="n"/>
      <c r="AH479" s="5">
        <f>IF($AG479="","",IF((IFERROR(INDEX('ASIGNACIONES'!$J$4:$J$451,MATCH($O479&amp;"|"&amp;$S479&amp;"|"&amp;$AG479,'ASIGNACIONES'!$N$4:$N$451,0)),""))=0,"",IFERROR(INDEX('ASIGNACIONES'!$J$4:$J$451,MATCH($O479&amp;"|"&amp;$S479&amp;"|"&amp;$AG479,'ASIGNACIONES'!$N$4:$N$451,0)),"")))</f>
        <v/>
      </c>
      <c r="AI479" s="25">
        <f>IF($AG479="","",SUMIFS('ORDENES'!$M$4:$M$1203,'ORDENES'!$AG$4:$AG$1203,$AG479,'ORDENES'!$O$4:$O$1203,$O479,'ORDENES'!$S$4:$S$1203,$S479))</f>
        <v/>
      </c>
      <c r="AJ479" s="25">
        <f>IF($AI479="","",p_factor_productividad*IFERROR(INDEX('ASIGNACIONES'!$M$4:$M$451,MATCH($O479&amp;"|"&amp;$S479&amp;"|"&amp;$AG479,'ASIGNACIONES'!$N$4:$N$451,0)),0)-$AI479)</f>
        <v/>
      </c>
      <c r="AK479" s="18">
        <f>IF($A479="","",IFERROR(INDEX('2_IMPORTAR_EJECUCION'!$F$9:$F$1208,MATCH($AT479,'2_IMPORTAR_EJECUCION'!$J$9:$J$1208,0)),0))</f>
        <v/>
      </c>
      <c r="AL479" s="18">
        <f>IF($A479="","",MAX(0,IFERROR(INDEX('2_IMPORTAR_EJECUCION'!$H$9:$H$1208,MATCH($AT479,'2_IMPORTAR_EJECUCION'!$J$9:$J$1208,0)),0)-$AK479))</f>
        <v/>
      </c>
      <c r="AM479" s="18">
        <f>IF($A479="","",$AK479+$AL479)</f>
        <v/>
      </c>
      <c r="AN479" s="5">
        <f>IF($A479="","",IF(OR((IFERROR(INDEX('CAT_ACTIVIDADES'!$D$4:$D$11,MATCH($H479,'CAT_ACTIVIDADES'!$A$4:$A$11,0)),""))=0,(IFERROR(INDEX('CAT_ACTIVIDADES'!$D$4:$D$11,MATCH($H479,'CAT_ACTIVIDADES'!$A$4:$A$11,0)),""))=""),"SIN CLASIFICAR",IFERROR(INDEX('CAT_ACTIVIDADES'!$D$4:$D$11,MATCH($H479,'CAT_ACTIVIDADES'!$A$4:$A$11,0)),"")))</f>
        <v/>
      </c>
      <c r="AO479" s="4" t="n"/>
      <c r="AP479" s="4" t="n"/>
      <c r="AQ479" s="4" t="n"/>
      <c r="AR479" s="5">
        <f>IF($AQ479="","",HYPERLINK(p_ruta_base_checklists&amp;$AQ479,"abrir"))</f>
        <v/>
      </c>
      <c r="AS479" s="4" t="n"/>
      <c r="AT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2" t="n"/>
      <c r="K480" s="5" t="n"/>
      <c r="L480" s="18" t="n"/>
      <c r="M480" s="5">
        <f>IF($A480="","",IFERROR(INDEX('AJUSTES'!$B$4:$B$303,MATCH($AT480,'AJUSTES'!$A$4:$A$303,0)),IF($K480="","",$K480)))</f>
        <v/>
      </c>
      <c r="N480" s="5">
        <f>IF($A480="","",IFERROR(INDEX('CAT_ESTADOS_ERP'!$B$4:$B$7,MATCH(IFERROR(INDEX('2_IMPORTAR_EJECUCION'!$C$9:$C$1208,MATCH($AT480,'2_IMPORTAR_EJECUCION'!$J$9:$J$1208,0)),""),'CAT_ESTADOS_ERP'!$A$4:$A$7,0)),"Pendiente"))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IF($J480="","",$P480&amp;"-"&amp;TEXT($Q480,"00"))</f>
        <v/>
      </c>
      <c r="S480" s="5">
        <f>IF($J480="","",INDEX(lista_dias,WEEKDAY($J480,2)))</f>
        <v/>
      </c>
      <c r="T480" s="5">
        <f>IF($J480="","",IFERROR(INDEX('CALENDARIO'!$C$15:$C$214,MATCH(TEXT($J480,"yyyy-mm-dd")&amp;"|"&amp;$X480&amp;"|"&amp;$Y480,'CALENDARIO'!$G$15:$G$214,0)),IFERROR(INDEX('CALENDARIO'!$C$15:$C$214,MATCH(TEXT($J480,"yyyy-mm-dd")&amp;"|"&amp;$X480&amp;"|",'CALENDARIO'!$G$15:$G$214,0)),IFERROR(INDEX('CALENDARIO'!$C$15:$C$214,MATCH(TEXT($J480,"yyyy-mm-dd")&amp;"||",'CALENDARIO'!$G$15:$G$214,0)),INDEX(patronHabil,WEEKDAY($J480,2))))))</f>
        <v/>
      </c>
      <c r="U480" s="5">
        <f>IF($I480="","",IFERROR(INDEX('CAT_TIPOS_OT'!$C$4:$C$8,MATCH($I480,'CAT_TIPOS_OT'!$A$4:$A$8,0)),"sin_clasificar"))</f>
        <v/>
      </c>
      <c r="V480" s="5">
        <f>IF($I480="","",IF(IFERROR(INDEX('CAT_TIPOS_OT'!$D$4:$D$8,MATCH($I480,'CAT_TIPOS_OT'!$A$4:$A$8,0)),"SIN CLASIFICAR")="","SIN CLASIFICAR",IFERROR(INDEX('CAT_TIPOS_OT'!$D$4:$D$8,MATCH($I480,'CAT_TIPOS_OT'!$A$4:$A$8,0)),"SIN CLASIFICAR")))</f>
        <v/>
      </c>
      <c r="W480" s="5">
        <f>IF($F480="","",IFERROR(INDEX('CAT_CENTROS_COSTO'!$F$4:$F$13,MATCH($F480,'CAT_CENTROS_COSTO'!$A$4:$A$13,0)),"(sin catálogo)"))</f>
        <v/>
      </c>
      <c r="X480" s="5">
        <f>IF($F480="","",IFERROR(INDEX('CAT_CENTROS_COSTO'!$D$4:$D$13,MATCH($F480,'CAT_CENTROS_COSTO'!$A$4:$A$13,0)),"(sin catálogo)"))</f>
        <v/>
      </c>
      <c r="Y480" s="5">
        <f>IF($F480="","",IF((IFERROR(INDEX('CAT_CENTROS_COSTO'!$E$4:$E$13,MATCH($F480,'CAT_CENTROS_COSTO'!$A$4:$A$13,0)),""))&lt;&gt;"",IFERROR(INDEX('CAT_CENTROS_COSTO'!$E$4:$E$13,MATCH($F480,'CAT_CENTROS_COSTO'!$A$4:$A$13,0)),""),$X480))</f>
        <v/>
      </c>
      <c r="Z480" s="5">
        <f>IF($F480="","",IFERROR(INDEX('CAT_CENTROS_COSTO'!$G$4:$G$13,MATCH($F480,'CAT_CENTROS_COSTO'!$A$4:$A$13,0)),"(sin catálogo)"))</f>
        <v/>
      </c>
      <c r="AA480" s="5">
        <f>IF($G480="","",IFERROR(INDEX('CAT_PUESTOS'!$B$4:$B$8,MATCH($G480,'CAT_PUESTOS'!$A$4:$A$8,0)),"(sin catálogo)"))</f>
        <v/>
      </c>
      <c r="AB480" s="5">
        <f>IF($H480="","",IFERROR(INDEX('CAT_ACTIVIDADES'!$B$4:$B$11,MATCH($H480,'CAT_ACTIVIDADES'!$A$4:$A$11,0)),"(sin catálogo)"))</f>
        <v/>
      </c>
      <c r="AC480" s="20">
        <f>IF($J480="","",TODAY()-$J480)</f>
        <v/>
      </c>
      <c r="AD480" s="20">
        <f>IF($J480="","",IF($J480&lt;=TODAY(),COUNTIFS(cal_fechas,"&gt;="&amp;$J480,cal_fechas,"&lt;"&amp;TODAY(),cal_habil,"sí"),-COUNTIFS(cal_fechas,"&gt;="&amp;TODAY(),cal_fechas,"&lt;"&amp;$J480,cal_habil,"sí")))</f>
        <v/>
      </c>
      <c r="AE480" s="5">
        <f>IF($AD480="","",IF($AD480&lt;0,"FUTURO",IF($AD480&gt;p_dias_backlog_max,"BACKLOG","MES CORRIENTE")))</f>
        <v/>
      </c>
      <c r="AF480" s="5">
        <f>IF($AD480="",FALSE,AND($AD480&gt;p_dias_backlog_min,$AD480&lt;=p_dias_backlog_max))</f>
        <v/>
      </c>
      <c r="AG480" s="4" t="n"/>
      <c r="AH480" s="5">
        <f>IF($AG480="","",IF((IFERROR(INDEX('ASIGNACIONES'!$J$4:$J$451,MATCH($O480&amp;"|"&amp;$S480&amp;"|"&amp;$AG480,'ASIGNACIONES'!$N$4:$N$451,0)),""))=0,"",IFERROR(INDEX('ASIGNACIONES'!$J$4:$J$451,MATCH($O480&amp;"|"&amp;$S480&amp;"|"&amp;$AG480,'ASIGNACIONES'!$N$4:$N$451,0)),"")))</f>
        <v/>
      </c>
      <c r="AI480" s="25">
        <f>IF($AG480="","",SUMIFS('ORDENES'!$M$4:$M$1203,'ORDENES'!$AG$4:$AG$1203,$AG480,'ORDENES'!$O$4:$O$1203,$O480,'ORDENES'!$S$4:$S$1203,$S480))</f>
        <v/>
      </c>
      <c r="AJ480" s="25">
        <f>IF($AI480="","",p_factor_productividad*IFERROR(INDEX('ASIGNACIONES'!$M$4:$M$451,MATCH($O480&amp;"|"&amp;$S480&amp;"|"&amp;$AG480,'ASIGNACIONES'!$N$4:$N$451,0)),0)-$AI480)</f>
        <v/>
      </c>
      <c r="AK480" s="18">
        <f>IF($A480="","",IFERROR(INDEX('2_IMPORTAR_EJECUCION'!$F$9:$F$1208,MATCH($AT480,'2_IMPORTAR_EJECUCION'!$J$9:$J$1208,0)),0))</f>
        <v/>
      </c>
      <c r="AL480" s="18">
        <f>IF($A480="","",MAX(0,IFERROR(INDEX('2_IMPORTAR_EJECUCION'!$H$9:$H$1208,MATCH($AT480,'2_IMPORTAR_EJECUCION'!$J$9:$J$1208,0)),0)-$AK480))</f>
        <v/>
      </c>
      <c r="AM480" s="18">
        <f>IF($A480="","",$AK480+$AL480)</f>
        <v/>
      </c>
      <c r="AN480" s="5">
        <f>IF($A480="","",IF(OR((IFERROR(INDEX('CAT_ACTIVIDADES'!$D$4:$D$11,MATCH($H480,'CAT_ACTIVIDADES'!$A$4:$A$11,0)),""))=0,(IFERROR(INDEX('CAT_ACTIVIDADES'!$D$4:$D$11,MATCH($H480,'CAT_ACTIVIDADES'!$A$4:$A$11,0)),""))=""),"SIN CLASIFICAR",IFERROR(INDEX('CAT_ACTIVIDADES'!$D$4:$D$11,MATCH($H480,'CAT_ACTIVIDADES'!$A$4:$A$11,0)),"")))</f>
        <v/>
      </c>
      <c r="AO480" s="4" t="n"/>
      <c r="AP480" s="4" t="n"/>
      <c r="AQ480" s="4" t="n"/>
      <c r="AR480" s="5">
        <f>IF($AQ480="","",HYPERLINK(p_ruta_base_checklists&amp;$AQ480,"abrir"))</f>
        <v/>
      </c>
      <c r="AS480" s="4" t="n"/>
      <c r="AT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2" t="n"/>
      <c r="K481" s="5" t="n"/>
      <c r="L481" s="18" t="n"/>
      <c r="M481" s="5">
        <f>IF($A481="","",IFERROR(INDEX('AJUSTES'!$B$4:$B$303,MATCH($AT481,'AJUSTES'!$A$4:$A$303,0)),IF($K481="","",$K481)))</f>
        <v/>
      </c>
      <c r="N481" s="5">
        <f>IF($A481="","",IFERROR(INDEX('CAT_ESTADOS_ERP'!$B$4:$B$7,MATCH(IFERROR(INDEX('2_IMPORTAR_EJECUCION'!$C$9:$C$1208,MATCH($AT481,'2_IMPORTAR_EJECUCION'!$J$9:$J$1208,0)),""),'CAT_ESTADOS_ERP'!$A$4:$A$7,0)),"Pendiente"))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IF($J481="","",$P481&amp;"-"&amp;TEXT($Q481,"00"))</f>
        <v/>
      </c>
      <c r="S481" s="5">
        <f>IF($J481="","",INDEX(lista_dias,WEEKDAY($J481,2)))</f>
        <v/>
      </c>
      <c r="T481" s="5">
        <f>IF($J481="","",IFERROR(INDEX('CALENDARIO'!$C$15:$C$214,MATCH(TEXT($J481,"yyyy-mm-dd")&amp;"|"&amp;$X481&amp;"|"&amp;$Y481,'CALENDARIO'!$G$15:$G$214,0)),IFERROR(INDEX('CALENDARIO'!$C$15:$C$214,MATCH(TEXT($J481,"yyyy-mm-dd")&amp;"|"&amp;$X481&amp;"|",'CALENDARIO'!$G$15:$G$214,0)),IFERROR(INDEX('CALENDARIO'!$C$15:$C$214,MATCH(TEXT($J481,"yyyy-mm-dd")&amp;"||",'CALENDARIO'!$G$15:$G$214,0)),INDEX(patronHabil,WEEKDAY($J481,2))))))</f>
        <v/>
      </c>
      <c r="U481" s="5">
        <f>IF($I481="","",IFERROR(INDEX('CAT_TIPOS_OT'!$C$4:$C$8,MATCH($I481,'CAT_TIPOS_OT'!$A$4:$A$8,0)),"sin_clasificar"))</f>
        <v/>
      </c>
      <c r="V481" s="5">
        <f>IF($I481="","",IF(IFERROR(INDEX('CAT_TIPOS_OT'!$D$4:$D$8,MATCH($I481,'CAT_TIPOS_OT'!$A$4:$A$8,0)),"SIN CLASIFICAR")="","SIN CLASIFICAR",IFERROR(INDEX('CAT_TIPOS_OT'!$D$4:$D$8,MATCH($I481,'CAT_TIPOS_OT'!$A$4:$A$8,0)),"SIN CLASIFICAR")))</f>
        <v/>
      </c>
      <c r="W481" s="5">
        <f>IF($F481="","",IFERROR(INDEX('CAT_CENTROS_COSTO'!$F$4:$F$13,MATCH($F481,'CAT_CENTROS_COSTO'!$A$4:$A$13,0)),"(sin catálogo)"))</f>
        <v/>
      </c>
      <c r="X481" s="5">
        <f>IF($F481="","",IFERROR(INDEX('CAT_CENTROS_COSTO'!$D$4:$D$13,MATCH($F481,'CAT_CENTROS_COSTO'!$A$4:$A$13,0)),"(sin catálogo)"))</f>
        <v/>
      </c>
      <c r="Y481" s="5">
        <f>IF($F481="","",IF((IFERROR(INDEX('CAT_CENTROS_COSTO'!$E$4:$E$13,MATCH($F481,'CAT_CENTROS_COSTO'!$A$4:$A$13,0)),""))&lt;&gt;"",IFERROR(INDEX('CAT_CENTROS_COSTO'!$E$4:$E$13,MATCH($F481,'CAT_CENTROS_COSTO'!$A$4:$A$13,0)),""),$X481))</f>
        <v/>
      </c>
      <c r="Z481" s="5">
        <f>IF($F481="","",IFERROR(INDEX('CAT_CENTROS_COSTO'!$G$4:$G$13,MATCH($F481,'CAT_CENTROS_COSTO'!$A$4:$A$13,0)),"(sin catálogo)"))</f>
        <v/>
      </c>
      <c r="AA481" s="5">
        <f>IF($G481="","",IFERROR(INDEX('CAT_PUESTOS'!$B$4:$B$8,MATCH($G481,'CAT_PUESTOS'!$A$4:$A$8,0)),"(sin catálogo)"))</f>
        <v/>
      </c>
      <c r="AB481" s="5">
        <f>IF($H481="","",IFERROR(INDEX('CAT_ACTIVIDADES'!$B$4:$B$11,MATCH($H481,'CAT_ACTIVIDADES'!$A$4:$A$11,0)),"(sin catálogo)"))</f>
        <v/>
      </c>
      <c r="AC481" s="20">
        <f>IF($J481="","",TODAY()-$J481)</f>
        <v/>
      </c>
      <c r="AD481" s="20">
        <f>IF($J481="","",IF($J481&lt;=TODAY(),COUNTIFS(cal_fechas,"&gt;="&amp;$J481,cal_fechas,"&lt;"&amp;TODAY(),cal_habil,"sí"),-COUNTIFS(cal_fechas,"&gt;="&amp;TODAY(),cal_fechas,"&lt;"&amp;$J481,cal_habil,"sí")))</f>
        <v/>
      </c>
      <c r="AE481" s="5">
        <f>IF($AD481="","",IF($AD481&lt;0,"FUTURO",IF($AD481&gt;p_dias_backlog_max,"BACKLOG","MES CORRIENTE")))</f>
        <v/>
      </c>
      <c r="AF481" s="5">
        <f>IF($AD481="",FALSE,AND($AD481&gt;p_dias_backlog_min,$AD481&lt;=p_dias_backlog_max))</f>
        <v/>
      </c>
      <c r="AG481" s="4" t="n"/>
      <c r="AH481" s="5">
        <f>IF($AG481="","",IF((IFERROR(INDEX('ASIGNACIONES'!$J$4:$J$451,MATCH($O481&amp;"|"&amp;$S481&amp;"|"&amp;$AG481,'ASIGNACIONES'!$N$4:$N$451,0)),""))=0,"",IFERROR(INDEX('ASIGNACIONES'!$J$4:$J$451,MATCH($O481&amp;"|"&amp;$S481&amp;"|"&amp;$AG481,'ASIGNACIONES'!$N$4:$N$451,0)),"")))</f>
        <v/>
      </c>
      <c r="AI481" s="25">
        <f>IF($AG481="","",SUMIFS('ORDENES'!$M$4:$M$1203,'ORDENES'!$AG$4:$AG$1203,$AG481,'ORDENES'!$O$4:$O$1203,$O481,'ORDENES'!$S$4:$S$1203,$S481))</f>
        <v/>
      </c>
      <c r="AJ481" s="25">
        <f>IF($AI481="","",p_factor_productividad*IFERROR(INDEX('ASIGNACIONES'!$M$4:$M$451,MATCH($O481&amp;"|"&amp;$S481&amp;"|"&amp;$AG481,'ASIGNACIONES'!$N$4:$N$451,0)),0)-$AI481)</f>
        <v/>
      </c>
      <c r="AK481" s="18">
        <f>IF($A481="","",IFERROR(INDEX('2_IMPORTAR_EJECUCION'!$F$9:$F$1208,MATCH($AT481,'2_IMPORTAR_EJECUCION'!$J$9:$J$1208,0)),0))</f>
        <v/>
      </c>
      <c r="AL481" s="18">
        <f>IF($A481="","",MAX(0,IFERROR(INDEX('2_IMPORTAR_EJECUCION'!$H$9:$H$1208,MATCH($AT481,'2_IMPORTAR_EJECUCION'!$J$9:$J$1208,0)),0)-$AK481))</f>
        <v/>
      </c>
      <c r="AM481" s="18">
        <f>IF($A481="","",$AK481+$AL481)</f>
        <v/>
      </c>
      <c r="AN481" s="5">
        <f>IF($A481="","",IF(OR((IFERROR(INDEX('CAT_ACTIVIDADES'!$D$4:$D$11,MATCH($H481,'CAT_ACTIVIDADES'!$A$4:$A$11,0)),""))=0,(IFERROR(INDEX('CAT_ACTIVIDADES'!$D$4:$D$11,MATCH($H481,'CAT_ACTIVIDADES'!$A$4:$A$11,0)),""))=""),"SIN CLASIFICAR",IFERROR(INDEX('CAT_ACTIVIDADES'!$D$4:$D$11,MATCH($H481,'CAT_ACTIVIDADES'!$A$4:$A$11,0)),"")))</f>
        <v/>
      </c>
      <c r="AO481" s="4" t="n"/>
      <c r="AP481" s="4" t="n"/>
      <c r="AQ481" s="4" t="n"/>
      <c r="AR481" s="5">
        <f>IF($AQ481="","",HYPERLINK(p_ruta_base_checklists&amp;$AQ481,"abrir"))</f>
        <v/>
      </c>
      <c r="AS481" s="4" t="n"/>
      <c r="AT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2" t="n"/>
      <c r="K482" s="5" t="n"/>
      <c r="L482" s="18" t="n"/>
      <c r="M482" s="5">
        <f>IF($A482="","",IFERROR(INDEX('AJUSTES'!$B$4:$B$303,MATCH($AT482,'AJUSTES'!$A$4:$A$303,0)),IF($K482="","",$K482)))</f>
        <v/>
      </c>
      <c r="N482" s="5">
        <f>IF($A482="","",IFERROR(INDEX('CAT_ESTADOS_ERP'!$B$4:$B$7,MATCH(IFERROR(INDEX('2_IMPORTAR_EJECUCION'!$C$9:$C$1208,MATCH($AT482,'2_IMPORTAR_EJECUCION'!$J$9:$J$1208,0)),""),'CAT_ESTADOS_ERP'!$A$4:$A$7,0)),"Pendiente"))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IF($J482="","",$P482&amp;"-"&amp;TEXT($Q482,"00"))</f>
        <v/>
      </c>
      <c r="S482" s="5">
        <f>IF($J482="","",INDEX(lista_dias,WEEKDAY($J482,2)))</f>
        <v/>
      </c>
      <c r="T482" s="5">
        <f>IF($J482="","",IFERROR(INDEX('CALENDARIO'!$C$15:$C$214,MATCH(TEXT($J482,"yyyy-mm-dd")&amp;"|"&amp;$X482&amp;"|"&amp;$Y482,'CALENDARIO'!$G$15:$G$214,0)),IFERROR(INDEX('CALENDARIO'!$C$15:$C$214,MATCH(TEXT($J482,"yyyy-mm-dd")&amp;"|"&amp;$X482&amp;"|",'CALENDARIO'!$G$15:$G$214,0)),IFERROR(INDEX('CALENDARIO'!$C$15:$C$214,MATCH(TEXT($J482,"yyyy-mm-dd")&amp;"||",'CALENDARIO'!$G$15:$G$214,0)),INDEX(patronHabil,WEEKDAY($J482,2))))))</f>
        <v/>
      </c>
      <c r="U482" s="5">
        <f>IF($I482="","",IFERROR(INDEX('CAT_TIPOS_OT'!$C$4:$C$8,MATCH($I482,'CAT_TIPOS_OT'!$A$4:$A$8,0)),"sin_clasificar"))</f>
        <v/>
      </c>
      <c r="V482" s="5">
        <f>IF($I482="","",IF(IFERROR(INDEX('CAT_TIPOS_OT'!$D$4:$D$8,MATCH($I482,'CAT_TIPOS_OT'!$A$4:$A$8,0)),"SIN CLASIFICAR")="","SIN CLASIFICAR",IFERROR(INDEX('CAT_TIPOS_OT'!$D$4:$D$8,MATCH($I482,'CAT_TIPOS_OT'!$A$4:$A$8,0)),"SIN CLASIFICAR")))</f>
        <v/>
      </c>
      <c r="W482" s="5">
        <f>IF($F482="","",IFERROR(INDEX('CAT_CENTROS_COSTO'!$F$4:$F$13,MATCH($F482,'CAT_CENTROS_COSTO'!$A$4:$A$13,0)),"(sin catálogo)"))</f>
        <v/>
      </c>
      <c r="X482" s="5">
        <f>IF($F482="","",IFERROR(INDEX('CAT_CENTROS_COSTO'!$D$4:$D$13,MATCH($F482,'CAT_CENTROS_COSTO'!$A$4:$A$13,0)),"(sin catálogo)"))</f>
        <v/>
      </c>
      <c r="Y482" s="5">
        <f>IF($F482="","",IF((IFERROR(INDEX('CAT_CENTROS_COSTO'!$E$4:$E$13,MATCH($F482,'CAT_CENTROS_COSTO'!$A$4:$A$13,0)),""))&lt;&gt;"",IFERROR(INDEX('CAT_CENTROS_COSTO'!$E$4:$E$13,MATCH($F482,'CAT_CENTROS_COSTO'!$A$4:$A$13,0)),""),$X482))</f>
        <v/>
      </c>
      <c r="Z482" s="5">
        <f>IF($F482="","",IFERROR(INDEX('CAT_CENTROS_COSTO'!$G$4:$G$13,MATCH($F482,'CAT_CENTROS_COSTO'!$A$4:$A$13,0)),"(sin catálogo)"))</f>
        <v/>
      </c>
      <c r="AA482" s="5">
        <f>IF($G482="","",IFERROR(INDEX('CAT_PUESTOS'!$B$4:$B$8,MATCH($G482,'CAT_PUESTOS'!$A$4:$A$8,0)),"(sin catálogo)"))</f>
        <v/>
      </c>
      <c r="AB482" s="5">
        <f>IF($H482="","",IFERROR(INDEX('CAT_ACTIVIDADES'!$B$4:$B$11,MATCH($H482,'CAT_ACTIVIDADES'!$A$4:$A$11,0)),"(sin catálogo)"))</f>
        <v/>
      </c>
      <c r="AC482" s="20">
        <f>IF($J482="","",TODAY()-$J482)</f>
        <v/>
      </c>
      <c r="AD482" s="20">
        <f>IF($J482="","",IF($J482&lt;=TODAY(),COUNTIFS(cal_fechas,"&gt;="&amp;$J482,cal_fechas,"&lt;"&amp;TODAY(),cal_habil,"sí"),-COUNTIFS(cal_fechas,"&gt;="&amp;TODAY(),cal_fechas,"&lt;"&amp;$J482,cal_habil,"sí")))</f>
        <v/>
      </c>
      <c r="AE482" s="5">
        <f>IF($AD482="","",IF($AD482&lt;0,"FUTURO",IF($AD482&gt;p_dias_backlog_max,"BACKLOG","MES CORRIENTE")))</f>
        <v/>
      </c>
      <c r="AF482" s="5">
        <f>IF($AD482="",FALSE,AND($AD482&gt;p_dias_backlog_min,$AD482&lt;=p_dias_backlog_max))</f>
        <v/>
      </c>
      <c r="AG482" s="4" t="n"/>
      <c r="AH482" s="5">
        <f>IF($AG482="","",IF((IFERROR(INDEX('ASIGNACIONES'!$J$4:$J$451,MATCH($O482&amp;"|"&amp;$S482&amp;"|"&amp;$AG482,'ASIGNACIONES'!$N$4:$N$451,0)),""))=0,"",IFERROR(INDEX('ASIGNACIONES'!$J$4:$J$451,MATCH($O482&amp;"|"&amp;$S482&amp;"|"&amp;$AG482,'ASIGNACIONES'!$N$4:$N$451,0)),"")))</f>
        <v/>
      </c>
      <c r="AI482" s="25">
        <f>IF($AG482="","",SUMIFS('ORDENES'!$M$4:$M$1203,'ORDENES'!$AG$4:$AG$1203,$AG482,'ORDENES'!$O$4:$O$1203,$O482,'ORDENES'!$S$4:$S$1203,$S482))</f>
        <v/>
      </c>
      <c r="AJ482" s="25">
        <f>IF($AI482="","",p_factor_productividad*IFERROR(INDEX('ASIGNACIONES'!$M$4:$M$451,MATCH($O482&amp;"|"&amp;$S482&amp;"|"&amp;$AG482,'ASIGNACIONES'!$N$4:$N$451,0)),0)-$AI482)</f>
        <v/>
      </c>
      <c r="AK482" s="18">
        <f>IF($A482="","",IFERROR(INDEX('2_IMPORTAR_EJECUCION'!$F$9:$F$1208,MATCH($AT482,'2_IMPORTAR_EJECUCION'!$J$9:$J$1208,0)),0))</f>
        <v/>
      </c>
      <c r="AL482" s="18">
        <f>IF($A482="","",MAX(0,IFERROR(INDEX('2_IMPORTAR_EJECUCION'!$H$9:$H$1208,MATCH($AT482,'2_IMPORTAR_EJECUCION'!$J$9:$J$1208,0)),0)-$AK482))</f>
        <v/>
      </c>
      <c r="AM482" s="18">
        <f>IF($A482="","",$AK482+$AL482)</f>
        <v/>
      </c>
      <c r="AN482" s="5">
        <f>IF($A482="","",IF(OR((IFERROR(INDEX('CAT_ACTIVIDADES'!$D$4:$D$11,MATCH($H482,'CAT_ACTIVIDADES'!$A$4:$A$11,0)),""))=0,(IFERROR(INDEX('CAT_ACTIVIDADES'!$D$4:$D$11,MATCH($H482,'CAT_ACTIVIDADES'!$A$4:$A$11,0)),""))=""),"SIN CLASIFICAR",IFERROR(INDEX('CAT_ACTIVIDADES'!$D$4:$D$11,MATCH($H482,'CAT_ACTIVIDADES'!$A$4:$A$11,0)),"")))</f>
        <v/>
      </c>
      <c r="AO482" s="4" t="n"/>
      <c r="AP482" s="4" t="n"/>
      <c r="AQ482" s="4" t="n"/>
      <c r="AR482" s="5">
        <f>IF($AQ482="","",HYPERLINK(p_ruta_base_checklists&amp;$AQ482,"abrir"))</f>
        <v/>
      </c>
      <c r="AS482" s="4" t="n"/>
      <c r="AT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2" t="n"/>
      <c r="K483" s="5" t="n"/>
      <c r="L483" s="18" t="n"/>
      <c r="M483" s="5">
        <f>IF($A483="","",IFERROR(INDEX('AJUSTES'!$B$4:$B$303,MATCH($AT483,'AJUSTES'!$A$4:$A$303,0)),IF($K483="","",$K483)))</f>
        <v/>
      </c>
      <c r="N483" s="5">
        <f>IF($A483="","",IFERROR(INDEX('CAT_ESTADOS_ERP'!$B$4:$B$7,MATCH(IFERROR(INDEX('2_IMPORTAR_EJECUCION'!$C$9:$C$1208,MATCH($AT483,'2_IMPORTAR_EJECUCION'!$J$9:$J$1208,0)),""),'CAT_ESTADOS_ERP'!$A$4:$A$7,0)),"Pendiente"))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IF($J483="","",$P483&amp;"-"&amp;TEXT($Q483,"00"))</f>
        <v/>
      </c>
      <c r="S483" s="5">
        <f>IF($J483="","",INDEX(lista_dias,WEEKDAY($J483,2)))</f>
        <v/>
      </c>
      <c r="T483" s="5">
        <f>IF($J483="","",IFERROR(INDEX('CALENDARIO'!$C$15:$C$214,MATCH(TEXT($J483,"yyyy-mm-dd")&amp;"|"&amp;$X483&amp;"|"&amp;$Y483,'CALENDARIO'!$G$15:$G$214,0)),IFERROR(INDEX('CALENDARIO'!$C$15:$C$214,MATCH(TEXT($J483,"yyyy-mm-dd")&amp;"|"&amp;$X483&amp;"|",'CALENDARIO'!$G$15:$G$214,0)),IFERROR(INDEX('CALENDARIO'!$C$15:$C$214,MATCH(TEXT($J483,"yyyy-mm-dd")&amp;"||",'CALENDARIO'!$G$15:$G$214,0)),INDEX(patronHabil,WEEKDAY($J483,2))))))</f>
        <v/>
      </c>
      <c r="U483" s="5">
        <f>IF($I483="","",IFERROR(INDEX('CAT_TIPOS_OT'!$C$4:$C$8,MATCH($I483,'CAT_TIPOS_OT'!$A$4:$A$8,0)),"sin_clasificar"))</f>
        <v/>
      </c>
      <c r="V483" s="5">
        <f>IF($I483="","",IF(IFERROR(INDEX('CAT_TIPOS_OT'!$D$4:$D$8,MATCH($I483,'CAT_TIPOS_OT'!$A$4:$A$8,0)),"SIN CLASIFICAR")="","SIN CLASIFICAR",IFERROR(INDEX('CAT_TIPOS_OT'!$D$4:$D$8,MATCH($I483,'CAT_TIPOS_OT'!$A$4:$A$8,0)),"SIN CLASIFICAR")))</f>
        <v/>
      </c>
      <c r="W483" s="5">
        <f>IF($F483="","",IFERROR(INDEX('CAT_CENTROS_COSTO'!$F$4:$F$13,MATCH($F483,'CAT_CENTROS_COSTO'!$A$4:$A$13,0)),"(sin catálogo)"))</f>
        <v/>
      </c>
      <c r="X483" s="5">
        <f>IF($F483="","",IFERROR(INDEX('CAT_CENTROS_COSTO'!$D$4:$D$13,MATCH($F483,'CAT_CENTROS_COSTO'!$A$4:$A$13,0)),"(sin catálogo)"))</f>
        <v/>
      </c>
      <c r="Y483" s="5">
        <f>IF($F483="","",IF((IFERROR(INDEX('CAT_CENTROS_COSTO'!$E$4:$E$13,MATCH($F483,'CAT_CENTROS_COSTO'!$A$4:$A$13,0)),""))&lt;&gt;"",IFERROR(INDEX('CAT_CENTROS_COSTO'!$E$4:$E$13,MATCH($F483,'CAT_CENTROS_COSTO'!$A$4:$A$13,0)),""),$X483))</f>
        <v/>
      </c>
      <c r="Z483" s="5">
        <f>IF($F483="","",IFERROR(INDEX('CAT_CENTROS_COSTO'!$G$4:$G$13,MATCH($F483,'CAT_CENTROS_COSTO'!$A$4:$A$13,0)),"(sin catálogo)"))</f>
        <v/>
      </c>
      <c r="AA483" s="5">
        <f>IF($G483="","",IFERROR(INDEX('CAT_PUESTOS'!$B$4:$B$8,MATCH($G483,'CAT_PUESTOS'!$A$4:$A$8,0)),"(sin catálogo)"))</f>
        <v/>
      </c>
      <c r="AB483" s="5">
        <f>IF($H483="","",IFERROR(INDEX('CAT_ACTIVIDADES'!$B$4:$B$11,MATCH($H483,'CAT_ACTIVIDADES'!$A$4:$A$11,0)),"(sin catálogo)"))</f>
        <v/>
      </c>
      <c r="AC483" s="20">
        <f>IF($J483="","",TODAY()-$J483)</f>
        <v/>
      </c>
      <c r="AD483" s="20">
        <f>IF($J483="","",IF($J483&lt;=TODAY(),COUNTIFS(cal_fechas,"&gt;="&amp;$J483,cal_fechas,"&lt;"&amp;TODAY(),cal_habil,"sí"),-COUNTIFS(cal_fechas,"&gt;="&amp;TODAY(),cal_fechas,"&lt;"&amp;$J483,cal_habil,"sí")))</f>
        <v/>
      </c>
      <c r="AE483" s="5">
        <f>IF($AD483="","",IF($AD483&lt;0,"FUTURO",IF($AD483&gt;p_dias_backlog_max,"BACKLOG","MES CORRIENTE")))</f>
        <v/>
      </c>
      <c r="AF483" s="5">
        <f>IF($AD483="",FALSE,AND($AD483&gt;p_dias_backlog_min,$AD483&lt;=p_dias_backlog_max))</f>
        <v/>
      </c>
      <c r="AG483" s="4" t="n"/>
      <c r="AH483" s="5">
        <f>IF($AG483="","",IF((IFERROR(INDEX('ASIGNACIONES'!$J$4:$J$451,MATCH($O483&amp;"|"&amp;$S483&amp;"|"&amp;$AG483,'ASIGNACIONES'!$N$4:$N$451,0)),""))=0,"",IFERROR(INDEX('ASIGNACIONES'!$J$4:$J$451,MATCH($O483&amp;"|"&amp;$S483&amp;"|"&amp;$AG483,'ASIGNACIONES'!$N$4:$N$451,0)),"")))</f>
        <v/>
      </c>
      <c r="AI483" s="25">
        <f>IF($AG483="","",SUMIFS('ORDENES'!$M$4:$M$1203,'ORDENES'!$AG$4:$AG$1203,$AG483,'ORDENES'!$O$4:$O$1203,$O483,'ORDENES'!$S$4:$S$1203,$S483))</f>
        <v/>
      </c>
      <c r="AJ483" s="25">
        <f>IF($AI483="","",p_factor_productividad*IFERROR(INDEX('ASIGNACIONES'!$M$4:$M$451,MATCH($O483&amp;"|"&amp;$S483&amp;"|"&amp;$AG483,'ASIGNACIONES'!$N$4:$N$451,0)),0)-$AI483)</f>
        <v/>
      </c>
      <c r="AK483" s="18">
        <f>IF($A483="","",IFERROR(INDEX('2_IMPORTAR_EJECUCION'!$F$9:$F$1208,MATCH($AT483,'2_IMPORTAR_EJECUCION'!$J$9:$J$1208,0)),0))</f>
        <v/>
      </c>
      <c r="AL483" s="18">
        <f>IF($A483="","",MAX(0,IFERROR(INDEX('2_IMPORTAR_EJECUCION'!$H$9:$H$1208,MATCH($AT483,'2_IMPORTAR_EJECUCION'!$J$9:$J$1208,0)),0)-$AK483))</f>
        <v/>
      </c>
      <c r="AM483" s="18">
        <f>IF($A483="","",$AK483+$AL483)</f>
        <v/>
      </c>
      <c r="AN483" s="5">
        <f>IF($A483="","",IF(OR((IFERROR(INDEX('CAT_ACTIVIDADES'!$D$4:$D$11,MATCH($H483,'CAT_ACTIVIDADES'!$A$4:$A$11,0)),""))=0,(IFERROR(INDEX('CAT_ACTIVIDADES'!$D$4:$D$11,MATCH($H483,'CAT_ACTIVIDADES'!$A$4:$A$11,0)),""))=""),"SIN CLASIFICAR",IFERROR(INDEX('CAT_ACTIVIDADES'!$D$4:$D$11,MATCH($H483,'CAT_ACTIVIDADES'!$A$4:$A$11,0)),"")))</f>
        <v/>
      </c>
      <c r="AO483" s="4" t="n"/>
      <c r="AP483" s="4" t="n"/>
      <c r="AQ483" s="4" t="n"/>
      <c r="AR483" s="5">
        <f>IF($AQ483="","",HYPERLINK(p_ruta_base_checklists&amp;$AQ483,"abrir"))</f>
        <v/>
      </c>
      <c r="AS483" s="4" t="n"/>
      <c r="AT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2" t="n"/>
      <c r="K484" s="5" t="n"/>
      <c r="L484" s="18" t="n"/>
      <c r="M484" s="5">
        <f>IF($A484="","",IFERROR(INDEX('AJUSTES'!$B$4:$B$303,MATCH($AT484,'AJUSTES'!$A$4:$A$303,0)),IF($K484="","",$K484)))</f>
        <v/>
      </c>
      <c r="N484" s="5">
        <f>IF($A484="","",IFERROR(INDEX('CAT_ESTADOS_ERP'!$B$4:$B$7,MATCH(IFERROR(INDEX('2_IMPORTAR_EJECUCION'!$C$9:$C$1208,MATCH($AT484,'2_IMPORTAR_EJECUCION'!$J$9:$J$1208,0)),""),'CAT_ESTADOS_ERP'!$A$4:$A$7,0)),"Pendiente"))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IF($J484="","",$P484&amp;"-"&amp;TEXT($Q484,"00"))</f>
        <v/>
      </c>
      <c r="S484" s="5">
        <f>IF($J484="","",INDEX(lista_dias,WEEKDAY($J484,2)))</f>
        <v/>
      </c>
      <c r="T484" s="5">
        <f>IF($J484="","",IFERROR(INDEX('CALENDARIO'!$C$15:$C$214,MATCH(TEXT($J484,"yyyy-mm-dd")&amp;"|"&amp;$X484&amp;"|"&amp;$Y484,'CALENDARIO'!$G$15:$G$214,0)),IFERROR(INDEX('CALENDARIO'!$C$15:$C$214,MATCH(TEXT($J484,"yyyy-mm-dd")&amp;"|"&amp;$X484&amp;"|",'CALENDARIO'!$G$15:$G$214,0)),IFERROR(INDEX('CALENDARIO'!$C$15:$C$214,MATCH(TEXT($J484,"yyyy-mm-dd")&amp;"||",'CALENDARIO'!$G$15:$G$214,0)),INDEX(patronHabil,WEEKDAY($J484,2))))))</f>
        <v/>
      </c>
      <c r="U484" s="5">
        <f>IF($I484="","",IFERROR(INDEX('CAT_TIPOS_OT'!$C$4:$C$8,MATCH($I484,'CAT_TIPOS_OT'!$A$4:$A$8,0)),"sin_clasificar"))</f>
        <v/>
      </c>
      <c r="V484" s="5">
        <f>IF($I484="","",IF(IFERROR(INDEX('CAT_TIPOS_OT'!$D$4:$D$8,MATCH($I484,'CAT_TIPOS_OT'!$A$4:$A$8,0)),"SIN CLASIFICAR")="","SIN CLASIFICAR",IFERROR(INDEX('CAT_TIPOS_OT'!$D$4:$D$8,MATCH($I484,'CAT_TIPOS_OT'!$A$4:$A$8,0)),"SIN CLASIFICAR")))</f>
        <v/>
      </c>
      <c r="W484" s="5">
        <f>IF($F484="","",IFERROR(INDEX('CAT_CENTROS_COSTO'!$F$4:$F$13,MATCH($F484,'CAT_CENTROS_COSTO'!$A$4:$A$13,0)),"(sin catálogo)"))</f>
        <v/>
      </c>
      <c r="X484" s="5">
        <f>IF($F484="","",IFERROR(INDEX('CAT_CENTROS_COSTO'!$D$4:$D$13,MATCH($F484,'CAT_CENTROS_COSTO'!$A$4:$A$13,0)),"(sin catálogo)"))</f>
        <v/>
      </c>
      <c r="Y484" s="5">
        <f>IF($F484="","",IF((IFERROR(INDEX('CAT_CENTROS_COSTO'!$E$4:$E$13,MATCH($F484,'CAT_CENTROS_COSTO'!$A$4:$A$13,0)),""))&lt;&gt;"",IFERROR(INDEX('CAT_CENTROS_COSTO'!$E$4:$E$13,MATCH($F484,'CAT_CENTROS_COSTO'!$A$4:$A$13,0)),""),$X484))</f>
        <v/>
      </c>
      <c r="Z484" s="5">
        <f>IF($F484="","",IFERROR(INDEX('CAT_CENTROS_COSTO'!$G$4:$G$13,MATCH($F484,'CAT_CENTROS_COSTO'!$A$4:$A$13,0)),"(sin catálogo)"))</f>
        <v/>
      </c>
      <c r="AA484" s="5">
        <f>IF($G484="","",IFERROR(INDEX('CAT_PUESTOS'!$B$4:$B$8,MATCH($G484,'CAT_PUESTOS'!$A$4:$A$8,0)),"(sin catálogo)"))</f>
        <v/>
      </c>
      <c r="AB484" s="5">
        <f>IF($H484="","",IFERROR(INDEX('CAT_ACTIVIDADES'!$B$4:$B$11,MATCH($H484,'CAT_ACTIVIDADES'!$A$4:$A$11,0)),"(sin catálogo)"))</f>
        <v/>
      </c>
      <c r="AC484" s="20">
        <f>IF($J484="","",TODAY()-$J484)</f>
        <v/>
      </c>
      <c r="AD484" s="20">
        <f>IF($J484="","",IF($J484&lt;=TODAY(),COUNTIFS(cal_fechas,"&gt;="&amp;$J484,cal_fechas,"&lt;"&amp;TODAY(),cal_habil,"sí"),-COUNTIFS(cal_fechas,"&gt;="&amp;TODAY(),cal_fechas,"&lt;"&amp;$J484,cal_habil,"sí")))</f>
        <v/>
      </c>
      <c r="AE484" s="5">
        <f>IF($AD484="","",IF($AD484&lt;0,"FUTURO",IF($AD484&gt;p_dias_backlog_max,"BACKLOG","MES CORRIENTE")))</f>
        <v/>
      </c>
      <c r="AF484" s="5">
        <f>IF($AD484="",FALSE,AND($AD484&gt;p_dias_backlog_min,$AD484&lt;=p_dias_backlog_max))</f>
        <v/>
      </c>
      <c r="AG484" s="4" t="n"/>
      <c r="AH484" s="5">
        <f>IF($AG484="","",IF((IFERROR(INDEX('ASIGNACIONES'!$J$4:$J$451,MATCH($O484&amp;"|"&amp;$S484&amp;"|"&amp;$AG484,'ASIGNACIONES'!$N$4:$N$451,0)),""))=0,"",IFERROR(INDEX('ASIGNACIONES'!$J$4:$J$451,MATCH($O484&amp;"|"&amp;$S484&amp;"|"&amp;$AG484,'ASIGNACIONES'!$N$4:$N$451,0)),"")))</f>
        <v/>
      </c>
      <c r="AI484" s="25">
        <f>IF($AG484="","",SUMIFS('ORDENES'!$M$4:$M$1203,'ORDENES'!$AG$4:$AG$1203,$AG484,'ORDENES'!$O$4:$O$1203,$O484,'ORDENES'!$S$4:$S$1203,$S484))</f>
        <v/>
      </c>
      <c r="AJ484" s="25">
        <f>IF($AI484="","",p_factor_productividad*IFERROR(INDEX('ASIGNACIONES'!$M$4:$M$451,MATCH($O484&amp;"|"&amp;$S484&amp;"|"&amp;$AG484,'ASIGNACIONES'!$N$4:$N$451,0)),0)-$AI484)</f>
        <v/>
      </c>
      <c r="AK484" s="18">
        <f>IF($A484="","",IFERROR(INDEX('2_IMPORTAR_EJECUCION'!$F$9:$F$1208,MATCH($AT484,'2_IMPORTAR_EJECUCION'!$J$9:$J$1208,0)),0))</f>
        <v/>
      </c>
      <c r="AL484" s="18">
        <f>IF($A484="","",MAX(0,IFERROR(INDEX('2_IMPORTAR_EJECUCION'!$H$9:$H$1208,MATCH($AT484,'2_IMPORTAR_EJECUCION'!$J$9:$J$1208,0)),0)-$AK484))</f>
        <v/>
      </c>
      <c r="AM484" s="18">
        <f>IF($A484="","",$AK484+$AL484)</f>
        <v/>
      </c>
      <c r="AN484" s="5">
        <f>IF($A484="","",IF(OR((IFERROR(INDEX('CAT_ACTIVIDADES'!$D$4:$D$11,MATCH($H484,'CAT_ACTIVIDADES'!$A$4:$A$11,0)),""))=0,(IFERROR(INDEX('CAT_ACTIVIDADES'!$D$4:$D$11,MATCH($H484,'CAT_ACTIVIDADES'!$A$4:$A$11,0)),""))=""),"SIN CLASIFICAR",IFERROR(INDEX('CAT_ACTIVIDADES'!$D$4:$D$11,MATCH($H484,'CAT_ACTIVIDADES'!$A$4:$A$11,0)),"")))</f>
        <v/>
      </c>
      <c r="AO484" s="4" t="n"/>
      <c r="AP484" s="4" t="n"/>
      <c r="AQ484" s="4" t="n"/>
      <c r="AR484" s="5">
        <f>IF($AQ484="","",HYPERLINK(p_ruta_base_checklists&amp;$AQ484,"abrir"))</f>
        <v/>
      </c>
      <c r="AS484" s="4" t="n"/>
      <c r="AT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2" t="n"/>
      <c r="K485" s="5" t="n"/>
      <c r="L485" s="18" t="n"/>
      <c r="M485" s="5">
        <f>IF($A485="","",IFERROR(INDEX('AJUSTES'!$B$4:$B$303,MATCH($AT485,'AJUSTES'!$A$4:$A$303,0)),IF($K485="","",$K485)))</f>
        <v/>
      </c>
      <c r="N485" s="5">
        <f>IF($A485="","",IFERROR(INDEX('CAT_ESTADOS_ERP'!$B$4:$B$7,MATCH(IFERROR(INDEX('2_IMPORTAR_EJECUCION'!$C$9:$C$1208,MATCH($AT485,'2_IMPORTAR_EJECUCION'!$J$9:$J$1208,0)),""),'CAT_ESTADOS_ERP'!$A$4:$A$7,0)),"Pendiente"))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IF($J485="","",$P485&amp;"-"&amp;TEXT($Q485,"00"))</f>
        <v/>
      </c>
      <c r="S485" s="5">
        <f>IF($J485="","",INDEX(lista_dias,WEEKDAY($J485,2)))</f>
        <v/>
      </c>
      <c r="T485" s="5">
        <f>IF($J485="","",IFERROR(INDEX('CALENDARIO'!$C$15:$C$214,MATCH(TEXT($J485,"yyyy-mm-dd")&amp;"|"&amp;$X485&amp;"|"&amp;$Y485,'CALENDARIO'!$G$15:$G$214,0)),IFERROR(INDEX('CALENDARIO'!$C$15:$C$214,MATCH(TEXT($J485,"yyyy-mm-dd")&amp;"|"&amp;$X485&amp;"|",'CALENDARIO'!$G$15:$G$214,0)),IFERROR(INDEX('CALENDARIO'!$C$15:$C$214,MATCH(TEXT($J485,"yyyy-mm-dd")&amp;"||",'CALENDARIO'!$G$15:$G$214,0)),INDEX(patronHabil,WEEKDAY($J485,2))))))</f>
        <v/>
      </c>
      <c r="U485" s="5">
        <f>IF($I485="","",IFERROR(INDEX('CAT_TIPOS_OT'!$C$4:$C$8,MATCH($I485,'CAT_TIPOS_OT'!$A$4:$A$8,0)),"sin_clasificar"))</f>
        <v/>
      </c>
      <c r="V485" s="5">
        <f>IF($I485="","",IF(IFERROR(INDEX('CAT_TIPOS_OT'!$D$4:$D$8,MATCH($I485,'CAT_TIPOS_OT'!$A$4:$A$8,0)),"SIN CLASIFICAR")="","SIN CLASIFICAR",IFERROR(INDEX('CAT_TIPOS_OT'!$D$4:$D$8,MATCH($I485,'CAT_TIPOS_OT'!$A$4:$A$8,0)),"SIN CLASIFICAR")))</f>
        <v/>
      </c>
      <c r="W485" s="5">
        <f>IF($F485="","",IFERROR(INDEX('CAT_CENTROS_COSTO'!$F$4:$F$13,MATCH($F485,'CAT_CENTROS_COSTO'!$A$4:$A$13,0)),"(sin catálogo)"))</f>
        <v/>
      </c>
      <c r="X485" s="5">
        <f>IF($F485="","",IFERROR(INDEX('CAT_CENTROS_COSTO'!$D$4:$D$13,MATCH($F485,'CAT_CENTROS_COSTO'!$A$4:$A$13,0)),"(sin catálogo)"))</f>
        <v/>
      </c>
      <c r="Y485" s="5">
        <f>IF($F485="","",IF((IFERROR(INDEX('CAT_CENTROS_COSTO'!$E$4:$E$13,MATCH($F485,'CAT_CENTROS_COSTO'!$A$4:$A$13,0)),""))&lt;&gt;"",IFERROR(INDEX('CAT_CENTROS_COSTO'!$E$4:$E$13,MATCH($F485,'CAT_CENTROS_COSTO'!$A$4:$A$13,0)),""),$X485))</f>
        <v/>
      </c>
      <c r="Z485" s="5">
        <f>IF($F485="","",IFERROR(INDEX('CAT_CENTROS_COSTO'!$G$4:$G$13,MATCH($F485,'CAT_CENTROS_COSTO'!$A$4:$A$13,0)),"(sin catálogo)"))</f>
        <v/>
      </c>
      <c r="AA485" s="5">
        <f>IF($G485="","",IFERROR(INDEX('CAT_PUESTOS'!$B$4:$B$8,MATCH($G485,'CAT_PUESTOS'!$A$4:$A$8,0)),"(sin catálogo)"))</f>
        <v/>
      </c>
      <c r="AB485" s="5">
        <f>IF($H485="","",IFERROR(INDEX('CAT_ACTIVIDADES'!$B$4:$B$11,MATCH($H485,'CAT_ACTIVIDADES'!$A$4:$A$11,0)),"(sin catálogo)"))</f>
        <v/>
      </c>
      <c r="AC485" s="20">
        <f>IF($J485="","",TODAY()-$J485)</f>
        <v/>
      </c>
      <c r="AD485" s="20">
        <f>IF($J485="","",IF($J485&lt;=TODAY(),COUNTIFS(cal_fechas,"&gt;="&amp;$J485,cal_fechas,"&lt;"&amp;TODAY(),cal_habil,"sí"),-COUNTIFS(cal_fechas,"&gt;="&amp;TODAY(),cal_fechas,"&lt;"&amp;$J485,cal_habil,"sí")))</f>
        <v/>
      </c>
      <c r="AE485" s="5">
        <f>IF($AD485="","",IF($AD485&lt;0,"FUTURO",IF($AD485&gt;p_dias_backlog_max,"BACKLOG","MES CORRIENTE")))</f>
        <v/>
      </c>
      <c r="AF485" s="5">
        <f>IF($AD485="",FALSE,AND($AD485&gt;p_dias_backlog_min,$AD485&lt;=p_dias_backlog_max))</f>
        <v/>
      </c>
      <c r="AG485" s="4" t="n"/>
      <c r="AH485" s="5">
        <f>IF($AG485="","",IF((IFERROR(INDEX('ASIGNACIONES'!$J$4:$J$451,MATCH($O485&amp;"|"&amp;$S485&amp;"|"&amp;$AG485,'ASIGNACIONES'!$N$4:$N$451,0)),""))=0,"",IFERROR(INDEX('ASIGNACIONES'!$J$4:$J$451,MATCH($O485&amp;"|"&amp;$S485&amp;"|"&amp;$AG485,'ASIGNACIONES'!$N$4:$N$451,0)),"")))</f>
        <v/>
      </c>
      <c r="AI485" s="25">
        <f>IF($AG485="","",SUMIFS('ORDENES'!$M$4:$M$1203,'ORDENES'!$AG$4:$AG$1203,$AG485,'ORDENES'!$O$4:$O$1203,$O485,'ORDENES'!$S$4:$S$1203,$S485))</f>
        <v/>
      </c>
      <c r="AJ485" s="25">
        <f>IF($AI485="","",p_factor_productividad*IFERROR(INDEX('ASIGNACIONES'!$M$4:$M$451,MATCH($O485&amp;"|"&amp;$S485&amp;"|"&amp;$AG485,'ASIGNACIONES'!$N$4:$N$451,0)),0)-$AI485)</f>
        <v/>
      </c>
      <c r="AK485" s="18">
        <f>IF($A485="","",IFERROR(INDEX('2_IMPORTAR_EJECUCION'!$F$9:$F$1208,MATCH($AT485,'2_IMPORTAR_EJECUCION'!$J$9:$J$1208,0)),0))</f>
        <v/>
      </c>
      <c r="AL485" s="18">
        <f>IF($A485="","",MAX(0,IFERROR(INDEX('2_IMPORTAR_EJECUCION'!$H$9:$H$1208,MATCH($AT485,'2_IMPORTAR_EJECUCION'!$J$9:$J$1208,0)),0)-$AK485))</f>
        <v/>
      </c>
      <c r="AM485" s="18">
        <f>IF($A485="","",$AK485+$AL485)</f>
        <v/>
      </c>
      <c r="AN485" s="5">
        <f>IF($A485="","",IF(OR((IFERROR(INDEX('CAT_ACTIVIDADES'!$D$4:$D$11,MATCH($H485,'CAT_ACTIVIDADES'!$A$4:$A$11,0)),""))=0,(IFERROR(INDEX('CAT_ACTIVIDADES'!$D$4:$D$11,MATCH($H485,'CAT_ACTIVIDADES'!$A$4:$A$11,0)),""))=""),"SIN CLASIFICAR",IFERROR(INDEX('CAT_ACTIVIDADES'!$D$4:$D$11,MATCH($H485,'CAT_ACTIVIDADES'!$A$4:$A$11,0)),"")))</f>
        <v/>
      </c>
      <c r="AO485" s="4" t="n"/>
      <c r="AP485" s="4" t="n"/>
      <c r="AQ485" s="4" t="n"/>
      <c r="AR485" s="5">
        <f>IF($AQ485="","",HYPERLINK(p_ruta_base_checklists&amp;$AQ485,"abrir"))</f>
        <v/>
      </c>
      <c r="AS485" s="4" t="n"/>
      <c r="AT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2" t="n"/>
      <c r="K486" s="5" t="n"/>
      <c r="L486" s="18" t="n"/>
      <c r="M486" s="5">
        <f>IF($A486="","",IFERROR(INDEX('AJUSTES'!$B$4:$B$303,MATCH($AT486,'AJUSTES'!$A$4:$A$303,0)),IF($K486="","",$K486)))</f>
        <v/>
      </c>
      <c r="N486" s="5">
        <f>IF($A486="","",IFERROR(INDEX('CAT_ESTADOS_ERP'!$B$4:$B$7,MATCH(IFERROR(INDEX('2_IMPORTAR_EJECUCION'!$C$9:$C$1208,MATCH($AT486,'2_IMPORTAR_EJECUCION'!$J$9:$J$1208,0)),""),'CAT_ESTADOS_ERP'!$A$4:$A$7,0)),"Pendiente"))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IF($J486="","",$P486&amp;"-"&amp;TEXT($Q486,"00"))</f>
        <v/>
      </c>
      <c r="S486" s="5">
        <f>IF($J486="","",INDEX(lista_dias,WEEKDAY($J486,2)))</f>
        <v/>
      </c>
      <c r="T486" s="5">
        <f>IF($J486="","",IFERROR(INDEX('CALENDARIO'!$C$15:$C$214,MATCH(TEXT($J486,"yyyy-mm-dd")&amp;"|"&amp;$X486&amp;"|"&amp;$Y486,'CALENDARIO'!$G$15:$G$214,0)),IFERROR(INDEX('CALENDARIO'!$C$15:$C$214,MATCH(TEXT($J486,"yyyy-mm-dd")&amp;"|"&amp;$X486&amp;"|",'CALENDARIO'!$G$15:$G$214,0)),IFERROR(INDEX('CALENDARIO'!$C$15:$C$214,MATCH(TEXT($J486,"yyyy-mm-dd")&amp;"||",'CALENDARIO'!$G$15:$G$214,0)),INDEX(patronHabil,WEEKDAY($J486,2))))))</f>
        <v/>
      </c>
      <c r="U486" s="5">
        <f>IF($I486="","",IFERROR(INDEX('CAT_TIPOS_OT'!$C$4:$C$8,MATCH($I486,'CAT_TIPOS_OT'!$A$4:$A$8,0)),"sin_clasificar"))</f>
        <v/>
      </c>
      <c r="V486" s="5">
        <f>IF($I486="","",IF(IFERROR(INDEX('CAT_TIPOS_OT'!$D$4:$D$8,MATCH($I486,'CAT_TIPOS_OT'!$A$4:$A$8,0)),"SIN CLASIFICAR")="","SIN CLASIFICAR",IFERROR(INDEX('CAT_TIPOS_OT'!$D$4:$D$8,MATCH($I486,'CAT_TIPOS_OT'!$A$4:$A$8,0)),"SIN CLASIFICAR")))</f>
        <v/>
      </c>
      <c r="W486" s="5">
        <f>IF($F486="","",IFERROR(INDEX('CAT_CENTROS_COSTO'!$F$4:$F$13,MATCH($F486,'CAT_CENTROS_COSTO'!$A$4:$A$13,0)),"(sin catálogo)"))</f>
        <v/>
      </c>
      <c r="X486" s="5">
        <f>IF($F486="","",IFERROR(INDEX('CAT_CENTROS_COSTO'!$D$4:$D$13,MATCH($F486,'CAT_CENTROS_COSTO'!$A$4:$A$13,0)),"(sin catálogo)"))</f>
        <v/>
      </c>
      <c r="Y486" s="5">
        <f>IF($F486="","",IF((IFERROR(INDEX('CAT_CENTROS_COSTO'!$E$4:$E$13,MATCH($F486,'CAT_CENTROS_COSTO'!$A$4:$A$13,0)),""))&lt;&gt;"",IFERROR(INDEX('CAT_CENTROS_COSTO'!$E$4:$E$13,MATCH($F486,'CAT_CENTROS_COSTO'!$A$4:$A$13,0)),""),$X486))</f>
        <v/>
      </c>
      <c r="Z486" s="5">
        <f>IF($F486="","",IFERROR(INDEX('CAT_CENTROS_COSTO'!$G$4:$G$13,MATCH($F486,'CAT_CENTROS_COSTO'!$A$4:$A$13,0)),"(sin catálogo)"))</f>
        <v/>
      </c>
      <c r="AA486" s="5">
        <f>IF($G486="","",IFERROR(INDEX('CAT_PUESTOS'!$B$4:$B$8,MATCH($G486,'CAT_PUESTOS'!$A$4:$A$8,0)),"(sin catálogo)"))</f>
        <v/>
      </c>
      <c r="AB486" s="5">
        <f>IF($H486="","",IFERROR(INDEX('CAT_ACTIVIDADES'!$B$4:$B$11,MATCH($H486,'CAT_ACTIVIDADES'!$A$4:$A$11,0)),"(sin catálogo)"))</f>
        <v/>
      </c>
      <c r="AC486" s="20">
        <f>IF($J486="","",TODAY()-$J486)</f>
        <v/>
      </c>
      <c r="AD486" s="20">
        <f>IF($J486="","",IF($J486&lt;=TODAY(),COUNTIFS(cal_fechas,"&gt;="&amp;$J486,cal_fechas,"&lt;"&amp;TODAY(),cal_habil,"sí"),-COUNTIFS(cal_fechas,"&gt;="&amp;TODAY(),cal_fechas,"&lt;"&amp;$J486,cal_habil,"sí")))</f>
        <v/>
      </c>
      <c r="AE486" s="5">
        <f>IF($AD486="","",IF($AD486&lt;0,"FUTURO",IF($AD486&gt;p_dias_backlog_max,"BACKLOG","MES CORRIENTE")))</f>
        <v/>
      </c>
      <c r="AF486" s="5">
        <f>IF($AD486="",FALSE,AND($AD486&gt;p_dias_backlog_min,$AD486&lt;=p_dias_backlog_max))</f>
        <v/>
      </c>
      <c r="AG486" s="4" t="n"/>
      <c r="AH486" s="5">
        <f>IF($AG486="","",IF((IFERROR(INDEX('ASIGNACIONES'!$J$4:$J$451,MATCH($O486&amp;"|"&amp;$S486&amp;"|"&amp;$AG486,'ASIGNACIONES'!$N$4:$N$451,0)),""))=0,"",IFERROR(INDEX('ASIGNACIONES'!$J$4:$J$451,MATCH($O486&amp;"|"&amp;$S486&amp;"|"&amp;$AG486,'ASIGNACIONES'!$N$4:$N$451,0)),"")))</f>
        <v/>
      </c>
      <c r="AI486" s="25">
        <f>IF($AG486="","",SUMIFS('ORDENES'!$M$4:$M$1203,'ORDENES'!$AG$4:$AG$1203,$AG486,'ORDENES'!$O$4:$O$1203,$O486,'ORDENES'!$S$4:$S$1203,$S486))</f>
        <v/>
      </c>
      <c r="AJ486" s="25">
        <f>IF($AI486="","",p_factor_productividad*IFERROR(INDEX('ASIGNACIONES'!$M$4:$M$451,MATCH($O486&amp;"|"&amp;$S486&amp;"|"&amp;$AG486,'ASIGNACIONES'!$N$4:$N$451,0)),0)-$AI486)</f>
        <v/>
      </c>
      <c r="AK486" s="18">
        <f>IF($A486="","",IFERROR(INDEX('2_IMPORTAR_EJECUCION'!$F$9:$F$1208,MATCH($AT486,'2_IMPORTAR_EJECUCION'!$J$9:$J$1208,0)),0))</f>
        <v/>
      </c>
      <c r="AL486" s="18">
        <f>IF($A486="","",MAX(0,IFERROR(INDEX('2_IMPORTAR_EJECUCION'!$H$9:$H$1208,MATCH($AT486,'2_IMPORTAR_EJECUCION'!$J$9:$J$1208,0)),0)-$AK486))</f>
        <v/>
      </c>
      <c r="AM486" s="18">
        <f>IF($A486="","",$AK486+$AL486)</f>
        <v/>
      </c>
      <c r="AN486" s="5">
        <f>IF($A486="","",IF(OR((IFERROR(INDEX('CAT_ACTIVIDADES'!$D$4:$D$11,MATCH($H486,'CAT_ACTIVIDADES'!$A$4:$A$11,0)),""))=0,(IFERROR(INDEX('CAT_ACTIVIDADES'!$D$4:$D$11,MATCH($H486,'CAT_ACTIVIDADES'!$A$4:$A$11,0)),""))=""),"SIN CLASIFICAR",IFERROR(INDEX('CAT_ACTIVIDADES'!$D$4:$D$11,MATCH($H486,'CAT_ACTIVIDADES'!$A$4:$A$11,0)),"")))</f>
        <v/>
      </c>
      <c r="AO486" s="4" t="n"/>
      <c r="AP486" s="4" t="n"/>
      <c r="AQ486" s="4" t="n"/>
      <c r="AR486" s="5">
        <f>IF($AQ486="","",HYPERLINK(p_ruta_base_checklists&amp;$AQ486,"abrir"))</f>
        <v/>
      </c>
      <c r="AS486" s="4" t="n"/>
      <c r="AT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2" t="n"/>
      <c r="K487" s="5" t="n"/>
      <c r="L487" s="18" t="n"/>
      <c r="M487" s="5">
        <f>IF($A487="","",IFERROR(INDEX('AJUSTES'!$B$4:$B$303,MATCH($AT487,'AJUSTES'!$A$4:$A$303,0)),IF($K487="","",$K487)))</f>
        <v/>
      </c>
      <c r="N487" s="5">
        <f>IF($A487="","",IFERROR(INDEX('CAT_ESTADOS_ERP'!$B$4:$B$7,MATCH(IFERROR(INDEX('2_IMPORTAR_EJECUCION'!$C$9:$C$1208,MATCH($AT487,'2_IMPORTAR_EJECUCION'!$J$9:$J$1208,0)),""),'CAT_ESTADOS_ERP'!$A$4:$A$7,0)),"Pendiente"))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IF($J487="","",$P487&amp;"-"&amp;TEXT($Q487,"00"))</f>
        <v/>
      </c>
      <c r="S487" s="5">
        <f>IF($J487="","",INDEX(lista_dias,WEEKDAY($J487,2)))</f>
        <v/>
      </c>
      <c r="T487" s="5">
        <f>IF($J487="","",IFERROR(INDEX('CALENDARIO'!$C$15:$C$214,MATCH(TEXT($J487,"yyyy-mm-dd")&amp;"|"&amp;$X487&amp;"|"&amp;$Y487,'CALENDARIO'!$G$15:$G$214,0)),IFERROR(INDEX('CALENDARIO'!$C$15:$C$214,MATCH(TEXT($J487,"yyyy-mm-dd")&amp;"|"&amp;$X487&amp;"|",'CALENDARIO'!$G$15:$G$214,0)),IFERROR(INDEX('CALENDARIO'!$C$15:$C$214,MATCH(TEXT($J487,"yyyy-mm-dd")&amp;"||",'CALENDARIO'!$G$15:$G$214,0)),INDEX(patronHabil,WEEKDAY($J487,2))))))</f>
        <v/>
      </c>
      <c r="U487" s="5">
        <f>IF($I487="","",IFERROR(INDEX('CAT_TIPOS_OT'!$C$4:$C$8,MATCH($I487,'CAT_TIPOS_OT'!$A$4:$A$8,0)),"sin_clasificar"))</f>
        <v/>
      </c>
      <c r="V487" s="5">
        <f>IF($I487="","",IF(IFERROR(INDEX('CAT_TIPOS_OT'!$D$4:$D$8,MATCH($I487,'CAT_TIPOS_OT'!$A$4:$A$8,0)),"SIN CLASIFICAR")="","SIN CLASIFICAR",IFERROR(INDEX('CAT_TIPOS_OT'!$D$4:$D$8,MATCH($I487,'CAT_TIPOS_OT'!$A$4:$A$8,0)),"SIN CLASIFICAR")))</f>
        <v/>
      </c>
      <c r="W487" s="5">
        <f>IF($F487="","",IFERROR(INDEX('CAT_CENTROS_COSTO'!$F$4:$F$13,MATCH($F487,'CAT_CENTROS_COSTO'!$A$4:$A$13,0)),"(sin catálogo)"))</f>
        <v/>
      </c>
      <c r="X487" s="5">
        <f>IF($F487="","",IFERROR(INDEX('CAT_CENTROS_COSTO'!$D$4:$D$13,MATCH($F487,'CAT_CENTROS_COSTO'!$A$4:$A$13,0)),"(sin catálogo)"))</f>
        <v/>
      </c>
      <c r="Y487" s="5">
        <f>IF($F487="","",IF((IFERROR(INDEX('CAT_CENTROS_COSTO'!$E$4:$E$13,MATCH($F487,'CAT_CENTROS_COSTO'!$A$4:$A$13,0)),""))&lt;&gt;"",IFERROR(INDEX('CAT_CENTROS_COSTO'!$E$4:$E$13,MATCH($F487,'CAT_CENTROS_COSTO'!$A$4:$A$13,0)),""),$X487))</f>
        <v/>
      </c>
      <c r="Z487" s="5">
        <f>IF($F487="","",IFERROR(INDEX('CAT_CENTROS_COSTO'!$G$4:$G$13,MATCH($F487,'CAT_CENTROS_COSTO'!$A$4:$A$13,0)),"(sin catálogo)"))</f>
        <v/>
      </c>
      <c r="AA487" s="5">
        <f>IF($G487="","",IFERROR(INDEX('CAT_PUESTOS'!$B$4:$B$8,MATCH($G487,'CAT_PUESTOS'!$A$4:$A$8,0)),"(sin catálogo)"))</f>
        <v/>
      </c>
      <c r="AB487" s="5">
        <f>IF($H487="","",IFERROR(INDEX('CAT_ACTIVIDADES'!$B$4:$B$11,MATCH($H487,'CAT_ACTIVIDADES'!$A$4:$A$11,0)),"(sin catálogo)"))</f>
        <v/>
      </c>
      <c r="AC487" s="20">
        <f>IF($J487="","",TODAY()-$J487)</f>
        <v/>
      </c>
      <c r="AD487" s="20">
        <f>IF($J487="","",IF($J487&lt;=TODAY(),COUNTIFS(cal_fechas,"&gt;="&amp;$J487,cal_fechas,"&lt;"&amp;TODAY(),cal_habil,"sí"),-COUNTIFS(cal_fechas,"&gt;="&amp;TODAY(),cal_fechas,"&lt;"&amp;$J487,cal_habil,"sí")))</f>
        <v/>
      </c>
      <c r="AE487" s="5">
        <f>IF($AD487="","",IF($AD487&lt;0,"FUTURO",IF($AD487&gt;p_dias_backlog_max,"BACKLOG","MES CORRIENTE")))</f>
        <v/>
      </c>
      <c r="AF487" s="5">
        <f>IF($AD487="",FALSE,AND($AD487&gt;p_dias_backlog_min,$AD487&lt;=p_dias_backlog_max))</f>
        <v/>
      </c>
      <c r="AG487" s="4" t="n"/>
      <c r="AH487" s="5">
        <f>IF($AG487="","",IF((IFERROR(INDEX('ASIGNACIONES'!$J$4:$J$451,MATCH($O487&amp;"|"&amp;$S487&amp;"|"&amp;$AG487,'ASIGNACIONES'!$N$4:$N$451,0)),""))=0,"",IFERROR(INDEX('ASIGNACIONES'!$J$4:$J$451,MATCH($O487&amp;"|"&amp;$S487&amp;"|"&amp;$AG487,'ASIGNACIONES'!$N$4:$N$451,0)),"")))</f>
        <v/>
      </c>
      <c r="AI487" s="25">
        <f>IF($AG487="","",SUMIFS('ORDENES'!$M$4:$M$1203,'ORDENES'!$AG$4:$AG$1203,$AG487,'ORDENES'!$O$4:$O$1203,$O487,'ORDENES'!$S$4:$S$1203,$S487))</f>
        <v/>
      </c>
      <c r="AJ487" s="25">
        <f>IF($AI487="","",p_factor_productividad*IFERROR(INDEX('ASIGNACIONES'!$M$4:$M$451,MATCH($O487&amp;"|"&amp;$S487&amp;"|"&amp;$AG487,'ASIGNACIONES'!$N$4:$N$451,0)),0)-$AI487)</f>
        <v/>
      </c>
      <c r="AK487" s="18">
        <f>IF($A487="","",IFERROR(INDEX('2_IMPORTAR_EJECUCION'!$F$9:$F$1208,MATCH($AT487,'2_IMPORTAR_EJECUCION'!$J$9:$J$1208,0)),0))</f>
        <v/>
      </c>
      <c r="AL487" s="18">
        <f>IF($A487="","",MAX(0,IFERROR(INDEX('2_IMPORTAR_EJECUCION'!$H$9:$H$1208,MATCH($AT487,'2_IMPORTAR_EJECUCION'!$J$9:$J$1208,0)),0)-$AK487))</f>
        <v/>
      </c>
      <c r="AM487" s="18">
        <f>IF($A487="","",$AK487+$AL487)</f>
        <v/>
      </c>
      <c r="AN487" s="5">
        <f>IF($A487="","",IF(OR((IFERROR(INDEX('CAT_ACTIVIDADES'!$D$4:$D$11,MATCH($H487,'CAT_ACTIVIDADES'!$A$4:$A$11,0)),""))=0,(IFERROR(INDEX('CAT_ACTIVIDADES'!$D$4:$D$11,MATCH($H487,'CAT_ACTIVIDADES'!$A$4:$A$11,0)),""))=""),"SIN CLASIFICAR",IFERROR(INDEX('CAT_ACTIVIDADES'!$D$4:$D$11,MATCH($H487,'CAT_ACTIVIDADES'!$A$4:$A$11,0)),"")))</f>
        <v/>
      </c>
      <c r="AO487" s="4" t="n"/>
      <c r="AP487" s="4" t="n"/>
      <c r="AQ487" s="4" t="n"/>
      <c r="AR487" s="5">
        <f>IF($AQ487="","",HYPERLINK(p_ruta_base_checklists&amp;$AQ487,"abrir"))</f>
        <v/>
      </c>
      <c r="AS487" s="4" t="n"/>
      <c r="AT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2" t="n"/>
      <c r="K488" s="5" t="n"/>
      <c r="L488" s="18" t="n"/>
      <c r="M488" s="5">
        <f>IF($A488="","",IFERROR(INDEX('AJUSTES'!$B$4:$B$303,MATCH($AT488,'AJUSTES'!$A$4:$A$303,0)),IF($K488="","",$K488)))</f>
        <v/>
      </c>
      <c r="N488" s="5">
        <f>IF($A488="","",IFERROR(INDEX('CAT_ESTADOS_ERP'!$B$4:$B$7,MATCH(IFERROR(INDEX('2_IMPORTAR_EJECUCION'!$C$9:$C$1208,MATCH($AT488,'2_IMPORTAR_EJECUCION'!$J$9:$J$1208,0)),""),'CAT_ESTADOS_ERP'!$A$4:$A$7,0)),"Pendiente"))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IF($J488="","",$P488&amp;"-"&amp;TEXT($Q488,"00"))</f>
        <v/>
      </c>
      <c r="S488" s="5">
        <f>IF($J488="","",INDEX(lista_dias,WEEKDAY($J488,2)))</f>
        <v/>
      </c>
      <c r="T488" s="5">
        <f>IF($J488="","",IFERROR(INDEX('CALENDARIO'!$C$15:$C$214,MATCH(TEXT($J488,"yyyy-mm-dd")&amp;"|"&amp;$X488&amp;"|"&amp;$Y488,'CALENDARIO'!$G$15:$G$214,0)),IFERROR(INDEX('CALENDARIO'!$C$15:$C$214,MATCH(TEXT($J488,"yyyy-mm-dd")&amp;"|"&amp;$X488&amp;"|",'CALENDARIO'!$G$15:$G$214,0)),IFERROR(INDEX('CALENDARIO'!$C$15:$C$214,MATCH(TEXT($J488,"yyyy-mm-dd")&amp;"||",'CALENDARIO'!$G$15:$G$214,0)),INDEX(patronHabil,WEEKDAY($J488,2))))))</f>
        <v/>
      </c>
      <c r="U488" s="5">
        <f>IF($I488="","",IFERROR(INDEX('CAT_TIPOS_OT'!$C$4:$C$8,MATCH($I488,'CAT_TIPOS_OT'!$A$4:$A$8,0)),"sin_clasificar"))</f>
        <v/>
      </c>
      <c r="V488" s="5">
        <f>IF($I488="","",IF(IFERROR(INDEX('CAT_TIPOS_OT'!$D$4:$D$8,MATCH($I488,'CAT_TIPOS_OT'!$A$4:$A$8,0)),"SIN CLASIFICAR")="","SIN CLASIFICAR",IFERROR(INDEX('CAT_TIPOS_OT'!$D$4:$D$8,MATCH($I488,'CAT_TIPOS_OT'!$A$4:$A$8,0)),"SIN CLASIFICAR")))</f>
        <v/>
      </c>
      <c r="W488" s="5">
        <f>IF($F488="","",IFERROR(INDEX('CAT_CENTROS_COSTO'!$F$4:$F$13,MATCH($F488,'CAT_CENTROS_COSTO'!$A$4:$A$13,0)),"(sin catálogo)"))</f>
        <v/>
      </c>
      <c r="X488" s="5">
        <f>IF($F488="","",IFERROR(INDEX('CAT_CENTROS_COSTO'!$D$4:$D$13,MATCH($F488,'CAT_CENTROS_COSTO'!$A$4:$A$13,0)),"(sin catálogo)"))</f>
        <v/>
      </c>
      <c r="Y488" s="5">
        <f>IF($F488="","",IF((IFERROR(INDEX('CAT_CENTROS_COSTO'!$E$4:$E$13,MATCH($F488,'CAT_CENTROS_COSTO'!$A$4:$A$13,0)),""))&lt;&gt;"",IFERROR(INDEX('CAT_CENTROS_COSTO'!$E$4:$E$13,MATCH($F488,'CAT_CENTROS_COSTO'!$A$4:$A$13,0)),""),$X488))</f>
        <v/>
      </c>
      <c r="Z488" s="5">
        <f>IF($F488="","",IFERROR(INDEX('CAT_CENTROS_COSTO'!$G$4:$G$13,MATCH($F488,'CAT_CENTROS_COSTO'!$A$4:$A$13,0)),"(sin catálogo)"))</f>
        <v/>
      </c>
      <c r="AA488" s="5">
        <f>IF($G488="","",IFERROR(INDEX('CAT_PUESTOS'!$B$4:$B$8,MATCH($G488,'CAT_PUESTOS'!$A$4:$A$8,0)),"(sin catálogo)"))</f>
        <v/>
      </c>
      <c r="AB488" s="5">
        <f>IF($H488="","",IFERROR(INDEX('CAT_ACTIVIDADES'!$B$4:$B$11,MATCH($H488,'CAT_ACTIVIDADES'!$A$4:$A$11,0)),"(sin catálogo)"))</f>
        <v/>
      </c>
      <c r="AC488" s="20">
        <f>IF($J488="","",TODAY()-$J488)</f>
        <v/>
      </c>
      <c r="AD488" s="20">
        <f>IF($J488="","",IF($J488&lt;=TODAY(),COUNTIFS(cal_fechas,"&gt;="&amp;$J488,cal_fechas,"&lt;"&amp;TODAY(),cal_habil,"sí"),-COUNTIFS(cal_fechas,"&gt;="&amp;TODAY(),cal_fechas,"&lt;"&amp;$J488,cal_habil,"sí")))</f>
        <v/>
      </c>
      <c r="AE488" s="5">
        <f>IF($AD488="","",IF($AD488&lt;0,"FUTURO",IF($AD488&gt;p_dias_backlog_max,"BACKLOG","MES CORRIENTE")))</f>
        <v/>
      </c>
      <c r="AF488" s="5">
        <f>IF($AD488="",FALSE,AND($AD488&gt;p_dias_backlog_min,$AD488&lt;=p_dias_backlog_max))</f>
        <v/>
      </c>
      <c r="AG488" s="4" t="n"/>
      <c r="AH488" s="5">
        <f>IF($AG488="","",IF((IFERROR(INDEX('ASIGNACIONES'!$J$4:$J$451,MATCH($O488&amp;"|"&amp;$S488&amp;"|"&amp;$AG488,'ASIGNACIONES'!$N$4:$N$451,0)),""))=0,"",IFERROR(INDEX('ASIGNACIONES'!$J$4:$J$451,MATCH($O488&amp;"|"&amp;$S488&amp;"|"&amp;$AG488,'ASIGNACIONES'!$N$4:$N$451,0)),"")))</f>
        <v/>
      </c>
      <c r="AI488" s="25">
        <f>IF($AG488="","",SUMIFS('ORDENES'!$M$4:$M$1203,'ORDENES'!$AG$4:$AG$1203,$AG488,'ORDENES'!$O$4:$O$1203,$O488,'ORDENES'!$S$4:$S$1203,$S488))</f>
        <v/>
      </c>
      <c r="AJ488" s="25">
        <f>IF($AI488="","",p_factor_productividad*IFERROR(INDEX('ASIGNACIONES'!$M$4:$M$451,MATCH($O488&amp;"|"&amp;$S488&amp;"|"&amp;$AG488,'ASIGNACIONES'!$N$4:$N$451,0)),0)-$AI488)</f>
        <v/>
      </c>
      <c r="AK488" s="18">
        <f>IF($A488="","",IFERROR(INDEX('2_IMPORTAR_EJECUCION'!$F$9:$F$1208,MATCH($AT488,'2_IMPORTAR_EJECUCION'!$J$9:$J$1208,0)),0))</f>
        <v/>
      </c>
      <c r="AL488" s="18">
        <f>IF($A488="","",MAX(0,IFERROR(INDEX('2_IMPORTAR_EJECUCION'!$H$9:$H$1208,MATCH($AT488,'2_IMPORTAR_EJECUCION'!$J$9:$J$1208,0)),0)-$AK488))</f>
        <v/>
      </c>
      <c r="AM488" s="18">
        <f>IF($A488="","",$AK488+$AL488)</f>
        <v/>
      </c>
      <c r="AN488" s="5">
        <f>IF($A488="","",IF(OR((IFERROR(INDEX('CAT_ACTIVIDADES'!$D$4:$D$11,MATCH($H488,'CAT_ACTIVIDADES'!$A$4:$A$11,0)),""))=0,(IFERROR(INDEX('CAT_ACTIVIDADES'!$D$4:$D$11,MATCH($H488,'CAT_ACTIVIDADES'!$A$4:$A$11,0)),""))=""),"SIN CLASIFICAR",IFERROR(INDEX('CAT_ACTIVIDADES'!$D$4:$D$11,MATCH($H488,'CAT_ACTIVIDADES'!$A$4:$A$11,0)),"")))</f>
        <v/>
      </c>
      <c r="AO488" s="4" t="n"/>
      <c r="AP488" s="4" t="n"/>
      <c r="AQ488" s="4" t="n"/>
      <c r="AR488" s="5">
        <f>IF($AQ488="","",HYPERLINK(p_ruta_base_checklists&amp;$AQ488,"abrir"))</f>
        <v/>
      </c>
      <c r="AS488" s="4" t="n"/>
      <c r="AT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2" t="n"/>
      <c r="K489" s="5" t="n"/>
      <c r="L489" s="18" t="n"/>
      <c r="M489" s="5">
        <f>IF($A489="","",IFERROR(INDEX('AJUSTES'!$B$4:$B$303,MATCH($AT489,'AJUSTES'!$A$4:$A$303,0)),IF($K489="","",$K489)))</f>
        <v/>
      </c>
      <c r="N489" s="5">
        <f>IF($A489="","",IFERROR(INDEX('CAT_ESTADOS_ERP'!$B$4:$B$7,MATCH(IFERROR(INDEX('2_IMPORTAR_EJECUCION'!$C$9:$C$1208,MATCH($AT489,'2_IMPORTAR_EJECUCION'!$J$9:$J$1208,0)),""),'CAT_ESTADOS_ERP'!$A$4:$A$7,0)),"Pendiente"))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IF($J489="","",$P489&amp;"-"&amp;TEXT($Q489,"00"))</f>
        <v/>
      </c>
      <c r="S489" s="5">
        <f>IF($J489="","",INDEX(lista_dias,WEEKDAY($J489,2)))</f>
        <v/>
      </c>
      <c r="T489" s="5">
        <f>IF($J489="","",IFERROR(INDEX('CALENDARIO'!$C$15:$C$214,MATCH(TEXT($J489,"yyyy-mm-dd")&amp;"|"&amp;$X489&amp;"|"&amp;$Y489,'CALENDARIO'!$G$15:$G$214,0)),IFERROR(INDEX('CALENDARIO'!$C$15:$C$214,MATCH(TEXT($J489,"yyyy-mm-dd")&amp;"|"&amp;$X489&amp;"|",'CALENDARIO'!$G$15:$G$214,0)),IFERROR(INDEX('CALENDARIO'!$C$15:$C$214,MATCH(TEXT($J489,"yyyy-mm-dd")&amp;"||",'CALENDARIO'!$G$15:$G$214,0)),INDEX(patronHabil,WEEKDAY($J489,2))))))</f>
        <v/>
      </c>
      <c r="U489" s="5">
        <f>IF($I489="","",IFERROR(INDEX('CAT_TIPOS_OT'!$C$4:$C$8,MATCH($I489,'CAT_TIPOS_OT'!$A$4:$A$8,0)),"sin_clasificar"))</f>
        <v/>
      </c>
      <c r="V489" s="5">
        <f>IF($I489="","",IF(IFERROR(INDEX('CAT_TIPOS_OT'!$D$4:$D$8,MATCH($I489,'CAT_TIPOS_OT'!$A$4:$A$8,0)),"SIN CLASIFICAR")="","SIN CLASIFICAR",IFERROR(INDEX('CAT_TIPOS_OT'!$D$4:$D$8,MATCH($I489,'CAT_TIPOS_OT'!$A$4:$A$8,0)),"SIN CLASIFICAR")))</f>
        <v/>
      </c>
      <c r="W489" s="5">
        <f>IF($F489="","",IFERROR(INDEX('CAT_CENTROS_COSTO'!$F$4:$F$13,MATCH($F489,'CAT_CENTROS_COSTO'!$A$4:$A$13,0)),"(sin catálogo)"))</f>
        <v/>
      </c>
      <c r="X489" s="5">
        <f>IF($F489="","",IFERROR(INDEX('CAT_CENTROS_COSTO'!$D$4:$D$13,MATCH($F489,'CAT_CENTROS_COSTO'!$A$4:$A$13,0)),"(sin catálogo)"))</f>
        <v/>
      </c>
      <c r="Y489" s="5">
        <f>IF($F489="","",IF((IFERROR(INDEX('CAT_CENTROS_COSTO'!$E$4:$E$13,MATCH($F489,'CAT_CENTROS_COSTO'!$A$4:$A$13,0)),""))&lt;&gt;"",IFERROR(INDEX('CAT_CENTROS_COSTO'!$E$4:$E$13,MATCH($F489,'CAT_CENTROS_COSTO'!$A$4:$A$13,0)),""),$X489))</f>
        <v/>
      </c>
      <c r="Z489" s="5">
        <f>IF($F489="","",IFERROR(INDEX('CAT_CENTROS_COSTO'!$G$4:$G$13,MATCH($F489,'CAT_CENTROS_COSTO'!$A$4:$A$13,0)),"(sin catálogo)"))</f>
        <v/>
      </c>
      <c r="AA489" s="5">
        <f>IF($G489="","",IFERROR(INDEX('CAT_PUESTOS'!$B$4:$B$8,MATCH($G489,'CAT_PUESTOS'!$A$4:$A$8,0)),"(sin catálogo)"))</f>
        <v/>
      </c>
      <c r="AB489" s="5">
        <f>IF($H489="","",IFERROR(INDEX('CAT_ACTIVIDADES'!$B$4:$B$11,MATCH($H489,'CAT_ACTIVIDADES'!$A$4:$A$11,0)),"(sin catálogo)"))</f>
        <v/>
      </c>
      <c r="AC489" s="20">
        <f>IF($J489="","",TODAY()-$J489)</f>
        <v/>
      </c>
      <c r="AD489" s="20">
        <f>IF($J489="","",IF($J489&lt;=TODAY(),COUNTIFS(cal_fechas,"&gt;="&amp;$J489,cal_fechas,"&lt;"&amp;TODAY(),cal_habil,"sí"),-COUNTIFS(cal_fechas,"&gt;="&amp;TODAY(),cal_fechas,"&lt;"&amp;$J489,cal_habil,"sí")))</f>
        <v/>
      </c>
      <c r="AE489" s="5">
        <f>IF($AD489="","",IF($AD489&lt;0,"FUTURO",IF($AD489&gt;p_dias_backlog_max,"BACKLOG","MES CORRIENTE")))</f>
        <v/>
      </c>
      <c r="AF489" s="5">
        <f>IF($AD489="",FALSE,AND($AD489&gt;p_dias_backlog_min,$AD489&lt;=p_dias_backlog_max))</f>
        <v/>
      </c>
      <c r="AG489" s="4" t="n"/>
      <c r="AH489" s="5">
        <f>IF($AG489="","",IF((IFERROR(INDEX('ASIGNACIONES'!$J$4:$J$451,MATCH($O489&amp;"|"&amp;$S489&amp;"|"&amp;$AG489,'ASIGNACIONES'!$N$4:$N$451,0)),""))=0,"",IFERROR(INDEX('ASIGNACIONES'!$J$4:$J$451,MATCH($O489&amp;"|"&amp;$S489&amp;"|"&amp;$AG489,'ASIGNACIONES'!$N$4:$N$451,0)),"")))</f>
        <v/>
      </c>
      <c r="AI489" s="25">
        <f>IF($AG489="","",SUMIFS('ORDENES'!$M$4:$M$1203,'ORDENES'!$AG$4:$AG$1203,$AG489,'ORDENES'!$O$4:$O$1203,$O489,'ORDENES'!$S$4:$S$1203,$S489))</f>
        <v/>
      </c>
      <c r="AJ489" s="25">
        <f>IF($AI489="","",p_factor_productividad*IFERROR(INDEX('ASIGNACIONES'!$M$4:$M$451,MATCH($O489&amp;"|"&amp;$S489&amp;"|"&amp;$AG489,'ASIGNACIONES'!$N$4:$N$451,0)),0)-$AI489)</f>
        <v/>
      </c>
      <c r="AK489" s="18">
        <f>IF($A489="","",IFERROR(INDEX('2_IMPORTAR_EJECUCION'!$F$9:$F$1208,MATCH($AT489,'2_IMPORTAR_EJECUCION'!$J$9:$J$1208,0)),0))</f>
        <v/>
      </c>
      <c r="AL489" s="18">
        <f>IF($A489="","",MAX(0,IFERROR(INDEX('2_IMPORTAR_EJECUCION'!$H$9:$H$1208,MATCH($AT489,'2_IMPORTAR_EJECUCION'!$J$9:$J$1208,0)),0)-$AK489))</f>
        <v/>
      </c>
      <c r="AM489" s="18">
        <f>IF($A489="","",$AK489+$AL489)</f>
        <v/>
      </c>
      <c r="AN489" s="5">
        <f>IF($A489="","",IF(OR((IFERROR(INDEX('CAT_ACTIVIDADES'!$D$4:$D$11,MATCH($H489,'CAT_ACTIVIDADES'!$A$4:$A$11,0)),""))=0,(IFERROR(INDEX('CAT_ACTIVIDADES'!$D$4:$D$11,MATCH($H489,'CAT_ACTIVIDADES'!$A$4:$A$11,0)),""))=""),"SIN CLASIFICAR",IFERROR(INDEX('CAT_ACTIVIDADES'!$D$4:$D$11,MATCH($H489,'CAT_ACTIVIDADES'!$A$4:$A$11,0)),"")))</f>
        <v/>
      </c>
      <c r="AO489" s="4" t="n"/>
      <c r="AP489" s="4" t="n"/>
      <c r="AQ489" s="4" t="n"/>
      <c r="AR489" s="5">
        <f>IF($AQ489="","",HYPERLINK(p_ruta_base_checklists&amp;$AQ489,"abrir"))</f>
        <v/>
      </c>
      <c r="AS489" s="4" t="n"/>
      <c r="AT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2" t="n"/>
      <c r="K490" s="5" t="n"/>
      <c r="L490" s="18" t="n"/>
      <c r="M490" s="5">
        <f>IF($A490="","",IFERROR(INDEX('AJUSTES'!$B$4:$B$303,MATCH($AT490,'AJUSTES'!$A$4:$A$303,0)),IF($K490="","",$K490)))</f>
        <v/>
      </c>
      <c r="N490" s="5">
        <f>IF($A490="","",IFERROR(INDEX('CAT_ESTADOS_ERP'!$B$4:$B$7,MATCH(IFERROR(INDEX('2_IMPORTAR_EJECUCION'!$C$9:$C$1208,MATCH($AT490,'2_IMPORTAR_EJECUCION'!$J$9:$J$1208,0)),""),'CAT_ESTADOS_ERP'!$A$4:$A$7,0)),"Pendiente"))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IF($J490="","",$P490&amp;"-"&amp;TEXT($Q490,"00"))</f>
        <v/>
      </c>
      <c r="S490" s="5">
        <f>IF($J490="","",INDEX(lista_dias,WEEKDAY($J490,2)))</f>
        <v/>
      </c>
      <c r="T490" s="5">
        <f>IF($J490="","",IFERROR(INDEX('CALENDARIO'!$C$15:$C$214,MATCH(TEXT($J490,"yyyy-mm-dd")&amp;"|"&amp;$X490&amp;"|"&amp;$Y490,'CALENDARIO'!$G$15:$G$214,0)),IFERROR(INDEX('CALENDARIO'!$C$15:$C$214,MATCH(TEXT($J490,"yyyy-mm-dd")&amp;"|"&amp;$X490&amp;"|",'CALENDARIO'!$G$15:$G$214,0)),IFERROR(INDEX('CALENDARIO'!$C$15:$C$214,MATCH(TEXT($J490,"yyyy-mm-dd")&amp;"||",'CALENDARIO'!$G$15:$G$214,0)),INDEX(patronHabil,WEEKDAY($J490,2))))))</f>
        <v/>
      </c>
      <c r="U490" s="5">
        <f>IF($I490="","",IFERROR(INDEX('CAT_TIPOS_OT'!$C$4:$C$8,MATCH($I490,'CAT_TIPOS_OT'!$A$4:$A$8,0)),"sin_clasificar"))</f>
        <v/>
      </c>
      <c r="V490" s="5">
        <f>IF($I490="","",IF(IFERROR(INDEX('CAT_TIPOS_OT'!$D$4:$D$8,MATCH($I490,'CAT_TIPOS_OT'!$A$4:$A$8,0)),"SIN CLASIFICAR")="","SIN CLASIFICAR",IFERROR(INDEX('CAT_TIPOS_OT'!$D$4:$D$8,MATCH($I490,'CAT_TIPOS_OT'!$A$4:$A$8,0)),"SIN CLASIFICAR")))</f>
        <v/>
      </c>
      <c r="W490" s="5">
        <f>IF($F490="","",IFERROR(INDEX('CAT_CENTROS_COSTO'!$F$4:$F$13,MATCH($F490,'CAT_CENTROS_COSTO'!$A$4:$A$13,0)),"(sin catálogo)"))</f>
        <v/>
      </c>
      <c r="X490" s="5">
        <f>IF($F490="","",IFERROR(INDEX('CAT_CENTROS_COSTO'!$D$4:$D$13,MATCH($F490,'CAT_CENTROS_COSTO'!$A$4:$A$13,0)),"(sin catálogo)"))</f>
        <v/>
      </c>
      <c r="Y490" s="5">
        <f>IF($F490="","",IF((IFERROR(INDEX('CAT_CENTROS_COSTO'!$E$4:$E$13,MATCH($F490,'CAT_CENTROS_COSTO'!$A$4:$A$13,0)),""))&lt;&gt;"",IFERROR(INDEX('CAT_CENTROS_COSTO'!$E$4:$E$13,MATCH($F490,'CAT_CENTROS_COSTO'!$A$4:$A$13,0)),""),$X490))</f>
        <v/>
      </c>
      <c r="Z490" s="5">
        <f>IF($F490="","",IFERROR(INDEX('CAT_CENTROS_COSTO'!$G$4:$G$13,MATCH($F490,'CAT_CENTROS_COSTO'!$A$4:$A$13,0)),"(sin catálogo)"))</f>
        <v/>
      </c>
      <c r="AA490" s="5">
        <f>IF($G490="","",IFERROR(INDEX('CAT_PUESTOS'!$B$4:$B$8,MATCH($G490,'CAT_PUESTOS'!$A$4:$A$8,0)),"(sin catálogo)"))</f>
        <v/>
      </c>
      <c r="AB490" s="5">
        <f>IF($H490="","",IFERROR(INDEX('CAT_ACTIVIDADES'!$B$4:$B$11,MATCH($H490,'CAT_ACTIVIDADES'!$A$4:$A$11,0)),"(sin catálogo)"))</f>
        <v/>
      </c>
      <c r="AC490" s="20">
        <f>IF($J490="","",TODAY()-$J490)</f>
        <v/>
      </c>
      <c r="AD490" s="20">
        <f>IF($J490="","",IF($J490&lt;=TODAY(),COUNTIFS(cal_fechas,"&gt;="&amp;$J490,cal_fechas,"&lt;"&amp;TODAY(),cal_habil,"sí"),-COUNTIFS(cal_fechas,"&gt;="&amp;TODAY(),cal_fechas,"&lt;"&amp;$J490,cal_habil,"sí")))</f>
        <v/>
      </c>
      <c r="AE490" s="5">
        <f>IF($AD490="","",IF($AD490&lt;0,"FUTURO",IF($AD490&gt;p_dias_backlog_max,"BACKLOG","MES CORRIENTE")))</f>
        <v/>
      </c>
      <c r="AF490" s="5">
        <f>IF($AD490="",FALSE,AND($AD490&gt;p_dias_backlog_min,$AD490&lt;=p_dias_backlog_max))</f>
        <v/>
      </c>
      <c r="AG490" s="4" t="n"/>
      <c r="AH490" s="5">
        <f>IF($AG490="","",IF((IFERROR(INDEX('ASIGNACIONES'!$J$4:$J$451,MATCH($O490&amp;"|"&amp;$S490&amp;"|"&amp;$AG490,'ASIGNACIONES'!$N$4:$N$451,0)),""))=0,"",IFERROR(INDEX('ASIGNACIONES'!$J$4:$J$451,MATCH($O490&amp;"|"&amp;$S490&amp;"|"&amp;$AG490,'ASIGNACIONES'!$N$4:$N$451,0)),"")))</f>
        <v/>
      </c>
      <c r="AI490" s="25">
        <f>IF($AG490="","",SUMIFS('ORDENES'!$M$4:$M$1203,'ORDENES'!$AG$4:$AG$1203,$AG490,'ORDENES'!$O$4:$O$1203,$O490,'ORDENES'!$S$4:$S$1203,$S490))</f>
        <v/>
      </c>
      <c r="AJ490" s="25">
        <f>IF($AI490="","",p_factor_productividad*IFERROR(INDEX('ASIGNACIONES'!$M$4:$M$451,MATCH($O490&amp;"|"&amp;$S490&amp;"|"&amp;$AG490,'ASIGNACIONES'!$N$4:$N$451,0)),0)-$AI490)</f>
        <v/>
      </c>
      <c r="AK490" s="18">
        <f>IF($A490="","",IFERROR(INDEX('2_IMPORTAR_EJECUCION'!$F$9:$F$1208,MATCH($AT490,'2_IMPORTAR_EJECUCION'!$J$9:$J$1208,0)),0))</f>
        <v/>
      </c>
      <c r="AL490" s="18">
        <f>IF($A490="","",MAX(0,IFERROR(INDEX('2_IMPORTAR_EJECUCION'!$H$9:$H$1208,MATCH($AT490,'2_IMPORTAR_EJECUCION'!$J$9:$J$1208,0)),0)-$AK490))</f>
        <v/>
      </c>
      <c r="AM490" s="18">
        <f>IF($A490="","",$AK490+$AL490)</f>
        <v/>
      </c>
      <c r="AN490" s="5">
        <f>IF($A490="","",IF(OR((IFERROR(INDEX('CAT_ACTIVIDADES'!$D$4:$D$11,MATCH($H490,'CAT_ACTIVIDADES'!$A$4:$A$11,0)),""))=0,(IFERROR(INDEX('CAT_ACTIVIDADES'!$D$4:$D$11,MATCH($H490,'CAT_ACTIVIDADES'!$A$4:$A$11,0)),""))=""),"SIN CLASIFICAR",IFERROR(INDEX('CAT_ACTIVIDADES'!$D$4:$D$11,MATCH($H490,'CAT_ACTIVIDADES'!$A$4:$A$11,0)),"")))</f>
        <v/>
      </c>
      <c r="AO490" s="4" t="n"/>
      <c r="AP490" s="4" t="n"/>
      <c r="AQ490" s="4" t="n"/>
      <c r="AR490" s="5">
        <f>IF($AQ490="","",HYPERLINK(p_ruta_base_checklists&amp;$AQ490,"abrir"))</f>
        <v/>
      </c>
      <c r="AS490" s="4" t="n"/>
      <c r="AT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2" t="n"/>
      <c r="K491" s="5" t="n"/>
      <c r="L491" s="18" t="n"/>
      <c r="M491" s="5">
        <f>IF($A491="","",IFERROR(INDEX('AJUSTES'!$B$4:$B$303,MATCH($AT491,'AJUSTES'!$A$4:$A$303,0)),IF($K491="","",$K491)))</f>
        <v/>
      </c>
      <c r="N491" s="5">
        <f>IF($A491="","",IFERROR(INDEX('CAT_ESTADOS_ERP'!$B$4:$B$7,MATCH(IFERROR(INDEX('2_IMPORTAR_EJECUCION'!$C$9:$C$1208,MATCH($AT491,'2_IMPORTAR_EJECUCION'!$J$9:$J$1208,0)),""),'CAT_ESTADOS_ERP'!$A$4:$A$7,0)),"Pendiente"))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IF($J491="","",$P491&amp;"-"&amp;TEXT($Q491,"00"))</f>
        <v/>
      </c>
      <c r="S491" s="5">
        <f>IF($J491="","",INDEX(lista_dias,WEEKDAY($J491,2)))</f>
        <v/>
      </c>
      <c r="T491" s="5">
        <f>IF($J491="","",IFERROR(INDEX('CALENDARIO'!$C$15:$C$214,MATCH(TEXT($J491,"yyyy-mm-dd")&amp;"|"&amp;$X491&amp;"|"&amp;$Y491,'CALENDARIO'!$G$15:$G$214,0)),IFERROR(INDEX('CALENDARIO'!$C$15:$C$214,MATCH(TEXT($J491,"yyyy-mm-dd")&amp;"|"&amp;$X491&amp;"|",'CALENDARIO'!$G$15:$G$214,0)),IFERROR(INDEX('CALENDARIO'!$C$15:$C$214,MATCH(TEXT($J491,"yyyy-mm-dd")&amp;"||",'CALENDARIO'!$G$15:$G$214,0)),INDEX(patronHabil,WEEKDAY($J491,2))))))</f>
        <v/>
      </c>
      <c r="U491" s="5">
        <f>IF($I491="","",IFERROR(INDEX('CAT_TIPOS_OT'!$C$4:$C$8,MATCH($I491,'CAT_TIPOS_OT'!$A$4:$A$8,0)),"sin_clasificar"))</f>
        <v/>
      </c>
      <c r="V491" s="5">
        <f>IF($I491="","",IF(IFERROR(INDEX('CAT_TIPOS_OT'!$D$4:$D$8,MATCH($I491,'CAT_TIPOS_OT'!$A$4:$A$8,0)),"SIN CLASIFICAR")="","SIN CLASIFICAR",IFERROR(INDEX('CAT_TIPOS_OT'!$D$4:$D$8,MATCH($I491,'CAT_TIPOS_OT'!$A$4:$A$8,0)),"SIN CLASIFICAR")))</f>
        <v/>
      </c>
      <c r="W491" s="5">
        <f>IF($F491="","",IFERROR(INDEX('CAT_CENTROS_COSTO'!$F$4:$F$13,MATCH($F491,'CAT_CENTROS_COSTO'!$A$4:$A$13,0)),"(sin catálogo)"))</f>
        <v/>
      </c>
      <c r="X491" s="5">
        <f>IF($F491="","",IFERROR(INDEX('CAT_CENTROS_COSTO'!$D$4:$D$13,MATCH($F491,'CAT_CENTROS_COSTO'!$A$4:$A$13,0)),"(sin catálogo)"))</f>
        <v/>
      </c>
      <c r="Y491" s="5">
        <f>IF($F491="","",IF((IFERROR(INDEX('CAT_CENTROS_COSTO'!$E$4:$E$13,MATCH($F491,'CAT_CENTROS_COSTO'!$A$4:$A$13,0)),""))&lt;&gt;"",IFERROR(INDEX('CAT_CENTROS_COSTO'!$E$4:$E$13,MATCH($F491,'CAT_CENTROS_COSTO'!$A$4:$A$13,0)),""),$X491))</f>
        <v/>
      </c>
      <c r="Z491" s="5">
        <f>IF($F491="","",IFERROR(INDEX('CAT_CENTROS_COSTO'!$G$4:$G$13,MATCH($F491,'CAT_CENTROS_COSTO'!$A$4:$A$13,0)),"(sin catálogo)"))</f>
        <v/>
      </c>
      <c r="AA491" s="5">
        <f>IF($G491="","",IFERROR(INDEX('CAT_PUESTOS'!$B$4:$B$8,MATCH($G491,'CAT_PUESTOS'!$A$4:$A$8,0)),"(sin catálogo)"))</f>
        <v/>
      </c>
      <c r="AB491" s="5">
        <f>IF($H491="","",IFERROR(INDEX('CAT_ACTIVIDADES'!$B$4:$B$11,MATCH($H491,'CAT_ACTIVIDADES'!$A$4:$A$11,0)),"(sin catálogo)"))</f>
        <v/>
      </c>
      <c r="AC491" s="20">
        <f>IF($J491="","",TODAY()-$J491)</f>
        <v/>
      </c>
      <c r="AD491" s="20">
        <f>IF($J491="","",IF($J491&lt;=TODAY(),COUNTIFS(cal_fechas,"&gt;="&amp;$J491,cal_fechas,"&lt;"&amp;TODAY(),cal_habil,"sí"),-COUNTIFS(cal_fechas,"&gt;="&amp;TODAY(),cal_fechas,"&lt;"&amp;$J491,cal_habil,"sí")))</f>
        <v/>
      </c>
      <c r="AE491" s="5">
        <f>IF($AD491="","",IF($AD491&lt;0,"FUTURO",IF($AD491&gt;p_dias_backlog_max,"BACKLOG","MES CORRIENTE")))</f>
        <v/>
      </c>
      <c r="AF491" s="5">
        <f>IF($AD491="",FALSE,AND($AD491&gt;p_dias_backlog_min,$AD491&lt;=p_dias_backlog_max))</f>
        <v/>
      </c>
      <c r="AG491" s="4" t="n"/>
      <c r="AH491" s="5">
        <f>IF($AG491="","",IF((IFERROR(INDEX('ASIGNACIONES'!$J$4:$J$451,MATCH($O491&amp;"|"&amp;$S491&amp;"|"&amp;$AG491,'ASIGNACIONES'!$N$4:$N$451,0)),""))=0,"",IFERROR(INDEX('ASIGNACIONES'!$J$4:$J$451,MATCH($O491&amp;"|"&amp;$S491&amp;"|"&amp;$AG491,'ASIGNACIONES'!$N$4:$N$451,0)),"")))</f>
        <v/>
      </c>
      <c r="AI491" s="25">
        <f>IF($AG491="","",SUMIFS('ORDENES'!$M$4:$M$1203,'ORDENES'!$AG$4:$AG$1203,$AG491,'ORDENES'!$O$4:$O$1203,$O491,'ORDENES'!$S$4:$S$1203,$S491))</f>
        <v/>
      </c>
      <c r="AJ491" s="25">
        <f>IF($AI491="","",p_factor_productividad*IFERROR(INDEX('ASIGNACIONES'!$M$4:$M$451,MATCH($O491&amp;"|"&amp;$S491&amp;"|"&amp;$AG491,'ASIGNACIONES'!$N$4:$N$451,0)),0)-$AI491)</f>
        <v/>
      </c>
      <c r="AK491" s="18">
        <f>IF($A491="","",IFERROR(INDEX('2_IMPORTAR_EJECUCION'!$F$9:$F$1208,MATCH($AT491,'2_IMPORTAR_EJECUCION'!$J$9:$J$1208,0)),0))</f>
        <v/>
      </c>
      <c r="AL491" s="18">
        <f>IF($A491="","",MAX(0,IFERROR(INDEX('2_IMPORTAR_EJECUCION'!$H$9:$H$1208,MATCH($AT491,'2_IMPORTAR_EJECUCION'!$J$9:$J$1208,0)),0)-$AK491))</f>
        <v/>
      </c>
      <c r="AM491" s="18">
        <f>IF($A491="","",$AK491+$AL491)</f>
        <v/>
      </c>
      <c r="AN491" s="5">
        <f>IF($A491="","",IF(OR((IFERROR(INDEX('CAT_ACTIVIDADES'!$D$4:$D$11,MATCH($H491,'CAT_ACTIVIDADES'!$A$4:$A$11,0)),""))=0,(IFERROR(INDEX('CAT_ACTIVIDADES'!$D$4:$D$11,MATCH($H491,'CAT_ACTIVIDADES'!$A$4:$A$11,0)),""))=""),"SIN CLASIFICAR",IFERROR(INDEX('CAT_ACTIVIDADES'!$D$4:$D$11,MATCH($H491,'CAT_ACTIVIDADES'!$A$4:$A$11,0)),"")))</f>
        <v/>
      </c>
      <c r="AO491" s="4" t="n"/>
      <c r="AP491" s="4" t="n"/>
      <c r="AQ491" s="4" t="n"/>
      <c r="AR491" s="5">
        <f>IF($AQ491="","",HYPERLINK(p_ruta_base_checklists&amp;$AQ491,"abrir"))</f>
        <v/>
      </c>
      <c r="AS491" s="4" t="n"/>
      <c r="AT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2" t="n"/>
      <c r="K492" s="5" t="n"/>
      <c r="L492" s="18" t="n"/>
      <c r="M492" s="5">
        <f>IF($A492="","",IFERROR(INDEX('AJUSTES'!$B$4:$B$303,MATCH($AT492,'AJUSTES'!$A$4:$A$303,0)),IF($K492="","",$K492)))</f>
        <v/>
      </c>
      <c r="N492" s="5">
        <f>IF($A492="","",IFERROR(INDEX('CAT_ESTADOS_ERP'!$B$4:$B$7,MATCH(IFERROR(INDEX('2_IMPORTAR_EJECUCION'!$C$9:$C$1208,MATCH($AT492,'2_IMPORTAR_EJECUCION'!$J$9:$J$1208,0)),""),'CAT_ESTADOS_ERP'!$A$4:$A$7,0)),"Pendiente"))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IF($J492="","",$P492&amp;"-"&amp;TEXT($Q492,"00"))</f>
        <v/>
      </c>
      <c r="S492" s="5">
        <f>IF($J492="","",INDEX(lista_dias,WEEKDAY($J492,2)))</f>
        <v/>
      </c>
      <c r="T492" s="5">
        <f>IF($J492="","",IFERROR(INDEX('CALENDARIO'!$C$15:$C$214,MATCH(TEXT($J492,"yyyy-mm-dd")&amp;"|"&amp;$X492&amp;"|"&amp;$Y492,'CALENDARIO'!$G$15:$G$214,0)),IFERROR(INDEX('CALENDARIO'!$C$15:$C$214,MATCH(TEXT($J492,"yyyy-mm-dd")&amp;"|"&amp;$X492&amp;"|",'CALENDARIO'!$G$15:$G$214,0)),IFERROR(INDEX('CALENDARIO'!$C$15:$C$214,MATCH(TEXT($J492,"yyyy-mm-dd")&amp;"||",'CALENDARIO'!$G$15:$G$214,0)),INDEX(patronHabil,WEEKDAY($J492,2))))))</f>
        <v/>
      </c>
      <c r="U492" s="5">
        <f>IF($I492="","",IFERROR(INDEX('CAT_TIPOS_OT'!$C$4:$C$8,MATCH($I492,'CAT_TIPOS_OT'!$A$4:$A$8,0)),"sin_clasificar"))</f>
        <v/>
      </c>
      <c r="V492" s="5">
        <f>IF($I492="","",IF(IFERROR(INDEX('CAT_TIPOS_OT'!$D$4:$D$8,MATCH($I492,'CAT_TIPOS_OT'!$A$4:$A$8,0)),"SIN CLASIFICAR")="","SIN CLASIFICAR",IFERROR(INDEX('CAT_TIPOS_OT'!$D$4:$D$8,MATCH($I492,'CAT_TIPOS_OT'!$A$4:$A$8,0)),"SIN CLASIFICAR")))</f>
        <v/>
      </c>
      <c r="W492" s="5">
        <f>IF($F492="","",IFERROR(INDEX('CAT_CENTROS_COSTO'!$F$4:$F$13,MATCH($F492,'CAT_CENTROS_COSTO'!$A$4:$A$13,0)),"(sin catálogo)"))</f>
        <v/>
      </c>
      <c r="X492" s="5">
        <f>IF($F492="","",IFERROR(INDEX('CAT_CENTROS_COSTO'!$D$4:$D$13,MATCH($F492,'CAT_CENTROS_COSTO'!$A$4:$A$13,0)),"(sin catálogo)"))</f>
        <v/>
      </c>
      <c r="Y492" s="5">
        <f>IF($F492="","",IF((IFERROR(INDEX('CAT_CENTROS_COSTO'!$E$4:$E$13,MATCH($F492,'CAT_CENTROS_COSTO'!$A$4:$A$13,0)),""))&lt;&gt;"",IFERROR(INDEX('CAT_CENTROS_COSTO'!$E$4:$E$13,MATCH($F492,'CAT_CENTROS_COSTO'!$A$4:$A$13,0)),""),$X492))</f>
        <v/>
      </c>
      <c r="Z492" s="5">
        <f>IF($F492="","",IFERROR(INDEX('CAT_CENTROS_COSTO'!$G$4:$G$13,MATCH($F492,'CAT_CENTROS_COSTO'!$A$4:$A$13,0)),"(sin catálogo)"))</f>
        <v/>
      </c>
      <c r="AA492" s="5">
        <f>IF($G492="","",IFERROR(INDEX('CAT_PUESTOS'!$B$4:$B$8,MATCH($G492,'CAT_PUESTOS'!$A$4:$A$8,0)),"(sin catálogo)"))</f>
        <v/>
      </c>
      <c r="AB492" s="5">
        <f>IF($H492="","",IFERROR(INDEX('CAT_ACTIVIDADES'!$B$4:$B$11,MATCH($H492,'CAT_ACTIVIDADES'!$A$4:$A$11,0)),"(sin catálogo)"))</f>
        <v/>
      </c>
      <c r="AC492" s="20">
        <f>IF($J492="","",TODAY()-$J492)</f>
        <v/>
      </c>
      <c r="AD492" s="20">
        <f>IF($J492="","",IF($J492&lt;=TODAY(),COUNTIFS(cal_fechas,"&gt;="&amp;$J492,cal_fechas,"&lt;"&amp;TODAY(),cal_habil,"sí"),-COUNTIFS(cal_fechas,"&gt;="&amp;TODAY(),cal_fechas,"&lt;"&amp;$J492,cal_habil,"sí")))</f>
        <v/>
      </c>
      <c r="AE492" s="5">
        <f>IF($AD492="","",IF($AD492&lt;0,"FUTURO",IF($AD492&gt;p_dias_backlog_max,"BACKLOG","MES CORRIENTE")))</f>
        <v/>
      </c>
      <c r="AF492" s="5">
        <f>IF($AD492="",FALSE,AND($AD492&gt;p_dias_backlog_min,$AD492&lt;=p_dias_backlog_max))</f>
        <v/>
      </c>
      <c r="AG492" s="4" t="n"/>
      <c r="AH492" s="5">
        <f>IF($AG492="","",IF((IFERROR(INDEX('ASIGNACIONES'!$J$4:$J$451,MATCH($O492&amp;"|"&amp;$S492&amp;"|"&amp;$AG492,'ASIGNACIONES'!$N$4:$N$451,0)),""))=0,"",IFERROR(INDEX('ASIGNACIONES'!$J$4:$J$451,MATCH($O492&amp;"|"&amp;$S492&amp;"|"&amp;$AG492,'ASIGNACIONES'!$N$4:$N$451,0)),"")))</f>
        <v/>
      </c>
      <c r="AI492" s="25">
        <f>IF($AG492="","",SUMIFS('ORDENES'!$M$4:$M$1203,'ORDENES'!$AG$4:$AG$1203,$AG492,'ORDENES'!$O$4:$O$1203,$O492,'ORDENES'!$S$4:$S$1203,$S492))</f>
        <v/>
      </c>
      <c r="AJ492" s="25">
        <f>IF($AI492="","",p_factor_productividad*IFERROR(INDEX('ASIGNACIONES'!$M$4:$M$451,MATCH($O492&amp;"|"&amp;$S492&amp;"|"&amp;$AG492,'ASIGNACIONES'!$N$4:$N$451,0)),0)-$AI492)</f>
        <v/>
      </c>
      <c r="AK492" s="18">
        <f>IF($A492="","",IFERROR(INDEX('2_IMPORTAR_EJECUCION'!$F$9:$F$1208,MATCH($AT492,'2_IMPORTAR_EJECUCION'!$J$9:$J$1208,0)),0))</f>
        <v/>
      </c>
      <c r="AL492" s="18">
        <f>IF($A492="","",MAX(0,IFERROR(INDEX('2_IMPORTAR_EJECUCION'!$H$9:$H$1208,MATCH($AT492,'2_IMPORTAR_EJECUCION'!$J$9:$J$1208,0)),0)-$AK492))</f>
        <v/>
      </c>
      <c r="AM492" s="18">
        <f>IF($A492="","",$AK492+$AL492)</f>
        <v/>
      </c>
      <c r="AN492" s="5">
        <f>IF($A492="","",IF(OR((IFERROR(INDEX('CAT_ACTIVIDADES'!$D$4:$D$11,MATCH($H492,'CAT_ACTIVIDADES'!$A$4:$A$11,0)),""))=0,(IFERROR(INDEX('CAT_ACTIVIDADES'!$D$4:$D$11,MATCH($H492,'CAT_ACTIVIDADES'!$A$4:$A$11,0)),""))=""),"SIN CLASIFICAR",IFERROR(INDEX('CAT_ACTIVIDADES'!$D$4:$D$11,MATCH($H492,'CAT_ACTIVIDADES'!$A$4:$A$11,0)),"")))</f>
        <v/>
      </c>
      <c r="AO492" s="4" t="n"/>
      <c r="AP492" s="4" t="n"/>
      <c r="AQ492" s="4" t="n"/>
      <c r="AR492" s="5">
        <f>IF($AQ492="","",HYPERLINK(p_ruta_base_checklists&amp;$AQ492,"abrir"))</f>
        <v/>
      </c>
      <c r="AS492" s="4" t="n"/>
      <c r="AT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2" t="n"/>
      <c r="K493" s="5" t="n"/>
      <c r="L493" s="18" t="n"/>
      <c r="M493" s="5">
        <f>IF($A493="","",IFERROR(INDEX('AJUSTES'!$B$4:$B$303,MATCH($AT493,'AJUSTES'!$A$4:$A$303,0)),IF($K493="","",$K493)))</f>
        <v/>
      </c>
      <c r="N493" s="5">
        <f>IF($A493="","",IFERROR(INDEX('CAT_ESTADOS_ERP'!$B$4:$B$7,MATCH(IFERROR(INDEX('2_IMPORTAR_EJECUCION'!$C$9:$C$1208,MATCH($AT493,'2_IMPORTAR_EJECUCION'!$J$9:$J$1208,0)),""),'CAT_ESTADOS_ERP'!$A$4:$A$7,0)),"Pendiente"))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IF($J493="","",$P493&amp;"-"&amp;TEXT($Q493,"00"))</f>
        <v/>
      </c>
      <c r="S493" s="5">
        <f>IF($J493="","",INDEX(lista_dias,WEEKDAY($J493,2)))</f>
        <v/>
      </c>
      <c r="T493" s="5">
        <f>IF($J493="","",IFERROR(INDEX('CALENDARIO'!$C$15:$C$214,MATCH(TEXT($J493,"yyyy-mm-dd")&amp;"|"&amp;$X493&amp;"|"&amp;$Y493,'CALENDARIO'!$G$15:$G$214,0)),IFERROR(INDEX('CALENDARIO'!$C$15:$C$214,MATCH(TEXT($J493,"yyyy-mm-dd")&amp;"|"&amp;$X493&amp;"|",'CALENDARIO'!$G$15:$G$214,0)),IFERROR(INDEX('CALENDARIO'!$C$15:$C$214,MATCH(TEXT($J493,"yyyy-mm-dd")&amp;"||",'CALENDARIO'!$G$15:$G$214,0)),INDEX(patronHabil,WEEKDAY($J493,2))))))</f>
        <v/>
      </c>
      <c r="U493" s="5">
        <f>IF($I493="","",IFERROR(INDEX('CAT_TIPOS_OT'!$C$4:$C$8,MATCH($I493,'CAT_TIPOS_OT'!$A$4:$A$8,0)),"sin_clasificar"))</f>
        <v/>
      </c>
      <c r="V493" s="5">
        <f>IF($I493="","",IF(IFERROR(INDEX('CAT_TIPOS_OT'!$D$4:$D$8,MATCH($I493,'CAT_TIPOS_OT'!$A$4:$A$8,0)),"SIN CLASIFICAR")="","SIN CLASIFICAR",IFERROR(INDEX('CAT_TIPOS_OT'!$D$4:$D$8,MATCH($I493,'CAT_TIPOS_OT'!$A$4:$A$8,0)),"SIN CLASIFICAR")))</f>
        <v/>
      </c>
      <c r="W493" s="5">
        <f>IF($F493="","",IFERROR(INDEX('CAT_CENTROS_COSTO'!$F$4:$F$13,MATCH($F493,'CAT_CENTROS_COSTO'!$A$4:$A$13,0)),"(sin catálogo)"))</f>
        <v/>
      </c>
      <c r="X493" s="5">
        <f>IF($F493="","",IFERROR(INDEX('CAT_CENTROS_COSTO'!$D$4:$D$13,MATCH($F493,'CAT_CENTROS_COSTO'!$A$4:$A$13,0)),"(sin catálogo)"))</f>
        <v/>
      </c>
      <c r="Y493" s="5">
        <f>IF($F493="","",IF((IFERROR(INDEX('CAT_CENTROS_COSTO'!$E$4:$E$13,MATCH($F493,'CAT_CENTROS_COSTO'!$A$4:$A$13,0)),""))&lt;&gt;"",IFERROR(INDEX('CAT_CENTROS_COSTO'!$E$4:$E$13,MATCH($F493,'CAT_CENTROS_COSTO'!$A$4:$A$13,0)),""),$X493))</f>
        <v/>
      </c>
      <c r="Z493" s="5">
        <f>IF($F493="","",IFERROR(INDEX('CAT_CENTROS_COSTO'!$G$4:$G$13,MATCH($F493,'CAT_CENTROS_COSTO'!$A$4:$A$13,0)),"(sin catálogo)"))</f>
        <v/>
      </c>
      <c r="AA493" s="5">
        <f>IF($G493="","",IFERROR(INDEX('CAT_PUESTOS'!$B$4:$B$8,MATCH($G493,'CAT_PUESTOS'!$A$4:$A$8,0)),"(sin catálogo)"))</f>
        <v/>
      </c>
      <c r="AB493" s="5">
        <f>IF($H493="","",IFERROR(INDEX('CAT_ACTIVIDADES'!$B$4:$B$11,MATCH($H493,'CAT_ACTIVIDADES'!$A$4:$A$11,0)),"(sin catálogo)"))</f>
        <v/>
      </c>
      <c r="AC493" s="20">
        <f>IF($J493="","",TODAY()-$J493)</f>
        <v/>
      </c>
      <c r="AD493" s="20">
        <f>IF($J493="","",IF($J493&lt;=TODAY(),COUNTIFS(cal_fechas,"&gt;="&amp;$J493,cal_fechas,"&lt;"&amp;TODAY(),cal_habil,"sí"),-COUNTIFS(cal_fechas,"&gt;="&amp;TODAY(),cal_fechas,"&lt;"&amp;$J493,cal_habil,"sí")))</f>
        <v/>
      </c>
      <c r="AE493" s="5">
        <f>IF($AD493="","",IF($AD493&lt;0,"FUTURO",IF($AD493&gt;p_dias_backlog_max,"BACKLOG","MES CORRIENTE")))</f>
        <v/>
      </c>
      <c r="AF493" s="5">
        <f>IF($AD493="",FALSE,AND($AD493&gt;p_dias_backlog_min,$AD493&lt;=p_dias_backlog_max))</f>
        <v/>
      </c>
      <c r="AG493" s="4" t="n"/>
      <c r="AH493" s="5">
        <f>IF($AG493="","",IF((IFERROR(INDEX('ASIGNACIONES'!$J$4:$J$451,MATCH($O493&amp;"|"&amp;$S493&amp;"|"&amp;$AG493,'ASIGNACIONES'!$N$4:$N$451,0)),""))=0,"",IFERROR(INDEX('ASIGNACIONES'!$J$4:$J$451,MATCH($O493&amp;"|"&amp;$S493&amp;"|"&amp;$AG493,'ASIGNACIONES'!$N$4:$N$451,0)),"")))</f>
        <v/>
      </c>
      <c r="AI493" s="25">
        <f>IF($AG493="","",SUMIFS('ORDENES'!$M$4:$M$1203,'ORDENES'!$AG$4:$AG$1203,$AG493,'ORDENES'!$O$4:$O$1203,$O493,'ORDENES'!$S$4:$S$1203,$S493))</f>
        <v/>
      </c>
      <c r="AJ493" s="25">
        <f>IF($AI493="","",p_factor_productividad*IFERROR(INDEX('ASIGNACIONES'!$M$4:$M$451,MATCH($O493&amp;"|"&amp;$S493&amp;"|"&amp;$AG493,'ASIGNACIONES'!$N$4:$N$451,0)),0)-$AI493)</f>
        <v/>
      </c>
      <c r="AK493" s="18">
        <f>IF($A493="","",IFERROR(INDEX('2_IMPORTAR_EJECUCION'!$F$9:$F$1208,MATCH($AT493,'2_IMPORTAR_EJECUCION'!$J$9:$J$1208,0)),0))</f>
        <v/>
      </c>
      <c r="AL493" s="18">
        <f>IF($A493="","",MAX(0,IFERROR(INDEX('2_IMPORTAR_EJECUCION'!$H$9:$H$1208,MATCH($AT493,'2_IMPORTAR_EJECUCION'!$J$9:$J$1208,0)),0)-$AK493))</f>
        <v/>
      </c>
      <c r="AM493" s="18">
        <f>IF($A493="","",$AK493+$AL493)</f>
        <v/>
      </c>
      <c r="AN493" s="5">
        <f>IF($A493="","",IF(OR((IFERROR(INDEX('CAT_ACTIVIDADES'!$D$4:$D$11,MATCH($H493,'CAT_ACTIVIDADES'!$A$4:$A$11,0)),""))=0,(IFERROR(INDEX('CAT_ACTIVIDADES'!$D$4:$D$11,MATCH($H493,'CAT_ACTIVIDADES'!$A$4:$A$11,0)),""))=""),"SIN CLASIFICAR",IFERROR(INDEX('CAT_ACTIVIDADES'!$D$4:$D$11,MATCH($H493,'CAT_ACTIVIDADES'!$A$4:$A$11,0)),"")))</f>
        <v/>
      </c>
      <c r="AO493" s="4" t="n"/>
      <c r="AP493" s="4" t="n"/>
      <c r="AQ493" s="4" t="n"/>
      <c r="AR493" s="5">
        <f>IF($AQ493="","",HYPERLINK(p_ruta_base_checklists&amp;$AQ493,"abrir"))</f>
        <v/>
      </c>
      <c r="AS493" s="4" t="n"/>
      <c r="AT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2" t="n"/>
      <c r="K494" s="5" t="n"/>
      <c r="L494" s="18" t="n"/>
      <c r="M494" s="5">
        <f>IF($A494="","",IFERROR(INDEX('AJUSTES'!$B$4:$B$303,MATCH($AT494,'AJUSTES'!$A$4:$A$303,0)),IF($K494="","",$K494)))</f>
        <v/>
      </c>
      <c r="N494" s="5">
        <f>IF($A494="","",IFERROR(INDEX('CAT_ESTADOS_ERP'!$B$4:$B$7,MATCH(IFERROR(INDEX('2_IMPORTAR_EJECUCION'!$C$9:$C$1208,MATCH($AT494,'2_IMPORTAR_EJECUCION'!$J$9:$J$1208,0)),""),'CAT_ESTADOS_ERP'!$A$4:$A$7,0)),"Pendiente"))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IF($J494="","",$P494&amp;"-"&amp;TEXT($Q494,"00"))</f>
        <v/>
      </c>
      <c r="S494" s="5">
        <f>IF($J494="","",INDEX(lista_dias,WEEKDAY($J494,2)))</f>
        <v/>
      </c>
      <c r="T494" s="5">
        <f>IF($J494="","",IFERROR(INDEX('CALENDARIO'!$C$15:$C$214,MATCH(TEXT($J494,"yyyy-mm-dd")&amp;"|"&amp;$X494&amp;"|"&amp;$Y494,'CALENDARIO'!$G$15:$G$214,0)),IFERROR(INDEX('CALENDARIO'!$C$15:$C$214,MATCH(TEXT($J494,"yyyy-mm-dd")&amp;"|"&amp;$X494&amp;"|",'CALENDARIO'!$G$15:$G$214,0)),IFERROR(INDEX('CALENDARIO'!$C$15:$C$214,MATCH(TEXT($J494,"yyyy-mm-dd")&amp;"||",'CALENDARIO'!$G$15:$G$214,0)),INDEX(patronHabil,WEEKDAY($J494,2))))))</f>
        <v/>
      </c>
      <c r="U494" s="5">
        <f>IF($I494="","",IFERROR(INDEX('CAT_TIPOS_OT'!$C$4:$C$8,MATCH($I494,'CAT_TIPOS_OT'!$A$4:$A$8,0)),"sin_clasificar"))</f>
        <v/>
      </c>
      <c r="V494" s="5">
        <f>IF($I494="","",IF(IFERROR(INDEX('CAT_TIPOS_OT'!$D$4:$D$8,MATCH($I494,'CAT_TIPOS_OT'!$A$4:$A$8,0)),"SIN CLASIFICAR")="","SIN CLASIFICAR",IFERROR(INDEX('CAT_TIPOS_OT'!$D$4:$D$8,MATCH($I494,'CAT_TIPOS_OT'!$A$4:$A$8,0)),"SIN CLASIFICAR")))</f>
        <v/>
      </c>
      <c r="W494" s="5">
        <f>IF($F494="","",IFERROR(INDEX('CAT_CENTROS_COSTO'!$F$4:$F$13,MATCH($F494,'CAT_CENTROS_COSTO'!$A$4:$A$13,0)),"(sin catálogo)"))</f>
        <v/>
      </c>
      <c r="X494" s="5">
        <f>IF($F494="","",IFERROR(INDEX('CAT_CENTROS_COSTO'!$D$4:$D$13,MATCH($F494,'CAT_CENTROS_COSTO'!$A$4:$A$13,0)),"(sin catálogo)"))</f>
        <v/>
      </c>
      <c r="Y494" s="5">
        <f>IF($F494="","",IF((IFERROR(INDEX('CAT_CENTROS_COSTO'!$E$4:$E$13,MATCH($F494,'CAT_CENTROS_COSTO'!$A$4:$A$13,0)),""))&lt;&gt;"",IFERROR(INDEX('CAT_CENTROS_COSTO'!$E$4:$E$13,MATCH($F494,'CAT_CENTROS_COSTO'!$A$4:$A$13,0)),""),$X494))</f>
        <v/>
      </c>
      <c r="Z494" s="5">
        <f>IF($F494="","",IFERROR(INDEX('CAT_CENTROS_COSTO'!$G$4:$G$13,MATCH($F494,'CAT_CENTROS_COSTO'!$A$4:$A$13,0)),"(sin catálogo)"))</f>
        <v/>
      </c>
      <c r="AA494" s="5">
        <f>IF($G494="","",IFERROR(INDEX('CAT_PUESTOS'!$B$4:$B$8,MATCH($G494,'CAT_PUESTOS'!$A$4:$A$8,0)),"(sin catálogo)"))</f>
        <v/>
      </c>
      <c r="AB494" s="5">
        <f>IF($H494="","",IFERROR(INDEX('CAT_ACTIVIDADES'!$B$4:$B$11,MATCH($H494,'CAT_ACTIVIDADES'!$A$4:$A$11,0)),"(sin catálogo)"))</f>
        <v/>
      </c>
      <c r="AC494" s="20">
        <f>IF($J494="","",TODAY()-$J494)</f>
        <v/>
      </c>
      <c r="AD494" s="20">
        <f>IF($J494="","",IF($J494&lt;=TODAY(),COUNTIFS(cal_fechas,"&gt;="&amp;$J494,cal_fechas,"&lt;"&amp;TODAY(),cal_habil,"sí"),-COUNTIFS(cal_fechas,"&gt;="&amp;TODAY(),cal_fechas,"&lt;"&amp;$J494,cal_habil,"sí")))</f>
        <v/>
      </c>
      <c r="AE494" s="5">
        <f>IF($AD494="","",IF($AD494&lt;0,"FUTURO",IF($AD494&gt;p_dias_backlog_max,"BACKLOG","MES CORRIENTE")))</f>
        <v/>
      </c>
      <c r="AF494" s="5">
        <f>IF($AD494="",FALSE,AND($AD494&gt;p_dias_backlog_min,$AD494&lt;=p_dias_backlog_max))</f>
        <v/>
      </c>
      <c r="AG494" s="4" t="n"/>
      <c r="AH494" s="5">
        <f>IF($AG494="","",IF((IFERROR(INDEX('ASIGNACIONES'!$J$4:$J$451,MATCH($O494&amp;"|"&amp;$S494&amp;"|"&amp;$AG494,'ASIGNACIONES'!$N$4:$N$451,0)),""))=0,"",IFERROR(INDEX('ASIGNACIONES'!$J$4:$J$451,MATCH($O494&amp;"|"&amp;$S494&amp;"|"&amp;$AG494,'ASIGNACIONES'!$N$4:$N$451,0)),"")))</f>
        <v/>
      </c>
      <c r="AI494" s="25">
        <f>IF($AG494="","",SUMIFS('ORDENES'!$M$4:$M$1203,'ORDENES'!$AG$4:$AG$1203,$AG494,'ORDENES'!$O$4:$O$1203,$O494,'ORDENES'!$S$4:$S$1203,$S494))</f>
        <v/>
      </c>
      <c r="AJ494" s="25">
        <f>IF($AI494="","",p_factor_productividad*IFERROR(INDEX('ASIGNACIONES'!$M$4:$M$451,MATCH($O494&amp;"|"&amp;$S494&amp;"|"&amp;$AG494,'ASIGNACIONES'!$N$4:$N$451,0)),0)-$AI494)</f>
        <v/>
      </c>
      <c r="AK494" s="18">
        <f>IF($A494="","",IFERROR(INDEX('2_IMPORTAR_EJECUCION'!$F$9:$F$1208,MATCH($AT494,'2_IMPORTAR_EJECUCION'!$J$9:$J$1208,0)),0))</f>
        <v/>
      </c>
      <c r="AL494" s="18">
        <f>IF($A494="","",MAX(0,IFERROR(INDEX('2_IMPORTAR_EJECUCION'!$H$9:$H$1208,MATCH($AT494,'2_IMPORTAR_EJECUCION'!$J$9:$J$1208,0)),0)-$AK494))</f>
        <v/>
      </c>
      <c r="AM494" s="18">
        <f>IF($A494="","",$AK494+$AL494)</f>
        <v/>
      </c>
      <c r="AN494" s="5">
        <f>IF($A494="","",IF(OR((IFERROR(INDEX('CAT_ACTIVIDADES'!$D$4:$D$11,MATCH($H494,'CAT_ACTIVIDADES'!$A$4:$A$11,0)),""))=0,(IFERROR(INDEX('CAT_ACTIVIDADES'!$D$4:$D$11,MATCH($H494,'CAT_ACTIVIDADES'!$A$4:$A$11,0)),""))=""),"SIN CLASIFICAR",IFERROR(INDEX('CAT_ACTIVIDADES'!$D$4:$D$11,MATCH($H494,'CAT_ACTIVIDADES'!$A$4:$A$11,0)),"")))</f>
        <v/>
      </c>
      <c r="AO494" s="4" t="n"/>
      <c r="AP494" s="4" t="n"/>
      <c r="AQ494" s="4" t="n"/>
      <c r="AR494" s="5">
        <f>IF($AQ494="","",HYPERLINK(p_ruta_base_checklists&amp;$AQ494,"abrir"))</f>
        <v/>
      </c>
      <c r="AS494" s="4" t="n"/>
      <c r="AT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2" t="n"/>
      <c r="K495" s="5" t="n"/>
      <c r="L495" s="18" t="n"/>
      <c r="M495" s="5">
        <f>IF($A495="","",IFERROR(INDEX('AJUSTES'!$B$4:$B$303,MATCH($AT495,'AJUSTES'!$A$4:$A$303,0)),IF($K495="","",$K495)))</f>
        <v/>
      </c>
      <c r="N495" s="5">
        <f>IF($A495="","",IFERROR(INDEX('CAT_ESTADOS_ERP'!$B$4:$B$7,MATCH(IFERROR(INDEX('2_IMPORTAR_EJECUCION'!$C$9:$C$1208,MATCH($AT495,'2_IMPORTAR_EJECUCION'!$J$9:$J$1208,0)),""),'CAT_ESTADOS_ERP'!$A$4:$A$7,0)),"Pendiente"))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IF($J495="","",$P495&amp;"-"&amp;TEXT($Q495,"00"))</f>
        <v/>
      </c>
      <c r="S495" s="5">
        <f>IF($J495="","",INDEX(lista_dias,WEEKDAY($J495,2)))</f>
        <v/>
      </c>
      <c r="T495" s="5">
        <f>IF($J495="","",IFERROR(INDEX('CALENDARIO'!$C$15:$C$214,MATCH(TEXT($J495,"yyyy-mm-dd")&amp;"|"&amp;$X495&amp;"|"&amp;$Y495,'CALENDARIO'!$G$15:$G$214,0)),IFERROR(INDEX('CALENDARIO'!$C$15:$C$214,MATCH(TEXT($J495,"yyyy-mm-dd")&amp;"|"&amp;$X495&amp;"|",'CALENDARIO'!$G$15:$G$214,0)),IFERROR(INDEX('CALENDARIO'!$C$15:$C$214,MATCH(TEXT($J495,"yyyy-mm-dd")&amp;"||",'CALENDARIO'!$G$15:$G$214,0)),INDEX(patronHabil,WEEKDAY($J495,2))))))</f>
        <v/>
      </c>
      <c r="U495" s="5">
        <f>IF($I495="","",IFERROR(INDEX('CAT_TIPOS_OT'!$C$4:$C$8,MATCH($I495,'CAT_TIPOS_OT'!$A$4:$A$8,0)),"sin_clasificar"))</f>
        <v/>
      </c>
      <c r="V495" s="5">
        <f>IF($I495="","",IF(IFERROR(INDEX('CAT_TIPOS_OT'!$D$4:$D$8,MATCH($I495,'CAT_TIPOS_OT'!$A$4:$A$8,0)),"SIN CLASIFICAR")="","SIN CLASIFICAR",IFERROR(INDEX('CAT_TIPOS_OT'!$D$4:$D$8,MATCH($I495,'CAT_TIPOS_OT'!$A$4:$A$8,0)),"SIN CLASIFICAR")))</f>
        <v/>
      </c>
      <c r="W495" s="5">
        <f>IF($F495="","",IFERROR(INDEX('CAT_CENTROS_COSTO'!$F$4:$F$13,MATCH($F495,'CAT_CENTROS_COSTO'!$A$4:$A$13,0)),"(sin catálogo)"))</f>
        <v/>
      </c>
      <c r="X495" s="5">
        <f>IF($F495="","",IFERROR(INDEX('CAT_CENTROS_COSTO'!$D$4:$D$13,MATCH($F495,'CAT_CENTROS_COSTO'!$A$4:$A$13,0)),"(sin catálogo)"))</f>
        <v/>
      </c>
      <c r="Y495" s="5">
        <f>IF($F495="","",IF((IFERROR(INDEX('CAT_CENTROS_COSTO'!$E$4:$E$13,MATCH($F495,'CAT_CENTROS_COSTO'!$A$4:$A$13,0)),""))&lt;&gt;"",IFERROR(INDEX('CAT_CENTROS_COSTO'!$E$4:$E$13,MATCH($F495,'CAT_CENTROS_COSTO'!$A$4:$A$13,0)),""),$X495))</f>
        <v/>
      </c>
      <c r="Z495" s="5">
        <f>IF($F495="","",IFERROR(INDEX('CAT_CENTROS_COSTO'!$G$4:$G$13,MATCH($F495,'CAT_CENTROS_COSTO'!$A$4:$A$13,0)),"(sin catálogo)"))</f>
        <v/>
      </c>
      <c r="AA495" s="5">
        <f>IF($G495="","",IFERROR(INDEX('CAT_PUESTOS'!$B$4:$B$8,MATCH($G495,'CAT_PUESTOS'!$A$4:$A$8,0)),"(sin catálogo)"))</f>
        <v/>
      </c>
      <c r="AB495" s="5">
        <f>IF($H495="","",IFERROR(INDEX('CAT_ACTIVIDADES'!$B$4:$B$11,MATCH($H495,'CAT_ACTIVIDADES'!$A$4:$A$11,0)),"(sin catálogo)"))</f>
        <v/>
      </c>
      <c r="AC495" s="20">
        <f>IF($J495="","",TODAY()-$J495)</f>
        <v/>
      </c>
      <c r="AD495" s="20">
        <f>IF($J495="","",IF($J495&lt;=TODAY(),COUNTIFS(cal_fechas,"&gt;="&amp;$J495,cal_fechas,"&lt;"&amp;TODAY(),cal_habil,"sí"),-COUNTIFS(cal_fechas,"&gt;="&amp;TODAY(),cal_fechas,"&lt;"&amp;$J495,cal_habil,"sí")))</f>
        <v/>
      </c>
      <c r="AE495" s="5">
        <f>IF($AD495="","",IF($AD495&lt;0,"FUTURO",IF($AD495&gt;p_dias_backlog_max,"BACKLOG","MES CORRIENTE")))</f>
        <v/>
      </c>
      <c r="AF495" s="5">
        <f>IF($AD495="",FALSE,AND($AD495&gt;p_dias_backlog_min,$AD495&lt;=p_dias_backlog_max))</f>
        <v/>
      </c>
      <c r="AG495" s="4" t="n"/>
      <c r="AH495" s="5">
        <f>IF($AG495="","",IF((IFERROR(INDEX('ASIGNACIONES'!$J$4:$J$451,MATCH($O495&amp;"|"&amp;$S495&amp;"|"&amp;$AG495,'ASIGNACIONES'!$N$4:$N$451,0)),""))=0,"",IFERROR(INDEX('ASIGNACIONES'!$J$4:$J$451,MATCH($O495&amp;"|"&amp;$S495&amp;"|"&amp;$AG495,'ASIGNACIONES'!$N$4:$N$451,0)),"")))</f>
        <v/>
      </c>
      <c r="AI495" s="25">
        <f>IF($AG495="","",SUMIFS('ORDENES'!$M$4:$M$1203,'ORDENES'!$AG$4:$AG$1203,$AG495,'ORDENES'!$O$4:$O$1203,$O495,'ORDENES'!$S$4:$S$1203,$S495))</f>
        <v/>
      </c>
      <c r="AJ495" s="25">
        <f>IF($AI495="","",p_factor_productividad*IFERROR(INDEX('ASIGNACIONES'!$M$4:$M$451,MATCH($O495&amp;"|"&amp;$S495&amp;"|"&amp;$AG495,'ASIGNACIONES'!$N$4:$N$451,0)),0)-$AI495)</f>
        <v/>
      </c>
      <c r="AK495" s="18">
        <f>IF($A495="","",IFERROR(INDEX('2_IMPORTAR_EJECUCION'!$F$9:$F$1208,MATCH($AT495,'2_IMPORTAR_EJECUCION'!$J$9:$J$1208,0)),0))</f>
        <v/>
      </c>
      <c r="AL495" s="18">
        <f>IF($A495="","",MAX(0,IFERROR(INDEX('2_IMPORTAR_EJECUCION'!$H$9:$H$1208,MATCH($AT495,'2_IMPORTAR_EJECUCION'!$J$9:$J$1208,0)),0)-$AK495))</f>
        <v/>
      </c>
      <c r="AM495" s="18">
        <f>IF($A495="","",$AK495+$AL495)</f>
        <v/>
      </c>
      <c r="AN495" s="5">
        <f>IF($A495="","",IF(OR((IFERROR(INDEX('CAT_ACTIVIDADES'!$D$4:$D$11,MATCH($H495,'CAT_ACTIVIDADES'!$A$4:$A$11,0)),""))=0,(IFERROR(INDEX('CAT_ACTIVIDADES'!$D$4:$D$11,MATCH($H495,'CAT_ACTIVIDADES'!$A$4:$A$11,0)),""))=""),"SIN CLASIFICAR",IFERROR(INDEX('CAT_ACTIVIDADES'!$D$4:$D$11,MATCH($H495,'CAT_ACTIVIDADES'!$A$4:$A$11,0)),"")))</f>
        <v/>
      </c>
      <c r="AO495" s="4" t="n"/>
      <c r="AP495" s="4" t="n"/>
      <c r="AQ495" s="4" t="n"/>
      <c r="AR495" s="5">
        <f>IF($AQ495="","",HYPERLINK(p_ruta_base_checklists&amp;$AQ495,"abrir"))</f>
        <v/>
      </c>
      <c r="AS495" s="4" t="n"/>
      <c r="AT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2" t="n"/>
      <c r="K496" s="5" t="n"/>
      <c r="L496" s="18" t="n"/>
      <c r="M496" s="5">
        <f>IF($A496="","",IFERROR(INDEX('AJUSTES'!$B$4:$B$303,MATCH($AT496,'AJUSTES'!$A$4:$A$303,0)),IF($K496="","",$K496)))</f>
        <v/>
      </c>
      <c r="N496" s="5">
        <f>IF($A496="","",IFERROR(INDEX('CAT_ESTADOS_ERP'!$B$4:$B$7,MATCH(IFERROR(INDEX('2_IMPORTAR_EJECUCION'!$C$9:$C$1208,MATCH($AT496,'2_IMPORTAR_EJECUCION'!$J$9:$J$1208,0)),""),'CAT_ESTADOS_ERP'!$A$4:$A$7,0)),"Pendiente"))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IF($J496="","",$P496&amp;"-"&amp;TEXT($Q496,"00"))</f>
        <v/>
      </c>
      <c r="S496" s="5">
        <f>IF($J496="","",INDEX(lista_dias,WEEKDAY($J496,2)))</f>
        <v/>
      </c>
      <c r="T496" s="5">
        <f>IF($J496="","",IFERROR(INDEX('CALENDARIO'!$C$15:$C$214,MATCH(TEXT($J496,"yyyy-mm-dd")&amp;"|"&amp;$X496&amp;"|"&amp;$Y496,'CALENDARIO'!$G$15:$G$214,0)),IFERROR(INDEX('CALENDARIO'!$C$15:$C$214,MATCH(TEXT($J496,"yyyy-mm-dd")&amp;"|"&amp;$X496&amp;"|",'CALENDARIO'!$G$15:$G$214,0)),IFERROR(INDEX('CALENDARIO'!$C$15:$C$214,MATCH(TEXT($J496,"yyyy-mm-dd")&amp;"||",'CALENDARIO'!$G$15:$G$214,0)),INDEX(patronHabil,WEEKDAY($J496,2))))))</f>
        <v/>
      </c>
      <c r="U496" s="5">
        <f>IF($I496="","",IFERROR(INDEX('CAT_TIPOS_OT'!$C$4:$C$8,MATCH($I496,'CAT_TIPOS_OT'!$A$4:$A$8,0)),"sin_clasificar"))</f>
        <v/>
      </c>
      <c r="V496" s="5">
        <f>IF($I496="","",IF(IFERROR(INDEX('CAT_TIPOS_OT'!$D$4:$D$8,MATCH($I496,'CAT_TIPOS_OT'!$A$4:$A$8,0)),"SIN CLASIFICAR")="","SIN CLASIFICAR",IFERROR(INDEX('CAT_TIPOS_OT'!$D$4:$D$8,MATCH($I496,'CAT_TIPOS_OT'!$A$4:$A$8,0)),"SIN CLASIFICAR")))</f>
        <v/>
      </c>
      <c r="W496" s="5">
        <f>IF($F496="","",IFERROR(INDEX('CAT_CENTROS_COSTO'!$F$4:$F$13,MATCH($F496,'CAT_CENTROS_COSTO'!$A$4:$A$13,0)),"(sin catálogo)"))</f>
        <v/>
      </c>
      <c r="X496" s="5">
        <f>IF($F496="","",IFERROR(INDEX('CAT_CENTROS_COSTO'!$D$4:$D$13,MATCH($F496,'CAT_CENTROS_COSTO'!$A$4:$A$13,0)),"(sin catálogo)"))</f>
        <v/>
      </c>
      <c r="Y496" s="5">
        <f>IF($F496="","",IF((IFERROR(INDEX('CAT_CENTROS_COSTO'!$E$4:$E$13,MATCH($F496,'CAT_CENTROS_COSTO'!$A$4:$A$13,0)),""))&lt;&gt;"",IFERROR(INDEX('CAT_CENTROS_COSTO'!$E$4:$E$13,MATCH($F496,'CAT_CENTROS_COSTO'!$A$4:$A$13,0)),""),$X496))</f>
        <v/>
      </c>
      <c r="Z496" s="5">
        <f>IF($F496="","",IFERROR(INDEX('CAT_CENTROS_COSTO'!$G$4:$G$13,MATCH($F496,'CAT_CENTROS_COSTO'!$A$4:$A$13,0)),"(sin catálogo)"))</f>
        <v/>
      </c>
      <c r="AA496" s="5">
        <f>IF($G496="","",IFERROR(INDEX('CAT_PUESTOS'!$B$4:$B$8,MATCH($G496,'CAT_PUESTOS'!$A$4:$A$8,0)),"(sin catálogo)"))</f>
        <v/>
      </c>
      <c r="AB496" s="5">
        <f>IF($H496="","",IFERROR(INDEX('CAT_ACTIVIDADES'!$B$4:$B$11,MATCH($H496,'CAT_ACTIVIDADES'!$A$4:$A$11,0)),"(sin catálogo)"))</f>
        <v/>
      </c>
      <c r="AC496" s="20">
        <f>IF($J496="","",TODAY()-$J496)</f>
        <v/>
      </c>
      <c r="AD496" s="20">
        <f>IF($J496="","",IF($J496&lt;=TODAY(),COUNTIFS(cal_fechas,"&gt;="&amp;$J496,cal_fechas,"&lt;"&amp;TODAY(),cal_habil,"sí"),-COUNTIFS(cal_fechas,"&gt;="&amp;TODAY(),cal_fechas,"&lt;"&amp;$J496,cal_habil,"sí")))</f>
        <v/>
      </c>
      <c r="AE496" s="5">
        <f>IF($AD496="","",IF($AD496&lt;0,"FUTURO",IF($AD496&gt;p_dias_backlog_max,"BACKLOG","MES CORRIENTE")))</f>
        <v/>
      </c>
      <c r="AF496" s="5">
        <f>IF($AD496="",FALSE,AND($AD496&gt;p_dias_backlog_min,$AD496&lt;=p_dias_backlog_max))</f>
        <v/>
      </c>
      <c r="AG496" s="4" t="n"/>
      <c r="AH496" s="5">
        <f>IF($AG496="","",IF((IFERROR(INDEX('ASIGNACIONES'!$J$4:$J$451,MATCH($O496&amp;"|"&amp;$S496&amp;"|"&amp;$AG496,'ASIGNACIONES'!$N$4:$N$451,0)),""))=0,"",IFERROR(INDEX('ASIGNACIONES'!$J$4:$J$451,MATCH($O496&amp;"|"&amp;$S496&amp;"|"&amp;$AG496,'ASIGNACIONES'!$N$4:$N$451,0)),"")))</f>
        <v/>
      </c>
      <c r="AI496" s="25">
        <f>IF($AG496="","",SUMIFS('ORDENES'!$M$4:$M$1203,'ORDENES'!$AG$4:$AG$1203,$AG496,'ORDENES'!$O$4:$O$1203,$O496,'ORDENES'!$S$4:$S$1203,$S496))</f>
        <v/>
      </c>
      <c r="AJ496" s="25">
        <f>IF($AI496="","",p_factor_productividad*IFERROR(INDEX('ASIGNACIONES'!$M$4:$M$451,MATCH($O496&amp;"|"&amp;$S496&amp;"|"&amp;$AG496,'ASIGNACIONES'!$N$4:$N$451,0)),0)-$AI496)</f>
        <v/>
      </c>
      <c r="AK496" s="18">
        <f>IF($A496="","",IFERROR(INDEX('2_IMPORTAR_EJECUCION'!$F$9:$F$1208,MATCH($AT496,'2_IMPORTAR_EJECUCION'!$J$9:$J$1208,0)),0))</f>
        <v/>
      </c>
      <c r="AL496" s="18">
        <f>IF($A496="","",MAX(0,IFERROR(INDEX('2_IMPORTAR_EJECUCION'!$H$9:$H$1208,MATCH($AT496,'2_IMPORTAR_EJECUCION'!$J$9:$J$1208,0)),0)-$AK496))</f>
        <v/>
      </c>
      <c r="AM496" s="18">
        <f>IF($A496="","",$AK496+$AL496)</f>
        <v/>
      </c>
      <c r="AN496" s="5">
        <f>IF($A496="","",IF(OR((IFERROR(INDEX('CAT_ACTIVIDADES'!$D$4:$D$11,MATCH($H496,'CAT_ACTIVIDADES'!$A$4:$A$11,0)),""))=0,(IFERROR(INDEX('CAT_ACTIVIDADES'!$D$4:$D$11,MATCH($H496,'CAT_ACTIVIDADES'!$A$4:$A$11,0)),""))=""),"SIN CLASIFICAR",IFERROR(INDEX('CAT_ACTIVIDADES'!$D$4:$D$11,MATCH($H496,'CAT_ACTIVIDADES'!$A$4:$A$11,0)),"")))</f>
        <v/>
      </c>
      <c r="AO496" s="4" t="n"/>
      <c r="AP496" s="4" t="n"/>
      <c r="AQ496" s="4" t="n"/>
      <c r="AR496" s="5">
        <f>IF($AQ496="","",HYPERLINK(p_ruta_base_checklists&amp;$AQ496,"abrir"))</f>
        <v/>
      </c>
      <c r="AS496" s="4" t="n"/>
      <c r="AT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2" t="n"/>
      <c r="K497" s="5" t="n"/>
      <c r="L497" s="18" t="n"/>
      <c r="M497" s="5">
        <f>IF($A497="","",IFERROR(INDEX('AJUSTES'!$B$4:$B$303,MATCH($AT497,'AJUSTES'!$A$4:$A$303,0)),IF($K497="","",$K497)))</f>
        <v/>
      </c>
      <c r="N497" s="5">
        <f>IF($A497="","",IFERROR(INDEX('CAT_ESTADOS_ERP'!$B$4:$B$7,MATCH(IFERROR(INDEX('2_IMPORTAR_EJECUCION'!$C$9:$C$1208,MATCH($AT497,'2_IMPORTAR_EJECUCION'!$J$9:$J$1208,0)),""),'CAT_ESTADOS_ERP'!$A$4:$A$7,0)),"Pendiente"))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IF($J497="","",$P497&amp;"-"&amp;TEXT($Q497,"00"))</f>
        <v/>
      </c>
      <c r="S497" s="5">
        <f>IF($J497="","",INDEX(lista_dias,WEEKDAY($J497,2)))</f>
        <v/>
      </c>
      <c r="T497" s="5">
        <f>IF($J497="","",IFERROR(INDEX('CALENDARIO'!$C$15:$C$214,MATCH(TEXT($J497,"yyyy-mm-dd")&amp;"|"&amp;$X497&amp;"|"&amp;$Y497,'CALENDARIO'!$G$15:$G$214,0)),IFERROR(INDEX('CALENDARIO'!$C$15:$C$214,MATCH(TEXT($J497,"yyyy-mm-dd")&amp;"|"&amp;$X497&amp;"|",'CALENDARIO'!$G$15:$G$214,0)),IFERROR(INDEX('CALENDARIO'!$C$15:$C$214,MATCH(TEXT($J497,"yyyy-mm-dd")&amp;"||",'CALENDARIO'!$G$15:$G$214,0)),INDEX(patronHabil,WEEKDAY($J497,2))))))</f>
        <v/>
      </c>
      <c r="U497" s="5">
        <f>IF($I497="","",IFERROR(INDEX('CAT_TIPOS_OT'!$C$4:$C$8,MATCH($I497,'CAT_TIPOS_OT'!$A$4:$A$8,0)),"sin_clasificar"))</f>
        <v/>
      </c>
      <c r="V497" s="5">
        <f>IF($I497="","",IF(IFERROR(INDEX('CAT_TIPOS_OT'!$D$4:$D$8,MATCH($I497,'CAT_TIPOS_OT'!$A$4:$A$8,0)),"SIN CLASIFICAR")="","SIN CLASIFICAR",IFERROR(INDEX('CAT_TIPOS_OT'!$D$4:$D$8,MATCH($I497,'CAT_TIPOS_OT'!$A$4:$A$8,0)),"SIN CLASIFICAR")))</f>
        <v/>
      </c>
      <c r="W497" s="5">
        <f>IF($F497="","",IFERROR(INDEX('CAT_CENTROS_COSTO'!$F$4:$F$13,MATCH($F497,'CAT_CENTROS_COSTO'!$A$4:$A$13,0)),"(sin catálogo)"))</f>
        <v/>
      </c>
      <c r="X497" s="5">
        <f>IF($F497="","",IFERROR(INDEX('CAT_CENTROS_COSTO'!$D$4:$D$13,MATCH($F497,'CAT_CENTROS_COSTO'!$A$4:$A$13,0)),"(sin catálogo)"))</f>
        <v/>
      </c>
      <c r="Y497" s="5">
        <f>IF($F497="","",IF((IFERROR(INDEX('CAT_CENTROS_COSTO'!$E$4:$E$13,MATCH($F497,'CAT_CENTROS_COSTO'!$A$4:$A$13,0)),""))&lt;&gt;"",IFERROR(INDEX('CAT_CENTROS_COSTO'!$E$4:$E$13,MATCH($F497,'CAT_CENTROS_COSTO'!$A$4:$A$13,0)),""),$X497))</f>
        <v/>
      </c>
      <c r="Z497" s="5">
        <f>IF($F497="","",IFERROR(INDEX('CAT_CENTROS_COSTO'!$G$4:$G$13,MATCH($F497,'CAT_CENTROS_COSTO'!$A$4:$A$13,0)),"(sin catálogo)"))</f>
        <v/>
      </c>
      <c r="AA497" s="5">
        <f>IF($G497="","",IFERROR(INDEX('CAT_PUESTOS'!$B$4:$B$8,MATCH($G497,'CAT_PUESTOS'!$A$4:$A$8,0)),"(sin catálogo)"))</f>
        <v/>
      </c>
      <c r="AB497" s="5">
        <f>IF($H497="","",IFERROR(INDEX('CAT_ACTIVIDADES'!$B$4:$B$11,MATCH($H497,'CAT_ACTIVIDADES'!$A$4:$A$11,0)),"(sin catálogo)"))</f>
        <v/>
      </c>
      <c r="AC497" s="20">
        <f>IF($J497="","",TODAY()-$J497)</f>
        <v/>
      </c>
      <c r="AD497" s="20">
        <f>IF($J497="","",IF($J497&lt;=TODAY(),COUNTIFS(cal_fechas,"&gt;="&amp;$J497,cal_fechas,"&lt;"&amp;TODAY(),cal_habil,"sí"),-COUNTIFS(cal_fechas,"&gt;="&amp;TODAY(),cal_fechas,"&lt;"&amp;$J497,cal_habil,"sí")))</f>
        <v/>
      </c>
      <c r="AE497" s="5">
        <f>IF($AD497="","",IF($AD497&lt;0,"FUTURO",IF($AD497&gt;p_dias_backlog_max,"BACKLOG","MES CORRIENTE")))</f>
        <v/>
      </c>
      <c r="AF497" s="5">
        <f>IF($AD497="",FALSE,AND($AD497&gt;p_dias_backlog_min,$AD497&lt;=p_dias_backlog_max))</f>
        <v/>
      </c>
      <c r="AG497" s="4" t="n"/>
      <c r="AH497" s="5">
        <f>IF($AG497="","",IF((IFERROR(INDEX('ASIGNACIONES'!$J$4:$J$451,MATCH($O497&amp;"|"&amp;$S497&amp;"|"&amp;$AG497,'ASIGNACIONES'!$N$4:$N$451,0)),""))=0,"",IFERROR(INDEX('ASIGNACIONES'!$J$4:$J$451,MATCH($O497&amp;"|"&amp;$S497&amp;"|"&amp;$AG497,'ASIGNACIONES'!$N$4:$N$451,0)),"")))</f>
        <v/>
      </c>
      <c r="AI497" s="25">
        <f>IF($AG497="","",SUMIFS('ORDENES'!$M$4:$M$1203,'ORDENES'!$AG$4:$AG$1203,$AG497,'ORDENES'!$O$4:$O$1203,$O497,'ORDENES'!$S$4:$S$1203,$S497))</f>
        <v/>
      </c>
      <c r="AJ497" s="25">
        <f>IF($AI497="","",p_factor_productividad*IFERROR(INDEX('ASIGNACIONES'!$M$4:$M$451,MATCH($O497&amp;"|"&amp;$S497&amp;"|"&amp;$AG497,'ASIGNACIONES'!$N$4:$N$451,0)),0)-$AI497)</f>
        <v/>
      </c>
      <c r="AK497" s="18">
        <f>IF($A497="","",IFERROR(INDEX('2_IMPORTAR_EJECUCION'!$F$9:$F$1208,MATCH($AT497,'2_IMPORTAR_EJECUCION'!$J$9:$J$1208,0)),0))</f>
        <v/>
      </c>
      <c r="AL497" s="18">
        <f>IF($A497="","",MAX(0,IFERROR(INDEX('2_IMPORTAR_EJECUCION'!$H$9:$H$1208,MATCH($AT497,'2_IMPORTAR_EJECUCION'!$J$9:$J$1208,0)),0)-$AK497))</f>
        <v/>
      </c>
      <c r="AM497" s="18">
        <f>IF($A497="","",$AK497+$AL497)</f>
        <v/>
      </c>
      <c r="AN497" s="5">
        <f>IF($A497="","",IF(OR((IFERROR(INDEX('CAT_ACTIVIDADES'!$D$4:$D$11,MATCH($H497,'CAT_ACTIVIDADES'!$A$4:$A$11,0)),""))=0,(IFERROR(INDEX('CAT_ACTIVIDADES'!$D$4:$D$11,MATCH($H497,'CAT_ACTIVIDADES'!$A$4:$A$11,0)),""))=""),"SIN CLASIFICAR",IFERROR(INDEX('CAT_ACTIVIDADES'!$D$4:$D$11,MATCH($H497,'CAT_ACTIVIDADES'!$A$4:$A$11,0)),"")))</f>
        <v/>
      </c>
      <c r="AO497" s="4" t="n"/>
      <c r="AP497" s="4" t="n"/>
      <c r="AQ497" s="4" t="n"/>
      <c r="AR497" s="5">
        <f>IF($AQ497="","",HYPERLINK(p_ruta_base_checklists&amp;$AQ497,"abrir"))</f>
        <v/>
      </c>
      <c r="AS497" s="4" t="n"/>
      <c r="AT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2" t="n"/>
      <c r="K498" s="5" t="n"/>
      <c r="L498" s="18" t="n"/>
      <c r="M498" s="5">
        <f>IF($A498="","",IFERROR(INDEX('AJUSTES'!$B$4:$B$303,MATCH($AT498,'AJUSTES'!$A$4:$A$303,0)),IF($K498="","",$K498)))</f>
        <v/>
      </c>
      <c r="N498" s="5">
        <f>IF($A498="","",IFERROR(INDEX('CAT_ESTADOS_ERP'!$B$4:$B$7,MATCH(IFERROR(INDEX('2_IMPORTAR_EJECUCION'!$C$9:$C$1208,MATCH($AT498,'2_IMPORTAR_EJECUCION'!$J$9:$J$1208,0)),""),'CAT_ESTADOS_ERP'!$A$4:$A$7,0)),"Pendiente"))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IF($J498="","",$P498&amp;"-"&amp;TEXT($Q498,"00"))</f>
        <v/>
      </c>
      <c r="S498" s="5">
        <f>IF($J498="","",INDEX(lista_dias,WEEKDAY($J498,2)))</f>
        <v/>
      </c>
      <c r="T498" s="5">
        <f>IF($J498="","",IFERROR(INDEX('CALENDARIO'!$C$15:$C$214,MATCH(TEXT($J498,"yyyy-mm-dd")&amp;"|"&amp;$X498&amp;"|"&amp;$Y498,'CALENDARIO'!$G$15:$G$214,0)),IFERROR(INDEX('CALENDARIO'!$C$15:$C$214,MATCH(TEXT($J498,"yyyy-mm-dd")&amp;"|"&amp;$X498&amp;"|",'CALENDARIO'!$G$15:$G$214,0)),IFERROR(INDEX('CALENDARIO'!$C$15:$C$214,MATCH(TEXT($J498,"yyyy-mm-dd")&amp;"||",'CALENDARIO'!$G$15:$G$214,0)),INDEX(patronHabil,WEEKDAY($J498,2))))))</f>
        <v/>
      </c>
      <c r="U498" s="5">
        <f>IF($I498="","",IFERROR(INDEX('CAT_TIPOS_OT'!$C$4:$C$8,MATCH($I498,'CAT_TIPOS_OT'!$A$4:$A$8,0)),"sin_clasificar"))</f>
        <v/>
      </c>
      <c r="V498" s="5">
        <f>IF($I498="","",IF(IFERROR(INDEX('CAT_TIPOS_OT'!$D$4:$D$8,MATCH($I498,'CAT_TIPOS_OT'!$A$4:$A$8,0)),"SIN CLASIFICAR")="","SIN CLASIFICAR",IFERROR(INDEX('CAT_TIPOS_OT'!$D$4:$D$8,MATCH($I498,'CAT_TIPOS_OT'!$A$4:$A$8,0)),"SIN CLASIFICAR")))</f>
        <v/>
      </c>
      <c r="W498" s="5">
        <f>IF($F498="","",IFERROR(INDEX('CAT_CENTROS_COSTO'!$F$4:$F$13,MATCH($F498,'CAT_CENTROS_COSTO'!$A$4:$A$13,0)),"(sin catálogo)"))</f>
        <v/>
      </c>
      <c r="X498" s="5">
        <f>IF($F498="","",IFERROR(INDEX('CAT_CENTROS_COSTO'!$D$4:$D$13,MATCH($F498,'CAT_CENTROS_COSTO'!$A$4:$A$13,0)),"(sin catálogo)"))</f>
        <v/>
      </c>
      <c r="Y498" s="5">
        <f>IF($F498="","",IF((IFERROR(INDEX('CAT_CENTROS_COSTO'!$E$4:$E$13,MATCH($F498,'CAT_CENTROS_COSTO'!$A$4:$A$13,0)),""))&lt;&gt;"",IFERROR(INDEX('CAT_CENTROS_COSTO'!$E$4:$E$13,MATCH($F498,'CAT_CENTROS_COSTO'!$A$4:$A$13,0)),""),$X498))</f>
        <v/>
      </c>
      <c r="Z498" s="5">
        <f>IF($F498="","",IFERROR(INDEX('CAT_CENTROS_COSTO'!$G$4:$G$13,MATCH($F498,'CAT_CENTROS_COSTO'!$A$4:$A$13,0)),"(sin catálogo)"))</f>
        <v/>
      </c>
      <c r="AA498" s="5">
        <f>IF($G498="","",IFERROR(INDEX('CAT_PUESTOS'!$B$4:$B$8,MATCH($G498,'CAT_PUESTOS'!$A$4:$A$8,0)),"(sin catálogo)"))</f>
        <v/>
      </c>
      <c r="AB498" s="5">
        <f>IF($H498="","",IFERROR(INDEX('CAT_ACTIVIDADES'!$B$4:$B$11,MATCH($H498,'CAT_ACTIVIDADES'!$A$4:$A$11,0)),"(sin catálogo)"))</f>
        <v/>
      </c>
      <c r="AC498" s="20">
        <f>IF($J498="","",TODAY()-$J498)</f>
        <v/>
      </c>
      <c r="AD498" s="20">
        <f>IF($J498="","",IF($J498&lt;=TODAY(),COUNTIFS(cal_fechas,"&gt;="&amp;$J498,cal_fechas,"&lt;"&amp;TODAY(),cal_habil,"sí"),-COUNTIFS(cal_fechas,"&gt;="&amp;TODAY(),cal_fechas,"&lt;"&amp;$J498,cal_habil,"sí")))</f>
        <v/>
      </c>
      <c r="AE498" s="5">
        <f>IF($AD498="","",IF($AD498&lt;0,"FUTURO",IF($AD498&gt;p_dias_backlog_max,"BACKLOG","MES CORRIENTE")))</f>
        <v/>
      </c>
      <c r="AF498" s="5">
        <f>IF($AD498="",FALSE,AND($AD498&gt;p_dias_backlog_min,$AD498&lt;=p_dias_backlog_max))</f>
        <v/>
      </c>
      <c r="AG498" s="4" t="n"/>
      <c r="AH498" s="5">
        <f>IF($AG498="","",IF((IFERROR(INDEX('ASIGNACIONES'!$J$4:$J$451,MATCH($O498&amp;"|"&amp;$S498&amp;"|"&amp;$AG498,'ASIGNACIONES'!$N$4:$N$451,0)),""))=0,"",IFERROR(INDEX('ASIGNACIONES'!$J$4:$J$451,MATCH($O498&amp;"|"&amp;$S498&amp;"|"&amp;$AG498,'ASIGNACIONES'!$N$4:$N$451,0)),"")))</f>
        <v/>
      </c>
      <c r="AI498" s="25">
        <f>IF($AG498="","",SUMIFS('ORDENES'!$M$4:$M$1203,'ORDENES'!$AG$4:$AG$1203,$AG498,'ORDENES'!$O$4:$O$1203,$O498,'ORDENES'!$S$4:$S$1203,$S498))</f>
        <v/>
      </c>
      <c r="AJ498" s="25">
        <f>IF($AI498="","",p_factor_productividad*IFERROR(INDEX('ASIGNACIONES'!$M$4:$M$451,MATCH($O498&amp;"|"&amp;$S498&amp;"|"&amp;$AG498,'ASIGNACIONES'!$N$4:$N$451,0)),0)-$AI498)</f>
        <v/>
      </c>
      <c r="AK498" s="18">
        <f>IF($A498="","",IFERROR(INDEX('2_IMPORTAR_EJECUCION'!$F$9:$F$1208,MATCH($AT498,'2_IMPORTAR_EJECUCION'!$J$9:$J$1208,0)),0))</f>
        <v/>
      </c>
      <c r="AL498" s="18">
        <f>IF($A498="","",MAX(0,IFERROR(INDEX('2_IMPORTAR_EJECUCION'!$H$9:$H$1208,MATCH($AT498,'2_IMPORTAR_EJECUCION'!$J$9:$J$1208,0)),0)-$AK498))</f>
        <v/>
      </c>
      <c r="AM498" s="18">
        <f>IF($A498="","",$AK498+$AL498)</f>
        <v/>
      </c>
      <c r="AN498" s="5">
        <f>IF($A498="","",IF(OR((IFERROR(INDEX('CAT_ACTIVIDADES'!$D$4:$D$11,MATCH($H498,'CAT_ACTIVIDADES'!$A$4:$A$11,0)),""))=0,(IFERROR(INDEX('CAT_ACTIVIDADES'!$D$4:$D$11,MATCH($H498,'CAT_ACTIVIDADES'!$A$4:$A$11,0)),""))=""),"SIN CLASIFICAR",IFERROR(INDEX('CAT_ACTIVIDADES'!$D$4:$D$11,MATCH($H498,'CAT_ACTIVIDADES'!$A$4:$A$11,0)),"")))</f>
        <v/>
      </c>
      <c r="AO498" s="4" t="n"/>
      <c r="AP498" s="4" t="n"/>
      <c r="AQ498" s="4" t="n"/>
      <c r="AR498" s="5">
        <f>IF($AQ498="","",HYPERLINK(p_ruta_base_checklists&amp;$AQ498,"abrir"))</f>
        <v/>
      </c>
      <c r="AS498" s="4" t="n"/>
      <c r="AT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2" t="n"/>
      <c r="K499" s="5" t="n"/>
      <c r="L499" s="18" t="n"/>
      <c r="M499" s="5">
        <f>IF($A499="","",IFERROR(INDEX('AJUSTES'!$B$4:$B$303,MATCH($AT499,'AJUSTES'!$A$4:$A$303,0)),IF($K499="","",$K499)))</f>
        <v/>
      </c>
      <c r="N499" s="5">
        <f>IF($A499="","",IFERROR(INDEX('CAT_ESTADOS_ERP'!$B$4:$B$7,MATCH(IFERROR(INDEX('2_IMPORTAR_EJECUCION'!$C$9:$C$1208,MATCH($AT499,'2_IMPORTAR_EJECUCION'!$J$9:$J$1208,0)),""),'CAT_ESTADOS_ERP'!$A$4:$A$7,0)),"Pendiente"))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IF($J499="","",$P499&amp;"-"&amp;TEXT($Q499,"00"))</f>
        <v/>
      </c>
      <c r="S499" s="5">
        <f>IF($J499="","",INDEX(lista_dias,WEEKDAY($J499,2)))</f>
        <v/>
      </c>
      <c r="T499" s="5">
        <f>IF($J499="","",IFERROR(INDEX('CALENDARIO'!$C$15:$C$214,MATCH(TEXT($J499,"yyyy-mm-dd")&amp;"|"&amp;$X499&amp;"|"&amp;$Y499,'CALENDARIO'!$G$15:$G$214,0)),IFERROR(INDEX('CALENDARIO'!$C$15:$C$214,MATCH(TEXT($J499,"yyyy-mm-dd")&amp;"|"&amp;$X499&amp;"|",'CALENDARIO'!$G$15:$G$214,0)),IFERROR(INDEX('CALENDARIO'!$C$15:$C$214,MATCH(TEXT($J499,"yyyy-mm-dd")&amp;"||",'CALENDARIO'!$G$15:$G$214,0)),INDEX(patronHabil,WEEKDAY($J499,2))))))</f>
        <v/>
      </c>
      <c r="U499" s="5">
        <f>IF($I499="","",IFERROR(INDEX('CAT_TIPOS_OT'!$C$4:$C$8,MATCH($I499,'CAT_TIPOS_OT'!$A$4:$A$8,0)),"sin_clasificar"))</f>
        <v/>
      </c>
      <c r="V499" s="5">
        <f>IF($I499="","",IF(IFERROR(INDEX('CAT_TIPOS_OT'!$D$4:$D$8,MATCH($I499,'CAT_TIPOS_OT'!$A$4:$A$8,0)),"SIN CLASIFICAR")="","SIN CLASIFICAR",IFERROR(INDEX('CAT_TIPOS_OT'!$D$4:$D$8,MATCH($I499,'CAT_TIPOS_OT'!$A$4:$A$8,0)),"SIN CLASIFICAR")))</f>
        <v/>
      </c>
      <c r="W499" s="5">
        <f>IF($F499="","",IFERROR(INDEX('CAT_CENTROS_COSTO'!$F$4:$F$13,MATCH($F499,'CAT_CENTROS_COSTO'!$A$4:$A$13,0)),"(sin catálogo)"))</f>
        <v/>
      </c>
      <c r="X499" s="5">
        <f>IF($F499="","",IFERROR(INDEX('CAT_CENTROS_COSTO'!$D$4:$D$13,MATCH($F499,'CAT_CENTROS_COSTO'!$A$4:$A$13,0)),"(sin catálogo)"))</f>
        <v/>
      </c>
      <c r="Y499" s="5">
        <f>IF($F499="","",IF((IFERROR(INDEX('CAT_CENTROS_COSTO'!$E$4:$E$13,MATCH($F499,'CAT_CENTROS_COSTO'!$A$4:$A$13,0)),""))&lt;&gt;"",IFERROR(INDEX('CAT_CENTROS_COSTO'!$E$4:$E$13,MATCH($F499,'CAT_CENTROS_COSTO'!$A$4:$A$13,0)),""),$X499))</f>
        <v/>
      </c>
      <c r="Z499" s="5">
        <f>IF($F499="","",IFERROR(INDEX('CAT_CENTROS_COSTO'!$G$4:$G$13,MATCH($F499,'CAT_CENTROS_COSTO'!$A$4:$A$13,0)),"(sin catálogo)"))</f>
        <v/>
      </c>
      <c r="AA499" s="5">
        <f>IF($G499="","",IFERROR(INDEX('CAT_PUESTOS'!$B$4:$B$8,MATCH($G499,'CAT_PUESTOS'!$A$4:$A$8,0)),"(sin catálogo)"))</f>
        <v/>
      </c>
      <c r="AB499" s="5">
        <f>IF($H499="","",IFERROR(INDEX('CAT_ACTIVIDADES'!$B$4:$B$11,MATCH($H499,'CAT_ACTIVIDADES'!$A$4:$A$11,0)),"(sin catálogo)"))</f>
        <v/>
      </c>
      <c r="AC499" s="20">
        <f>IF($J499="","",TODAY()-$J499)</f>
        <v/>
      </c>
      <c r="AD499" s="20">
        <f>IF($J499="","",IF($J499&lt;=TODAY(),COUNTIFS(cal_fechas,"&gt;="&amp;$J499,cal_fechas,"&lt;"&amp;TODAY(),cal_habil,"sí"),-COUNTIFS(cal_fechas,"&gt;="&amp;TODAY(),cal_fechas,"&lt;"&amp;$J499,cal_habil,"sí")))</f>
        <v/>
      </c>
      <c r="AE499" s="5">
        <f>IF($AD499="","",IF($AD499&lt;0,"FUTURO",IF($AD499&gt;p_dias_backlog_max,"BACKLOG","MES CORRIENTE")))</f>
        <v/>
      </c>
      <c r="AF499" s="5">
        <f>IF($AD499="",FALSE,AND($AD499&gt;p_dias_backlog_min,$AD499&lt;=p_dias_backlog_max))</f>
        <v/>
      </c>
      <c r="AG499" s="4" t="n"/>
      <c r="AH499" s="5">
        <f>IF($AG499="","",IF((IFERROR(INDEX('ASIGNACIONES'!$J$4:$J$451,MATCH($O499&amp;"|"&amp;$S499&amp;"|"&amp;$AG499,'ASIGNACIONES'!$N$4:$N$451,0)),""))=0,"",IFERROR(INDEX('ASIGNACIONES'!$J$4:$J$451,MATCH($O499&amp;"|"&amp;$S499&amp;"|"&amp;$AG499,'ASIGNACIONES'!$N$4:$N$451,0)),"")))</f>
        <v/>
      </c>
      <c r="AI499" s="25">
        <f>IF($AG499="","",SUMIFS('ORDENES'!$M$4:$M$1203,'ORDENES'!$AG$4:$AG$1203,$AG499,'ORDENES'!$O$4:$O$1203,$O499,'ORDENES'!$S$4:$S$1203,$S499))</f>
        <v/>
      </c>
      <c r="AJ499" s="25">
        <f>IF($AI499="","",p_factor_productividad*IFERROR(INDEX('ASIGNACIONES'!$M$4:$M$451,MATCH($O499&amp;"|"&amp;$S499&amp;"|"&amp;$AG499,'ASIGNACIONES'!$N$4:$N$451,0)),0)-$AI499)</f>
        <v/>
      </c>
      <c r="AK499" s="18">
        <f>IF($A499="","",IFERROR(INDEX('2_IMPORTAR_EJECUCION'!$F$9:$F$1208,MATCH($AT499,'2_IMPORTAR_EJECUCION'!$J$9:$J$1208,0)),0))</f>
        <v/>
      </c>
      <c r="AL499" s="18">
        <f>IF($A499="","",MAX(0,IFERROR(INDEX('2_IMPORTAR_EJECUCION'!$H$9:$H$1208,MATCH($AT499,'2_IMPORTAR_EJECUCION'!$J$9:$J$1208,0)),0)-$AK499))</f>
        <v/>
      </c>
      <c r="AM499" s="18">
        <f>IF($A499="","",$AK499+$AL499)</f>
        <v/>
      </c>
      <c r="AN499" s="5">
        <f>IF($A499="","",IF(OR((IFERROR(INDEX('CAT_ACTIVIDADES'!$D$4:$D$11,MATCH($H499,'CAT_ACTIVIDADES'!$A$4:$A$11,0)),""))=0,(IFERROR(INDEX('CAT_ACTIVIDADES'!$D$4:$D$11,MATCH($H499,'CAT_ACTIVIDADES'!$A$4:$A$11,0)),""))=""),"SIN CLASIFICAR",IFERROR(INDEX('CAT_ACTIVIDADES'!$D$4:$D$11,MATCH($H499,'CAT_ACTIVIDADES'!$A$4:$A$11,0)),"")))</f>
        <v/>
      </c>
      <c r="AO499" s="4" t="n"/>
      <c r="AP499" s="4" t="n"/>
      <c r="AQ499" s="4" t="n"/>
      <c r="AR499" s="5">
        <f>IF($AQ499="","",HYPERLINK(p_ruta_base_checklists&amp;$AQ499,"abrir"))</f>
        <v/>
      </c>
      <c r="AS499" s="4" t="n"/>
      <c r="AT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2" t="n"/>
      <c r="K500" s="5" t="n"/>
      <c r="L500" s="18" t="n"/>
      <c r="M500" s="5">
        <f>IF($A500="","",IFERROR(INDEX('AJUSTES'!$B$4:$B$303,MATCH($AT500,'AJUSTES'!$A$4:$A$303,0)),IF($K500="","",$K500)))</f>
        <v/>
      </c>
      <c r="N500" s="5">
        <f>IF($A500="","",IFERROR(INDEX('CAT_ESTADOS_ERP'!$B$4:$B$7,MATCH(IFERROR(INDEX('2_IMPORTAR_EJECUCION'!$C$9:$C$1208,MATCH($AT500,'2_IMPORTAR_EJECUCION'!$J$9:$J$1208,0)),""),'CAT_ESTADOS_ERP'!$A$4:$A$7,0)),"Pendiente"))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IF($J500="","",$P500&amp;"-"&amp;TEXT($Q500,"00"))</f>
        <v/>
      </c>
      <c r="S500" s="5">
        <f>IF($J500="","",INDEX(lista_dias,WEEKDAY($J500,2)))</f>
        <v/>
      </c>
      <c r="T500" s="5">
        <f>IF($J500="","",IFERROR(INDEX('CALENDARIO'!$C$15:$C$214,MATCH(TEXT($J500,"yyyy-mm-dd")&amp;"|"&amp;$X500&amp;"|"&amp;$Y500,'CALENDARIO'!$G$15:$G$214,0)),IFERROR(INDEX('CALENDARIO'!$C$15:$C$214,MATCH(TEXT($J500,"yyyy-mm-dd")&amp;"|"&amp;$X500&amp;"|",'CALENDARIO'!$G$15:$G$214,0)),IFERROR(INDEX('CALENDARIO'!$C$15:$C$214,MATCH(TEXT($J500,"yyyy-mm-dd")&amp;"||",'CALENDARIO'!$G$15:$G$214,0)),INDEX(patronHabil,WEEKDAY($J500,2))))))</f>
        <v/>
      </c>
      <c r="U500" s="5">
        <f>IF($I500="","",IFERROR(INDEX('CAT_TIPOS_OT'!$C$4:$C$8,MATCH($I500,'CAT_TIPOS_OT'!$A$4:$A$8,0)),"sin_clasificar"))</f>
        <v/>
      </c>
      <c r="V500" s="5">
        <f>IF($I500="","",IF(IFERROR(INDEX('CAT_TIPOS_OT'!$D$4:$D$8,MATCH($I500,'CAT_TIPOS_OT'!$A$4:$A$8,0)),"SIN CLASIFICAR")="","SIN CLASIFICAR",IFERROR(INDEX('CAT_TIPOS_OT'!$D$4:$D$8,MATCH($I500,'CAT_TIPOS_OT'!$A$4:$A$8,0)),"SIN CLASIFICAR")))</f>
        <v/>
      </c>
      <c r="W500" s="5">
        <f>IF($F500="","",IFERROR(INDEX('CAT_CENTROS_COSTO'!$F$4:$F$13,MATCH($F500,'CAT_CENTROS_COSTO'!$A$4:$A$13,0)),"(sin catálogo)"))</f>
        <v/>
      </c>
      <c r="X500" s="5">
        <f>IF($F500="","",IFERROR(INDEX('CAT_CENTROS_COSTO'!$D$4:$D$13,MATCH($F500,'CAT_CENTROS_COSTO'!$A$4:$A$13,0)),"(sin catálogo)"))</f>
        <v/>
      </c>
      <c r="Y500" s="5">
        <f>IF($F500="","",IF((IFERROR(INDEX('CAT_CENTROS_COSTO'!$E$4:$E$13,MATCH($F500,'CAT_CENTROS_COSTO'!$A$4:$A$13,0)),""))&lt;&gt;"",IFERROR(INDEX('CAT_CENTROS_COSTO'!$E$4:$E$13,MATCH($F500,'CAT_CENTROS_COSTO'!$A$4:$A$13,0)),""),$X500))</f>
        <v/>
      </c>
      <c r="Z500" s="5">
        <f>IF($F500="","",IFERROR(INDEX('CAT_CENTROS_COSTO'!$G$4:$G$13,MATCH($F500,'CAT_CENTROS_COSTO'!$A$4:$A$13,0)),"(sin catálogo)"))</f>
        <v/>
      </c>
      <c r="AA500" s="5">
        <f>IF($G500="","",IFERROR(INDEX('CAT_PUESTOS'!$B$4:$B$8,MATCH($G500,'CAT_PUESTOS'!$A$4:$A$8,0)),"(sin catálogo)"))</f>
        <v/>
      </c>
      <c r="AB500" s="5">
        <f>IF($H500="","",IFERROR(INDEX('CAT_ACTIVIDADES'!$B$4:$B$11,MATCH($H500,'CAT_ACTIVIDADES'!$A$4:$A$11,0)),"(sin catálogo)"))</f>
        <v/>
      </c>
      <c r="AC500" s="20">
        <f>IF($J500="","",TODAY()-$J500)</f>
        <v/>
      </c>
      <c r="AD500" s="20">
        <f>IF($J500="","",IF($J500&lt;=TODAY(),COUNTIFS(cal_fechas,"&gt;="&amp;$J500,cal_fechas,"&lt;"&amp;TODAY(),cal_habil,"sí"),-COUNTIFS(cal_fechas,"&gt;="&amp;TODAY(),cal_fechas,"&lt;"&amp;$J500,cal_habil,"sí")))</f>
        <v/>
      </c>
      <c r="AE500" s="5">
        <f>IF($AD500="","",IF($AD500&lt;0,"FUTURO",IF($AD500&gt;p_dias_backlog_max,"BACKLOG","MES CORRIENTE")))</f>
        <v/>
      </c>
      <c r="AF500" s="5">
        <f>IF($AD500="",FALSE,AND($AD500&gt;p_dias_backlog_min,$AD500&lt;=p_dias_backlog_max))</f>
        <v/>
      </c>
      <c r="AG500" s="4" t="n"/>
      <c r="AH500" s="5">
        <f>IF($AG500="","",IF((IFERROR(INDEX('ASIGNACIONES'!$J$4:$J$451,MATCH($O500&amp;"|"&amp;$S500&amp;"|"&amp;$AG500,'ASIGNACIONES'!$N$4:$N$451,0)),""))=0,"",IFERROR(INDEX('ASIGNACIONES'!$J$4:$J$451,MATCH($O500&amp;"|"&amp;$S500&amp;"|"&amp;$AG500,'ASIGNACIONES'!$N$4:$N$451,0)),"")))</f>
        <v/>
      </c>
      <c r="AI500" s="25">
        <f>IF($AG500="","",SUMIFS('ORDENES'!$M$4:$M$1203,'ORDENES'!$AG$4:$AG$1203,$AG500,'ORDENES'!$O$4:$O$1203,$O500,'ORDENES'!$S$4:$S$1203,$S500))</f>
        <v/>
      </c>
      <c r="AJ500" s="25">
        <f>IF($AI500="","",p_factor_productividad*IFERROR(INDEX('ASIGNACIONES'!$M$4:$M$451,MATCH($O500&amp;"|"&amp;$S500&amp;"|"&amp;$AG500,'ASIGNACIONES'!$N$4:$N$451,0)),0)-$AI500)</f>
        <v/>
      </c>
      <c r="AK500" s="18">
        <f>IF($A500="","",IFERROR(INDEX('2_IMPORTAR_EJECUCION'!$F$9:$F$1208,MATCH($AT500,'2_IMPORTAR_EJECUCION'!$J$9:$J$1208,0)),0))</f>
        <v/>
      </c>
      <c r="AL500" s="18">
        <f>IF($A500="","",MAX(0,IFERROR(INDEX('2_IMPORTAR_EJECUCION'!$H$9:$H$1208,MATCH($AT500,'2_IMPORTAR_EJECUCION'!$J$9:$J$1208,0)),0)-$AK500))</f>
        <v/>
      </c>
      <c r="AM500" s="18">
        <f>IF($A500="","",$AK500+$AL500)</f>
        <v/>
      </c>
      <c r="AN500" s="5">
        <f>IF($A500="","",IF(OR((IFERROR(INDEX('CAT_ACTIVIDADES'!$D$4:$D$11,MATCH($H500,'CAT_ACTIVIDADES'!$A$4:$A$11,0)),""))=0,(IFERROR(INDEX('CAT_ACTIVIDADES'!$D$4:$D$11,MATCH($H500,'CAT_ACTIVIDADES'!$A$4:$A$11,0)),""))=""),"SIN CLASIFICAR",IFERROR(INDEX('CAT_ACTIVIDADES'!$D$4:$D$11,MATCH($H500,'CAT_ACTIVIDADES'!$A$4:$A$11,0)),"")))</f>
        <v/>
      </c>
      <c r="AO500" s="4" t="n"/>
      <c r="AP500" s="4" t="n"/>
      <c r="AQ500" s="4" t="n"/>
      <c r="AR500" s="5">
        <f>IF($AQ500="","",HYPERLINK(p_ruta_base_checklists&amp;$AQ500,"abrir"))</f>
        <v/>
      </c>
      <c r="AS500" s="4" t="n"/>
      <c r="AT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2" t="n"/>
      <c r="K501" s="5" t="n"/>
      <c r="L501" s="18" t="n"/>
      <c r="M501" s="5">
        <f>IF($A501="","",IFERROR(INDEX('AJUSTES'!$B$4:$B$303,MATCH($AT501,'AJUSTES'!$A$4:$A$303,0)),IF($K501="","",$K501)))</f>
        <v/>
      </c>
      <c r="N501" s="5">
        <f>IF($A501="","",IFERROR(INDEX('CAT_ESTADOS_ERP'!$B$4:$B$7,MATCH(IFERROR(INDEX('2_IMPORTAR_EJECUCION'!$C$9:$C$1208,MATCH($AT501,'2_IMPORTAR_EJECUCION'!$J$9:$J$1208,0)),""),'CAT_ESTADOS_ERP'!$A$4:$A$7,0)),"Pendiente"))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IF($J501="","",$P501&amp;"-"&amp;TEXT($Q501,"00"))</f>
        <v/>
      </c>
      <c r="S501" s="5">
        <f>IF($J501="","",INDEX(lista_dias,WEEKDAY($J501,2)))</f>
        <v/>
      </c>
      <c r="T501" s="5">
        <f>IF($J501="","",IFERROR(INDEX('CALENDARIO'!$C$15:$C$214,MATCH(TEXT($J501,"yyyy-mm-dd")&amp;"|"&amp;$X501&amp;"|"&amp;$Y501,'CALENDARIO'!$G$15:$G$214,0)),IFERROR(INDEX('CALENDARIO'!$C$15:$C$214,MATCH(TEXT($J501,"yyyy-mm-dd")&amp;"|"&amp;$X501&amp;"|",'CALENDARIO'!$G$15:$G$214,0)),IFERROR(INDEX('CALENDARIO'!$C$15:$C$214,MATCH(TEXT($J501,"yyyy-mm-dd")&amp;"||",'CALENDARIO'!$G$15:$G$214,0)),INDEX(patronHabil,WEEKDAY($J501,2))))))</f>
        <v/>
      </c>
      <c r="U501" s="5">
        <f>IF($I501="","",IFERROR(INDEX('CAT_TIPOS_OT'!$C$4:$C$8,MATCH($I501,'CAT_TIPOS_OT'!$A$4:$A$8,0)),"sin_clasificar"))</f>
        <v/>
      </c>
      <c r="V501" s="5">
        <f>IF($I501="","",IF(IFERROR(INDEX('CAT_TIPOS_OT'!$D$4:$D$8,MATCH($I501,'CAT_TIPOS_OT'!$A$4:$A$8,0)),"SIN CLASIFICAR")="","SIN CLASIFICAR",IFERROR(INDEX('CAT_TIPOS_OT'!$D$4:$D$8,MATCH($I501,'CAT_TIPOS_OT'!$A$4:$A$8,0)),"SIN CLASIFICAR")))</f>
        <v/>
      </c>
      <c r="W501" s="5">
        <f>IF($F501="","",IFERROR(INDEX('CAT_CENTROS_COSTO'!$F$4:$F$13,MATCH($F501,'CAT_CENTROS_COSTO'!$A$4:$A$13,0)),"(sin catálogo)"))</f>
        <v/>
      </c>
      <c r="X501" s="5">
        <f>IF($F501="","",IFERROR(INDEX('CAT_CENTROS_COSTO'!$D$4:$D$13,MATCH($F501,'CAT_CENTROS_COSTO'!$A$4:$A$13,0)),"(sin catálogo)"))</f>
        <v/>
      </c>
      <c r="Y501" s="5">
        <f>IF($F501="","",IF((IFERROR(INDEX('CAT_CENTROS_COSTO'!$E$4:$E$13,MATCH($F501,'CAT_CENTROS_COSTO'!$A$4:$A$13,0)),""))&lt;&gt;"",IFERROR(INDEX('CAT_CENTROS_COSTO'!$E$4:$E$13,MATCH($F501,'CAT_CENTROS_COSTO'!$A$4:$A$13,0)),""),$X501))</f>
        <v/>
      </c>
      <c r="Z501" s="5">
        <f>IF($F501="","",IFERROR(INDEX('CAT_CENTROS_COSTO'!$G$4:$G$13,MATCH($F501,'CAT_CENTROS_COSTO'!$A$4:$A$13,0)),"(sin catálogo)"))</f>
        <v/>
      </c>
      <c r="AA501" s="5">
        <f>IF($G501="","",IFERROR(INDEX('CAT_PUESTOS'!$B$4:$B$8,MATCH($G501,'CAT_PUESTOS'!$A$4:$A$8,0)),"(sin catálogo)"))</f>
        <v/>
      </c>
      <c r="AB501" s="5">
        <f>IF($H501="","",IFERROR(INDEX('CAT_ACTIVIDADES'!$B$4:$B$11,MATCH($H501,'CAT_ACTIVIDADES'!$A$4:$A$11,0)),"(sin catálogo)"))</f>
        <v/>
      </c>
      <c r="AC501" s="20">
        <f>IF($J501="","",TODAY()-$J501)</f>
        <v/>
      </c>
      <c r="AD501" s="20">
        <f>IF($J501="","",IF($J501&lt;=TODAY(),COUNTIFS(cal_fechas,"&gt;="&amp;$J501,cal_fechas,"&lt;"&amp;TODAY(),cal_habil,"sí"),-COUNTIFS(cal_fechas,"&gt;="&amp;TODAY(),cal_fechas,"&lt;"&amp;$J501,cal_habil,"sí")))</f>
        <v/>
      </c>
      <c r="AE501" s="5">
        <f>IF($AD501="","",IF($AD501&lt;0,"FUTURO",IF($AD501&gt;p_dias_backlog_max,"BACKLOG","MES CORRIENTE")))</f>
        <v/>
      </c>
      <c r="AF501" s="5">
        <f>IF($AD501="",FALSE,AND($AD501&gt;p_dias_backlog_min,$AD501&lt;=p_dias_backlog_max))</f>
        <v/>
      </c>
      <c r="AG501" s="4" t="n"/>
      <c r="AH501" s="5">
        <f>IF($AG501="","",IF((IFERROR(INDEX('ASIGNACIONES'!$J$4:$J$451,MATCH($O501&amp;"|"&amp;$S501&amp;"|"&amp;$AG501,'ASIGNACIONES'!$N$4:$N$451,0)),""))=0,"",IFERROR(INDEX('ASIGNACIONES'!$J$4:$J$451,MATCH($O501&amp;"|"&amp;$S501&amp;"|"&amp;$AG501,'ASIGNACIONES'!$N$4:$N$451,0)),"")))</f>
        <v/>
      </c>
      <c r="AI501" s="25">
        <f>IF($AG501="","",SUMIFS('ORDENES'!$M$4:$M$1203,'ORDENES'!$AG$4:$AG$1203,$AG501,'ORDENES'!$O$4:$O$1203,$O501,'ORDENES'!$S$4:$S$1203,$S501))</f>
        <v/>
      </c>
      <c r="AJ501" s="25">
        <f>IF($AI501="","",p_factor_productividad*IFERROR(INDEX('ASIGNACIONES'!$M$4:$M$451,MATCH($O501&amp;"|"&amp;$S501&amp;"|"&amp;$AG501,'ASIGNACIONES'!$N$4:$N$451,0)),0)-$AI501)</f>
        <v/>
      </c>
      <c r="AK501" s="18">
        <f>IF($A501="","",IFERROR(INDEX('2_IMPORTAR_EJECUCION'!$F$9:$F$1208,MATCH($AT501,'2_IMPORTAR_EJECUCION'!$J$9:$J$1208,0)),0))</f>
        <v/>
      </c>
      <c r="AL501" s="18">
        <f>IF($A501="","",MAX(0,IFERROR(INDEX('2_IMPORTAR_EJECUCION'!$H$9:$H$1208,MATCH($AT501,'2_IMPORTAR_EJECUCION'!$J$9:$J$1208,0)),0)-$AK501))</f>
        <v/>
      </c>
      <c r="AM501" s="18">
        <f>IF($A501="","",$AK501+$AL501)</f>
        <v/>
      </c>
      <c r="AN501" s="5">
        <f>IF($A501="","",IF(OR((IFERROR(INDEX('CAT_ACTIVIDADES'!$D$4:$D$11,MATCH($H501,'CAT_ACTIVIDADES'!$A$4:$A$11,0)),""))=0,(IFERROR(INDEX('CAT_ACTIVIDADES'!$D$4:$D$11,MATCH($H501,'CAT_ACTIVIDADES'!$A$4:$A$11,0)),""))=""),"SIN CLASIFICAR",IFERROR(INDEX('CAT_ACTIVIDADES'!$D$4:$D$11,MATCH($H501,'CAT_ACTIVIDADES'!$A$4:$A$11,0)),"")))</f>
        <v/>
      </c>
      <c r="AO501" s="4" t="n"/>
      <c r="AP501" s="4" t="n"/>
      <c r="AQ501" s="4" t="n"/>
      <c r="AR501" s="5">
        <f>IF($AQ501="","",HYPERLINK(p_ruta_base_checklists&amp;$AQ501,"abrir"))</f>
        <v/>
      </c>
      <c r="AS501" s="4" t="n"/>
      <c r="AT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2" t="n"/>
      <c r="K502" s="5" t="n"/>
      <c r="L502" s="18" t="n"/>
      <c r="M502" s="5">
        <f>IF($A502="","",IFERROR(INDEX('AJUSTES'!$B$4:$B$303,MATCH($AT502,'AJUSTES'!$A$4:$A$303,0)),IF($K502="","",$K502)))</f>
        <v/>
      </c>
      <c r="N502" s="5">
        <f>IF($A502="","",IFERROR(INDEX('CAT_ESTADOS_ERP'!$B$4:$B$7,MATCH(IFERROR(INDEX('2_IMPORTAR_EJECUCION'!$C$9:$C$1208,MATCH($AT502,'2_IMPORTAR_EJECUCION'!$J$9:$J$1208,0)),""),'CAT_ESTADOS_ERP'!$A$4:$A$7,0)),"Pendiente"))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IF($J502="","",$P502&amp;"-"&amp;TEXT($Q502,"00"))</f>
        <v/>
      </c>
      <c r="S502" s="5">
        <f>IF($J502="","",INDEX(lista_dias,WEEKDAY($J502,2)))</f>
        <v/>
      </c>
      <c r="T502" s="5">
        <f>IF($J502="","",IFERROR(INDEX('CALENDARIO'!$C$15:$C$214,MATCH(TEXT($J502,"yyyy-mm-dd")&amp;"|"&amp;$X502&amp;"|"&amp;$Y502,'CALENDARIO'!$G$15:$G$214,0)),IFERROR(INDEX('CALENDARIO'!$C$15:$C$214,MATCH(TEXT($J502,"yyyy-mm-dd")&amp;"|"&amp;$X502&amp;"|",'CALENDARIO'!$G$15:$G$214,0)),IFERROR(INDEX('CALENDARIO'!$C$15:$C$214,MATCH(TEXT($J502,"yyyy-mm-dd")&amp;"||",'CALENDARIO'!$G$15:$G$214,0)),INDEX(patronHabil,WEEKDAY($J502,2))))))</f>
        <v/>
      </c>
      <c r="U502" s="5">
        <f>IF($I502="","",IFERROR(INDEX('CAT_TIPOS_OT'!$C$4:$C$8,MATCH($I502,'CAT_TIPOS_OT'!$A$4:$A$8,0)),"sin_clasificar"))</f>
        <v/>
      </c>
      <c r="V502" s="5">
        <f>IF($I502="","",IF(IFERROR(INDEX('CAT_TIPOS_OT'!$D$4:$D$8,MATCH($I502,'CAT_TIPOS_OT'!$A$4:$A$8,0)),"SIN CLASIFICAR")="","SIN CLASIFICAR",IFERROR(INDEX('CAT_TIPOS_OT'!$D$4:$D$8,MATCH($I502,'CAT_TIPOS_OT'!$A$4:$A$8,0)),"SIN CLASIFICAR")))</f>
        <v/>
      </c>
      <c r="W502" s="5">
        <f>IF($F502="","",IFERROR(INDEX('CAT_CENTROS_COSTO'!$F$4:$F$13,MATCH($F502,'CAT_CENTROS_COSTO'!$A$4:$A$13,0)),"(sin catálogo)"))</f>
        <v/>
      </c>
      <c r="X502" s="5">
        <f>IF($F502="","",IFERROR(INDEX('CAT_CENTROS_COSTO'!$D$4:$D$13,MATCH($F502,'CAT_CENTROS_COSTO'!$A$4:$A$13,0)),"(sin catálogo)"))</f>
        <v/>
      </c>
      <c r="Y502" s="5">
        <f>IF($F502="","",IF((IFERROR(INDEX('CAT_CENTROS_COSTO'!$E$4:$E$13,MATCH($F502,'CAT_CENTROS_COSTO'!$A$4:$A$13,0)),""))&lt;&gt;"",IFERROR(INDEX('CAT_CENTROS_COSTO'!$E$4:$E$13,MATCH($F502,'CAT_CENTROS_COSTO'!$A$4:$A$13,0)),""),$X502))</f>
        <v/>
      </c>
      <c r="Z502" s="5">
        <f>IF($F502="","",IFERROR(INDEX('CAT_CENTROS_COSTO'!$G$4:$G$13,MATCH($F502,'CAT_CENTROS_COSTO'!$A$4:$A$13,0)),"(sin catálogo)"))</f>
        <v/>
      </c>
      <c r="AA502" s="5">
        <f>IF($G502="","",IFERROR(INDEX('CAT_PUESTOS'!$B$4:$B$8,MATCH($G502,'CAT_PUESTOS'!$A$4:$A$8,0)),"(sin catálogo)"))</f>
        <v/>
      </c>
      <c r="AB502" s="5">
        <f>IF($H502="","",IFERROR(INDEX('CAT_ACTIVIDADES'!$B$4:$B$11,MATCH($H502,'CAT_ACTIVIDADES'!$A$4:$A$11,0)),"(sin catálogo)"))</f>
        <v/>
      </c>
      <c r="AC502" s="20">
        <f>IF($J502="","",TODAY()-$J502)</f>
        <v/>
      </c>
      <c r="AD502" s="20">
        <f>IF($J502="","",IF($J502&lt;=TODAY(),COUNTIFS(cal_fechas,"&gt;="&amp;$J502,cal_fechas,"&lt;"&amp;TODAY(),cal_habil,"sí"),-COUNTIFS(cal_fechas,"&gt;="&amp;TODAY(),cal_fechas,"&lt;"&amp;$J502,cal_habil,"sí")))</f>
        <v/>
      </c>
      <c r="AE502" s="5">
        <f>IF($AD502="","",IF($AD502&lt;0,"FUTURO",IF($AD502&gt;p_dias_backlog_max,"BACKLOG","MES CORRIENTE")))</f>
        <v/>
      </c>
      <c r="AF502" s="5">
        <f>IF($AD502="",FALSE,AND($AD502&gt;p_dias_backlog_min,$AD502&lt;=p_dias_backlog_max))</f>
        <v/>
      </c>
      <c r="AG502" s="4" t="n"/>
      <c r="AH502" s="5">
        <f>IF($AG502="","",IF((IFERROR(INDEX('ASIGNACIONES'!$J$4:$J$451,MATCH($O502&amp;"|"&amp;$S502&amp;"|"&amp;$AG502,'ASIGNACIONES'!$N$4:$N$451,0)),""))=0,"",IFERROR(INDEX('ASIGNACIONES'!$J$4:$J$451,MATCH($O502&amp;"|"&amp;$S502&amp;"|"&amp;$AG502,'ASIGNACIONES'!$N$4:$N$451,0)),"")))</f>
        <v/>
      </c>
      <c r="AI502" s="25">
        <f>IF($AG502="","",SUMIFS('ORDENES'!$M$4:$M$1203,'ORDENES'!$AG$4:$AG$1203,$AG502,'ORDENES'!$O$4:$O$1203,$O502,'ORDENES'!$S$4:$S$1203,$S502))</f>
        <v/>
      </c>
      <c r="AJ502" s="25">
        <f>IF($AI502="","",p_factor_productividad*IFERROR(INDEX('ASIGNACIONES'!$M$4:$M$451,MATCH($O502&amp;"|"&amp;$S502&amp;"|"&amp;$AG502,'ASIGNACIONES'!$N$4:$N$451,0)),0)-$AI502)</f>
        <v/>
      </c>
      <c r="AK502" s="18">
        <f>IF($A502="","",IFERROR(INDEX('2_IMPORTAR_EJECUCION'!$F$9:$F$1208,MATCH($AT502,'2_IMPORTAR_EJECUCION'!$J$9:$J$1208,0)),0))</f>
        <v/>
      </c>
      <c r="AL502" s="18">
        <f>IF($A502="","",MAX(0,IFERROR(INDEX('2_IMPORTAR_EJECUCION'!$H$9:$H$1208,MATCH($AT502,'2_IMPORTAR_EJECUCION'!$J$9:$J$1208,0)),0)-$AK502))</f>
        <v/>
      </c>
      <c r="AM502" s="18">
        <f>IF($A502="","",$AK502+$AL502)</f>
        <v/>
      </c>
      <c r="AN502" s="5">
        <f>IF($A502="","",IF(OR((IFERROR(INDEX('CAT_ACTIVIDADES'!$D$4:$D$11,MATCH($H502,'CAT_ACTIVIDADES'!$A$4:$A$11,0)),""))=0,(IFERROR(INDEX('CAT_ACTIVIDADES'!$D$4:$D$11,MATCH($H502,'CAT_ACTIVIDADES'!$A$4:$A$11,0)),""))=""),"SIN CLASIFICAR",IFERROR(INDEX('CAT_ACTIVIDADES'!$D$4:$D$11,MATCH($H502,'CAT_ACTIVIDADES'!$A$4:$A$11,0)),"")))</f>
        <v/>
      </c>
      <c r="AO502" s="4" t="n"/>
      <c r="AP502" s="4" t="n"/>
      <c r="AQ502" s="4" t="n"/>
      <c r="AR502" s="5">
        <f>IF($AQ502="","",HYPERLINK(p_ruta_base_checklists&amp;$AQ502,"abrir"))</f>
        <v/>
      </c>
      <c r="AS502" s="4" t="n"/>
      <c r="AT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2" t="n"/>
      <c r="K503" s="5" t="n"/>
      <c r="L503" s="18" t="n"/>
      <c r="M503" s="5">
        <f>IF($A503="","",IFERROR(INDEX('AJUSTES'!$B$4:$B$303,MATCH($AT503,'AJUSTES'!$A$4:$A$303,0)),IF($K503="","",$K503)))</f>
        <v/>
      </c>
      <c r="N503" s="5">
        <f>IF($A503="","",IFERROR(INDEX('CAT_ESTADOS_ERP'!$B$4:$B$7,MATCH(IFERROR(INDEX('2_IMPORTAR_EJECUCION'!$C$9:$C$1208,MATCH($AT503,'2_IMPORTAR_EJECUCION'!$J$9:$J$1208,0)),""),'CAT_ESTADOS_ERP'!$A$4:$A$7,0)),"Pendiente"))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IF($J503="","",$P503&amp;"-"&amp;TEXT($Q503,"00"))</f>
        <v/>
      </c>
      <c r="S503" s="5">
        <f>IF($J503="","",INDEX(lista_dias,WEEKDAY($J503,2)))</f>
        <v/>
      </c>
      <c r="T503" s="5">
        <f>IF($J503="","",IFERROR(INDEX('CALENDARIO'!$C$15:$C$214,MATCH(TEXT($J503,"yyyy-mm-dd")&amp;"|"&amp;$X503&amp;"|"&amp;$Y503,'CALENDARIO'!$G$15:$G$214,0)),IFERROR(INDEX('CALENDARIO'!$C$15:$C$214,MATCH(TEXT($J503,"yyyy-mm-dd")&amp;"|"&amp;$X503&amp;"|",'CALENDARIO'!$G$15:$G$214,0)),IFERROR(INDEX('CALENDARIO'!$C$15:$C$214,MATCH(TEXT($J503,"yyyy-mm-dd")&amp;"||",'CALENDARIO'!$G$15:$G$214,0)),INDEX(patronHabil,WEEKDAY($J503,2))))))</f>
        <v/>
      </c>
      <c r="U503" s="5">
        <f>IF($I503="","",IFERROR(INDEX('CAT_TIPOS_OT'!$C$4:$C$8,MATCH($I503,'CAT_TIPOS_OT'!$A$4:$A$8,0)),"sin_clasificar"))</f>
        <v/>
      </c>
      <c r="V503" s="5">
        <f>IF($I503="","",IF(IFERROR(INDEX('CAT_TIPOS_OT'!$D$4:$D$8,MATCH($I503,'CAT_TIPOS_OT'!$A$4:$A$8,0)),"SIN CLASIFICAR")="","SIN CLASIFICAR",IFERROR(INDEX('CAT_TIPOS_OT'!$D$4:$D$8,MATCH($I503,'CAT_TIPOS_OT'!$A$4:$A$8,0)),"SIN CLASIFICAR")))</f>
        <v/>
      </c>
      <c r="W503" s="5">
        <f>IF($F503="","",IFERROR(INDEX('CAT_CENTROS_COSTO'!$F$4:$F$13,MATCH($F503,'CAT_CENTROS_COSTO'!$A$4:$A$13,0)),"(sin catálogo)"))</f>
        <v/>
      </c>
      <c r="X503" s="5">
        <f>IF($F503="","",IFERROR(INDEX('CAT_CENTROS_COSTO'!$D$4:$D$13,MATCH($F503,'CAT_CENTROS_COSTO'!$A$4:$A$13,0)),"(sin catálogo)"))</f>
        <v/>
      </c>
      <c r="Y503" s="5">
        <f>IF($F503="","",IF((IFERROR(INDEX('CAT_CENTROS_COSTO'!$E$4:$E$13,MATCH($F503,'CAT_CENTROS_COSTO'!$A$4:$A$13,0)),""))&lt;&gt;"",IFERROR(INDEX('CAT_CENTROS_COSTO'!$E$4:$E$13,MATCH($F503,'CAT_CENTROS_COSTO'!$A$4:$A$13,0)),""),$X503))</f>
        <v/>
      </c>
      <c r="Z503" s="5">
        <f>IF($F503="","",IFERROR(INDEX('CAT_CENTROS_COSTO'!$G$4:$G$13,MATCH($F503,'CAT_CENTROS_COSTO'!$A$4:$A$13,0)),"(sin catálogo)"))</f>
        <v/>
      </c>
      <c r="AA503" s="5">
        <f>IF($G503="","",IFERROR(INDEX('CAT_PUESTOS'!$B$4:$B$8,MATCH($G503,'CAT_PUESTOS'!$A$4:$A$8,0)),"(sin catálogo)"))</f>
        <v/>
      </c>
      <c r="AB503" s="5">
        <f>IF($H503="","",IFERROR(INDEX('CAT_ACTIVIDADES'!$B$4:$B$11,MATCH($H503,'CAT_ACTIVIDADES'!$A$4:$A$11,0)),"(sin catálogo)"))</f>
        <v/>
      </c>
      <c r="AC503" s="20">
        <f>IF($J503="","",TODAY()-$J503)</f>
        <v/>
      </c>
      <c r="AD503" s="20">
        <f>IF($J503="","",IF($J503&lt;=TODAY(),COUNTIFS(cal_fechas,"&gt;="&amp;$J503,cal_fechas,"&lt;"&amp;TODAY(),cal_habil,"sí"),-COUNTIFS(cal_fechas,"&gt;="&amp;TODAY(),cal_fechas,"&lt;"&amp;$J503,cal_habil,"sí")))</f>
        <v/>
      </c>
      <c r="AE503" s="5">
        <f>IF($AD503="","",IF($AD503&lt;0,"FUTURO",IF($AD503&gt;p_dias_backlog_max,"BACKLOG","MES CORRIENTE")))</f>
        <v/>
      </c>
      <c r="AF503" s="5">
        <f>IF($AD503="",FALSE,AND($AD503&gt;p_dias_backlog_min,$AD503&lt;=p_dias_backlog_max))</f>
        <v/>
      </c>
      <c r="AG503" s="4" t="n"/>
      <c r="AH503" s="5">
        <f>IF($AG503="","",IF((IFERROR(INDEX('ASIGNACIONES'!$J$4:$J$451,MATCH($O503&amp;"|"&amp;$S503&amp;"|"&amp;$AG503,'ASIGNACIONES'!$N$4:$N$451,0)),""))=0,"",IFERROR(INDEX('ASIGNACIONES'!$J$4:$J$451,MATCH($O503&amp;"|"&amp;$S503&amp;"|"&amp;$AG503,'ASIGNACIONES'!$N$4:$N$451,0)),"")))</f>
        <v/>
      </c>
      <c r="AI503" s="25">
        <f>IF($AG503="","",SUMIFS('ORDENES'!$M$4:$M$1203,'ORDENES'!$AG$4:$AG$1203,$AG503,'ORDENES'!$O$4:$O$1203,$O503,'ORDENES'!$S$4:$S$1203,$S503))</f>
        <v/>
      </c>
      <c r="AJ503" s="25">
        <f>IF($AI503="","",p_factor_productividad*IFERROR(INDEX('ASIGNACIONES'!$M$4:$M$451,MATCH($O503&amp;"|"&amp;$S503&amp;"|"&amp;$AG503,'ASIGNACIONES'!$N$4:$N$451,0)),0)-$AI503)</f>
        <v/>
      </c>
      <c r="AK503" s="18">
        <f>IF($A503="","",IFERROR(INDEX('2_IMPORTAR_EJECUCION'!$F$9:$F$1208,MATCH($AT503,'2_IMPORTAR_EJECUCION'!$J$9:$J$1208,0)),0))</f>
        <v/>
      </c>
      <c r="AL503" s="18">
        <f>IF($A503="","",MAX(0,IFERROR(INDEX('2_IMPORTAR_EJECUCION'!$H$9:$H$1208,MATCH($AT503,'2_IMPORTAR_EJECUCION'!$J$9:$J$1208,0)),0)-$AK503))</f>
        <v/>
      </c>
      <c r="AM503" s="18">
        <f>IF($A503="","",$AK503+$AL503)</f>
        <v/>
      </c>
      <c r="AN503" s="5">
        <f>IF($A503="","",IF(OR((IFERROR(INDEX('CAT_ACTIVIDADES'!$D$4:$D$11,MATCH($H503,'CAT_ACTIVIDADES'!$A$4:$A$11,0)),""))=0,(IFERROR(INDEX('CAT_ACTIVIDADES'!$D$4:$D$11,MATCH($H503,'CAT_ACTIVIDADES'!$A$4:$A$11,0)),""))=""),"SIN CLASIFICAR",IFERROR(INDEX('CAT_ACTIVIDADES'!$D$4:$D$11,MATCH($H503,'CAT_ACTIVIDADES'!$A$4:$A$11,0)),"")))</f>
        <v/>
      </c>
      <c r="AO503" s="4" t="n"/>
      <c r="AP503" s="4" t="n"/>
      <c r="AQ503" s="4" t="n"/>
      <c r="AR503" s="5">
        <f>IF($AQ503="","",HYPERLINK(p_ruta_base_checklists&amp;$AQ503,"abrir"))</f>
        <v/>
      </c>
      <c r="AS503" s="4" t="n"/>
      <c r="AT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2" t="n"/>
      <c r="K504" s="5" t="n"/>
      <c r="L504" s="18" t="n"/>
      <c r="M504" s="5">
        <f>IF($A504="","",IFERROR(INDEX('AJUSTES'!$B$4:$B$303,MATCH($AT504,'AJUSTES'!$A$4:$A$303,0)),IF($K504="","",$K504)))</f>
        <v/>
      </c>
      <c r="N504" s="5">
        <f>IF($A504="","",IFERROR(INDEX('CAT_ESTADOS_ERP'!$B$4:$B$7,MATCH(IFERROR(INDEX('2_IMPORTAR_EJECUCION'!$C$9:$C$1208,MATCH($AT504,'2_IMPORTAR_EJECUCION'!$J$9:$J$1208,0)),""),'CAT_ESTADOS_ERP'!$A$4:$A$7,0)),"Pendiente"))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IF($J504="","",$P504&amp;"-"&amp;TEXT($Q504,"00"))</f>
        <v/>
      </c>
      <c r="S504" s="5">
        <f>IF($J504="","",INDEX(lista_dias,WEEKDAY($J504,2)))</f>
        <v/>
      </c>
      <c r="T504" s="5">
        <f>IF($J504="","",IFERROR(INDEX('CALENDARIO'!$C$15:$C$214,MATCH(TEXT($J504,"yyyy-mm-dd")&amp;"|"&amp;$X504&amp;"|"&amp;$Y504,'CALENDARIO'!$G$15:$G$214,0)),IFERROR(INDEX('CALENDARIO'!$C$15:$C$214,MATCH(TEXT($J504,"yyyy-mm-dd")&amp;"|"&amp;$X504&amp;"|",'CALENDARIO'!$G$15:$G$214,0)),IFERROR(INDEX('CALENDARIO'!$C$15:$C$214,MATCH(TEXT($J504,"yyyy-mm-dd")&amp;"||",'CALENDARIO'!$G$15:$G$214,0)),INDEX(patronHabil,WEEKDAY($J504,2))))))</f>
        <v/>
      </c>
      <c r="U504" s="5">
        <f>IF($I504="","",IFERROR(INDEX('CAT_TIPOS_OT'!$C$4:$C$8,MATCH($I504,'CAT_TIPOS_OT'!$A$4:$A$8,0)),"sin_clasificar"))</f>
        <v/>
      </c>
      <c r="V504" s="5">
        <f>IF($I504="","",IF(IFERROR(INDEX('CAT_TIPOS_OT'!$D$4:$D$8,MATCH($I504,'CAT_TIPOS_OT'!$A$4:$A$8,0)),"SIN CLASIFICAR")="","SIN CLASIFICAR",IFERROR(INDEX('CAT_TIPOS_OT'!$D$4:$D$8,MATCH($I504,'CAT_TIPOS_OT'!$A$4:$A$8,0)),"SIN CLASIFICAR")))</f>
        <v/>
      </c>
      <c r="W504" s="5">
        <f>IF($F504="","",IFERROR(INDEX('CAT_CENTROS_COSTO'!$F$4:$F$13,MATCH($F504,'CAT_CENTROS_COSTO'!$A$4:$A$13,0)),"(sin catálogo)"))</f>
        <v/>
      </c>
      <c r="X504" s="5">
        <f>IF($F504="","",IFERROR(INDEX('CAT_CENTROS_COSTO'!$D$4:$D$13,MATCH($F504,'CAT_CENTROS_COSTO'!$A$4:$A$13,0)),"(sin catálogo)"))</f>
        <v/>
      </c>
      <c r="Y504" s="5">
        <f>IF($F504="","",IF((IFERROR(INDEX('CAT_CENTROS_COSTO'!$E$4:$E$13,MATCH($F504,'CAT_CENTROS_COSTO'!$A$4:$A$13,0)),""))&lt;&gt;"",IFERROR(INDEX('CAT_CENTROS_COSTO'!$E$4:$E$13,MATCH($F504,'CAT_CENTROS_COSTO'!$A$4:$A$13,0)),""),$X504))</f>
        <v/>
      </c>
      <c r="Z504" s="5">
        <f>IF($F504="","",IFERROR(INDEX('CAT_CENTROS_COSTO'!$G$4:$G$13,MATCH($F504,'CAT_CENTROS_COSTO'!$A$4:$A$13,0)),"(sin catálogo)"))</f>
        <v/>
      </c>
      <c r="AA504" s="5">
        <f>IF($G504="","",IFERROR(INDEX('CAT_PUESTOS'!$B$4:$B$8,MATCH($G504,'CAT_PUESTOS'!$A$4:$A$8,0)),"(sin catálogo)"))</f>
        <v/>
      </c>
      <c r="AB504" s="5">
        <f>IF($H504="","",IFERROR(INDEX('CAT_ACTIVIDADES'!$B$4:$B$11,MATCH($H504,'CAT_ACTIVIDADES'!$A$4:$A$11,0)),"(sin catálogo)"))</f>
        <v/>
      </c>
      <c r="AC504" s="20">
        <f>IF($J504="","",TODAY()-$J504)</f>
        <v/>
      </c>
      <c r="AD504" s="20">
        <f>IF($J504="","",IF($J504&lt;=TODAY(),COUNTIFS(cal_fechas,"&gt;="&amp;$J504,cal_fechas,"&lt;"&amp;TODAY(),cal_habil,"sí"),-COUNTIFS(cal_fechas,"&gt;="&amp;TODAY(),cal_fechas,"&lt;"&amp;$J504,cal_habil,"sí")))</f>
        <v/>
      </c>
      <c r="AE504" s="5">
        <f>IF($AD504="","",IF($AD504&lt;0,"FUTURO",IF($AD504&gt;p_dias_backlog_max,"BACKLOG","MES CORRIENTE")))</f>
        <v/>
      </c>
      <c r="AF504" s="5">
        <f>IF($AD504="",FALSE,AND($AD504&gt;p_dias_backlog_min,$AD504&lt;=p_dias_backlog_max))</f>
        <v/>
      </c>
      <c r="AG504" s="4" t="n"/>
      <c r="AH504" s="5">
        <f>IF($AG504="","",IF((IFERROR(INDEX('ASIGNACIONES'!$J$4:$J$451,MATCH($O504&amp;"|"&amp;$S504&amp;"|"&amp;$AG504,'ASIGNACIONES'!$N$4:$N$451,0)),""))=0,"",IFERROR(INDEX('ASIGNACIONES'!$J$4:$J$451,MATCH($O504&amp;"|"&amp;$S504&amp;"|"&amp;$AG504,'ASIGNACIONES'!$N$4:$N$451,0)),"")))</f>
        <v/>
      </c>
      <c r="AI504" s="25">
        <f>IF($AG504="","",SUMIFS('ORDENES'!$M$4:$M$1203,'ORDENES'!$AG$4:$AG$1203,$AG504,'ORDENES'!$O$4:$O$1203,$O504,'ORDENES'!$S$4:$S$1203,$S504))</f>
        <v/>
      </c>
      <c r="AJ504" s="25">
        <f>IF($AI504="","",p_factor_productividad*IFERROR(INDEX('ASIGNACIONES'!$M$4:$M$451,MATCH($O504&amp;"|"&amp;$S504&amp;"|"&amp;$AG504,'ASIGNACIONES'!$N$4:$N$451,0)),0)-$AI504)</f>
        <v/>
      </c>
      <c r="AK504" s="18">
        <f>IF($A504="","",IFERROR(INDEX('2_IMPORTAR_EJECUCION'!$F$9:$F$1208,MATCH($AT504,'2_IMPORTAR_EJECUCION'!$J$9:$J$1208,0)),0))</f>
        <v/>
      </c>
      <c r="AL504" s="18">
        <f>IF($A504="","",MAX(0,IFERROR(INDEX('2_IMPORTAR_EJECUCION'!$H$9:$H$1208,MATCH($AT504,'2_IMPORTAR_EJECUCION'!$J$9:$J$1208,0)),0)-$AK504))</f>
        <v/>
      </c>
      <c r="AM504" s="18">
        <f>IF($A504="","",$AK504+$AL504)</f>
        <v/>
      </c>
      <c r="AN504" s="5">
        <f>IF($A504="","",IF(OR((IFERROR(INDEX('CAT_ACTIVIDADES'!$D$4:$D$11,MATCH($H504,'CAT_ACTIVIDADES'!$A$4:$A$11,0)),""))=0,(IFERROR(INDEX('CAT_ACTIVIDADES'!$D$4:$D$11,MATCH($H504,'CAT_ACTIVIDADES'!$A$4:$A$11,0)),""))=""),"SIN CLASIFICAR",IFERROR(INDEX('CAT_ACTIVIDADES'!$D$4:$D$11,MATCH($H504,'CAT_ACTIVIDADES'!$A$4:$A$11,0)),"")))</f>
        <v/>
      </c>
      <c r="AO504" s="4" t="n"/>
      <c r="AP504" s="4" t="n"/>
      <c r="AQ504" s="4" t="n"/>
      <c r="AR504" s="5">
        <f>IF($AQ504="","",HYPERLINK(p_ruta_base_checklists&amp;$AQ504,"abrir"))</f>
        <v/>
      </c>
      <c r="AS504" s="4" t="n"/>
      <c r="AT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2" t="n"/>
      <c r="K505" s="5" t="n"/>
      <c r="L505" s="18" t="n"/>
      <c r="M505" s="5">
        <f>IF($A505="","",IFERROR(INDEX('AJUSTES'!$B$4:$B$303,MATCH($AT505,'AJUSTES'!$A$4:$A$303,0)),IF($K505="","",$K505)))</f>
        <v/>
      </c>
      <c r="N505" s="5">
        <f>IF($A505="","",IFERROR(INDEX('CAT_ESTADOS_ERP'!$B$4:$B$7,MATCH(IFERROR(INDEX('2_IMPORTAR_EJECUCION'!$C$9:$C$1208,MATCH($AT505,'2_IMPORTAR_EJECUCION'!$J$9:$J$1208,0)),""),'CAT_ESTADOS_ERP'!$A$4:$A$7,0)),"Pendiente"))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IF($J505="","",$P505&amp;"-"&amp;TEXT($Q505,"00"))</f>
        <v/>
      </c>
      <c r="S505" s="5">
        <f>IF($J505="","",INDEX(lista_dias,WEEKDAY($J505,2)))</f>
        <v/>
      </c>
      <c r="T505" s="5">
        <f>IF($J505="","",IFERROR(INDEX('CALENDARIO'!$C$15:$C$214,MATCH(TEXT($J505,"yyyy-mm-dd")&amp;"|"&amp;$X505&amp;"|"&amp;$Y505,'CALENDARIO'!$G$15:$G$214,0)),IFERROR(INDEX('CALENDARIO'!$C$15:$C$214,MATCH(TEXT($J505,"yyyy-mm-dd")&amp;"|"&amp;$X505&amp;"|",'CALENDARIO'!$G$15:$G$214,0)),IFERROR(INDEX('CALENDARIO'!$C$15:$C$214,MATCH(TEXT($J505,"yyyy-mm-dd")&amp;"||",'CALENDARIO'!$G$15:$G$214,0)),INDEX(patronHabil,WEEKDAY($J505,2))))))</f>
        <v/>
      </c>
      <c r="U505" s="5">
        <f>IF($I505="","",IFERROR(INDEX('CAT_TIPOS_OT'!$C$4:$C$8,MATCH($I505,'CAT_TIPOS_OT'!$A$4:$A$8,0)),"sin_clasificar"))</f>
        <v/>
      </c>
      <c r="V505" s="5">
        <f>IF($I505="","",IF(IFERROR(INDEX('CAT_TIPOS_OT'!$D$4:$D$8,MATCH($I505,'CAT_TIPOS_OT'!$A$4:$A$8,0)),"SIN CLASIFICAR")="","SIN CLASIFICAR",IFERROR(INDEX('CAT_TIPOS_OT'!$D$4:$D$8,MATCH($I505,'CAT_TIPOS_OT'!$A$4:$A$8,0)),"SIN CLASIFICAR")))</f>
        <v/>
      </c>
      <c r="W505" s="5">
        <f>IF($F505="","",IFERROR(INDEX('CAT_CENTROS_COSTO'!$F$4:$F$13,MATCH($F505,'CAT_CENTROS_COSTO'!$A$4:$A$13,0)),"(sin catálogo)"))</f>
        <v/>
      </c>
      <c r="X505" s="5">
        <f>IF($F505="","",IFERROR(INDEX('CAT_CENTROS_COSTO'!$D$4:$D$13,MATCH($F505,'CAT_CENTROS_COSTO'!$A$4:$A$13,0)),"(sin catálogo)"))</f>
        <v/>
      </c>
      <c r="Y505" s="5">
        <f>IF($F505="","",IF((IFERROR(INDEX('CAT_CENTROS_COSTO'!$E$4:$E$13,MATCH($F505,'CAT_CENTROS_COSTO'!$A$4:$A$13,0)),""))&lt;&gt;"",IFERROR(INDEX('CAT_CENTROS_COSTO'!$E$4:$E$13,MATCH($F505,'CAT_CENTROS_COSTO'!$A$4:$A$13,0)),""),$X505))</f>
        <v/>
      </c>
      <c r="Z505" s="5">
        <f>IF($F505="","",IFERROR(INDEX('CAT_CENTROS_COSTO'!$G$4:$G$13,MATCH($F505,'CAT_CENTROS_COSTO'!$A$4:$A$13,0)),"(sin catálogo)"))</f>
        <v/>
      </c>
      <c r="AA505" s="5">
        <f>IF($G505="","",IFERROR(INDEX('CAT_PUESTOS'!$B$4:$B$8,MATCH($G505,'CAT_PUESTOS'!$A$4:$A$8,0)),"(sin catálogo)"))</f>
        <v/>
      </c>
      <c r="AB505" s="5">
        <f>IF($H505="","",IFERROR(INDEX('CAT_ACTIVIDADES'!$B$4:$B$11,MATCH($H505,'CAT_ACTIVIDADES'!$A$4:$A$11,0)),"(sin catálogo)"))</f>
        <v/>
      </c>
      <c r="AC505" s="20">
        <f>IF($J505="","",TODAY()-$J505)</f>
        <v/>
      </c>
      <c r="AD505" s="20">
        <f>IF($J505="","",IF($J505&lt;=TODAY(),COUNTIFS(cal_fechas,"&gt;="&amp;$J505,cal_fechas,"&lt;"&amp;TODAY(),cal_habil,"sí"),-COUNTIFS(cal_fechas,"&gt;="&amp;TODAY(),cal_fechas,"&lt;"&amp;$J505,cal_habil,"sí")))</f>
        <v/>
      </c>
      <c r="AE505" s="5">
        <f>IF($AD505="","",IF($AD505&lt;0,"FUTURO",IF($AD505&gt;p_dias_backlog_max,"BACKLOG","MES CORRIENTE")))</f>
        <v/>
      </c>
      <c r="AF505" s="5">
        <f>IF($AD505="",FALSE,AND($AD505&gt;p_dias_backlog_min,$AD505&lt;=p_dias_backlog_max))</f>
        <v/>
      </c>
      <c r="AG505" s="4" t="n"/>
      <c r="AH505" s="5">
        <f>IF($AG505="","",IF((IFERROR(INDEX('ASIGNACIONES'!$J$4:$J$451,MATCH($O505&amp;"|"&amp;$S505&amp;"|"&amp;$AG505,'ASIGNACIONES'!$N$4:$N$451,0)),""))=0,"",IFERROR(INDEX('ASIGNACIONES'!$J$4:$J$451,MATCH($O505&amp;"|"&amp;$S505&amp;"|"&amp;$AG505,'ASIGNACIONES'!$N$4:$N$451,0)),"")))</f>
        <v/>
      </c>
      <c r="AI505" s="25">
        <f>IF($AG505="","",SUMIFS('ORDENES'!$M$4:$M$1203,'ORDENES'!$AG$4:$AG$1203,$AG505,'ORDENES'!$O$4:$O$1203,$O505,'ORDENES'!$S$4:$S$1203,$S505))</f>
        <v/>
      </c>
      <c r="AJ505" s="25">
        <f>IF($AI505="","",p_factor_productividad*IFERROR(INDEX('ASIGNACIONES'!$M$4:$M$451,MATCH($O505&amp;"|"&amp;$S505&amp;"|"&amp;$AG505,'ASIGNACIONES'!$N$4:$N$451,0)),0)-$AI505)</f>
        <v/>
      </c>
      <c r="AK505" s="18">
        <f>IF($A505="","",IFERROR(INDEX('2_IMPORTAR_EJECUCION'!$F$9:$F$1208,MATCH($AT505,'2_IMPORTAR_EJECUCION'!$J$9:$J$1208,0)),0))</f>
        <v/>
      </c>
      <c r="AL505" s="18">
        <f>IF($A505="","",MAX(0,IFERROR(INDEX('2_IMPORTAR_EJECUCION'!$H$9:$H$1208,MATCH($AT505,'2_IMPORTAR_EJECUCION'!$J$9:$J$1208,0)),0)-$AK505))</f>
        <v/>
      </c>
      <c r="AM505" s="18">
        <f>IF($A505="","",$AK505+$AL505)</f>
        <v/>
      </c>
      <c r="AN505" s="5">
        <f>IF($A505="","",IF(OR((IFERROR(INDEX('CAT_ACTIVIDADES'!$D$4:$D$11,MATCH($H505,'CAT_ACTIVIDADES'!$A$4:$A$11,0)),""))=0,(IFERROR(INDEX('CAT_ACTIVIDADES'!$D$4:$D$11,MATCH($H505,'CAT_ACTIVIDADES'!$A$4:$A$11,0)),""))=""),"SIN CLASIFICAR",IFERROR(INDEX('CAT_ACTIVIDADES'!$D$4:$D$11,MATCH($H505,'CAT_ACTIVIDADES'!$A$4:$A$11,0)),"")))</f>
        <v/>
      </c>
      <c r="AO505" s="4" t="n"/>
      <c r="AP505" s="4" t="n"/>
      <c r="AQ505" s="4" t="n"/>
      <c r="AR505" s="5">
        <f>IF($AQ505="","",HYPERLINK(p_ruta_base_checklists&amp;$AQ505,"abrir"))</f>
        <v/>
      </c>
      <c r="AS505" s="4" t="n"/>
      <c r="AT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2" t="n"/>
      <c r="K506" s="5" t="n"/>
      <c r="L506" s="18" t="n"/>
      <c r="M506" s="5">
        <f>IF($A506="","",IFERROR(INDEX('AJUSTES'!$B$4:$B$303,MATCH($AT506,'AJUSTES'!$A$4:$A$303,0)),IF($K506="","",$K506)))</f>
        <v/>
      </c>
      <c r="N506" s="5">
        <f>IF($A506="","",IFERROR(INDEX('CAT_ESTADOS_ERP'!$B$4:$B$7,MATCH(IFERROR(INDEX('2_IMPORTAR_EJECUCION'!$C$9:$C$1208,MATCH($AT506,'2_IMPORTAR_EJECUCION'!$J$9:$J$1208,0)),""),'CAT_ESTADOS_ERP'!$A$4:$A$7,0)),"Pendiente"))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IF($J506="","",$P506&amp;"-"&amp;TEXT($Q506,"00"))</f>
        <v/>
      </c>
      <c r="S506" s="5">
        <f>IF($J506="","",INDEX(lista_dias,WEEKDAY($J506,2)))</f>
        <v/>
      </c>
      <c r="T506" s="5">
        <f>IF($J506="","",IFERROR(INDEX('CALENDARIO'!$C$15:$C$214,MATCH(TEXT($J506,"yyyy-mm-dd")&amp;"|"&amp;$X506&amp;"|"&amp;$Y506,'CALENDARIO'!$G$15:$G$214,0)),IFERROR(INDEX('CALENDARIO'!$C$15:$C$214,MATCH(TEXT($J506,"yyyy-mm-dd")&amp;"|"&amp;$X506&amp;"|",'CALENDARIO'!$G$15:$G$214,0)),IFERROR(INDEX('CALENDARIO'!$C$15:$C$214,MATCH(TEXT($J506,"yyyy-mm-dd")&amp;"||",'CALENDARIO'!$G$15:$G$214,0)),INDEX(patronHabil,WEEKDAY($J506,2))))))</f>
        <v/>
      </c>
      <c r="U506" s="5">
        <f>IF($I506="","",IFERROR(INDEX('CAT_TIPOS_OT'!$C$4:$C$8,MATCH($I506,'CAT_TIPOS_OT'!$A$4:$A$8,0)),"sin_clasificar"))</f>
        <v/>
      </c>
      <c r="V506" s="5">
        <f>IF($I506="","",IF(IFERROR(INDEX('CAT_TIPOS_OT'!$D$4:$D$8,MATCH($I506,'CAT_TIPOS_OT'!$A$4:$A$8,0)),"SIN CLASIFICAR")="","SIN CLASIFICAR",IFERROR(INDEX('CAT_TIPOS_OT'!$D$4:$D$8,MATCH($I506,'CAT_TIPOS_OT'!$A$4:$A$8,0)),"SIN CLASIFICAR")))</f>
        <v/>
      </c>
      <c r="W506" s="5">
        <f>IF($F506="","",IFERROR(INDEX('CAT_CENTROS_COSTO'!$F$4:$F$13,MATCH($F506,'CAT_CENTROS_COSTO'!$A$4:$A$13,0)),"(sin catálogo)"))</f>
        <v/>
      </c>
      <c r="X506" s="5">
        <f>IF($F506="","",IFERROR(INDEX('CAT_CENTROS_COSTO'!$D$4:$D$13,MATCH($F506,'CAT_CENTROS_COSTO'!$A$4:$A$13,0)),"(sin catálogo)"))</f>
        <v/>
      </c>
      <c r="Y506" s="5">
        <f>IF($F506="","",IF((IFERROR(INDEX('CAT_CENTROS_COSTO'!$E$4:$E$13,MATCH($F506,'CAT_CENTROS_COSTO'!$A$4:$A$13,0)),""))&lt;&gt;"",IFERROR(INDEX('CAT_CENTROS_COSTO'!$E$4:$E$13,MATCH($F506,'CAT_CENTROS_COSTO'!$A$4:$A$13,0)),""),$X506))</f>
        <v/>
      </c>
      <c r="Z506" s="5">
        <f>IF($F506="","",IFERROR(INDEX('CAT_CENTROS_COSTO'!$G$4:$G$13,MATCH($F506,'CAT_CENTROS_COSTO'!$A$4:$A$13,0)),"(sin catálogo)"))</f>
        <v/>
      </c>
      <c r="AA506" s="5">
        <f>IF($G506="","",IFERROR(INDEX('CAT_PUESTOS'!$B$4:$B$8,MATCH($G506,'CAT_PUESTOS'!$A$4:$A$8,0)),"(sin catálogo)"))</f>
        <v/>
      </c>
      <c r="AB506" s="5">
        <f>IF($H506="","",IFERROR(INDEX('CAT_ACTIVIDADES'!$B$4:$B$11,MATCH($H506,'CAT_ACTIVIDADES'!$A$4:$A$11,0)),"(sin catálogo)"))</f>
        <v/>
      </c>
      <c r="AC506" s="20">
        <f>IF($J506="","",TODAY()-$J506)</f>
        <v/>
      </c>
      <c r="AD506" s="20">
        <f>IF($J506="","",IF($J506&lt;=TODAY(),COUNTIFS(cal_fechas,"&gt;="&amp;$J506,cal_fechas,"&lt;"&amp;TODAY(),cal_habil,"sí"),-COUNTIFS(cal_fechas,"&gt;="&amp;TODAY(),cal_fechas,"&lt;"&amp;$J506,cal_habil,"sí")))</f>
        <v/>
      </c>
      <c r="AE506" s="5">
        <f>IF($AD506="","",IF($AD506&lt;0,"FUTURO",IF($AD506&gt;p_dias_backlog_max,"BACKLOG","MES CORRIENTE")))</f>
        <v/>
      </c>
      <c r="AF506" s="5">
        <f>IF($AD506="",FALSE,AND($AD506&gt;p_dias_backlog_min,$AD506&lt;=p_dias_backlog_max))</f>
        <v/>
      </c>
      <c r="AG506" s="4" t="n"/>
      <c r="AH506" s="5">
        <f>IF($AG506="","",IF((IFERROR(INDEX('ASIGNACIONES'!$J$4:$J$451,MATCH($O506&amp;"|"&amp;$S506&amp;"|"&amp;$AG506,'ASIGNACIONES'!$N$4:$N$451,0)),""))=0,"",IFERROR(INDEX('ASIGNACIONES'!$J$4:$J$451,MATCH($O506&amp;"|"&amp;$S506&amp;"|"&amp;$AG506,'ASIGNACIONES'!$N$4:$N$451,0)),"")))</f>
        <v/>
      </c>
      <c r="AI506" s="25">
        <f>IF($AG506="","",SUMIFS('ORDENES'!$M$4:$M$1203,'ORDENES'!$AG$4:$AG$1203,$AG506,'ORDENES'!$O$4:$O$1203,$O506,'ORDENES'!$S$4:$S$1203,$S506))</f>
        <v/>
      </c>
      <c r="AJ506" s="25">
        <f>IF($AI506="","",p_factor_productividad*IFERROR(INDEX('ASIGNACIONES'!$M$4:$M$451,MATCH($O506&amp;"|"&amp;$S506&amp;"|"&amp;$AG506,'ASIGNACIONES'!$N$4:$N$451,0)),0)-$AI506)</f>
        <v/>
      </c>
      <c r="AK506" s="18">
        <f>IF($A506="","",IFERROR(INDEX('2_IMPORTAR_EJECUCION'!$F$9:$F$1208,MATCH($AT506,'2_IMPORTAR_EJECUCION'!$J$9:$J$1208,0)),0))</f>
        <v/>
      </c>
      <c r="AL506" s="18">
        <f>IF($A506="","",MAX(0,IFERROR(INDEX('2_IMPORTAR_EJECUCION'!$H$9:$H$1208,MATCH($AT506,'2_IMPORTAR_EJECUCION'!$J$9:$J$1208,0)),0)-$AK506))</f>
        <v/>
      </c>
      <c r="AM506" s="18">
        <f>IF($A506="","",$AK506+$AL506)</f>
        <v/>
      </c>
      <c r="AN506" s="5">
        <f>IF($A506="","",IF(OR((IFERROR(INDEX('CAT_ACTIVIDADES'!$D$4:$D$11,MATCH($H506,'CAT_ACTIVIDADES'!$A$4:$A$11,0)),""))=0,(IFERROR(INDEX('CAT_ACTIVIDADES'!$D$4:$D$11,MATCH($H506,'CAT_ACTIVIDADES'!$A$4:$A$11,0)),""))=""),"SIN CLASIFICAR",IFERROR(INDEX('CAT_ACTIVIDADES'!$D$4:$D$11,MATCH($H506,'CAT_ACTIVIDADES'!$A$4:$A$11,0)),"")))</f>
        <v/>
      </c>
      <c r="AO506" s="4" t="n"/>
      <c r="AP506" s="4" t="n"/>
      <c r="AQ506" s="4" t="n"/>
      <c r="AR506" s="5">
        <f>IF($AQ506="","",HYPERLINK(p_ruta_base_checklists&amp;$AQ506,"abrir"))</f>
        <v/>
      </c>
      <c r="AS506" s="4" t="n"/>
      <c r="AT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2" t="n"/>
      <c r="K507" s="5" t="n"/>
      <c r="L507" s="18" t="n"/>
      <c r="M507" s="5">
        <f>IF($A507="","",IFERROR(INDEX('AJUSTES'!$B$4:$B$303,MATCH($AT507,'AJUSTES'!$A$4:$A$303,0)),IF($K507="","",$K507)))</f>
        <v/>
      </c>
      <c r="N507" s="5">
        <f>IF($A507="","",IFERROR(INDEX('CAT_ESTADOS_ERP'!$B$4:$B$7,MATCH(IFERROR(INDEX('2_IMPORTAR_EJECUCION'!$C$9:$C$1208,MATCH($AT507,'2_IMPORTAR_EJECUCION'!$J$9:$J$1208,0)),""),'CAT_ESTADOS_ERP'!$A$4:$A$7,0)),"Pendiente"))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IF($J507="","",$P507&amp;"-"&amp;TEXT($Q507,"00"))</f>
        <v/>
      </c>
      <c r="S507" s="5">
        <f>IF($J507="","",INDEX(lista_dias,WEEKDAY($J507,2)))</f>
        <v/>
      </c>
      <c r="T507" s="5">
        <f>IF($J507="","",IFERROR(INDEX('CALENDARIO'!$C$15:$C$214,MATCH(TEXT($J507,"yyyy-mm-dd")&amp;"|"&amp;$X507&amp;"|"&amp;$Y507,'CALENDARIO'!$G$15:$G$214,0)),IFERROR(INDEX('CALENDARIO'!$C$15:$C$214,MATCH(TEXT($J507,"yyyy-mm-dd")&amp;"|"&amp;$X507&amp;"|",'CALENDARIO'!$G$15:$G$214,0)),IFERROR(INDEX('CALENDARIO'!$C$15:$C$214,MATCH(TEXT($J507,"yyyy-mm-dd")&amp;"||",'CALENDARIO'!$G$15:$G$214,0)),INDEX(patronHabil,WEEKDAY($J507,2))))))</f>
        <v/>
      </c>
      <c r="U507" s="5">
        <f>IF($I507="","",IFERROR(INDEX('CAT_TIPOS_OT'!$C$4:$C$8,MATCH($I507,'CAT_TIPOS_OT'!$A$4:$A$8,0)),"sin_clasificar"))</f>
        <v/>
      </c>
      <c r="V507" s="5">
        <f>IF($I507="","",IF(IFERROR(INDEX('CAT_TIPOS_OT'!$D$4:$D$8,MATCH($I507,'CAT_TIPOS_OT'!$A$4:$A$8,0)),"SIN CLASIFICAR")="","SIN CLASIFICAR",IFERROR(INDEX('CAT_TIPOS_OT'!$D$4:$D$8,MATCH($I507,'CAT_TIPOS_OT'!$A$4:$A$8,0)),"SIN CLASIFICAR")))</f>
        <v/>
      </c>
      <c r="W507" s="5">
        <f>IF($F507="","",IFERROR(INDEX('CAT_CENTROS_COSTO'!$F$4:$F$13,MATCH($F507,'CAT_CENTROS_COSTO'!$A$4:$A$13,0)),"(sin catálogo)"))</f>
        <v/>
      </c>
      <c r="X507" s="5">
        <f>IF($F507="","",IFERROR(INDEX('CAT_CENTROS_COSTO'!$D$4:$D$13,MATCH($F507,'CAT_CENTROS_COSTO'!$A$4:$A$13,0)),"(sin catálogo)"))</f>
        <v/>
      </c>
      <c r="Y507" s="5">
        <f>IF($F507="","",IF((IFERROR(INDEX('CAT_CENTROS_COSTO'!$E$4:$E$13,MATCH($F507,'CAT_CENTROS_COSTO'!$A$4:$A$13,0)),""))&lt;&gt;"",IFERROR(INDEX('CAT_CENTROS_COSTO'!$E$4:$E$13,MATCH($F507,'CAT_CENTROS_COSTO'!$A$4:$A$13,0)),""),$X507))</f>
        <v/>
      </c>
      <c r="Z507" s="5">
        <f>IF($F507="","",IFERROR(INDEX('CAT_CENTROS_COSTO'!$G$4:$G$13,MATCH($F507,'CAT_CENTROS_COSTO'!$A$4:$A$13,0)),"(sin catálogo)"))</f>
        <v/>
      </c>
      <c r="AA507" s="5">
        <f>IF($G507="","",IFERROR(INDEX('CAT_PUESTOS'!$B$4:$B$8,MATCH($G507,'CAT_PUESTOS'!$A$4:$A$8,0)),"(sin catálogo)"))</f>
        <v/>
      </c>
      <c r="AB507" s="5">
        <f>IF($H507="","",IFERROR(INDEX('CAT_ACTIVIDADES'!$B$4:$B$11,MATCH($H507,'CAT_ACTIVIDADES'!$A$4:$A$11,0)),"(sin catálogo)"))</f>
        <v/>
      </c>
      <c r="AC507" s="20">
        <f>IF($J507="","",TODAY()-$J507)</f>
        <v/>
      </c>
      <c r="AD507" s="20">
        <f>IF($J507="","",IF($J507&lt;=TODAY(),COUNTIFS(cal_fechas,"&gt;="&amp;$J507,cal_fechas,"&lt;"&amp;TODAY(),cal_habil,"sí"),-COUNTIFS(cal_fechas,"&gt;="&amp;TODAY(),cal_fechas,"&lt;"&amp;$J507,cal_habil,"sí")))</f>
        <v/>
      </c>
      <c r="AE507" s="5">
        <f>IF($AD507="","",IF($AD507&lt;0,"FUTURO",IF($AD507&gt;p_dias_backlog_max,"BACKLOG","MES CORRIENTE")))</f>
        <v/>
      </c>
      <c r="AF507" s="5">
        <f>IF($AD507="",FALSE,AND($AD507&gt;p_dias_backlog_min,$AD507&lt;=p_dias_backlog_max))</f>
        <v/>
      </c>
      <c r="AG507" s="4" t="n"/>
      <c r="AH507" s="5">
        <f>IF($AG507="","",IF((IFERROR(INDEX('ASIGNACIONES'!$J$4:$J$451,MATCH($O507&amp;"|"&amp;$S507&amp;"|"&amp;$AG507,'ASIGNACIONES'!$N$4:$N$451,0)),""))=0,"",IFERROR(INDEX('ASIGNACIONES'!$J$4:$J$451,MATCH($O507&amp;"|"&amp;$S507&amp;"|"&amp;$AG507,'ASIGNACIONES'!$N$4:$N$451,0)),"")))</f>
        <v/>
      </c>
      <c r="AI507" s="25">
        <f>IF($AG507="","",SUMIFS('ORDENES'!$M$4:$M$1203,'ORDENES'!$AG$4:$AG$1203,$AG507,'ORDENES'!$O$4:$O$1203,$O507,'ORDENES'!$S$4:$S$1203,$S507))</f>
        <v/>
      </c>
      <c r="AJ507" s="25">
        <f>IF($AI507="","",p_factor_productividad*IFERROR(INDEX('ASIGNACIONES'!$M$4:$M$451,MATCH($O507&amp;"|"&amp;$S507&amp;"|"&amp;$AG507,'ASIGNACIONES'!$N$4:$N$451,0)),0)-$AI507)</f>
        <v/>
      </c>
      <c r="AK507" s="18">
        <f>IF($A507="","",IFERROR(INDEX('2_IMPORTAR_EJECUCION'!$F$9:$F$1208,MATCH($AT507,'2_IMPORTAR_EJECUCION'!$J$9:$J$1208,0)),0))</f>
        <v/>
      </c>
      <c r="AL507" s="18">
        <f>IF($A507="","",MAX(0,IFERROR(INDEX('2_IMPORTAR_EJECUCION'!$H$9:$H$1208,MATCH($AT507,'2_IMPORTAR_EJECUCION'!$J$9:$J$1208,0)),0)-$AK507))</f>
        <v/>
      </c>
      <c r="AM507" s="18">
        <f>IF($A507="","",$AK507+$AL507)</f>
        <v/>
      </c>
      <c r="AN507" s="5">
        <f>IF($A507="","",IF(OR((IFERROR(INDEX('CAT_ACTIVIDADES'!$D$4:$D$11,MATCH($H507,'CAT_ACTIVIDADES'!$A$4:$A$11,0)),""))=0,(IFERROR(INDEX('CAT_ACTIVIDADES'!$D$4:$D$11,MATCH($H507,'CAT_ACTIVIDADES'!$A$4:$A$11,0)),""))=""),"SIN CLASIFICAR",IFERROR(INDEX('CAT_ACTIVIDADES'!$D$4:$D$11,MATCH($H507,'CAT_ACTIVIDADES'!$A$4:$A$11,0)),"")))</f>
        <v/>
      </c>
      <c r="AO507" s="4" t="n"/>
      <c r="AP507" s="4" t="n"/>
      <c r="AQ507" s="4" t="n"/>
      <c r="AR507" s="5">
        <f>IF($AQ507="","",HYPERLINK(p_ruta_base_checklists&amp;$AQ507,"abrir"))</f>
        <v/>
      </c>
      <c r="AS507" s="4" t="n"/>
      <c r="AT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2" t="n"/>
      <c r="K508" s="5" t="n"/>
      <c r="L508" s="18" t="n"/>
      <c r="M508" s="5">
        <f>IF($A508="","",IFERROR(INDEX('AJUSTES'!$B$4:$B$303,MATCH($AT508,'AJUSTES'!$A$4:$A$303,0)),IF($K508="","",$K508)))</f>
        <v/>
      </c>
      <c r="N508" s="5">
        <f>IF($A508="","",IFERROR(INDEX('CAT_ESTADOS_ERP'!$B$4:$B$7,MATCH(IFERROR(INDEX('2_IMPORTAR_EJECUCION'!$C$9:$C$1208,MATCH($AT508,'2_IMPORTAR_EJECUCION'!$J$9:$J$1208,0)),""),'CAT_ESTADOS_ERP'!$A$4:$A$7,0)),"Pendiente"))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IF($J508="","",$P508&amp;"-"&amp;TEXT($Q508,"00"))</f>
        <v/>
      </c>
      <c r="S508" s="5">
        <f>IF($J508="","",INDEX(lista_dias,WEEKDAY($J508,2)))</f>
        <v/>
      </c>
      <c r="T508" s="5">
        <f>IF($J508="","",IFERROR(INDEX('CALENDARIO'!$C$15:$C$214,MATCH(TEXT($J508,"yyyy-mm-dd")&amp;"|"&amp;$X508&amp;"|"&amp;$Y508,'CALENDARIO'!$G$15:$G$214,0)),IFERROR(INDEX('CALENDARIO'!$C$15:$C$214,MATCH(TEXT($J508,"yyyy-mm-dd")&amp;"|"&amp;$X508&amp;"|",'CALENDARIO'!$G$15:$G$214,0)),IFERROR(INDEX('CALENDARIO'!$C$15:$C$214,MATCH(TEXT($J508,"yyyy-mm-dd")&amp;"||",'CALENDARIO'!$G$15:$G$214,0)),INDEX(patronHabil,WEEKDAY($J508,2))))))</f>
        <v/>
      </c>
      <c r="U508" s="5">
        <f>IF($I508="","",IFERROR(INDEX('CAT_TIPOS_OT'!$C$4:$C$8,MATCH($I508,'CAT_TIPOS_OT'!$A$4:$A$8,0)),"sin_clasificar"))</f>
        <v/>
      </c>
      <c r="V508" s="5">
        <f>IF($I508="","",IF(IFERROR(INDEX('CAT_TIPOS_OT'!$D$4:$D$8,MATCH($I508,'CAT_TIPOS_OT'!$A$4:$A$8,0)),"SIN CLASIFICAR")="","SIN CLASIFICAR",IFERROR(INDEX('CAT_TIPOS_OT'!$D$4:$D$8,MATCH($I508,'CAT_TIPOS_OT'!$A$4:$A$8,0)),"SIN CLASIFICAR")))</f>
        <v/>
      </c>
      <c r="W508" s="5">
        <f>IF($F508="","",IFERROR(INDEX('CAT_CENTROS_COSTO'!$F$4:$F$13,MATCH($F508,'CAT_CENTROS_COSTO'!$A$4:$A$13,0)),"(sin catálogo)"))</f>
        <v/>
      </c>
      <c r="X508" s="5">
        <f>IF($F508="","",IFERROR(INDEX('CAT_CENTROS_COSTO'!$D$4:$D$13,MATCH($F508,'CAT_CENTROS_COSTO'!$A$4:$A$13,0)),"(sin catálogo)"))</f>
        <v/>
      </c>
      <c r="Y508" s="5">
        <f>IF($F508="","",IF((IFERROR(INDEX('CAT_CENTROS_COSTO'!$E$4:$E$13,MATCH($F508,'CAT_CENTROS_COSTO'!$A$4:$A$13,0)),""))&lt;&gt;"",IFERROR(INDEX('CAT_CENTROS_COSTO'!$E$4:$E$13,MATCH($F508,'CAT_CENTROS_COSTO'!$A$4:$A$13,0)),""),$X508))</f>
        <v/>
      </c>
      <c r="Z508" s="5">
        <f>IF($F508="","",IFERROR(INDEX('CAT_CENTROS_COSTO'!$G$4:$G$13,MATCH($F508,'CAT_CENTROS_COSTO'!$A$4:$A$13,0)),"(sin catálogo)"))</f>
        <v/>
      </c>
      <c r="AA508" s="5">
        <f>IF($G508="","",IFERROR(INDEX('CAT_PUESTOS'!$B$4:$B$8,MATCH($G508,'CAT_PUESTOS'!$A$4:$A$8,0)),"(sin catálogo)"))</f>
        <v/>
      </c>
      <c r="AB508" s="5">
        <f>IF($H508="","",IFERROR(INDEX('CAT_ACTIVIDADES'!$B$4:$B$11,MATCH($H508,'CAT_ACTIVIDADES'!$A$4:$A$11,0)),"(sin catálogo)"))</f>
        <v/>
      </c>
      <c r="AC508" s="20">
        <f>IF($J508="","",TODAY()-$J508)</f>
        <v/>
      </c>
      <c r="AD508" s="20">
        <f>IF($J508="","",IF($J508&lt;=TODAY(),COUNTIFS(cal_fechas,"&gt;="&amp;$J508,cal_fechas,"&lt;"&amp;TODAY(),cal_habil,"sí"),-COUNTIFS(cal_fechas,"&gt;="&amp;TODAY(),cal_fechas,"&lt;"&amp;$J508,cal_habil,"sí")))</f>
        <v/>
      </c>
      <c r="AE508" s="5">
        <f>IF($AD508="","",IF($AD508&lt;0,"FUTURO",IF($AD508&gt;p_dias_backlog_max,"BACKLOG","MES CORRIENTE")))</f>
        <v/>
      </c>
      <c r="AF508" s="5">
        <f>IF($AD508="",FALSE,AND($AD508&gt;p_dias_backlog_min,$AD508&lt;=p_dias_backlog_max))</f>
        <v/>
      </c>
      <c r="AG508" s="4" t="n"/>
      <c r="AH508" s="5">
        <f>IF($AG508="","",IF((IFERROR(INDEX('ASIGNACIONES'!$J$4:$J$451,MATCH($O508&amp;"|"&amp;$S508&amp;"|"&amp;$AG508,'ASIGNACIONES'!$N$4:$N$451,0)),""))=0,"",IFERROR(INDEX('ASIGNACIONES'!$J$4:$J$451,MATCH($O508&amp;"|"&amp;$S508&amp;"|"&amp;$AG508,'ASIGNACIONES'!$N$4:$N$451,0)),"")))</f>
        <v/>
      </c>
      <c r="AI508" s="25">
        <f>IF($AG508="","",SUMIFS('ORDENES'!$M$4:$M$1203,'ORDENES'!$AG$4:$AG$1203,$AG508,'ORDENES'!$O$4:$O$1203,$O508,'ORDENES'!$S$4:$S$1203,$S508))</f>
        <v/>
      </c>
      <c r="AJ508" s="25">
        <f>IF($AI508="","",p_factor_productividad*IFERROR(INDEX('ASIGNACIONES'!$M$4:$M$451,MATCH($O508&amp;"|"&amp;$S508&amp;"|"&amp;$AG508,'ASIGNACIONES'!$N$4:$N$451,0)),0)-$AI508)</f>
        <v/>
      </c>
      <c r="AK508" s="18">
        <f>IF($A508="","",IFERROR(INDEX('2_IMPORTAR_EJECUCION'!$F$9:$F$1208,MATCH($AT508,'2_IMPORTAR_EJECUCION'!$J$9:$J$1208,0)),0))</f>
        <v/>
      </c>
      <c r="AL508" s="18">
        <f>IF($A508="","",MAX(0,IFERROR(INDEX('2_IMPORTAR_EJECUCION'!$H$9:$H$1208,MATCH($AT508,'2_IMPORTAR_EJECUCION'!$J$9:$J$1208,0)),0)-$AK508))</f>
        <v/>
      </c>
      <c r="AM508" s="18">
        <f>IF($A508="","",$AK508+$AL508)</f>
        <v/>
      </c>
      <c r="AN508" s="5">
        <f>IF($A508="","",IF(OR((IFERROR(INDEX('CAT_ACTIVIDADES'!$D$4:$D$11,MATCH($H508,'CAT_ACTIVIDADES'!$A$4:$A$11,0)),""))=0,(IFERROR(INDEX('CAT_ACTIVIDADES'!$D$4:$D$11,MATCH($H508,'CAT_ACTIVIDADES'!$A$4:$A$11,0)),""))=""),"SIN CLASIFICAR",IFERROR(INDEX('CAT_ACTIVIDADES'!$D$4:$D$11,MATCH($H508,'CAT_ACTIVIDADES'!$A$4:$A$11,0)),"")))</f>
        <v/>
      </c>
      <c r="AO508" s="4" t="n"/>
      <c r="AP508" s="4" t="n"/>
      <c r="AQ508" s="4" t="n"/>
      <c r="AR508" s="5">
        <f>IF($AQ508="","",HYPERLINK(p_ruta_base_checklists&amp;$AQ508,"abrir"))</f>
        <v/>
      </c>
      <c r="AS508" s="4" t="n"/>
      <c r="AT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2" t="n"/>
      <c r="K509" s="5" t="n"/>
      <c r="L509" s="18" t="n"/>
      <c r="M509" s="5">
        <f>IF($A509="","",IFERROR(INDEX('AJUSTES'!$B$4:$B$303,MATCH($AT509,'AJUSTES'!$A$4:$A$303,0)),IF($K509="","",$K509)))</f>
        <v/>
      </c>
      <c r="N509" s="5">
        <f>IF($A509="","",IFERROR(INDEX('CAT_ESTADOS_ERP'!$B$4:$B$7,MATCH(IFERROR(INDEX('2_IMPORTAR_EJECUCION'!$C$9:$C$1208,MATCH($AT509,'2_IMPORTAR_EJECUCION'!$J$9:$J$1208,0)),""),'CAT_ESTADOS_ERP'!$A$4:$A$7,0)),"Pendiente"))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IF($J509="","",$P509&amp;"-"&amp;TEXT($Q509,"00"))</f>
        <v/>
      </c>
      <c r="S509" s="5">
        <f>IF($J509="","",INDEX(lista_dias,WEEKDAY($J509,2)))</f>
        <v/>
      </c>
      <c r="T509" s="5">
        <f>IF($J509="","",IFERROR(INDEX('CALENDARIO'!$C$15:$C$214,MATCH(TEXT($J509,"yyyy-mm-dd")&amp;"|"&amp;$X509&amp;"|"&amp;$Y509,'CALENDARIO'!$G$15:$G$214,0)),IFERROR(INDEX('CALENDARIO'!$C$15:$C$214,MATCH(TEXT($J509,"yyyy-mm-dd")&amp;"|"&amp;$X509&amp;"|",'CALENDARIO'!$G$15:$G$214,0)),IFERROR(INDEX('CALENDARIO'!$C$15:$C$214,MATCH(TEXT($J509,"yyyy-mm-dd")&amp;"||",'CALENDARIO'!$G$15:$G$214,0)),INDEX(patronHabil,WEEKDAY($J509,2))))))</f>
        <v/>
      </c>
      <c r="U509" s="5">
        <f>IF($I509="","",IFERROR(INDEX('CAT_TIPOS_OT'!$C$4:$C$8,MATCH($I509,'CAT_TIPOS_OT'!$A$4:$A$8,0)),"sin_clasificar"))</f>
        <v/>
      </c>
      <c r="V509" s="5">
        <f>IF($I509="","",IF(IFERROR(INDEX('CAT_TIPOS_OT'!$D$4:$D$8,MATCH($I509,'CAT_TIPOS_OT'!$A$4:$A$8,0)),"SIN CLASIFICAR")="","SIN CLASIFICAR",IFERROR(INDEX('CAT_TIPOS_OT'!$D$4:$D$8,MATCH($I509,'CAT_TIPOS_OT'!$A$4:$A$8,0)),"SIN CLASIFICAR")))</f>
        <v/>
      </c>
      <c r="W509" s="5">
        <f>IF($F509="","",IFERROR(INDEX('CAT_CENTROS_COSTO'!$F$4:$F$13,MATCH($F509,'CAT_CENTROS_COSTO'!$A$4:$A$13,0)),"(sin catálogo)"))</f>
        <v/>
      </c>
      <c r="X509" s="5">
        <f>IF($F509="","",IFERROR(INDEX('CAT_CENTROS_COSTO'!$D$4:$D$13,MATCH($F509,'CAT_CENTROS_COSTO'!$A$4:$A$13,0)),"(sin catálogo)"))</f>
        <v/>
      </c>
      <c r="Y509" s="5">
        <f>IF($F509="","",IF((IFERROR(INDEX('CAT_CENTROS_COSTO'!$E$4:$E$13,MATCH($F509,'CAT_CENTROS_COSTO'!$A$4:$A$13,0)),""))&lt;&gt;"",IFERROR(INDEX('CAT_CENTROS_COSTO'!$E$4:$E$13,MATCH($F509,'CAT_CENTROS_COSTO'!$A$4:$A$13,0)),""),$X509))</f>
        <v/>
      </c>
      <c r="Z509" s="5">
        <f>IF($F509="","",IFERROR(INDEX('CAT_CENTROS_COSTO'!$G$4:$G$13,MATCH($F509,'CAT_CENTROS_COSTO'!$A$4:$A$13,0)),"(sin catálogo)"))</f>
        <v/>
      </c>
      <c r="AA509" s="5">
        <f>IF($G509="","",IFERROR(INDEX('CAT_PUESTOS'!$B$4:$B$8,MATCH($G509,'CAT_PUESTOS'!$A$4:$A$8,0)),"(sin catálogo)"))</f>
        <v/>
      </c>
      <c r="AB509" s="5">
        <f>IF($H509="","",IFERROR(INDEX('CAT_ACTIVIDADES'!$B$4:$B$11,MATCH($H509,'CAT_ACTIVIDADES'!$A$4:$A$11,0)),"(sin catálogo)"))</f>
        <v/>
      </c>
      <c r="AC509" s="20">
        <f>IF($J509="","",TODAY()-$J509)</f>
        <v/>
      </c>
      <c r="AD509" s="20">
        <f>IF($J509="","",IF($J509&lt;=TODAY(),COUNTIFS(cal_fechas,"&gt;="&amp;$J509,cal_fechas,"&lt;"&amp;TODAY(),cal_habil,"sí"),-COUNTIFS(cal_fechas,"&gt;="&amp;TODAY(),cal_fechas,"&lt;"&amp;$J509,cal_habil,"sí")))</f>
        <v/>
      </c>
      <c r="AE509" s="5">
        <f>IF($AD509="","",IF($AD509&lt;0,"FUTURO",IF($AD509&gt;p_dias_backlog_max,"BACKLOG","MES CORRIENTE")))</f>
        <v/>
      </c>
      <c r="AF509" s="5">
        <f>IF($AD509="",FALSE,AND($AD509&gt;p_dias_backlog_min,$AD509&lt;=p_dias_backlog_max))</f>
        <v/>
      </c>
      <c r="AG509" s="4" t="n"/>
      <c r="AH509" s="5">
        <f>IF($AG509="","",IF((IFERROR(INDEX('ASIGNACIONES'!$J$4:$J$451,MATCH($O509&amp;"|"&amp;$S509&amp;"|"&amp;$AG509,'ASIGNACIONES'!$N$4:$N$451,0)),""))=0,"",IFERROR(INDEX('ASIGNACIONES'!$J$4:$J$451,MATCH($O509&amp;"|"&amp;$S509&amp;"|"&amp;$AG509,'ASIGNACIONES'!$N$4:$N$451,0)),"")))</f>
        <v/>
      </c>
      <c r="AI509" s="25">
        <f>IF($AG509="","",SUMIFS('ORDENES'!$M$4:$M$1203,'ORDENES'!$AG$4:$AG$1203,$AG509,'ORDENES'!$O$4:$O$1203,$O509,'ORDENES'!$S$4:$S$1203,$S509))</f>
        <v/>
      </c>
      <c r="AJ509" s="25">
        <f>IF($AI509="","",p_factor_productividad*IFERROR(INDEX('ASIGNACIONES'!$M$4:$M$451,MATCH($O509&amp;"|"&amp;$S509&amp;"|"&amp;$AG509,'ASIGNACIONES'!$N$4:$N$451,0)),0)-$AI509)</f>
        <v/>
      </c>
      <c r="AK509" s="18">
        <f>IF($A509="","",IFERROR(INDEX('2_IMPORTAR_EJECUCION'!$F$9:$F$1208,MATCH($AT509,'2_IMPORTAR_EJECUCION'!$J$9:$J$1208,0)),0))</f>
        <v/>
      </c>
      <c r="AL509" s="18">
        <f>IF($A509="","",MAX(0,IFERROR(INDEX('2_IMPORTAR_EJECUCION'!$H$9:$H$1208,MATCH($AT509,'2_IMPORTAR_EJECUCION'!$J$9:$J$1208,0)),0)-$AK509))</f>
        <v/>
      </c>
      <c r="AM509" s="18">
        <f>IF($A509="","",$AK509+$AL509)</f>
        <v/>
      </c>
      <c r="AN509" s="5">
        <f>IF($A509="","",IF(OR((IFERROR(INDEX('CAT_ACTIVIDADES'!$D$4:$D$11,MATCH($H509,'CAT_ACTIVIDADES'!$A$4:$A$11,0)),""))=0,(IFERROR(INDEX('CAT_ACTIVIDADES'!$D$4:$D$11,MATCH($H509,'CAT_ACTIVIDADES'!$A$4:$A$11,0)),""))=""),"SIN CLASIFICAR",IFERROR(INDEX('CAT_ACTIVIDADES'!$D$4:$D$11,MATCH($H509,'CAT_ACTIVIDADES'!$A$4:$A$11,0)),"")))</f>
        <v/>
      </c>
      <c r="AO509" s="4" t="n"/>
      <c r="AP509" s="4" t="n"/>
      <c r="AQ509" s="4" t="n"/>
      <c r="AR509" s="5">
        <f>IF($AQ509="","",HYPERLINK(p_ruta_base_checklists&amp;$AQ509,"abrir"))</f>
        <v/>
      </c>
      <c r="AS509" s="4" t="n"/>
      <c r="AT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2" t="n"/>
      <c r="K510" s="5" t="n"/>
      <c r="L510" s="18" t="n"/>
      <c r="M510" s="5">
        <f>IF($A510="","",IFERROR(INDEX('AJUSTES'!$B$4:$B$303,MATCH($AT510,'AJUSTES'!$A$4:$A$303,0)),IF($K510="","",$K510)))</f>
        <v/>
      </c>
      <c r="N510" s="5">
        <f>IF($A510="","",IFERROR(INDEX('CAT_ESTADOS_ERP'!$B$4:$B$7,MATCH(IFERROR(INDEX('2_IMPORTAR_EJECUCION'!$C$9:$C$1208,MATCH($AT510,'2_IMPORTAR_EJECUCION'!$J$9:$J$1208,0)),""),'CAT_ESTADOS_ERP'!$A$4:$A$7,0)),"Pendiente"))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IF($J510="","",$P510&amp;"-"&amp;TEXT($Q510,"00"))</f>
        <v/>
      </c>
      <c r="S510" s="5">
        <f>IF($J510="","",INDEX(lista_dias,WEEKDAY($J510,2)))</f>
        <v/>
      </c>
      <c r="T510" s="5">
        <f>IF($J510="","",IFERROR(INDEX('CALENDARIO'!$C$15:$C$214,MATCH(TEXT($J510,"yyyy-mm-dd")&amp;"|"&amp;$X510&amp;"|"&amp;$Y510,'CALENDARIO'!$G$15:$G$214,0)),IFERROR(INDEX('CALENDARIO'!$C$15:$C$214,MATCH(TEXT($J510,"yyyy-mm-dd")&amp;"|"&amp;$X510&amp;"|",'CALENDARIO'!$G$15:$G$214,0)),IFERROR(INDEX('CALENDARIO'!$C$15:$C$214,MATCH(TEXT($J510,"yyyy-mm-dd")&amp;"||",'CALENDARIO'!$G$15:$G$214,0)),INDEX(patronHabil,WEEKDAY($J510,2))))))</f>
        <v/>
      </c>
      <c r="U510" s="5">
        <f>IF($I510="","",IFERROR(INDEX('CAT_TIPOS_OT'!$C$4:$C$8,MATCH($I510,'CAT_TIPOS_OT'!$A$4:$A$8,0)),"sin_clasificar"))</f>
        <v/>
      </c>
      <c r="V510" s="5">
        <f>IF($I510="","",IF(IFERROR(INDEX('CAT_TIPOS_OT'!$D$4:$D$8,MATCH($I510,'CAT_TIPOS_OT'!$A$4:$A$8,0)),"SIN CLASIFICAR")="","SIN CLASIFICAR",IFERROR(INDEX('CAT_TIPOS_OT'!$D$4:$D$8,MATCH($I510,'CAT_TIPOS_OT'!$A$4:$A$8,0)),"SIN CLASIFICAR")))</f>
        <v/>
      </c>
      <c r="W510" s="5">
        <f>IF($F510="","",IFERROR(INDEX('CAT_CENTROS_COSTO'!$F$4:$F$13,MATCH($F510,'CAT_CENTROS_COSTO'!$A$4:$A$13,0)),"(sin catálogo)"))</f>
        <v/>
      </c>
      <c r="X510" s="5">
        <f>IF($F510="","",IFERROR(INDEX('CAT_CENTROS_COSTO'!$D$4:$D$13,MATCH($F510,'CAT_CENTROS_COSTO'!$A$4:$A$13,0)),"(sin catálogo)"))</f>
        <v/>
      </c>
      <c r="Y510" s="5">
        <f>IF($F510="","",IF((IFERROR(INDEX('CAT_CENTROS_COSTO'!$E$4:$E$13,MATCH($F510,'CAT_CENTROS_COSTO'!$A$4:$A$13,0)),""))&lt;&gt;"",IFERROR(INDEX('CAT_CENTROS_COSTO'!$E$4:$E$13,MATCH($F510,'CAT_CENTROS_COSTO'!$A$4:$A$13,0)),""),$X510))</f>
        <v/>
      </c>
      <c r="Z510" s="5">
        <f>IF($F510="","",IFERROR(INDEX('CAT_CENTROS_COSTO'!$G$4:$G$13,MATCH($F510,'CAT_CENTROS_COSTO'!$A$4:$A$13,0)),"(sin catálogo)"))</f>
        <v/>
      </c>
      <c r="AA510" s="5">
        <f>IF($G510="","",IFERROR(INDEX('CAT_PUESTOS'!$B$4:$B$8,MATCH($G510,'CAT_PUESTOS'!$A$4:$A$8,0)),"(sin catálogo)"))</f>
        <v/>
      </c>
      <c r="AB510" s="5">
        <f>IF($H510="","",IFERROR(INDEX('CAT_ACTIVIDADES'!$B$4:$B$11,MATCH($H510,'CAT_ACTIVIDADES'!$A$4:$A$11,0)),"(sin catálogo)"))</f>
        <v/>
      </c>
      <c r="AC510" s="20">
        <f>IF($J510="","",TODAY()-$J510)</f>
        <v/>
      </c>
      <c r="AD510" s="20">
        <f>IF($J510="","",IF($J510&lt;=TODAY(),COUNTIFS(cal_fechas,"&gt;="&amp;$J510,cal_fechas,"&lt;"&amp;TODAY(),cal_habil,"sí"),-COUNTIFS(cal_fechas,"&gt;="&amp;TODAY(),cal_fechas,"&lt;"&amp;$J510,cal_habil,"sí")))</f>
        <v/>
      </c>
      <c r="AE510" s="5">
        <f>IF($AD510="","",IF($AD510&lt;0,"FUTURO",IF($AD510&gt;p_dias_backlog_max,"BACKLOG","MES CORRIENTE")))</f>
        <v/>
      </c>
      <c r="AF510" s="5">
        <f>IF($AD510="",FALSE,AND($AD510&gt;p_dias_backlog_min,$AD510&lt;=p_dias_backlog_max))</f>
        <v/>
      </c>
      <c r="AG510" s="4" t="n"/>
      <c r="AH510" s="5">
        <f>IF($AG510="","",IF((IFERROR(INDEX('ASIGNACIONES'!$J$4:$J$451,MATCH($O510&amp;"|"&amp;$S510&amp;"|"&amp;$AG510,'ASIGNACIONES'!$N$4:$N$451,0)),""))=0,"",IFERROR(INDEX('ASIGNACIONES'!$J$4:$J$451,MATCH($O510&amp;"|"&amp;$S510&amp;"|"&amp;$AG510,'ASIGNACIONES'!$N$4:$N$451,0)),"")))</f>
        <v/>
      </c>
      <c r="AI510" s="25">
        <f>IF($AG510="","",SUMIFS('ORDENES'!$M$4:$M$1203,'ORDENES'!$AG$4:$AG$1203,$AG510,'ORDENES'!$O$4:$O$1203,$O510,'ORDENES'!$S$4:$S$1203,$S510))</f>
        <v/>
      </c>
      <c r="AJ510" s="25">
        <f>IF($AI510="","",p_factor_productividad*IFERROR(INDEX('ASIGNACIONES'!$M$4:$M$451,MATCH($O510&amp;"|"&amp;$S510&amp;"|"&amp;$AG510,'ASIGNACIONES'!$N$4:$N$451,0)),0)-$AI510)</f>
        <v/>
      </c>
      <c r="AK510" s="18">
        <f>IF($A510="","",IFERROR(INDEX('2_IMPORTAR_EJECUCION'!$F$9:$F$1208,MATCH($AT510,'2_IMPORTAR_EJECUCION'!$J$9:$J$1208,0)),0))</f>
        <v/>
      </c>
      <c r="AL510" s="18">
        <f>IF($A510="","",MAX(0,IFERROR(INDEX('2_IMPORTAR_EJECUCION'!$H$9:$H$1208,MATCH($AT510,'2_IMPORTAR_EJECUCION'!$J$9:$J$1208,0)),0)-$AK510))</f>
        <v/>
      </c>
      <c r="AM510" s="18">
        <f>IF($A510="","",$AK510+$AL510)</f>
        <v/>
      </c>
      <c r="AN510" s="5">
        <f>IF($A510="","",IF(OR((IFERROR(INDEX('CAT_ACTIVIDADES'!$D$4:$D$11,MATCH($H510,'CAT_ACTIVIDADES'!$A$4:$A$11,0)),""))=0,(IFERROR(INDEX('CAT_ACTIVIDADES'!$D$4:$D$11,MATCH($H510,'CAT_ACTIVIDADES'!$A$4:$A$11,0)),""))=""),"SIN CLASIFICAR",IFERROR(INDEX('CAT_ACTIVIDADES'!$D$4:$D$11,MATCH($H510,'CAT_ACTIVIDADES'!$A$4:$A$11,0)),"")))</f>
        <v/>
      </c>
      <c r="AO510" s="4" t="n"/>
      <c r="AP510" s="4" t="n"/>
      <c r="AQ510" s="4" t="n"/>
      <c r="AR510" s="5">
        <f>IF($AQ510="","",HYPERLINK(p_ruta_base_checklists&amp;$AQ510,"abrir"))</f>
        <v/>
      </c>
      <c r="AS510" s="4" t="n"/>
      <c r="AT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2" t="n"/>
      <c r="K511" s="5" t="n"/>
      <c r="L511" s="18" t="n"/>
      <c r="M511" s="5">
        <f>IF($A511="","",IFERROR(INDEX('AJUSTES'!$B$4:$B$303,MATCH($AT511,'AJUSTES'!$A$4:$A$303,0)),IF($K511="","",$K511)))</f>
        <v/>
      </c>
      <c r="N511" s="5">
        <f>IF($A511="","",IFERROR(INDEX('CAT_ESTADOS_ERP'!$B$4:$B$7,MATCH(IFERROR(INDEX('2_IMPORTAR_EJECUCION'!$C$9:$C$1208,MATCH($AT511,'2_IMPORTAR_EJECUCION'!$J$9:$J$1208,0)),""),'CAT_ESTADOS_ERP'!$A$4:$A$7,0)),"Pendiente"))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IF($J511="","",$P511&amp;"-"&amp;TEXT($Q511,"00"))</f>
        <v/>
      </c>
      <c r="S511" s="5">
        <f>IF($J511="","",INDEX(lista_dias,WEEKDAY($J511,2)))</f>
        <v/>
      </c>
      <c r="T511" s="5">
        <f>IF($J511="","",IFERROR(INDEX('CALENDARIO'!$C$15:$C$214,MATCH(TEXT($J511,"yyyy-mm-dd")&amp;"|"&amp;$X511&amp;"|"&amp;$Y511,'CALENDARIO'!$G$15:$G$214,0)),IFERROR(INDEX('CALENDARIO'!$C$15:$C$214,MATCH(TEXT($J511,"yyyy-mm-dd")&amp;"|"&amp;$X511&amp;"|",'CALENDARIO'!$G$15:$G$214,0)),IFERROR(INDEX('CALENDARIO'!$C$15:$C$214,MATCH(TEXT($J511,"yyyy-mm-dd")&amp;"||",'CALENDARIO'!$G$15:$G$214,0)),INDEX(patronHabil,WEEKDAY($J511,2))))))</f>
        <v/>
      </c>
      <c r="U511" s="5">
        <f>IF($I511="","",IFERROR(INDEX('CAT_TIPOS_OT'!$C$4:$C$8,MATCH($I511,'CAT_TIPOS_OT'!$A$4:$A$8,0)),"sin_clasificar"))</f>
        <v/>
      </c>
      <c r="V511" s="5">
        <f>IF($I511="","",IF(IFERROR(INDEX('CAT_TIPOS_OT'!$D$4:$D$8,MATCH($I511,'CAT_TIPOS_OT'!$A$4:$A$8,0)),"SIN CLASIFICAR")="","SIN CLASIFICAR",IFERROR(INDEX('CAT_TIPOS_OT'!$D$4:$D$8,MATCH($I511,'CAT_TIPOS_OT'!$A$4:$A$8,0)),"SIN CLASIFICAR")))</f>
        <v/>
      </c>
      <c r="W511" s="5">
        <f>IF($F511="","",IFERROR(INDEX('CAT_CENTROS_COSTO'!$F$4:$F$13,MATCH($F511,'CAT_CENTROS_COSTO'!$A$4:$A$13,0)),"(sin catálogo)"))</f>
        <v/>
      </c>
      <c r="X511" s="5">
        <f>IF($F511="","",IFERROR(INDEX('CAT_CENTROS_COSTO'!$D$4:$D$13,MATCH($F511,'CAT_CENTROS_COSTO'!$A$4:$A$13,0)),"(sin catálogo)"))</f>
        <v/>
      </c>
      <c r="Y511" s="5">
        <f>IF($F511="","",IF((IFERROR(INDEX('CAT_CENTROS_COSTO'!$E$4:$E$13,MATCH($F511,'CAT_CENTROS_COSTO'!$A$4:$A$13,0)),""))&lt;&gt;"",IFERROR(INDEX('CAT_CENTROS_COSTO'!$E$4:$E$13,MATCH($F511,'CAT_CENTROS_COSTO'!$A$4:$A$13,0)),""),$X511))</f>
        <v/>
      </c>
      <c r="Z511" s="5">
        <f>IF($F511="","",IFERROR(INDEX('CAT_CENTROS_COSTO'!$G$4:$G$13,MATCH($F511,'CAT_CENTROS_COSTO'!$A$4:$A$13,0)),"(sin catálogo)"))</f>
        <v/>
      </c>
      <c r="AA511" s="5">
        <f>IF($G511="","",IFERROR(INDEX('CAT_PUESTOS'!$B$4:$B$8,MATCH($G511,'CAT_PUESTOS'!$A$4:$A$8,0)),"(sin catálogo)"))</f>
        <v/>
      </c>
      <c r="AB511" s="5">
        <f>IF($H511="","",IFERROR(INDEX('CAT_ACTIVIDADES'!$B$4:$B$11,MATCH($H511,'CAT_ACTIVIDADES'!$A$4:$A$11,0)),"(sin catálogo)"))</f>
        <v/>
      </c>
      <c r="AC511" s="20">
        <f>IF($J511="","",TODAY()-$J511)</f>
        <v/>
      </c>
      <c r="AD511" s="20">
        <f>IF($J511="","",IF($J511&lt;=TODAY(),COUNTIFS(cal_fechas,"&gt;="&amp;$J511,cal_fechas,"&lt;"&amp;TODAY(),cal_habil,"sí"),-COUNTIFS(cal_fechas,"&gt;="&amp;TODAY(),cal_fechas,"&lt;"&amp;$J511,cal_habil,"sí")))</f>
        <v/>
      </c>
      <c r="AE511" s="5">
        <f>IF($AD511="","",IF($AD511&lt;0,"FUTURO",IF($AD511&gt;p_dias_backlog_max,"BACKLOG","MES CORRIENTE")))</f>
        <v/>
      </c>
      <c r="AF511" s="5">
        <f>IF($AD511="",FALSE,AND($AD511&gt;p_dias_backlog_min,$AD511&lt;=p_dias_backlog_max))</f>
        <v/>
      </c>
      <c r="AG511" s="4" t="n"/>
      <c r="AH511" s="5">
        <f>IF($AG511="","",IF((IFERROR(INDEX('ASIGNACIONES'!$J$4:$J$451,MATCH($O511&amp;"|"&amp;$S511&amp;"|"&amp;$AG511,'ASIGNACIONES'!$N$4:$N$451,0)),""))=0,"",IFERROR(INDEX('ASIGNACIONES'!$J$4:$J$451,MATCH($O511&amp;"|"&amp;$S511&amp;"|"&amp;$AG511,'ASIGNACIONES'!$N$4:$N$451,0)),"")))</f>
        <v/>
      </c>
      <c r="AI511" s="25">
        <f>IF($AG511="","",SUMIFS('ORDENES'!$M$4:$M$1203,'ORDENES'!$AG$4:$AG$1203,$AG511,'ORDENES'!$O$4:$O$1203,$O511,'ORDENES'!$S$4:$S$1203,$S511))</f>
        <v/>
      </c>
      <c r="AJ511" s="25">
        <f>IF($AI511="","",p_factor_productividad*IFERROR(INDEX('ASIGNACIONES'!$M$4:$M$451,MATCH($O511&amp;"|"&amp;$S511&amp;"|"&amp;$AG511,'ASIGNACIONES'!$N$4:$N$451,0)),0)-$AI511)</f>
        <v/>
      </c>
      <c r="AK511" s="18">
        <f>IF($A511="","",IFERROR(INDEX('2_IMPORTAR_EJECUCION'!$F$9:$F$1208,MATCH($AT511,'2_IMPORTAR_EJECUCION'!$J$9:$J$1208,0)),0))</f>
        <v/>
      </c>
      <c r="AL511" s="18">
        <f>IF($A511="","",MAX(0,IFERROR(INDEX('2_IMPORTAR_EJECUCION'!$H$9:$H$1208,MATCH($AT511,'2_IMPORTAR_EJECUCION'!$J$9:$J$1208,0)),0)-$AK511))</f>
        <v/>
      </c>
      <c r="AM511" s="18">
        <f>IF($A511="","",$AK511+$AL511)</f>
        <v/>
      </c>
      <c r="AN511" s="5">
        <f>IF($A511="","",IF(OR((IFERROR(INDEX('CAT_ACTIVIDADES'!$D$4:$D$11,MATCH($H511,'CAT_ACTIVIDADES'!$A$4:$A$11,0)),""))=0,(IFERROR(INDEX('CAT_ACTIVIDADES'!$D$4:$D$11,MATCH($H511,'CAT_ACTIVIDADES'!$A$4:$A$11,0)),""))=""),"SIN CLASIFICAR",IFERROR(INDEX('CAT_ACTIVIDADES'!$D$4:$D$11,MATCH($H511,'CAT_ACTIVIDADES'!$A$4:$A$11,0)),"")))</f>
        <v/>
      </c>
      <c r="AO511" s="4" t="n"/>
      <c r="AP511" s="4" t="n"/>
      <c r="AQ511" s="4" t="n"/>
      <c r="AR511" s="5">
        <f>IF($AQ511="","",HYPERLINK(p_ruta_base_checklists&amp;$AQ511,"abrir"))</f>
        <v/>
      </c>
      <c r="AS511" s="4" t="n"/>
      <c r="AT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2" t="n"/>
      <c r="K512" s="5" t="n"/>
      <c r="L512" s="18" t="n"/>
      <c r="M512" s="5">
        <f>IF($A512="","",IFERROR(INDEX('AJUSTES'!$B$4:$B$303,MATCH($AT512,'AJUSTES'!$A$4:$A$303,0)),IF($K512="","",$K512)))</f>
        <v/>
      </c>
      <c r="N512" s="5">
        <f>IF($A512="","",IFERROR(INDEX('CAT_ESTADOS_ERP'!$B$4:$B$7,MATCH(IFERROR(INDEX('2_IMPORTAR_EJECUCION'!$C$9:$C$1208,MATCH($AT512,'2_IMPORTAR_EJECUCION'!$J$9:$J$1208,0)),""),'CAT_ESTADOS_ERP'!$A$4:$A$7,0)),"Pendiente"))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IF($J512="","",$P512&amp;"-"&amp;TEXT($Q512,"00"))</f>
        <v/>
      </c>
      <c r="S512" s="5">
        <f>IF($J512="","",INDEX(lista_dias,WEEKDAY($J512,2)))</f>
        <v/>
      </c>
      <c r="T512" s="5">
        <f>IF($J512="","",IFERROR(INDEX('CALENDARIO'!$C$15:$C$214,MATCH(TEXT($J512,"yyyy-mm-dd")&amp;"|"&amp;$X512&amp;"|"&amp;$Y512,'CALENDARIO'!$G$15:$G$214,0)),IFERROR(INDEX('CALENDARIO'!$C$15:$C$214,MATCH(TEXT($J512,"yyyy-mm-dd")&amp;"|"&amp;$X512&amp;"|",'CALENDARIO'!$G$15:$G$214,0)),IFERROR(INDEX('CALENDARIO'!$C$15:$C$214,MATCH(TEXT($J512,"yyyy-mm-dd")&amp;"||",'CALENDARIO'!$G$15:$G$214,0)),INDEX(patronHabil,WEEKDAY($J512,2))))))</f>
        <v/>
      </c>
      <c r="U512" s="5">
        <f>IF($I512="","",IFERROR(INDEX('CAT_TIPOS_OT'!$C$4:$C$8,MATCH($I512,'CAT_TIPOS_OT'!$A$4:$A$8,0)),"sin_clasificar"))</f>
        <v/>
      </c>
      <c r="V512" s="5">
        <f>IF($I512="","",IF(IFERROR(INDEX('CAT_TIPOS_OT'!$D$4:$D$8,MATCH($I512,'CAT_TIPOS_OT'!$A$4:$A$8,0)),"SIN CLASIFICAR")="","SIN CLASIFICAR",IFERROR(INDEX('CAT_TIPOS_OT'!$D$4:$D$8,MATCH($I512,'CAT_TIPOS_OT'!$A$4:$A$8,0)),"SIN CLASIFICAR")))</f>
        <v/>
      </c>
      <c r="W512" s="5">
        <f>IF($F512="","",IFERROR(INDEX('CAT_CENTROS_COSTO'!$F$4:$F$13,MATCH($F512,'CAT_CENTROS_COSTO'!$A$4:$A$13,0)),"(sin catálogo)"))</f>
        <v/>
      </c>
      <c r="X512" s="5">
        <f>IF($F512="","",IFERROR(INDEX('CAT_CENTROS_COSTO'!$D$4:$D$13,MATCH($F512,'CAT_CENTROS_COSTO'!$A$4:$A$13,0)),"(sin catálogo)"))</f>
        <v/>
      </c>
      <c r="Y512" s="5">
        <f>IF($F512="","",IF((IFERROR(INDEX('CAT_CENTROS_COSTO'!$E$4:$E$13,MATCH($F512,'CAT_CENTROS_COSTO'!$A$4:$A$13,0)),""))&lt;&gt;"",IFERROR(INDEX('CAT_CENTROS_COSTO'!$E$4:$E$13,MATCH($F512,'CAT_CENTROS_COSTO'!$A$4:$A$13,0)),""),$X512))</f>
        <v/>
      </c>
      <c r="Z512" s="5">
        <f>IF($F512="","",IFERROR(INDEX('CAT_CENTROS_COSTO'!$G$4:$G$13,MATCH($F512,'CAT_CENTROS_COSTO'!$A$4:$A$13,0)),"(sin catálogo)"))</f>
        <v/>
      </c>
      <c r="AA512" s="5">
        <f>IF($G512="","",IFERROR(INDEX('CAT_PUESTOS'!$B$4:$B$8,MATCH($G512,'CAT_PUESTOS'!$A$4:$A$8,0)),"(sin catálogo)"))</f>
        <v/>
      </c>
      <c r="AB512" s="5">
        <f>IF($H512="","",IFERROR(INDEX('CAT_ACTIVIDADES'!$B$4:$B$11,MATCH($H512,'CAT_ACTIVIDADES'!$A$4:$A$11,0)),"(sin catálogo)"))</f>
        <v/>
      </c>
      <c r="AC512" s="20">
        <f>IF($J512="","",TODAY()-$J512)</f>
        <v/>
      </c>
      <c r="AD512" s="20">
        <f>IF($J512="","",IF($J512&lt;=TODAY(),COUNTIFS(cal_fechas,"&gt;="&amp;$J512,cal_fechas,"&lt;"&amp;TODAY(),cal_habil,"sí"),-COUNTIFS(cal_fechas,"&gt;="&amp;TODAY(),cal_fechas,"&lt;"&amp;$J512,cal_habil,"sí")))</f>
        <v/>
      </c>
      <c r="AE512" s="5">
        <f>IF($AD512="","",IF($AD512&lt;0,"FUTURO",IF($AD512&gt;p_dias_backlog_max,"BACKLOG","MES CORRIENTE")))</f>
        <v/>
      </c>
      <c r="AF512" s="5">
        <f>IF($AD512="",FALSE,AND($AD512&gt;p_dias_backlog_min,$AD512&lt;=p_dias_backlog_max))</f>
        <v/>
      </c>
      <c r="AG512" s="4" t="n"/>
      <c r="AH512" s="5">
        <f>IF($AG512="","",IF((IFERROR(INDEX('ASIGNACIONES'!$J$4:$J$451,MATCH($O512&amp;"|"&amp;$S512&amp;"|"&amp;$AG512,'ASIGNACIONES'!$N$4:$N$451,0)),""))=0,"",IFERROR(INDEX('ASIGNACIONES'!$J$4:$J$451,MATCH($O512&amp;"|"&amp;$S512&amp;"|"&amp;$AG512,'ASIGNACIONES'!$N$4:$N$451,0)),"")))</f>
        <v/>
      </c>
      <c r="AI512" s="25">
        <f>IF($AG512="","",SUMIFS('ORDENES'!$M$4:$M$1203,'ORDENES'!$AG$4:$AG$1203,$AG512,'ORDENES'!$O$4:$O$1203,$O512,'ORDENES'!$S$4:$S$1203,$S512))</f>
        <v/>
      </c>
      <c r="AJ512" s="25">
        <f>IF($AI512="","",p_factor_productividad*IFERROR(INDEX('ASIGNACIONES'!$M$4:$M$451,MATCH($O512&amp;"|"&amp;$S512&amp;"|"&amp;$AG512,'ASIGNACIONES'!$N$4:$N$451,0)),0)-$AI512)</f>
        <v/>
      </c>
      <c r="AK512" s="18">
        <f>IF($A512="","",IFERROR(INDEX('2_IMPORTAR_EJECUCION'!$F$9:$F$1208,MATCH($AT512,'2_IMPORTAR_EJECUCION'!$J$9:$J$1208,0)),0))</f>
        <v/>
      </c>
      <c r="AL512" s="18">
        <f>IF($A512="","",MAX(0,IFERROR(INDEX('2_IMPORTAR_EJECUCION'!$H$9:$H$1208,MATCH($AT512,'2_IMPORTAR_EJECUCION'!$J$9:$J$1208,0)),0)-$AK512))</f>
        <v/>
      </c>
      <c r="AM512" s="18">
        <f>IF($A512="","",$AK512+$AL512)</f>
        <v/>
      </c>
      <c r="AN512" s="5">
        <f>IF($A512="","",IF(OR((IFERROR(INDEX('CAT_ACTIVIDADES'!$D$4:$D$11,MATCH($H512,'CAT_ACTIVIDADES'!$A$4:$A$11,0)),""))=0,(IFERROR(INDEX('CAT_ACTIVIDADES'!$D$4:$D$11,MATCH($H512,'CAT_ACTIVIDADES'!$A$4:$A$11,0)),""))=""),"SIN CLASIFICAR",IFERROR(INDEX('CAT_ACTIVIDADES'!$D$4:$D$11,MATCH($H512,'CAT_ACTIVIDADES'!$A$4:$A$11,0)),"")))</f>
        <v/>
      </c>
      <c r="AO512" s="4" t="n"/>
      <c r="AP512" s="4" t="n"/>
      <c r="AQ512" s="4" t="n"/>
      <c r="AR512" s="5">
        <f>IF($AQ512="","",HYPERLINK(p_ruta_base_checklists&amp;$AQ512,"abrir"))</f>
        <v/>
      </c>
      <c r="AS512" s="4" t="n"/>
      <c r="AT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2" t="n"/>
      <c r="K513" s="5" t="n"/>
      <c r="L513" s="18" t="n"/>
      <c r="M513" s="5">
        <f>IF($A513="","",IFERROR(INDEX('AJUSTES'!$B$4:$B$303,MATCH($AT513,'AJUSTES'!$A$4:$A$303,0)),IF($K513="","",$K513)))</f>
        <v/>
      </c>
      <c r="N513" s="5">
        <f>IF($A513="","",IFERROR(INDEX('CAT_ESTADOS_ERP'!$B$4:$B$7,MATCH(IFERROR(INDEX('2_IMPORTAR_EJECUCION'!$C$9:$C$1208,MATCH($AT513,'2_IMPORTAR_EJECUCION'!$J$9:$J$1208,0)),""),'CAT_ESTADOS_ERP'!$A$4:$A$7,0)),"Pendiente"))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IF($J513="","",$P513&amp;"-"&amp;TEXT($Q513,"00"))</f>
        <v/>
      </c>
      <c r="S513" s="5">
        <f>IF($J513="","",INDEX(lista_dias,WEEKDAY($J513,2)))</f>
        <v/>
      </c>
      <c r="T513" s="5">
        <f>IF($J513="","",IFERROR(INDEX('CALENDARIO'!$C$15:$C$214,MATCH(TEXT($J513,"yyyy-mm-dd")&amp;"|"&amp;$X513&amp;"|"&amp;$Y513,'CALENDARIO'!$G$15:$G$214,0)),IFERROR(INDEX('CALENDARIO'!$C$15:$C$214,MATCH(TEXT($J513,"yyyy-mm-dd")&amp;"|"&amp;$X513&amp;"|",'CALENDARIO'!$G$15:$G$214,0)),IFERROR(INDEX('CALENDARIO'!$C$15:$C$214,MATCH(TEXT($J513,"yyyy-mm-dd")&amp;"||",'CALENDARIO'!$G$15:$G$214,0)),INDEX(patronHabil,WEEKDAY($J513,2))))))</f>
        <v/>
      </c>
      <c r="U513" s="5">
        <f>IF($I513="","",IFERROR(INDEX('CAT_TIPOS_OT'!$C$4:$C$8,MATCH($I513,'CAT_TIPOS_OT'!$A$4:$A$8,0)),"sin_clasificar"))</f>
        <v/>
      </c>
      <c r="V513" s="5">
        <f>IF($I513="","",IF(IFERROR(INDEX('CAT_TIPOS_OT'!$D$4:$D$8,MATCH($I513,'CAT_TIPOS_OT'!$A$4:$A$8,0)),"SIN CLASIFICAR")="","SIN CLASIFICAR",IFERROR(INDEX('CAT_TIPOS_OT'!$D$4:$D$8,MATCH($I513,'CAT_TIPOS_OT'!$A$4:$A$8,0)),"SIN CLASIFICAR")))</f>
        <v/>
      </c>
      <c r="W513" s="5">
        <f>IF($F513="","",IFERROR(INDEX('CAT_CENTROS_COSTO'!$F$4:$F$13,MATCH($F513,'CAT_CENTROS_COSTO'!$A$4:$A$13,0)),"(sin catálogo)"))</f>
        <v/>
      </c>
      <c r="X513" s="5">
        <f>IF($F513="","",IFERROR(INDEX('CAT_CENTROS_COSTO'!$D$4:$D$13,MATCH($F513,'CAT_CENTROS_COSTO'!$A$4:$A$13,0)),"(sin catálogo)"))</f>
        <v/>
      </c>
      <c r="Y513" s="5">
        <f>IF($F513="","",IF((IFERROR(INDEX('CAT_CENTROS_COSTO'!$E$4:$E$13,MATCH($F513,'CAT_CENTROS_COSTO'!$A$4:$A$13,0)),""))&lt;&gt;"",IFERROR(INDEX('CAT_CENTROS_COSTO'!$E$4:$E$13,MATCH($F513,'CAT_CENTROS_COSTO'!$A$4:$A$13,0)),""),$X513))</f>
        <v/>
      </c>
      <c r="Z513" s="5">
        <f>IF($F513="","",IFERROR(INDEX('CAT_CENTROS_COSTO'!$G$4:$G$13,MATCH($F513,'CAT_CENTROS_COSTO'!$A$4:$A$13,0)),"(sin catálogo)"))</f>
        <v/>
      </c>
      <c r="AA513" s="5">
        <f>IF($G513="","",IFERROR(INDEX('CAT_PUESTOS'!$B$4:$B$8,MATCH($G513,'CAT_PUESTOS'!$A$4:$A$8,0)),"(sin catálogo)"))</f>
        <v/>
      </c>
      <c r="AB513" s="5">
        <f>IF($H513="","",IFERROR(INDEX('CAT_ACTIVIDADES'!$B$4:$B$11,MATCH($H513,'CAT_ACTIVIDADES'!$A$4:$A$11,0)),"(sin catálogo)"))</f>
        <v/>
      </c>
      <c r="AC513" s="20">
        <f>IF($J513="","",TODAY()-$J513)</f>
        <v/>
      </c>
      <c r="AD513" s="20">
        <f>IF($J513="","",IF($J513&lt;=TODAY(),COUNTIFS(cal_fechas,"&gt;="&amp;$J513,cal_fechas,"&lt;"&amp;TODAY(),cal_habil,"sí"),-COUNTIFS(cal_fechas,"&gt;="&amp;TODAY(),cal_fechas,"&lt;"&amp;$J513,cal_habil,"sí")))</f>
        <v/>
      </c>
      <c r="AE513" s="5">
        <f>IF($AD513="","",IF($AD513&lt;0,"FUTURO",IF($AD513&gt;p_dias_backlog_max,"BACKLOG","MES CORRIENTE")))</f>
        <v/>
      </c>
      <c r="AF513" s="5">
        <f>IF($AD513="",FALSE,AND($AD513&gt;p_dias_backlog_min,$AD513&lt;=p_dias_backlog_max))</f>
        <v/>
      </c>
      <c r="AG513" s="4" t="n"/>
      <c r="AH513" s="5">
        <f>IF($AG513="","",IF((IFERROR(INDEX('ASIGNACIONES'!$J$4:$J$451,MATCH($O513&amp;"|"&amp;$S513&amp;"|"&amp;$AG513,'ASIGNACIONES'!$N$4:$N$451,0)),""))=0,"",IFERROR(INDEX('ASIGNACIONES'!$J$4:$J$451,MATCH($O513&amp;"|"&amp;$S513&amp;"|"&amp;$AG513,'ASIGNACIONES'!$N$4:$N$451,0)),"")))</f>
        <v/>
      </c>
      <c r="AI513" s="25">
        <f>IF($AG513="","",SUMIFS('ORDENES'!$M$4:$M$1203,'ORDENES'!$AG$4:$AG$1203,$AG513,'ORDENES'!$O$4:$O$1203,$O513,'ORDENES'!$S$4:$S$1203,$S513))</f>
        <v/>
      </c>
      <c r="AJ513" s="25">
        <f>IF($AI513="","",p_factor_productividad*IFERROR(INDEX('ASIGNACIONES'!$M$4:$M$451,MATCH($O513&amp;"|"&amp;$S513&amp;"|"&amp;$AG513,'ASIGNACIONES'!$N$4:$N$451,0)),0)-$AI513)</f>
        <v/>
      </c>
      <c r="AK513" s="18">
        <f>IF($A513="","",IFERROR(INDEX('2_IMPORTAR_EJECUCION'!$F$9:$F$1208,MATCH($AT513,'2_IMPORTAR_EJECUCION'!$J$9:$J$1208,0)),0))</f>
        <v/>
      </c>
      <c r="AL513" s="18">
        <f>IF($A513="","",MAX(0,IFERROR(INDEX('2_IMPORTAR_EJECUCION'!$H$9:$H$1208,MATCH($AT513,'2_IMPORTAR_EJECUCION'!$J$9:$J$1208,0)),0)-$AK513))</f>
        <v/>
      </c>
      <c r="AM513" s="18">
        <f>IF($A513="","",$AK513+$AL513)</f>
        <v/>
      </c>
      <c r="AN513" s="5">
        <f>IF($A513="","",IF(OR((IFERROR(INDEX('CAT_ACTIVIDADES'!$D$4:$D$11,MATCH($H513,'CAT_ACTIVIDADES'!$A$4:$A$11,0)),""))=0,(IFERROR(INDEX('CAT_ACTIVIDADES'!$D$4:$D$11,MATCH($H513,'CAT_ACTIVIDADES'!$A$4:$A$11,0)),""))=""),"SIN CLASIFICAR",IFERROR(INDEX('CAT_ACTIVIDADES'!$D$4:$D$11,MATCH($H513,'CAT_ACTIVIDADES'!$A$4:$A$11,0)),"")))</f>
        <v/>
      </c>
      <c r="AO513" s="4" t="n"/>
      <c r="AP513" s="4" t="n"/>
      <c r="AQ513" s="4" t="n"/>
      <c r="AR513" s="5">
        <f>IF($AQ513="","",HYPERLINK(p_ruta_base_checklists&amp;$AQ513,"abrir"))</f>
        <v/>
      </c>
      <c r="AS513" s="4" t="n"/>
      <c r="AT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2" t="n"/>
      <c r="K514" s="5" t="n"/>
      <c r="L514" s="18" t="n"/>
      <c r="M514" s="5">
        <f>IF($A514="","",IFERROR(INDEX('AJUSTES'!$B$4:$B$303,MATCH($AT514,'AJUSTES'!$A$4:$A$303,0)),IF($K514="","",$K514)))</f>
        <v/>
      </c>
      <c r="N514" s="5">
        <f>IF($A514="","",IFERROR(INDEX('CAT_ESTADOS_ERP'!$B$4:$B$7,MATCH(IFERROR(INDEX('2_IMPORTAR_EJECUCION'!$C$9:$C$1208,MATCH($AT514,'2_IMPORTAR_EJECUCION'!$J$9:$J$1208,0)),""),'CAT_ESTADOS_ERP'!$A$4:$A$7,0)),"Pendiente"))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IF($J514="","",$P514&amp;"-"&amp;TEXT($Q514,"00"))</f>
        <v/>
      </c>
      <c r="S514" s="5">
        <f>IF($J514="","",INDEX(lista_dias,WEEKDAY($J514,2)))</f>
        <v/>
      </c>
      <c r="T514" s="5">
        <f>IF($J514="","",IFERROR(INDEX('CALENDARIO'!$C$15:$C$214,MATCH(TEXT($J514,"yyyy-mm-dd")&amp;"|"&amp;$X514&amp;"|"&amp;$Y514,'CALENDARIO'!$G$15:$G$214,0)),IFERROR(INDEX('CALENDARIO'!$C$15:$C$214,MATCH(TEXT($J514,"yyyy-mm-dd")&amp;"|"&amp;$X514&amp;"|",'CALENDARIO'!$G$15:$G$214,0)),IFERROR(INDEX('CALENDARIO'!$C$15:$C$214,MATCH(TEXT($J514,"yyyy-mm-dd")&amp;"||",'CALENDARIO'!$G$15:$G$214,0)),INDEX(patronHabil,WEEKDAY($J514,2))))))</f>
        <v/>
      </c>
      <c r="U514" s="5">
        <f>IF($I514="","",IFERROR(INDEX('CAT_TIPOS_OT'!$C$4:$C$8,MATCH($I514,'CAT_TIPOS_OT'!$A$4:$A$8,0)),"sin_clasificar"))</f>
        <v/>
      </c>
      <c r="V514" s="5">
        <f>IF($I514="","",IF(IFERROR(INDEX('CAT_TIPOS_OT'!$D$4:$D$8,MATCH($I514,'CAT_TIPOS_OT'!$A$4:$A$8,0)),"SIN CLASIFICAR")="","SIN CLASIFICAR",IFERROR(INDEX('CAT_TIPOS_OT'!$D$4:$D$8,MATCH($I514,'CAT_TIPOS_OT'!$A$4:$A$8,0)),"SIN CLASIFICAR")))</f>
        <v/>
      </c>
      <c r="W514" s="5">
        <f>IF($F514="","",IFERROR(INDEX('CAT_CENTROS_COSTO'!$F$4:$F$13,MATCH($F514,'CAT_CENTROS_COSTO'!$A$4:$A$13,0)),"(sin catálogo)"))</f>
        <v/>
      </c>
      <c r="X514" s="5">
        <f>IF($F514="","",IFERROR(INDEX('CAT_CENTROS_COSTO'!$D$4:$D$13,MATCH($F514,'CAT_CENTROS_COSTO'!$A$4:$A$13,0)),"(sin catálogo)"))</f>
        <v/>
      </c>
      <c r="Y514" s="5">
        <f>IF($F514="","",IF((IFERROR(INDEX('CAT_CENTROS_COSTO'!$E$4:$E$13,MATCH($F514,'CAT_CENTROS_COSTO'!$A$4:$A$13,0)),""))&lt;&gt;"",IFERROR(INDEX('CAT_CENTROS_COSTO'!$E$4:$E$13,MATCH($F514,'CAT_CENTROS_COSTO'!$A$4:$A$13,0)),""),$X514))</f>
        <v/>
      </c>
      <c r="Z514" s="5">
        <f>IF($F514="","",IFERROR(INDEX('CAT_CENTROS_COSTO'!$G$4:$G$13,MATCH($F514,'CAT_CENTROS_COSTO'!$A$4:$A$13,0)),"(sin catálogo)"))</f>
        <v/>
      </c>
      <c r="AA514" s="5">
        <f>IF($G514="","",IFERROR(INDEX('CAT_PUESTOS'!$B$4:$B$8,MATCH($G514,'CAT_PUESTOS'!$A$4:$A$8,0)),"(sin catálogo)"))</f>
        <v/>
      </c>
      <c r="AB514" s="5">
        <f>IF($H514="","",IFERROR(INDEX('CAT_ACTIVIDADES'!$B$4:$B$11,MATCH($H514,'CAT_ACTIVIDADES'!$A$4:$A$11,0)),"(sin catálogo)"))</f>
        <v/>
      </c>
      <c r="AC514" s="20">
        <f>IF($J514="","",TODAY()-$J514)</f>
        <v/>
      </c>
      <c r="AD514" s="20">
        <f>IF($J514="","",IF($J514&lt;=TODAY(),COUNTIFS(cal_fechas,"&gt;="&amp;$J514,cal_fechas,"&lt;"&amp;TODAY(),cal_habil,"sí"),-COUNTIFS(cal_fechas,"&gt;="&amp;TODAY(),cal_fechas,"&lt;"&amp;$J514,cal_habil,"sí")))</f>
        <v/>
      </c>
      <c r="AE514" s="5">
        <f>IF($AD514="","",IF($AD514&lt;0,"FUTURO",IF($AD514&gt;p_dias_backlog_max,"BACKLOG","MES CORRIENTE")))</f>
        <v/>
      </c>
      <c r="AF514" s="5">
        <f>IF($AD514="",FALSE,AND($AD514&gt;p_dias_backlog_min,$AD514&lt;=p_dias_backlog_max))</f>
        <v/>
      </c>
      <c r="AG514" s="4" t="n"/>
      <c r="AH514" s="5">
        <f>IF($AG514="","",IF((IFERROR(INDEX('ASIGNACIONES'!$J$4:$J$451,MATCH($O514&amp;"|"&amp;$S514&amp;"|"&amp;$AG514,'ASIGNACIONES'!$N$4:$N$451,0)),""))=0,"",IFERROR(INDEX('ASIGNACIONES'!$J$4:$J$451,MATCH($O514&amp;"|"&amp;$S514&amp;"|"&amp;$AG514,'ASIGNACIONES'!$N$4:$N$451,0)),"")))</f>
        <v/>
      </c>
      <c r="AI514" s="25">
        <f>IF($AG514="","",SUMIFS('ORDENES'!$M$4:$M$1203,'ORDENES'!$AG$4:$AG$1203,$AG514,'ORDENES'!$O$4:$O$1203,$O514,'ORDENES'!$S$4:$S$1203,$S514))</f>
        <v/>
      </c>
      <c r="AJ514" s="25">
        <f>IF($AI514="","",p_factor_productividad*IFERROR(INDEX('ASIGNACIONES'!$M$4:$M$451,MATCH($O514&amp;"|"&amp;$S514&amp;"|"&amp;$AG514,'ASIGNACIONES'!$N$4:$N$451,0)),0)-$AI514)</f>
        <v/>
      </c>
      <c r="AK514" s="18">
        <f>IF($A514="","",IFERROR(INDEX('2_IMPORTAR_EJECUCION'!$F$9:$F$1208,MATCH($AT514,'2_IMPORTAR_EJECUCION'!$J$9:$J$1208,0)),0))</f>
        <v/>
      </c>
      <c r="AL514" s="18">
        <f>IF($A514="","",MAX(0,IFERROR(INDEX('2_IMPORTAR_EJECUCION'!$H$9:$H$1208,MATCH($AT514,'2_IMPORTAR_EJECUCION'!$J$9:$J$1208,0)),0)-$AK514))</f>
        <v/>
      </c>
      <c r="AM514" s="18">
        <f>IF($A514="","",$AK514+$AL514)</f>
        <v/>
      </c>
      <c r="AN514" s="5">
        <f>IF($A514="","",IF(OR((IFERROR(INDEX('CAT_ACTIVIDADES'!$D$4:$D$11,MATCH($H514,'CAT_ACTIVIDADES'!$A$4:$A$11,0)),""))=0,(IFERROR(INDEX('CAT_ACTIVIDADES'!$D$4:$D$11,MATCH($H514,'CAT_ACTIVIDADES'!$A$4:$A$11,0)),""))=""),"SIN CLASIFICAR",IFERROR(INDEX('CAT_ACTIVIDADES'!$D$4:$D$11,MATCH($H514,'CAT_ACTIVIDADES'!$A$4:$A$11,0)),"")))</f>
        <v/>
      </c>
      <c r="AO514" s="4" t="n"/>
      <c r="AP514" s="4" t="n"/>
      <c r="AQ514" s="4" t="n"/>
      <c r="AR514" s="5">
        <f>IF($AQ514="","",HYPERLINK(p_ruta_base_checklists&amp;$AQ514,"abrir"))</f>
        <v/>
      </c>
      <c r="AS514" s="4" t="n"/>
      <c r="AT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2" t="n"/>
      <c r="K515" s="5" t="n"/>
      <c r="L515" s="18" t="n"/>
      <c r="M515" s="5">
        <f>IF($A515="","",IFERROR(INDEX('AJUSTES'!$B$4:$B$303,MATCH($AT515,'AJUSTES'!$A$4:$A$303,0)),IF($K515="","",$K515)))</f>
        <v/>
      </c>
      <c r="N515" s="5">
        <f>IF($A515="","",IFERROR(INDEX('CAT_ESTADOS_ERP'!$B$4:$B$7,MATCH(IFERROR(INDEX('2_IMPORTAR_EJECUCION'!$C$9:$C$1208,MATCH($AT515,'2_IMPORTAR_EJECUCION'!$J$9:$J$1208,0)),""),'CAT_ESTADOS_ERP'!$A$4:$A$7,0)),"Pendiente"))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IF($J515="","",$P515&amp;"-"&amp;TEXT($Q515,"00"))</f>
        <v/>
      </c>
      <c r="S515" s="5">
        <f>IF($J515="","",INDEX(lista_dias,WEEKDAY($J515,2)))</f>
        <v/>
      </c>
      <c r="T515" s="5">
        <f>IF($J515="","",IFERROR(INDEX('CALENDARIO'!$C$15:$C$214,MATCH(TEXT($J515,"yyyy-mm-dd")&amp;"|"&amp;$X515&amp;"|"&amp;$Y515,'CALENDARIO'!$G$15:$G$214,0)),IFERROR(INDEX('CALENDARIO'!$C$15:$C$214,MATCH(TEXT($J515,"yyyy-mm-dd")&amp;"|"&amp;$X515&amp;"|",'CALENDARIO'!$G$15:$G$214,0)),IFERROR(INDEX('CALENDARIO'!$C$15:$C$214,MATCH(TEXT($J515,"yyyy-mm-dd")&amp;"||",'CALENDARIO'!$G$15:$G$214,0)),INDEX(patronHabil,WEEKDAY($J515,2))))))</f>
        <v/>
      </c>
      <c r="U515" s="5">
        <f>IF($I515="","",IFERROR(INDEX('CAT_TIPOS_OT'!$C$4:$C$8,MATCH($I515,'CAT_TIPOS_OT'!$A$4:$A$8,0)),"sin_clasificar"))</f>
        <v/>
      </c>
      <c r="V515" s="5">
        <f>IF($I515="","",IF(IFERROR(INDEX('CAT_TIPOS_OT'!$D$4:$D$8,MATCH($I515,'CAT_TIPOS_OT'!$A$4:$A$8,0)),"SIN CLASIFICAR")="","SIN CLASIFICAR",IFERROR(INDEX('CAT_TIPOS_OT'!$D$4:$D$8,MATCH($I515,'CAT_TIPOS_OT'!$A$4:$A$8,0)),"SIN CLASIFICAR")))</f>
        <v/>
      </c>
      <c r="W515" s="5">
        <f>IF($F515="","",IFERROR(INDEX('CAT_CENTROS_COSTO'!$F$4:$F$13,MATCH($F515,'CAT_CENTROS_COSTO'!$A$4:$A$13,0)),"(sin catálogo)"))</f>
        <v/>
      </c>
      <c r="X515" s="5">
        <f>IF($F515="","",IFERROR(INDEX('CAT_CENTROS_COSTO'!$D$4:$D$13,MATCH($F515,'CAT_CENTROS_COSTO'!$A$4:$A$13,0)),"(sin catálogo)"))</f>
        <v/>
      </c>
      <c r="Y515" s="5">
        <f>IF($F515="","",IF((IFERROR(INDEX('CAT_CENTROS_COSTO'!$E$4:$E$13,MATCH($F515,'CAT_CENTROS_COSTO'!$A$4:$A$13,0)),""))&lt;&gt;"",IFERROR(INDEX('CAT_CENTROS_COSTO'!$E$4:$E$13,MATCH($F515,'CAT_CENTROS_COSTO'!$A$4:$A$13,0)),""),$X515))</f>
        <v/>
      </c>
      <c r="Z515" s="5">
        <f>IF($F515="","",IFERROR(INDEX('CAT_CENTROS_COSTO'!$G$4:$G$13,MATCH($F515,'CAT_CENTROS_COSTO'!$A$4:$A$13,0)),"(sin catálogo)"))</f>
        <v/>
      </c>
      <c r="AA515" s="5">
        <f>IF($G515="","",IFERROR(INDEX('CAT_PUESTOS'!$B$4:$B$8,MATCH($G515,'CAT_PUESTOS'!$A$4:$A$8,0)),"(sin catálogo)"))</f>
        <v/>
      </c>
      <c r="AB515" s="5">
        <f>IF($H515="","",IFERROR(INDEX('CAT_ACTIVIDADES'!$B$4:$B$11,MATCH($H515,'CAT_ACTIVIDADES'!$A$4:$A$11,0)),"(sin catálogo)"))</f>
        <v/>
      </c>
      <c r="AC515" s="20">
        <f>IF($J515="","",TODAY()-$J515)</f>
        <v/>
      </c>
      <c r="AD515" s="20">
        <f>IF($J515="","",IF($J515&lt;=TODAY(),COUNTIFS(cal_fechas,"&gt;="&amp;$J515,cal_fechas,"&lt;"&amp;TODAY(),cal_habil,"sí"),-COUNTIFS(cal_fechas,"&gt;="&amp;TODAY(),cal_fechas,"&lt;"&amp;$J515,cal_habil,"sí")))</f>
        <v/>
      </c>
      <c r="AE515" s="5">
        <f>IF($AD515="","",IF($AD515&lt;0,"FUTURO",IF($AD515&gt;p_dias_backlog_max,"BACKLOG","MES CORRIENTE")))</f>
        <v/>
      </c>
      <c r="AF515" s="5">
        <f>IF($AD515="",FALSE,AND($AD515&gt;p_dias_backlog_min,$AD515&lt;=p_dias_backlog_max))</f>
        <v/>
      </c>
      <c r="AG515" s="4" t="n"/>
      <c r="AH515" s="5">
        <f>IF($AG515="","",IF((IFERROR(INDEX('ASIGNACIONES'!$J$4:$J$451,MATCH($O515&amp;"|"&amp;$S515&amp;"|"&amp;$AG515,'ASIGNACIONES'!$N$4:$N$451,0)),""))=0,"",IFERROR(INDEX('ASIGNACIONES'!$J$4:$J$451,MATCH($O515&amp;"|"&amp;$S515&amp;"|"&amp;$AG515,'ASIGNACIONES'!$N$4:$N$451,0)),"")))</f>
        <v/>
      </c>
      <c r="AI515" s="25">
        <f>IF($AG515="","",SUMIFS('ORDENES'!$M$4:$M$1203,'ORDENES'!$AG$4:$AG$1203,$AG515,'ORDENES'!$O$4:$O$1203,$O515,'ORDENES'!$S$4:$S$1203,$S515))</f>
        <v/>
      </c>
      <c r="AJ515" s="25">
        <f>IF($AI515="","",p_factor_productividad*IFERROR(INDEX('ASIGNACIONES'!$M$4:$M$451,MATCH($O515&amp;"|"&amp;$S515&amp;"|"&amp;$AG515,'ASIGNACIONES'!$N$4:$N$451,0)),0)-$AI515)</f>
        <v/>
      </c>
      <c r="AK515" s="18">
        <f>IF($A515="","",IFERROR(INDEX('2_IMPORTAR_EJECUCION'!$F$9:$F$1208,MATCH($AT515,'2_IMPORTAR_EJECUCION'!$J$9:$J$1208,0)),0))</f>
        <v/>
      </c>
      <c r="AL515" s="18">
        <f>IF($A515="","",MAX(0,IFERROR(INDEX('2_IMPORTAR_EJECUCION'!$H$9:$H$1208,MATCH($AT515,'2_IMPORTAR_EJECUCION'!$J$9:$J$1208,0)),0)-$AK515))</f>
        <v/>
      </c>
      <c r="AM515" s="18">
        <f>IF($A515="","",$AK515+$AL515)</f>
        <v/>
      </c>
      <c r="AN515" s="5">
        <f>IF($A515="","",IF(OR((IFERROR(INDEX('CAT_ACTIVIDADES'!$D$4:$D$11,MATCH($H515,'CAT_ACTIVIDADES'!$A$4:$A$11,0)),""))=0,(IFERROR(INDEX('CAT_ACTIVIDADES'!$D$4:$D$11,MATCH($H515,'CAT_ACTIVIDADES'!$A$4:$A$11,0)),""))=""),"SIN CLASIFICAR",IFERROR(INDEX('CAT_ACTIVIDADES'!$D$4:$D$11,MATCH($H515,'CAT_ACTIVIDADES'!$A$4:$A$11,0)),"")))</f>
        <v/>
      </c>
      <c r="AO515" s="4" t="n"/>
      <c r="AP515" s="4" t="n"/>
      <c r="AQ515" s="4" t="n"/>
      <c r="AR515" s="5">
        <f>IF($AQ515="","",HYPERLINK(p_ruta_base_checklists&amp;$AQ515,"abrir"))</f>
        <v/>
      </c>
      <c r="AS515" s="4" t="n"/>
      <c r="AT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2" t="n"/>
      <c r="K516" s="5" t="n"/>
      <c r="L516" s="18" t="n"/>
      <c r="M516" s="5">
        <f>IF($A516="","",IFERROR(INDEX('AJUSTES'!$B$4:$B$303,MATCH($AT516,'AJUSTES'!$A$4:$A$303,0)),IF($K516="","",$K516)))</f>
        <v/>
      </c>
      <c r="N516" s="5">
        <f>IF($A516="","",IFERROR(INDEX('CAT_ESTADOS_ERP'!$B$4:$B$7,MATCH(IFERROR(INDEX('2_IMPORTAR_EJECUCION'!$C$9:$C$1208,MATCH($AT516,'2_IMPORTAR_EJECUCION'!$J$9:$J$1208,0)),""),'CAT_ESTADOS_ERP'!$A$4:$A$7,0)),"Pendiente"))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IF($J516="","",$P516&amp;"-"&amp;TEXT($Q516,"00"))</f>
        <v/>
      </c>
      <c r="S516" s="5">
        <f>IF($J516="","",INDEX(lista_dias,WEEKDAY($J516,2)))</f>
        <v/>
      </c>
      <c r="T516" s="5">
        <f>IF($J516="","",IFERROR(INDEX('CALENDARIO'!$C$15:$C$214,MATCH(TEXT($J516,"yyyy-mm-dd")&amp;"|"&amp;$X516&amp;"|"&amp;$Y516,'CALENDARIO'!$G$15:$G$214,0)),IFERROR(INDEX('CALENDARIO'!$C$15:$C$214,MATCH(TEXT($J516,"yyyy-mm-dd")&amp;"|"&amp;$X516&amp;"|",'CALENDARIO'!$G$15:$G$214,0)),IFERROR(INDEX('CALENDARIO'!$C$15:$C$214,MATCH(TEXT($J516,"yyyy-mm-dd")&amp;"||",'CALENDARIO'!$G$15:$G$214,0)),INDEX(patronHabil,WEEKDAY($J516,2))))))</f>
        <v/>
      </c>
      <c r="U516" s="5">
        <f>IF($I516="","",IFERROR(INDEX('CAT_TIPOS_OT'!$C$4:$C$8,MATCH($I516,'CAT_TIPOS_OT'!$A$4:$A$8,0)),"sin_clasificar"))</f>
        <v/>
      </c>
      <c r="V516" s="5">
        <f>IF($I516="","",IF(IFERROR(INDEX('CAT_TIPOS_OT'!$D$4:$D$8,MATCH($I516,'CAT_TIPOS_OT'!$A$4:$A$8,0)),"SIN CLASIFICAR")="","SIN CLASIFICAR",IFERROR(INDEX('CAT_TIPOS_OT'!$D$4:$D$8,MATCH($I516,'CAT_TIPOS_OT'!$A$4:$A$8,0)),"SIN CLASIFICAR")))</f>
        <v/>
      </c>
      <c r="W516" s="5">
        <f>IF($F516="","",IFERROR(INDEX('CAT_CENTROS_COSTO'!$F$4:$F$13,MATCH($F516,'CAT_CENTROS_COSTO'!$A$4:$A$13,0)),"(sin catálogo)"))</f>
        <v/>
      </c>
      <c r="X516" s="5">
        <f>IF($F516="","",IFERROR(INDEX('CAT_CENTROS_COSTO'!$D$4:$D$13,MATCH($F516,'CAT_CENTROS_COSTO'!$A$4:$A$13,0)),"(sin catálogo)"))</f>
        <v/>
      </c>
      <c r="Y516" s="5">
        <f>IF($F516="","",IF((IFERROR(INDEX('CAT_CENTROS_COSTO'!$E$4:$E$13,MATCH($F516,'CAT_CENTROS_COSTO'!$A$4:$A$13,0)),""))&lt;&gt;"",IFERROR(INDEX('CAT_CENTROS_COSTO'!$E$4:$E$13,MATCH($F516,'CAT_CENTROS_COSTO'!$A$4:$A$13,0)),""),$X516))</f>
        <v/>
      </c>
      <c r="Z516" s="5">
        <f>IF($F516="","",IFERROR(INDEX('CAT_CENTROS_COSTO'!$G$4:$G$13,MATCH($F516,'CAT_CENTROS_COSTO'!$A$4:$A$13,0)),"(sin catálogo)"))</f>
        <v/>
      </c>
      <c r="AA516" s="5">
        <f>IF($G516="","",IFERROR(INDEX('CAT_PUESTOS'!$B$4:$B$8,MATCH($G516,'CAT_PUESTOS'!$A$4:$A$8,0)),"(sin catálogo)"))</f>
        <v/>
      </c>
      <c r="AB516" s="5">
        <f>IF($H516="","",IFERROR(INDEX('CAT_ACTIVIDADES'!$B$4:$B$11,MATCH($H516,'CAT_ACTIVIDADES'!$A$4:$A$11,0)),"(sin catálogo)"))</f>
        <v/>
      </c>
      <c r="AC516" s="20">
        <f>IF($J516="","",TODAY()-$J516)</f>
        <v/>
      </c>
      <c r="AD516" s="20">
        <f>IF($J516="","",IF($J516&lt;=TODAY(),COUNTIFS(cal_fechas,"&gt;="&amp;$J516,cal_fechas,"&lt;"&amp;TODAY(),cal_habil,"sí"),-COUNTIFS(cal_fechas,"&gt;="&amp;TODAY(),cal_fechas,"&lt;"&amp;$J516,cal_habil,"sí")))</f>
        <v/>
      </c>
      <c r="AE516" s="5">
        <f>IF($AD516="","",IF($AD516&lt;0,"FUTURO",IF($AD516&gt;p_dias_backlog_max,"BACKLOG","MES CORRIENTE")))</f>
        <v/>
      </c>
      <c r="AF516" s="5">
        <f>IF($AD516="",FALSE,AND($AD516&gt;p_dias_backlog_min,$AD516&lt;=p_dias_backlog_max))</f>
        <v/>
      </c>
      <c r="AG516" s="4" t="n"/>
      <c r="AH516" s="5">
        <f>IF($AG516="","",IF((IFERROR(INDEX('ASIGNACIONES'!$J$4:$J$451,MATCH($O516&amp;"|"&amp;$S516&amp;"|"&amp;$AG516,'ASIGNACIONES'!$N$4:$N$451,0)),""))=0,"",IFERROR(INDEX('ASIGNACIONES'!$J$4:$J$451,MATCH($O516&amp;"|"&amp;$S516&amp;"|"&amp;$AG516,'ASIGNACIONES'!$N$4:$N$451,0)),"")))</f>
        <v/>
      </c>
      <c r="AI516" s="25">
        <f>IF($AG516="","",SUMIFS('ORDENES'!$M$4:$M$1203,'ORDENES'!$AG$4:$AG$1203,$AG516,'ORDENES'!$O$4:$O$1203,$O516,'ORDENES'!$S$4:$S$1203,$S516))</f>
        <v/>
      </c>
      <c r="AJ516" s="25">
        <f>IF($AI516="","",p_factor_productividad*IFERROR(INDEX('ASIGNACIONES'!$M$4:$M$451,MATCH($O516&amp;"|"&amp;$S516&amp;"|"&amp;$AG516,'ASIGNACIONES'!$N$4:$N$451,0)),0)-$AI516)</f>
        <v/>
      </c>
      <c r="AK516" s="18">
        <f>IF($A516="","",IFERROR(INDEX('2_IMPORTAR_EJECUCION'!$F$9:$F$1208,MATCH($AT516,'2_IMPORTAR_EJECUCION'!$J$9:$J$1208,0)),0))</f>
        <v/>
      </c>
      <c r="AL516" s="18">
        <f>IF($A516="","",MAX(0,IFERROR(INDEX('2_IMPORTAR_EJECUCION'!$H$9:$H$1208,MATCH($AT516,'2_IMPORTAR_EJECUCION'!$J$9:$J$1208,0)),0)-$AK516))</f>
        <v/>
      </c>
      <c r="AM516" s="18">
        <f>IF($A516="","",$AK516+$AL516)</f>
        <v/>
      </c>
      <c r="AN516" s="5">
        <f>IF($A516="","",IF(OR((IFERROR(INDEX('CAT_ACTIVIDADES'!$D$4:$D$11,MATCH($H516,'CAT_ACTIVIDADES'!$A$4:$A$11,0)),""))=0,(IFERROR(INDEX('CAT_ACTIVIDADES'!$D$4:$D$11,MATCH($H516,'CAT_ACTIVIDADES'!$A$4:$A$11,0)),""))=""),"SIN CLASIFICAR",IFERROR(INDEX('CAT_ACTIVIDADES'!$D$4:$D$11,MATCH($H516,'CAT_ACTIVIDADES'!$A$4:$A$11,0)),"")))</f>
        <v/>
      </c>
      <c r="AO516" s="4" t="n"/>
      <c r="AP516" s="4" t="n"/>
      <c r="AQ516" s="4" t="n"/>
      <c r="AR516" s="5">
        <f>IF($AQ516="","",HYPERLINK(p_ruta_base_checklists&amp;$AQ516,"abrir"))</f>
        <v/>
      </c>
      <c r="AS516" s="4" t="n"/>
      <c r="AT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2" t="n"/>
      <c r="K517" s="5" t="n"/>
      <c r="L517" s="18" t="n"/>
      <c r="M517" s="5">
        <f>IF($A517="","",IFERROR(INDEX('AJUSTES'!$B$4:$B$303,MATCH($AT517,'AJUSTES'!$A$4:$A$303,0)),IF($K517="","",$K517)))</f>
        <v/>
      </c>
      <c r="N517" s="5">
        <f>IF($A517="","",IFERROR(INDEX('CAT_ESTADOS_ERP'!$B$4:$B$7,MATCH(IFERROR(INDEX('2_IMPORTAR_EJECUCION'!$C$9:$C$1208,MATCH($AT517,'2_IMPORTAR_EJECUCION'!$J$9:$J$1208,0)),""),'CAT_ESTADOS_ERP'!$A$4:$A$7,0)),"Pendiente"))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IF($J517="","",$P517&amp;"-"&amp;TEXT($Q517,"00"))</f>
        <v/>
      </c>
      <c r="S517" s="5">
        <f>IF($J517="","",INDEX(lista_dias,WEEKDAY($J517,2)))</f>
        <v/>
      </c>
      <c r="T517" s="5">
        <f>IF($J517="","",IFERROR(INDEX('CALENDARIO'!$C$15:$C$214,MATCH(TEXT($J517,"yyyy-mm-dd")&amp;"|"&amp;$X517&amp;"|"&amp;$Y517,'CALENDARIO'!$G$15:$G$214,0)),IFERROR(INDEX('CALENDARIO'!$C$15:$C$214,MATCH(TEXT($J517,"yyyy-mm-dd")&amp;"|"&amp;$X517&amp;"|",'CALENDARIO'!$G$15:$G$214,0)),IFERROR(INDEX('CALENDARIO'!$C$15:$C$214,MATCH(TEXT($J517,"yyyy-mm-dd")&amp;"||",'CALENDARIO'!$G$15:$G$214,0)),INDEX(patronHabil,WEEKDAY($J517,2))))))</f>
        <v/>
      </c>
      <c r="U517" s="5">
        <f>IF($I517="","",IFERROR(INDEX('CAT_TIPOS_OT'!$C$4:$C$8,MATCH($I517,'CAT_TIPOS_OT'!$A$4:$A$8,0)),"sin_clasificar"))</f>
        <v/>
      </c>
      <c r="V517" s="5">
        <f>IF($I517="","",IF(IFERROR(INDEX('CAT_TIPOS_OT'!$D$4:$D$8,MATCH($I517,'CAT_TIPOS_OT'!$A$4:$A$8,0)),"SIN CLASIFICAR")="","SIN CLASIFICAR",IFERROR(INDEX('CAT_TIPOS_OT'!$D$4:$D$8,MATCH($I517,'CAT_TIPOS_OT'!$A$4:$A$8,0)),"SIN CLASIFICAR")))</f>
        <v/>
      </c>
      <c r="W517" s="5">
        <f>IF($F517="","",IFERROR(INDEX('CAT_CENTROS_COSTO'!$F$4:$F$13,MATCH($F517,'CAT_CENTROS_COSTO'!$A$4:$A$13,0)),"(sin catálogo)"))</f>
        <v/>
      </c>
      <c r="X517" s="5">
        <f>IF($F517="","",IFERROR(INDEX('CAT_CENTROS_COSTO'!$D$4:$D$13,MATCH($F517,'CAT_CENTROS_COSTO'!$A$4:$A$13,0)),"(sin catálogo)"))</f>
        <v/>
      </c>
      <c r="Y517" s="5">
        <f>IF($F517="","",IF((IFERROR(INDEX('CAT_CENTROS_COSTO'!$E$4:$E$13,MATCH($F517,'CAT_CENTROS_COSTO'!$A$4:$A$13,0)),""))&lt;&gt;"",IFERROR(INDEX('CAT_CENTROS_COSTO'!$E$4:$E$13,MATCH($F517,'CAT_CENTROS_COSTO'!$A$4:$A$13,0)),""),$X517))</f>
        <v/>
      </c>
      <c r="Z517" s="5">
        <f>IF($F517="","",IFERROR(INDEX('CAT_CENTROS_COSTO'!$G$4:$G$13,MATCH($F517,'CAT_CENTROS_COSTO'!$A$4:$A$13,0)),"(sin catálogo)"))</f>
        <v/>
      </c>
      <c r="AA517" s="5">
        <f>IF($G517="","",IFERROR(INDEX('CAT_PUESTOS'!$B$4:$B$8,MATCH($G517,'CAT_PUESTOS'!$A$4:$A$8,0)),"(sin catálogo)"))</f>
        <v/>
      </c>
      <c r="AB517" s="5">
        <f>IF($H517="","",IFERROR(INDEX('CAT_ACTIVIDADES'!$B$4:$B$11,MATCH($H517,'CAT_ACTIVIDADES'!$A$4:$A$11,0)),"(sin catálogo)"))</f>
        <v/>
      </c>
      <c r="AC517" s="20">
        <f>IF($J517="","",TODAY()-$J517)</f>
        <v/>
      </c>
      <c r="AD517" s="20">
        <f>IF($J517="","",IF($J517&lt;=TODAY(),COUNTIFS(cal_fechas,"&gt;="&amp;$J517,cal_fechas,"&lt;"&amp;TODAY(),cal_habil,"sí"),-COUNTIFS(cal_fechas,"&gt;="&amp;TODAY(),cal_fechas,"&lt;"&amp;$J517,cal_habil,"sí")))</f>
        <v/>
      </c>
      <c r="AE517" s="5">
        <f>IF($AD517="","",IF($AD517&lt;0,"FUTURO",IF($AD517&gt;p_dias_backlog_max,"BACKLOG","MES CORRIENTE")))</f>
        <v/>
      </c>
      <c r="AF517" s="5">
        <f>IF($AD517="",FALSE,AND($AD517&gt;p_dias_backlog_min,$AD517&lt;=p_dias_backlog_max))</f>
        <v/>
      </c>
      <c r="AG517" s="4" t="n"/>
      <c r="AH517" s="5">
        <f>IF($AG517="","",IF((IFERROR(INDEX('ASIGNACIONES'!$J$4:$J$451,MATCH($O517&amp;"|"&amp;$S517&amp;"|"&amp;$AG517,'ASIGNACIONES'!$N$4:$N$451,0)),""))=0,"",IFERROR(INDEX('ASIGNACIONES'!$J$4:$J$451,MATCH($O517&amp;"|"&amp;$S517&amp;"|"&amp;$AG517,'ASIGNACIONES'!$N$4:$N$451,0)),"")))</f>
        <v/>
      </c>
      <c r="AI517" s="25">
        <f>IF($AG517="","",SUMIFS('ORDENES'!$M$4:$M$1203,'ORDENES'!$AG$4:$AG$1203,$AG517,'ORDENES'!$O$4:$O$1203,$O517,'ORDENES'!$S$4:$S$1203,$S517))</f>
        <v/>
      </c>
      <c r="AJ517" s="25">
        <f>IF($AI517="","",p_factor_productividad*IFERROR(INDEX('ASIGNACIONES'!$M$4:$M$451,MATCH($O517&amp;"|"&amp;$S517&amp;"|"&amp;$AG517,'ASIGNACIONES'!$N$4:$N$451,0)),0)-$AI517)</f>
        <v/>
      </c>
      <c r="AK517" s="18">
        <f>IF($A517="","",IFERROR(INDEX('2_IMPORTAR_EJECUCION'!$F$9:$F$1208,MATCH($AT517,'2_IMPORTAR_EJECUCION'!$J$9:$J$1208,0)),0))</f>
        <v/>
      </c>
      <c r="AL517" s="18">
        <f>IF($A517="","",MAX(0,IFERROR(INDEX('2_IMPORTAR_EJECUCION'!$H$9:$H$1208,MATCH($AT517,'2_IMPORTAR_EJECUCION'!$J$9:$J$1208,0)),0)-$AK517))</f>
        <v/>
      </c>
      <c r="AM517" s="18">
        <f>IF($A517="","",$AK517+$AL517)</f>
        <v/>
      </c>
      <c r="AN517" s="5">
        <f>IF($A517="","",IF(OR((IFERROR(INDEX('CAT_ACTIVIDADES'!$D$4:$D$11,MATCH($H517,'CAT_ACTIVIDADES'!$A$4:$A$11,0)),""))=0,(IFERROR(INDEX('CAT_ACTIVIDADES'!$D$4:$D$11,MATCH($H517,'CAT_ACTIVIDADES'!$A$4:$A$11,0)),""))=""),"SIN CLASIFICAR",IFERROR(INDEX('CAT_ACTIVIDADES'!$D$4:$D$11,MATCH($H517,'CAT_ACTIVIDADES'!$A$4:$A$11,0)),"")))</f>
        <v/>
      </c>
      <c r="AO517" s="4" t="n"/>
      <c r="AP517" s="4" t="n"/>
      <c r="AQ517" s="4" t="n"/>
      <c r="AR517" s="5">
        <f>IF($AQ517="","",HYPERLINK(p_ruta_base_checklists&amp;$AQ517,"abrir"))</f>
        <v/>
      </c>
      <c r="AS517" s="4" t="n"/>
      <c r="AT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2" t="n"/>
      <c r="K518" s="5" t="n"/>
      <c r="L518" s="18" t="n"/>
      <c r="M518" s="5">
        <f>IF($A518="","",IFERROR(INDEX('AJUSTES'!$B$4:$B$303,MATCH($AT518,'AJUSTES'!$A$4:$A$303,0)),IF($K518="","",$K518)))</f>
        <v/>
      </c>
      <c r="N518" s="5">
        <f>IF($A518="","",IFERROR(INDEX('CAT_ESTADOS_ERP'!$B$4:$B$7,MATCH(IFERROR(INDEX('2_IMPORTAR_EJECUCION'!$C$9:$C$1208,MATCH($AT518,'2_IMPORTAR_EJECUCION'!$J$9:$J$1208,0)),""),'CAT_ESTADOS_ERP'!$A$4:$A$7,0)),"Pendiente"))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IF($J518="","",$P518&amp;"-"&amp;TEXT($Q518,"00"))</f>
        <v/>
      </c>
      <c r="S518" s="5">
        <f>IF($J518="","",INDEX(lista_dias,WEEKDAY($J518,2)))</f>
        <v/>
      </c>
      <c r="T518" s="5">
        <f>IF($J518="","",IFERROR(INDEX('CALENDARIO'!$C$15:$C$214,MATCH(TEXT($J518,"yyyy-mm-dd")&amp;"|"&amp;$X518&amp;"|"&amp;$Y518,'CALENDARIO'!$G$15:$G$214,0)),IFERROR(INDEX('CALENDARIO'!$C$15:$C$214,MATCH(TEXT($J518,"yyyy-mm-dd")&amp;"|"&amp;$X518&amp;"|",'CALENDARIO'!$G$15:$G$214,0)),IFERROR(INDEX('CALENDARIO'!$C$15:$C$214,MATCH(TEXT($J518,"yyyy-mm-dd")&amp;"||",'CALENDARIO'!$G$15:$G$214,0)),INDEX(patronHabil,WEEKDAY($J518,2))))))</f>
        <v/>
      </c>
      <c r="U518" s="5">
        <f>IF($I518="","",IFERROR(INDEX('CAT_TIPOS_OT'!$C$4:$C$8,MATCH($I518,'CAT_TIPOS_OT'!$A$4:$A$8,0)),"sin_clasificar"))</f>
        <v/>
      </c>
      <c r="V518" s="5">
        <f>IF($I518="","",IF(IFERROR(INDEX('CAT_TIPOS_OT'!$D$4:$D$8,MATCH($I518,'CAT_TIPOS_OT'!$A$4:$A$8,0)),"SIN CLASIFICAR")="","SIN CLASIFICAR",IFERROR(INDEX('CAT_TIPOS_OT'!$D$4:$D$8,MATCH($I518,'CAT_TIPOS_OT'!$A$4:$A$8,0)),"SIN CLASIFICAR")))</f>
        <v/>
      </c>
      <c r="W518" s="5">
        <f>IF($F518="","",IFERROR(INDEX('CAT_CENTROS_COSTO'!$F$4:$F$13,MATCH($F518,'CAT_CENTROS_COSTO'!$A$4:$A$13,0)),"(sin catálogo)"))</f>
        <v/>
      </c>
      <c r="X518" s="5">
        <f>IF($F518="","",IFERROR(INDEX('CAT_CENTROS_COSTO'!$D$4:$D$13,MATCH($F518,'CAT_CENTROS_COSTO'!$A$4:$A$13,0)),"(sin catálogo)"))</f>
        <v/>
      </c>
      <c r="Y518" s="5">
        <f>IF($F518="","",IF((IFERROR(INDEX('CAT_CENTROS_COSTO'!$E$4:$E$13,MATCH($F518,'CAT_CENTROS_COSTO'!$A$4:$A$13,0)),""))&lt;&gt;"",IFERROR(INDEX('CAT_CENTROS_COSTO'!$E$4:$E$13,MATCH($F518,'CAT_CENTROS_COSTO'!$A$4:$A$13,0)),""),$X518))</f>
        <v/>
      </c>
      <c r="Z518" s="5">
        <f>IF($F518="","",IFERROR(INDEX('CAT_CENTROS_COSTO'!$G$4:$G$13,MATCH($F518,'CAT_CENTROS_COSTO'!$A$4:$A$13,0)),"(sin catálogo)"))</f>
        <v/>
      </c>
      <c r="AA518" s="5">
        <f>IF($G518="","",IFERROR(INDEX('CAT_PUESTOS'!$B$4:$B$8,MATCH($G518,'CAT_PUESTOS'!$A$4:$A$8,0)),"(sin catálogo)"))</f>
        <v/>
      </c>
      <c r="AB518" s="5">
        <f>IF($H518="","",IFERROR(INDEX('CAT_ACTIVIDADES'!$B$4:$B$11,MATCH($H518,'CAT_ACTIVIDADES'!$A$4:$A$11,0)),"(sin catálogo)"))</f>
        <v/>
      </c>
      <c r="AC518" s="20">
        <f>IF($J518="","",TODAY()-$J518)</f>
        <v/>
      </c>
      <c r="AD518" s="20">
        <f>IF($J518="","",IF($J518&lt;=TODAY(),COUNTIFS(cal_fechas,"&gt;="&amp;$J518,cal_fechas,"&lt;"&amp;TODAY(),cal_habil,"sí"),-COUNTIFS(cal_fechas,"&gt;="&amp;TODAY(),cal_fechas,"&lt;"&amp;$J518,cal_habil,"sí")))</f>
        <v/>
      </c>
      <c r="AE518" s="5">
        <f>IF($AD518="","",IF($AD518&lt;0,"FUTURO",IF($AD518&gt;p_dias_backlog_max,"BACKLOG","MES CORRIENTE")))</f>
        <v/>
      </c>
      <c r="AF518" s="5">
        <f>IF($AD518="",FALSE,AND($AD518&gt;p_dias_backlog_min,$AD518&lt;=p_dias_backlog_max))</f>
        <v/>
      </c>
      <c r="AG518" s="4" t="n"/>
      <c r="AH518" s="5">
        <f>IF($AG518="","",IF((IFERROR(INDEX('ASIGNACIONES'!$J$4:$J$451,MATCH($O518&amp;"|"&amp;$S518&amp;"|"&amp;$AG518,'ASIGNACIONES'!$N$4:$N$451,0)),""))=0,"",IFERROR(INDEX('ASIGNACIONES'!$J$4:$J$451,MATCH($O518&amp;"|"&amp;$S518&amp;"|"&amp;$AG518,'ASIGNACIONES'!$N$4:$N$451,0)),"")))</f>
        <v/>
      </c>
      <c r="AI518" s="25">
        <f>IF($AG518="","",SUMIFS('ORDENES'!$M$4:$M$1203,'ORDENES'!$AG$4:$AG$1203,$AG518,'ORDENES'!$O$4:$O$1203,$O518,'ORDENES'!$S$4:$S$1203,$S518))</f>
        <v/>
      </c>
      <c r="AJ518" s="25">
        <f>IF($AI518="","",p_factor_productividad*IFERROR(INDEX('ASIGNACIONES'!$M$4:$M$451,MATCH($O518&amp;"|"&amp;$S518&amp;"|"&amp;$AG518,'ASIGNACIONES'!$N$4:$N$451,0)),0)-$AI518)</f>
        <v/>
      </c>
      <c r="AK518" s="18">
        <f>IF($A518="","",IFERROR(INDEX('2_IMPORTAR_EJECUCION'!$F$9:$F$1208,MATCH($AT518,'2_IMPORTAR_EJECUCION'!$J$9:$J$1208,0)),0))</f>
        <v/>
      </c>
      <c r="AL518" s="18">
        <f>IF($A518="","",MAX(0,IFERROR(INDEX('2_IMPORTAR_EJECUCION'!$H$9:$H$1208,MATCH($AT518,'2_IMPORTAR_EJECUCION'!$J$9:$J$1208,0)),0)-$AK518))</f>
        <v/>
      </c>
      <c r="AM518" s="18">
        <f>IF($A518="","",$AK518+$AL518)</f>
        <v/>
      </c>
      <c r="AN518" s="5">
        <f>IF($A518="","",IF(OR((IFERROR(INDEX('CAT_ACTIVIDADES'!$D$4:$D$11,MATCH($H518,'CAT_ACTIVIDADES'!$A$4:$A$11,0)),""))=0,(IFERROR(INDEX('CAT_ACTIVIDADES'!$D$4:$D$11,MATCH($H518,'CAT_ACTIVIDADES'!$A$4:$A$11,0)),""))=""),"SIN CLASIFICAR",IFERROR(INDEX('CAT_ACTIVIDADES'!$D$4:$D$11,MATCH($H518,'CAT_ACTIVIDADES'!$A$4:$A$11,0)),"")))</f>
        <v/>
      </c>
      <c r="AO518" s="4" t="n"/>
      <c r="AP518" s="4" t="n"/>
      <c r="AQ518" s="4" t="n"/>
      <c r="AR518" s="5">
        <f>IF($AQ518="","",HYPERLINK(p_ruta_base_checklists&amp;$AQ518,"abrir"))</f>
        <v/>
      </c>
      <c r="AS518" s="4" t="n"/>
      <c r="AT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2" t="n"/>
      <c r="K519" s="5" t="n"/>
      <c r="L519" s="18" t="n"/>
      <c r="M519" s="5">
        <f>IF($A519="","",IFERROR(INDEX('AJUSTES'!$B$4:$B$303,MATCH($AT519,'AJUSTES'!$A$4:$A$303,0)),IF($K519="","",$K519)))</f>
        <v/>
      </c>
      <c r="N519" s="5">
        <f>IF($A519="","",IFERROR(INDEX('CAT_ESTADOS_ERP'!$B$4:$B$7,MATCH(IFERROR(INDEX('2_IMPORTAR_EJECUCION'!$C$9:$C$1208,MATCH($AT519,'2_IMPORTAR_EJECUCION'!$J$9:$J$1208,0)),""),'CAT_ESTADOS_ERP'!$A$4:$A$7,0)),"Pendiente"))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IF($J519="","",$P519&amp;"-"&amp;TEXT($Q519,"00"))</f>
        <v/>
      </c>
      <c r="S519" s="5">
        <f>IF($J519="","",INDEX(lista_dias,WEEKDAY($J519,2)))</f>
        <v/>
      </c>
      <c r="T519" s="5">
        <f>IF($J519="","",IFERROR(INDEX('CALENDARIO'!$C$15:$C$214,MATCH(TEXT($J519,"yyyy-mm-dd")&amp;"|"&amp;$X519&amp;"|"&amp;$Y519,'CALENDARIO'!$G$15:$G$214,0)),IFERROR(INDEX('CALENDARIO'!$C$15:$C$214,MATCH(TEXT($J519,"yyyy-mm-dd")&amp;"|"&amp;$X519&amp;"|",'CALENDARIO'!$G$15:$G$214,0)),IFERROR(INDEX('CALENDARIO'!$C$15:$C$214,MATCH(TEXT($J519,"yyyy-mm-dd")&amp;"||",'CALENDARIO'!$G$15:$G$214,0)),INDEX(patronHabil,WEEKDAY($J519,2))))))</f>
        <v/>
      </c>
      <c r="U519" s="5">
        <f>IF($I519="","",IFERROR(INDEX('CAT_TIPOS_OT'!$C$4:$C$8,MATCH($I519,'CAT_TIPOS_OT'!$A$4:$A$8,0)),"sin_clasificar"))</f>
        <v/>
      </c>
      <c r="V519" s="5">
        <f>IF($I519="","",IF(IFERROR(INDEX('CAT_TIPOS_OT'!$D$4:$D$8,MATCH($I519,'CAT_TIPOS_OT'!$A$4:$A$8,0)),"SIN CLASIFICAR")="","SIN CLASIFICAR",IFERROR(INDEX('CAT_TIPOS_OT'!$D$4:$D$8,MATCH($I519,'CAT_TIPOS_OT'!$A$4:$A$8,0)),"SIN CLASIFICAR")))</f>
        <v/>
      </c>
      <c r="W519" s="5">
        <f>IF($F519="","",IFERROR(INDEX('CAT_CENTROS_COSTO'!$F$4:$F$13,MATCH($F519,'CAT_CENTROS_COSTO'!$A$4:$A$13,0)),"(sin catálogo)"))</f>
        <v/>
      </c>
      <c r="X519" s="5">
        <f>IF($F519="","",IFERROR(INDEX('CAT_CENTROS_COSTO'!$D$4:$D$13,MATCH($F519,'CAT_CENTROS_COSTO'!$A$4:$A$13,0)),"(sin catálogo)"))</f>
        <v/>
      </c>
      <c r="Y519" s="5">
        <f>IF($F519="","",IF((IFERROR(INDEX('CAT_CENTROS_COSTO'!$E$4:$E$13,MATCH($F519,'CAT_CENTROS_COSTO'!$A$4:$A$13,0)),""))&lt;&gt;"",IFERROR(INDEX('CAT_CENTROS_COSTO'!$E$4:$E$13,MATCH($F519,'CAT_CENTROS_COSTO'!$A$4:$A$13,0)),""),$X519))</f>
        <v/>
      </c>
      <c r="Z519" s="5">
        <f>IF($F519="","",IFERROR(INDEX('CAT_CENTROS_COSTO'!$G$4:$G$13,MATCH($F519,'CAT_CENTROS_COSTO'!$A$4:$A$13,0)),"(sin catálogo)"))</f>
        <v/>
      </c>
      <c r="AA519" s="5">
        <f>IF($G519="","",IFERROR(INDEX('CAT_PUESTOS'!$B$4:$B$8,MATCH($G519,'CAT_PUESTOS'!$A$4:$A$8,0)),"(sin catálogo)"))</f>
        <v/>
      </c>
      <c r="AB519" s="5">
        <f>IF($H519="","",IFERROR(INDEX('CAT_ACTIVIDADES'!$B$4:$B$11,MATCH($H519,'CAT_ACTIVIDADES'!$A$4:$A$11,0)),"(sin catálogo)"))</f>
        <v/>
      </c>
      <c r="AC519" s="20">
        <f>IF($J519="","",TODAY()-$J519)</f>
        <v/>
      </c>
      <c r="AD519" s="20">
        <f>IF($J519="","",IF($J519&lt;=TODAY(),COUNTIFS(cal_fechas,"&gt;="&amp;$J519,cal_fechas,"&lt;"&amp;TODAY(),cal_habil,"sí"),-COUNTIFS(cal_fechas,"&gt;="&amp;TODAY(),cal_fechas,"&lt;"&amp;$J519,cal_habil,"sí")))</f>
        <v/>
      </c>
      <c r="AE519" s="5">
        <f>IF($AD519="","",IF($AD519&lt;0,"FUTURO",IF($AD519&gt;p_dias_backlog_max,"BACKLOG","MES CORRIENTE")))</f>
        <v/>
      </c>
      <c r="AF519" s="5">
        <f>IF($AD519="",FALSE,AND($AD519&gt;p_dias_backlog_min,$AD519&lt;=p_dias_backlog_max))</f>
        <v/>
      </c>
      <c r="AG519" s="4" t="n"/>
      <c r="AH519" s="5">
        <f>IF($AG519="","",IF((IFERROR(INDEX('ASIGNACIONES'!$J$4:$J$451,MATCH($O519&amp;"|"&amp;$S519&amp;"|"&amp;$AG519,'ASIGNACIONES'!$N$4:$N$451,0)),""))=0,"",IFERROR(INDEX('ASIGNACIONES'!$J$4:$J$451,MATCH($O519&amp;"|"&amp;$S519&amp;"|"&amp;$AG519,'ASIGNACIONES'!$N$4:$N$451,0)),"")))</f>
        <v/>
      </c>
      <c r="AI519" s="25">
        <f>IF($AG519="","",SUMIFS('ORDENES'!$M$4:$M$1203,'ORDENES'!$AG$4:$AG$1203,$AG519,'ORDENES'!$O$4:$O$1203,$O519,'ORDENES'!$S$4:$S$1203,$S519))</f>
        <v/>
      </c>
      <c r="AJ519" s="25">
        <f>IF($AI519="","",p_factor_productividad*IFERROR(INDEX('ASIGNACIONES'!$M$4:$M$451,MATCH($O519&amp;"|"&amp;$S519&amp;"|"&amp;$AG519,'ASIGNACIONES'!$N$4:$N$451,0)),0)-$AI519)</f>
        <v/>
      </c>
      <c r="AK519" s="18">
        <f>IF($A519="","",IFERROR(INDEX('2_IMPORTAR_EJECUCION'!$F$9:$F$1208,MATCH($AT519,'2_IMPORTAR_EJECUCION'!$J$9:$J$1208,0)),0))</f>
        <v/>
      </c>
      <c r="AL519" s="18">
        <f>IF($A519="","",MAX(0,IFERROR(INDEX('2_IMPORTAR_EJECUCION'!$H$9:$H$1208,MATCH($AT519,'2_IMPORTAR_EJECUCION'!$J$9:$J$1208,0)),0)-$AK519))</f>
        <v/>
      </c>
      <c r="AM519" s="18">
        <f>IF($A519="","",$AK519+$AL519)</f>
        <v/>
      </c>
      <c r="AN519" s="5">
        <f>IF($A519="","",IF(OR((IFERROR(INDEX('CAT_ACTIVIDADES'!$D$4:$D$11,MATCH($H519,'CAT_ACTIVIDADES'!$A$4:$A$11,0)),""))=0,(IFERROR(INDEX('CAT_ACTIVIDADES'!$D$4:$D$11,MATCH($H519,'CAT_ACTIVIDADES'!$A$4:$A$11,0)),""))=""),"SIN CLASIFICAR",IFERROR(INDEX('CAT_ACTIVIDADES'!$D$4:$D$11,MATCH($H519,'CAT_ACTIVIDADES'!$A$4:$A$11,0)),"")))</f>
        <v/>
      </c>
      <c r="AO519" s="4" t="n"/>
      <c r="AP519" s="4" t="n"/>
      <c r="AQ519" s="4" t="n"/>
      <c r="AR519" s="5">
        <f>IF($AQ519="","",HYPERLINK(p_ruta_base_checklists&amp;$AQ519,"abrir"))</f>
        <v/>
      </c>
      <c r="AS519" s="4" t="n"/>
      <c r="AT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2" t="n"/>
      <c r="K520" s="5" t="n"/>
      <c r="L520" s="18" t="n"/>
      <c r="M520" s="5">
        <f>IF($A520="","",IFERROR(INDEX('AJUSTES'!$B$4:$B$303,MATCH($AT520,'AJUSTES'!$A$4:$A$303,0)),IF($K520="","",$K520)))</f>
        <v/>
      </c>
      <c r="N520" s="5">
        <f>IF($A520="","",IFERROR(INDEX('CAT_ESTADOS_ERP'!$B$4:$B$7,MATCH(IFERROR(INDEX('2_IMPORTAR_EJECUCION'!$C$9:$C$1208,MATCH($AT520,'2_IMPORTAR_EJECUCION'!$J$9:$J$1208,0)),""),'CAT_ESTADOS_ERP'!$A$4:$A$7,0)),"Pendiente"))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IF($J520="","",$P520&amp;"-"&amp;TEXT($Q520,"00"))</f>
        <v/>
      </c>
      <c r="S520" s="5">
        <f>IF($J520="","",INDEX(lista_dias,WEEKDAY($J520,2)))</f>
        <v/>
      </c>
      <c r="T520" s="5">
        <f>IF($J520="","",IFERROR(INDEX('CALENDARIO'!$C$15:$C$214,MATCH(TEXT($J520,"yyyy-mm-dd")&amp;"|"&amp;$X520&amp;"|"&amp;$Y520,'CALENDARIO'!$G$15:$G$214,0)),IFERROR(INDEX('CALENDARIO'!$C$15:$C$214,MATCH(TEXT($J520,"yyyy-mm-dd")&amp;"|"&amp;$X520&amp;"|",'CALENDARIO'!$G$15:$G$214,0)),IFERROR(INDEX('CALENDARIO'!$C$15:$C$214,MATCH(TEXT($J520,"yyyy-mm-dd")&amp;"||",'CALENDARIO'!$G$15:$G$214,0)),INDEX(patronHabil,WEEKDAY($J520,2))))))</f>
        <v/>
      </c>
      <c r="U520" s="5">
        <f>IF($I520="","",IFERROR(INDEX('CAT_TIPOS_OT'!$C$4:$C$8,MATCH($I520,'CAT_TIPOS_OT'!$A$4:$A$8,0)),"sin_clasificar"))</f>
        <v/>
      </c>
      <c r="V520" s="5">
        <f>IF($I520="","",IF(IFERROR(INDEX('CAT_TIPOS_OT'!$D$4:$D$8,MATCH($I520,'CAT_TIPOS_OT'!$A$4:$A$8,0)),"SIN CLASIFICAR")="","SIN CLASIFICAR",IFERROR(INDEX('CAT_TIPOS_OT'!$D$4:$D$8,MATCH($I520,'CAT_TIPOS_OT'!$A$4:$A$8,0)),"SIN CLASIFICAR")))</f>
        <v/>
      </c>
      <c r="W520" s="5">
        <f>IF($F520="","",IFERROR(INDEX('CAT_CENTROS_COSTO'!$F$4:$F$13,MATCH($F520,'CAT_CENTROS_COSTO'!$A$4:$A$13,0)),"(sin catálogo)"))</f>
        <v/>
      </c>
      <c r="X520" s="5">
        <f>IF($F520="","",IFERROR(INDEX('CAT_CENTROS_COSTO'!$D$4:$D$13,MATCH($F520,'CAT_CENTROS_COSTO'!$A$4:$A$13,0)),"(sin catálogo)"))</f>
        <v/>
      </c>
      <c r="Y520" s="5">
        <f>IF($F520="","",IF((IFERROR(INDEX('CAT_CENTROS_COSTO'!$E$4:$E$13,MATCH($F520,'CAT_CENTROS_COSTO'!$A$4:$A$13,0)),""))&lt;&gt;"",IFERROR(INDEX('CAT_CENTROS_COSTO'!$E$4:$E$13,MATCH($F520,'CAT_CENTROS_COSTO'!$A$4:$A$13,0)),""),$X520))</f>
        <v/>
      </c>
      <c r="Z520" s="5">
        <f>IF($F520="","",IFERROR(INDEX('CAT_CENTROS_COSTO'!$G$4:$G$13,MATCH($F520,'CAT_CENTROS_COSTO'!$A$4:$A$13,0)),"(sin catálogo)"))</f>
        <v/>
      </c>
      <c r="AA520" s="5">
        <f>IF($G520="","",IFERROR(INDEX('CAT_PUESTOS'!$B$4:$B$8,MATCH($G520,'CAT_PUESTOS'!$A$4:$A$8,0)),"(sin catálogo)"))</f>
        <v/>
      </c>
      <c r="AB520" s="5">
        <f>IF($H520="","",IFERROR(INDEX('CAT_ACTIVIDADES'!$B$4:$B$11,MATCH($H520,'CAT_ACTIVIDADES'!$A$4:$A$11,0)),"(sin catálogo)"))</f>
        <v/>
      </c>
      <c r="AC520" s="20">
        <f>IF($J520="","",TODAY()-$J520)</f>
        <v/>
      </c>
      <c r="AD520" s="20">
        <f>IF($J520="","",IF($J520&lt;=TODAY(),COUNTIFS(cal_fechas,"&gt;="&amp;$J520,cal_fechas,"&lt;"&amp;TODAY(),cal_habil,"sí"),-COUNTIFS(cal_fechas,"&gt;="&amp;TODAY(),cal_fechas,"&lt;"&amp;$J520,cal_habil,"sí")))</f>
        <v/>
      </c>
      <c r="AE520" s="5">
        <f>IF($AD520="","",IF($AD520&lt;0,"FUTURO",IF($AD520&gt;p_dias_backlog_max,"BACKLOG","MES CORRIENTE")))</f>
        <v/>
      </c>
      <c r="AF520" s="5">
        <f>IF($AD520="",FALSE,AND($AD520&gt;p_dias_backlog_min,$AD520&lt;=p_dias_backlog_max))</f>
        <v/>
      </c>
      <c r="AG520" s="4" t="n"/>
      <c r="AH520" s="5">
        <f>IF($AG520="","",IF((IFERROR(INDEX('ASIGNACIONES'!$J$4:$J$451,MATCH($O520&amp;"|"&amp;$S520&amp;"|"&amp;$AG520,'ASIGNACIONES'!$N$4:$N$451,0)),""))=0,"",IFERROR(INDEX('ASIGNACIONES'!$J$4:$J$451,MATCH($O520&amp;"|"&amp;$S520&amp;"|"&amp;$AG520,'ASIGNACIONES'!$N$4:$N$451,0)),"")))</f>
        <v/>
      </c>
      <c r="AI520" s="25">
        <f>IF($AG520="","",SUMIFS('ORDENES'!$M$4:$M$1203,'ORDENES'!$AG$4:$AG$1203,$AG520,'ORDENES'!$O$4:$O$1203,$O520,'ORDENES'!$S$4:$S$1203,$S520))</f>
        <v/>
      </c>
      <c r="AJ520" s="25">
        <f>IF($AI520="","",p_factor_productividad*IFERROR(INDEX('ASIGNACIONES'!$M$4:$M$451,MATCH($O520&amp;"|"&amp;$S520&amp;"|"&amp;$AG520,'ASIGNACIONES'!$N$4:$N$451,0)),0)-$AI520)</f>
        <v/>
      </c>
      <c r="AK520" s="18">
        <f>IF($A520="","",IFERROR(INDEX('2_IMPORTAR_EJECUCION'!$F$9:$F$1208,MATCH($AT520,'2_IMPORTAR_EJECUCION'!$J$9:$J$1208,0)),0))</f>
        <v/>
      </c>
      <c r="AL520" s="18">
        <f>IF($A520="","",MAX(0,IFERROR(INDEX('2_IMPORTAR_EJECUCION'!$H$9:$H$1208,MATCH($AT520,'2_IMPORTAR_EJECUCION'!$J$9:$J$1208,0)),0)-$AK520))</f>
        <v/>
      </c>
      <c r="AM520" s="18">
        <f>IF($A520="","",$AK520+$AL520)</f>
        <v/>
      </c>
      <c r="AN520" s="5">
        <f>IF($A520="","",IF(OR((IFERROR(INDEX('CAT_ACTIVIDADES'!$D$4:$D$11,MATCH($H520,'CAT_ACTIVIDADES'!$A$4:$A$11,0)),""))=0,(IFERROR(INDEX('CAT_ACTIVIDADES'!$D$4:$D$11,MATCH($H520,'CAT_ACTIVIDADES'!$A$4:$A$11,0)),""))=""),"SIN CLASIFICAR",IFERROR(INDEX('CAT_ACTIVIDADES'!$D$4:$D$11,MATCH($H520,'CAT_ACTIVIDADES'!$A$4:$A$11,0)),"")))</f>
        <v/>
      </c>
      <c r="AO520" s="4" t="n"/>
      <c r="AP520" s="4" t="n"/>
      <c r="AQ520" s="4" t="n"/>
      <c r="AR520" s="5">
        <f>IF($AQ520="","",HYPERLINK(p_ruta_base_checklists&amp;$AQ520,"abrir"))</f>
        <v/>
      </c>
      <c r="AS520" s="4" t="n"/>
      <c r="AT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2" t="n"/>
      <c r="K521" s="5" t="n"/>
      <c r="L521" s="18" t="n"/>
      <c r="M521" s="5">
        <f>IF($A521="","",IFERROR(INDEX('AJUSTES'!$B$4:$B$303,MATCH($AT521,'AJUSTES'!$A$4:$A$303,0)),IF($K521="","",$K521)))</f>
        <v/>
      </c>
      <c r="N521" s="5">
        <f>IF($A521="","",IFERROR(INDEX('CAT_ESTADOS_ERP'!$B$4:$B$7,MATCH(IFERROR(INDEX('2_IMPORTAR_EJECUCION'!$C$9:$C$1208,MATCH($AT521,'2_IMPORTAR_EJECUCION'!$J$9:$J$1208,0)),""),'CAT_ESTADOS_ERP'!$A$4:$A$7,0)),"Pendiente"))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IF($J521="","",$P521&amp;"-"&amp;TEXT($Q521,"00"))</f>
        <v/>
      </c>
      <c r="S521" s="5">
        <f>IF($J521="","",INDEX(lista_dias,WEEKDAY($J521,2)))</f>
        <v/>
      </c>
      <c r="T521" s="5">
        <f>IF($J521="","",IFERROR(INDEX('CALENDARIO'!$C$15:$C$214,MATCH(TEXT($J521,"yyyy-mm-dd")&amp;"|"&amp;$X521&amp;"|"&amp;$Y521,'CALENDARIO'!$G$15:$G$214,0)),IFERROR(INDEX('CALENDARIO'!$C$15:$C$214,MATCH(TEXT($J521,"yyyy-mm-dd")&amp;"|"&amp;$X521&amp;"|",'CALENDARIO'!$G$15:$G$214,0)),IFERROR(INDEX('CALENDARIO'!$C$15:$C$214,MATCH(TEXT($J521,"yyyy-mm-dd")&amp;"||",'CALENDARIO'!$G$15:$G$214,0)),INDEX(patronHabil,WEEKDAY($J521,2))))))</f>
        <v/>
      </c>
      <c r="U521" s="5">
        <f>IF($I521="","",IFERROR(INDEX('CAT_TIPOS_OT'!$C$4:$C$8,MATCH($I521,'CAT_TIPOS_OT'!$A$4:$A$8,0)),"sin_clasificar"))</f>
        <v/>
      </c>
      <c r="V521" s="5">
        <f>IF($I521="","",IF(IFERROR(INDEX('CAT_TIPOS_OT'!$D$4:$D$8,MATCH($I521,'CAT_TIPOS_OT'!$A$4:$A$8,0)),"SIN CLASIFICAR")="","SIN CLASIFICAR",IFERROR(INDEX('CAT_TIPOS_OT'!$D$4:$D$8,MATCH($I521,'CAT_TIPOS_OT'!$A$4:$A$8,0)),"SIN CLASIFICAR")))</f>
        <v/>
      </c>
      <c r="W521" s="5">
        <f>IF($F521="","",IFERROR(INDEX('CAT_CENTROS_COSTO'!$F$4:$F$13,MATCH($F521,'CAT_CENTROS_COSTO'!$A$4:$A$13,0)),"(sin catálogo)"))</f>
        <v/>
      </c>
      <c r="X521" s="5">
        <f>IF($F521="","",IFERROR(INDEX('CAT_CENTROS_COSTO'!$D$4:$D$13,MATCH($F521,'CAT_CENTROS_COSTO'!$A$4:$A$13,0)),"(sin catálogo)"))</f>
        <v/>
      </c>
      <c r="Y521" s="5">
        <f>IF($F521="","",IF((IFERROR(INDEX('CAT_CENTROS_COSTO'!$E$4:$E$13,MATCH($F521,'CAT_CENTROS_COSTO'!$A$4:$A$13,0)),""))&lt;&gt;"",IFERROR(INDEX('CAT_CENTROS_COSTO'!$E$4:$E$13,MATCH($F521,'CAT_CENTROS_COSTO'!$A$4:$A$13,0)),""),$X521))</f>
        <v/>
      </c>
      <c r="Z521" s="5">
        <f>IF($F521="","",IFERROR(INDEX('CAT_CENTROS_COSTO'!$G$4:$G$13,MATCH($F521,'CAT_CENTROS_COSTO'!$A$4:$A$13,0)),"(sin catálogo)"))</f>
        <v/>
      </c>
      <c r="AA521" s="5">
        <f>IF($G521="","",IFERROR(INDEX('CAT_PUESTOS'!$B$4:$B$8,MATCH($G521,'CAT_PUESTOS'!$A$4:$A$8,0)),"(sin catálogo)"))</f>
        <v/>
      </c>
      <c r="AB521" s="5">
        <f>IF($H521="","",IFERROR(INDEX('CAT_ACTIVIDADES'!$B$4:$B$11,MATCH($H521,'CAT_ACTIVIDADES'!$A$4:$A$11,0)),"(sin catálogo)"))</f>
        <v/>
      </c>
      <c r="AC521" s="20">
        <f>IF($J521="","",TODAY()-$J521)</f>
        <v/>
      </c>
      <c r="AD521" s="20">
        <f>IF($J521="","",IF($J521&lt;=TODAY(),COUNTIFS(cal_fechas,"&gt;="&amp;$J521,cal_fechas,"&lt;"&amp;TODAY(),cal_habil,"sí"),-COUNTIFS(cal_fechas,"&gt;="&amp;TODAY(),cal_fechas,"&lt;"&amp;$J521,cal_habil,"sí")))</f>
        <v/>
      </c>
      <c r="AE521" s="5">
        <f>IF($AD521="","",IF($AD521&lt;0,"FUTURO",IF($AD521&gt;p_dias_backlog_max,"BACKLOG","MES CORRIENTE")))</f>
        <v/>
      </c>
      <c r="AF521" s="5">
        <f>IF($AD521="",FALSE,AND($AD521&gt;p_dias_backlog_min,$AD521&lt;=p_dias_backlog_max))</f>
        <v/>
      </c>
      <c r="AG521" s="4" t="n"/>
      <c r="AH521" s="5">
        <f>IF($AG521="","",IF((IFERROR(INDEX('ASIGNACIONES'!$J$4:$J$451,MATCH($O521&amp;"|"&amp;$S521&amp;"|"&amp;$AG521,'ASIGNACIONES'!$N$4:$N$451,0)),""))=0,"",IFERROR(INDEX('ASIGNACIONES'!$J$4:$J$451,MATCH($O521&amp;"|"&amp;$S521&amp;"|"&amp;$AG521,'ASIGNACIONES'!$N$4:$N$451,0)),"")))</f>
        <v/>
      </c>
      <c r="AI521" s="25">
        <f>IF($AG521="","",SUMIFS('ORDENES'!$M$4:$M$1203,'ORDENES'!$AG$4:$AG$1203,$AG521,'ORDENES'!$O$4:$O$1203,$O521,'ORDENES'!$S$4:$S$1203,$S521))</f>
        <v/>
      </c>
      <c r="AJ521" s="25">
        <f>IF($AI521="","",p_factor_productividad*IFERROR(INDEX('ASIGNACIONES'!$M$4:$M$451,MATCH($O521&amp;"|"&amp;$S521&amp;"|"&amp;$AG521,'ASIGNACIONES'!$N$4:$N$451,0)),0)-$AI521)</f>
        <v/>
      </c>
      <c r="AK521" s="18">
        <f>IF($A521="","",IFERROR(INDEX('2_IMPORTAR_EJECUCION'!$F$9:$F$1208,MATCH($AT521,'2_IMPORTAR_EJECUCION'!$J$9:$J$1208,0)),0))</f>
        <v/>
      </c>
      <c r="AL521" s="18">
        <f>IF($A521="","",MAX(0,IFERROR(INDEX('2_IMPORTAR_EJECUCION'!$H$9:$H$1208,MATCH($AT521,'2_IMPORTAR_EJECUCION'!$J$9:$J$1208,0)),0)-$AK521))</f>
        <v/>
      </c>
      <c r="AM521" s="18">
        <f>IF($A521="","",$AK521+$AL521)</f>
        <v/>
      </c>
      <c r="AN521" s="5">
        <f>IF($A521="","",IF(OR((IFERROR(INDEX('CAT_ACTIVIDADES'!$D$4:$D$11,MATCH($H521,'CAT_ACTIVIDADES'!$A$4:$A$11,0)),""))=0,(IFERROR(INDEX('CAT_ACTIVIDADES'!$D$4:$D$11,MATCH($H521,'CAT_ACTIVIDADES'!$A$4:$A$11,0)),""))=""),"SIN CLASIFICAR",IFERROR(INDEX('CAT_ACTIVIDADES'!$D$4:$D$11,MATCH($H521,'CAT_ACTIVIDADES'!$A$4:$A$11,0)),"")))</f>
        <v/>
      </c>
      <c r="AO521" s="4" t="n"/>
      <c r="AP521" s="4" t="n"/>
      <c r="AQ521" s="4" t="n"/>
      <c r="AR521" s="5">
        <f>IF($AQ521="","",HYPERLINK(p_ruta_base_checklists&amp;$AQ521,"abrir"))</f>
        <v/>
      </c>
      <c r="AS521" s="4" t="n"/>
      <c r="AT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2" t="n"/>
      <c r="K522" s="5" t="n"/>
      <c r="L522" s="18" t="n"/>
      <c r="M522" s="5">
        <f>IF($A522="","",IFERROR(INDEX('AJUSTES'!$B$4:$B$303,MATCH($AT522,'AJUSTES'!$A$4:$A$303,0)),IF($K522="","",$K522)))</f>
        <v/>
      </c>
      <c r="N522" s="5">
        <f>IF($A522="","",IFERROR(INDEX('CAT_ESTADOS_ERP'!$B$4:$B$7,MATCH(IFERROR(INDEX('2_IMPORTAR_EJECUCION'!$C$9:$C$1208,MATCH($AT522,'2_IMPORTAR_EJECUCION'!$J$9:$J$1208,0)),""),'CAT_ESTADOS_ERP'!$A$4:$A$7,0)),"Pendiente"))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IF($J522="","",$P522&amp;"-"&amp;TEXT($Q522,"00"))</f>
        <v/>
      </c>
      <c r="S522" s="5">
        <f>IF($J522="","",INDEX(lista_dias,WEEKDAY($J522,2)))</f>
        <v/>
      </c>
      <c r="T522" s="5">
        <f>IF($J522="","",IFERROR(INDEX('CALENDARIO'!$C$15:$C$214,MATCH(TEXT($J522,"yyyy-mm-dd")&amp;"|"&amp;$X522&amp;"|"&amp;$Y522,'CALENDARIO'!$G$15:$G$214,0)),IFERROR(INDEX('CALENDARIO'!$C$15:$C$214,MATCH(TEXT($J522,"yyyy-mm-dd")&amp;"|"&amp;$X522&amp;"|",'CALENDARIO'!$G$15:$G$214,0)),IFERROR(INDEX('CALENDARIO'!$C$15:$C$214,MATCH(TEXT($J522,"yyyy-mm-dd")&amp;"||",'CALENDARIO'!$G$15:$G$214,0)),INDEX(patronHabil,WEEKDAY($J522,2))))))</f>
        <v/>
      </c>
      <c r="U522" s="5">
        <f>IF($I522="","",IFERROR(INDEX('CAT_TIPOS_OT'!$C$4:$C$8,MATCH($I522,'CAT_TIPOS_OT'!$A$4:$A$8,0)),"sin_clasificar"))</f>
        <v/>
      </c>
      <c r="V522" s="5">
        <f>IF($I522="","",IF(IFERROR(INDEX('CAT_TIPOS_OT'!$D$4:$D$8,MATCH($I522,'CAT_TIPOS_OT'!$A$4:$A$8,0)),"SIN CLASIFICAR")="","SIN CLASIFICAR",IFERROR(INDEX('CAT_TIPOS_OT'!$D$4:$D$8,MATCH($I522,'CAT_TIPOS_OT'!$A$4:$A$8,0)),"SIN CLASIFICAR")))</f>
        <v/>
      </c>
      <c r="W522" s="5">
        <f>IF($F522="","",IFERROR(INDEX('CAT_CENTROS_COSTO'!$F$4:$F$13,MATCH($F522,'CAT_CENTROS_COSTO'!$A$4:$A$13,0)),"(sin catálogo)"))</f>
        <v/>
      </c>
      <c r="X522" s="5">
        <f>IF($F522="","",IFERROR(INDEX('CAT_CENTROS_COSTO'!$D$4:$D$13,MATCH($F522,'CAT_CENTROS_COSTO'!$A$4:$A$13,0)),"(sin catálogo)"))</f>
        <v/>
      </c>
      <c r="Y522" s="5">
        <f>IF($F522="","",IF((IFERROR(INDEX('CAT_CENTROS_COSTO'!$E$4:$E$13,MATCH($F522,'CAT_CENTROS_COSTO'!$A$4:$A$13,0)),""))&lt;&gt;"",IFERROR(INDEX('CAT_CENTROS_COSTO'!$E$4:$E$13,MATCH($F522,'CAT_CENTROS_COSTO'!$A$4:$A$13,0)),""),$X522))</f>
        <v/>
      </c>
      <c r="Z522" s="5">
        <f>IF($F522="","",IFERROR(INDEX('CAT_CENTROS_COSTO'!$G$4:$G$13,MATCH($F522,'CAT_CENTROS_COSTO'!$A$4:$A$13,0)),"(sin catálogo)"))</f>
        <v/>
      </c>
      <c r="AA522" s="5">
        <f>IF($G522="","",IFERROR(INDEX('CAT_PUESTOS'!$B$4:$B$8,MATCH($G522,'CAT_PUESTOS'!$A$4:$A$8,0)),"(sin catálogo)"))</f>
        <v/>
      </c>
      <c r="AB522" s="5">
        <f>IF($H522="","",IFERROR(INDEX('CAT_ACTIVIDADES'!$B$4:$B$11,MATCH($H522,'CAT_ACTIVIDADES'!$A$4:$A$11,0)),"(sin catálogo)"))</f>
        <v/>
      </c>
      <c r="AC522" s="20">
        <f>IF($J522="","",TODAY()-$J522)</f>
        <v/>
      </c>
      <c r="AD522" s="20">
        <f>IF($J522="","",IF($J522&lt;=TODAY(),COUNTIFS(cal_fechas,"&gt;="&amp;$J522,cal_fechas,"&lt;"&amp;TODAY(),cal_habil,"sí"),-COUNTIFS(cal_fechas,"&gt;="&amp;TODAY(),cal_fechas,"&lt;"&amp;$J522,cal_habil,"sí")))</f>
        <v/>
      </c>
      <c r="AE522" s="5">
        <f>IF($AD522="","",IF($AD522&lt;0,"FUTURO",IF($AD522&gt;p_dias_backlog_max,"BACKLOG","MES CORRIENTE")))</f>
        <v/>
      </c>
      <c r="AF522" s="5">
        <f>IF($AD522="",FALSE,AND($AD522&gt;p_dias_backlog_min,$AD522&lt;=p_dias_backlog_max))</f>
        <v/>
      </c>
      <c r="AG522" s="4" t="n"/>
      <c r="AH522" s="5">
        <f>IF($AG522="","",IF((IFERROR(INDEX('ASIGNACIONES'!$J$4:$J$451,MATCH($O522&amp;"|"&amp;$S522&amp;"|"&amp;$AG522,'ASIGNACIONES'!$N$4:$N$451,0)),""))=0,"",IFERROR(INDEX('ASIGNACIONES'!$J$4:$J$451,MATCH($O522&amp;"|"&amp;$S522&amp;"|"&amp;$AG522,'ASIGNACIONES'!$N$4:$N$451,0)),"")))</f>
        <v/>
      </c>
      <c r="AI522" s="25">
        <f>IF($AG522="","",SUMIFS('ORDENES'!$M$4:$M$1203,'ORDENES'!$AG$4:$AG$1203,$AG522,'ORDENES'!$O$4:$O$1203,$O522,'ORDENES'!$S$4:$S$1203,$S522))</f>
        <v/>
      </c>
      <c r="AJ522" s="25">
        <f>IF($AI522="","",p_factor_productividad*IFERROR(INDEX('ASIGNACIONES'!$M$4:$M$451,MATCH($O522&amp;"|"&amp;$S522&amp;"|"&amp;$AG522,'ASIGNACIONES'!$N$4:$N$451,0)),0)-$AI522)</f>
        <v/>
      </c>
      <c r="AK522" s="18">
        <f>IF($A522="","",IFERROR(INDEX('2_IMPORTAR_EJECUCION'!$F$9:$F$1208,MATCH($AT522,'2_IMPORTAR_EJECUCION'!$J$9:$J$1208,0)),0))</f>
        <v/>
      </c>
      <c r="AL522" s="18">
        <f>IF($A522="","",MAX(0,IFERROR(INDEX('2_IMPORTAR_EJECUCION'!$H$9:$H$1208,MATCH($AT522,'2_IMPORTAR_EJECUCION'!$J$9:$J$1208,0)),0)-$AK522))</f>
        <v/>
      </c>
      <c r="AM522" s="18">
        <f>IF($A522="","",$AK522+$AL522)</f>
        <v/>
      </c>
      <c r="AN522" s="5">
        <f>IF($A522="","",IF(OR((IFERROR(INDEX('CAT_ACTIVIDADES'!$D$4:$D$11,MATCH($H522,'CAT_ACTIVIDADES'!$A$4:$A$11,0)),""))=0,(IFERROR(INDEX('CAT_ACTIVIDADES'!$D$4:$D$11,MATCH($H522,'CAT_ACTIVIDADES'!$A$4:$A$11,0)),""))=""),"SIN CLASIFICAR",IFERROR(INDEX('CAT_ACTIVIDADES'!$D$4:$D$11,MATCH($H522,'CAT_ACTIVIDADES'!$A$4:$A$11,0)),"")))</f>
        <v/>
      </c>
      <c r="AO522" s="4" t="n"/>
      <c r="AP522" s="4" t="n"/>
      <c r="AQ522" s="4" t="n"/>
      <c r="AR522" s="5">
        <f>IF($AQ522="","",HYPERLINK(p_ruta_base_checklists&amp;$AQ522,"abrir"))</f>
        <v/>
      </c>
      <c r="AS522" s="4" t="n"/>
      <c r="AT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2" t="n"/>
      <c r="K523" s="5" t="n"/>
      <c r="L523" s="18" t="n"/>
      <c r="M523" s="5">
        <f>IF($A523="","",IFERROR(INDEX('AJUSTES'!$B$4:$B$303,MATCH($AT523,'AJUSTES'!$A$4:$A$303,0)),IF($K523="","",$K523)))</f>
        <v/>
      </c>
      <c r="N523" s="5">
        <f>IF($A523="","",IFERROR(INDEX('CAT_ESTADOS_ERP'!$B$4:$B$7,MATCH(IFERROR(INDEX('2_IMPORTAR_EJECUCION'!$C$9:$C$1208,MATCH($AT523,'2_IMPORTAR_EJECUCION'!$J$9:$J$1208,0)),""),'CAT_ESTADOS_ERP'!$A$4:$A$7,0)),"Pendiente"))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IF($J523="","",$P523&amp;"-"&amp;TEXT($Q523,"00"))</f>
        <v/>
      </c>
      <c r="S523" s="5">
        <f>IF($J523="","",INDEX(lista_dias,WEEKDAY($J523,2)))</f>
        <v/>
      </c>
      <c r="T523" s="5">
        <f>IF($J523="","",IFERROR(INDEX('CALENDARIO'!$C$15:$C$214,MATCH(TEXT($J523,"yyyy-mm-dd")&amp;"|"&amp;$X523&amp;"|"&amp;$Y523,'CALENDARIO'!$G$15:$G$214,0)),IFERROR(INDEX('CALENDARIO'!$C$15:$C$214,MATCH(TEXT($J523,"yyyy-mm-dd")&amp;"|"&amp;$X523&amp;"|",'CALENDARIO'!$G$15:$G$214,0)),IFERROR(INDEX('CALENDARIO'!$C$15:$C$214,MATCH(TEXT($J523,"yyyy-mm-dd")&amp;"||",'CALENDARIO'!$G$15:$G$214,0)),INDEX(patronHabil,WEEKDAY($J523,2))))))</f>
        <v/>
      </c>
      <c r="U523" s="5">
        <f>IF($I523="","",IFERROR(INDEX('CAT_TIPOS_OT'!$C$4:$C$8,MATCH($I523,'CAT_TIPOS_OT'!$A$4:$A$8,0)),"sin_clasificar"))</f>
        <v/>
      </c>
      <c r="V523" s="5">
        <f>IF($I523="","",IF(IFERROR(INDEX('CAT_TIPOS_OT'!$D$4:$D$8,MATCH($I523,'CAT_TIPOS_OT'!$A$4:$A$8,0)),"SIN CLASIFICAR")="","SIN CLASIFICAR",IFERROR(INDEX('CAT_TIPOS_OT'!$D$4:$D$8,MATCH($I523,'CAT_TIPOS_OT'!$A$4:$A$8,0)),"SIN CLASIFICAR")))</f>
        <v/>
      </c>
      <c r="W523" s="5">
        <f>IF($F523="","",IFERROR(INDEX('CAT_CENTROS_COSTO'!$F$4:$F$13,MATCH($F523,'CAT_CENTROS_COSTO'!$A$4:$A$13,0)),"(sin catálogo)"))</f>
        <v/>
      </c>
      <c r="X523" s="5">
        <f>IF($F523="","",IFERROR(INDEX('CAT_CENTROS_COSTO'!$D$4:$D$13,MATCH($F523,'CAT_CENTROS_COSTO'!$A$4:$A$13,0)),"(sin catálogo)"))</f>
        <v/>
      </c>
      <c r="Y523" s="5">
        <f>IF($F523="","",IF((IFERROR(INDEX('CAT_CENTROS_COSTO'!$E$4:$E$13,MATCH($F523,'CAT_CENTROS_COSTO'!$A$4:$A$13,0)),""))&lt;&gt;"",IFERROR(INDEX('CAT_CENTROS_COSTO'!$E$4:$E$13,MATCH($F523,'CAT_CENTROS_COSTO'!$A$4:$A$13,0)),""),$X523))</f>
        <v/>
      </c>
      <c r="Z523" s="5">
        <f>IF($F523="","",IFERROR(INDEX('CAT_CENTROS_COSTO'!$G$4:$G$13,MATCH($F523,'CAT_CENTROS_COSTO'!$A$4:$A$13,0)),"(sin catálogo)"))</f>
        <v/>
      </c>
      <c r="AA523" s="5">
        <f>IF($G523="","",IFERROR(INDEX('CAT_PUESTOS'!$B$4:$B$8,MATCH($G523,'CAT_PUESTOS'!$A$4:$A$8,0)),"(sin catálogo)"))</f>
        <v/>
      </c>
      <c r="AB523" s="5">
        <f>IF($H523="","",IFERROR(INDEX('CAT_ACTIVIDADES'!$B$4:$B$11,MATCH($H523,'CAT_ACTIVIDADES'!$A$4:$A$11,0)),"(sin catálogo)"))</f>
        <v/>
      </c>
      <c r="AC523" s="20">
        <f>IF($J523="","",TODAY()-$J523)</f>
        <v/>
      </c>
      <c r="AD523" s="20">
        <f>IF($J523="","",IF($J523&lt;=TODAY(),COUNTIFS(cal_fechas,"&gt;="&amp;$J523,cal_fechas,"&lt;"&amp;TODAY(),cal_habil,"sí"),-COUNTIFS(cal_fechas,"&gt;="&amp;TODAY(),cal_fechas,"&lt;"&amp;$J523,cal_habil,"sí")))</f>
        <v/>
      </c>
      <c r="AE523" s="5">
        <f>IF($AD523="","",IF($AD523&lt;0,"FUTURO",IF($AD523&gt;p_dias_backlog_max,"BACKLOG","MES CORRIENTE")))</f>
        <v/>
      </c>
      <c r="AF523" s="5">
        <f>IF($AD523="",FALSE,AND($AD523&gt;p_dias_backlog_min,$AD523&lt;=p_dias_backlog_max))</f>
        <v/>
      </c>
      <c r="AG523" s="4" t="n"/>
      <c r="AH523" s="5">
        <f>IF($AG523="","",IF((IFERROR(INDEX('ASIGNACIONES'!$J$4:$J$451,MATCH($O523&amp;"|"&amp;$S523&amp;"|"&amp;$AG523,'ASIGNACIONES'!$N$4:$N$451,0)),""))=0,"",IFERROR(INDEX('ASIGNACIONES'!$J$4:$J$451,MATCH($O523&amp;"|"&amp;$S523&amp;"|"&amp;$AG523,'ASIGNACIONES'!$N$4:$N$451,0)),"")))</f>
        <v/>
      </c>
      <c r="AI523" s="25">
        <f>IF($AG523="","",SUMIFS('ORDENES'!$M$4:$M$1203,'ORDENES'!$AG$4:$AG$1203,$AG523,'ORDENES'!$O$4:$O$1203,$O523,'ORDENES'!$S$4:$S$1203,$S523))</f>
        <v/>
      </c>
      <c r="AJ523" s="25">
        <f>IF($AI523="","",p_factor_productividad*IFERROR(INDEX('ASIGNACIONES'!$M$4:$M$451,MATCH($O523&amp;"|"&amp;$S523&amp;"|"&amp;$AG523,'ASIGNACIONES'!$N$4:$N$451,0)),0)-$AI523)</f>
        <v/>
      </c>
      <c r="AK523" s="18">
        <f>IF($A523="","",IFERROR(INDEX('2_IMPORTAR_EJECUCION'!$F$9:$F$1208,MATCH($AT523,'2_IMPORTAR_EJECUCION'!$J$9:$J$1208,0)),0))</f>
        <v/>
      </c>
      <c r="AL523" s="18">
        <f>IF($A523="","",MAX(0,IFERROR(INDEX('2_IMPORTAR_EJECUCION'!$H$9:$H$1208,MATCH($AT523,'2_IMPORTAR_EJECUCION'!$J$9:$J$1208,0)),0)-$AK523))</f>
        <v/>
      </c>
      <c r="AM523" s="18">
        <f>IF($A523="","",$AK523+$AL523)</f>
        <v/>
      </c>
      <c r="AN523" s="5">
        <f>IF($A523="","",IF(OR((IFERROR(INDEX('CAT_ACTIVIDADES'!$D$4:$D$11,MATCH($H523,'CAT_ACTIVIDADES'!$A$4:$A$11,0)),""))=0,(IFERROR(INDEX('CAT_ACTIVIDADES'!$D$4:$D$11,MATCH($H523,'CAT_ACTIVIDADES'!$A$4:$A$11,0)),""))=""),"SIN CLASIFICAR",IFERROR(INDEX('CAT_ACTIVIDADES'!$D$4:$D$11,MATCH($H523,'CAT_ACTIVIDADES'!$A$4:$A$11,0)),"")))</f>
        <v/>
      </c>
      <c r="AO523" s="4" t="n"/>
      <c r="AP523" s="4" t="n"/>
      <c r="AQ523" s="4" t="n"/>
      <c r="AR523" s="5">
        <f>IF($AQ523="","",HYPERLINK(p_ruta_base_checklists&amp;$AQ523,"abrir"))</f>
        <v/>
      </c>
      <c r="AS523" s="4" t="n"/>
      <c r="AT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2" t="n"/>
      <c r="K524" s="5" t="n"/>
      <c r="L524" s="18" t="n"/>
      <c r="M524" s="5">
        <f>IF($A524="","",IFERROR(INDEX('AJUSTES'!$B$4:$B$303,MATCH($AT524,'AJUSTES'!$A$4:$A$303,0)),IF($K524="","",$K524)))</f>
        <v/>
      </c>
      <c r="N524" s="5">
        <f>IF($A524="","",IFERROR(INDEX('CAT_ESTADOS_ERP'!$B$4:$B$7,MATCH(IFERROR(INDEX('2_IMPORTAR_EJECUCION'!$C$9:$C$1208,MATCH($AT524,'2_IMPORTAR_EJECUCION'!$J$9:$J$1208,0)),""),'CAT_ESTADOS_ERP'!$A$4:$A$7,0)),"Pendiente"))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IF($J524="","",$P524&amp;"-"&amp;TEXT($Q524,"00"))</f>
        <v/>
      </c>
      <c r="S524" s="5">
        <f>IF($J524="","",INDEX(lista_dias,WEEKDAY($J524,2)))</f>
        <v/>
      </c>
      <c r="T524" s="5">
        <f>IF($J524="","",IFERROR(INDEX('CALENDARIO'!$C$15:$C$214,MATCH(TEXT($J524,"yyyy-mm-dd")&amp;"|"&amp;$X524&amp;"|"&amp;$Y524,'CALENDARIO'!$G$15:$G$214,0)),IFERROR(INDEX('CALENDARIO'!$C$15:$C$214,MATCH(TEXT($J524,"yyyy-mm-dd")&amp;"|"&amp;$X524&amp;"|",'CALENDARIO'!$G$15:$G$214,0)),IFERROR(INDEX('CALENDARIO'!$C$15:$C$214,MATCH(TEXT($J524,"yyyy-mm-dd")&amp;"||",'CALENDARIO'!$G$15:$G$214,0)),INDEX(patronHabil,WEEKDAY($J524,2))))))</f>
        <v/>
      </c>
      <c r="U524" s="5">
        <f>IF($I524="","",IFERROR(INDEX('CAT_TIPOS_OT'!$C$4:$C$8,MATCH($I524,'CAT_TIPOS_OT'!$A$4:$A$8,0)),"sin_clasificar"))</f>
        <v/>
      </c>
      <c r="V524" s="5">
        <f>IF($I524="","",IF(IFERROR(INDEX('CAT_TIPOS_OT'!$D$4:$D$8,MATCH($I524,'CAT_TIPOS_OT'!$A$4:$A$8,0)),"SIN CLASIFICAR")="","SIN CLASIFICAR",IFERROR(INDEX('CAT_TIPOS_OT'!$D$4:$D$8,MATCH($I524,'CAT_TIPOS_OT'!$A$4:$A$8,0)),"SIN CLASIFICAR")))</f>
        <v/>
      </c>
      <c r="W524" s="5">
        <f>IF($F524="","",IFERROR(INDEX('CAT_CENTROS_COSTO'!$F$4:$F$13,MATCH($F524,'CAT_CENTROS_COSTO'!$A$4:$A$13,0)),"(sin catálogo)"))</f>
        <v/>
      </c>
      <c r="X524" s="5">
        <f>IF($F524="","",IFERROR(INDEX('CAT_CENTROS_COSTO'!$D$4:$D$13,MATCH($F524,'CAT_CENTROS_COSTO'!$A$4:$A$13,0)),"(sin catálogo)"))</f>
        <v/>
      </c>
      <c r="Y524" s="5">
        <f>IF($F524="","",IF((IFERROR(INDEX('CAT_CENTROS_COSTO'!$E$4:$E$13,MATCH($F524,'CAT_CENTROS_COSTO'!$A$4:$A$13,0)),""))&lt;&gt;"",IFERROR(INDEX('CAT_CENTROS_COSTO'!$E$4:$E$13,MATCH($F524,'CAT_CENTROS_COSTO'!$A$4:$A$13,0)),""),$X524))</f>
        <v/>
      </c>
      <c r="Z524" s="5">
        <f>IF($F524="","",IFERROR(INDEX('CAT_CENTROS_COSTO'!$G$4:$G$13,MATCH($F524,'CAT_CENTROS_COSTO'!$A$4:$A$13,0)),"(sin catálogo)"))</f>
        <v/>
      </c>
      <c r="AA524" s="5">
        <f>IF($G524="","",IFERROR(INDEX('CAT_PUESTOS'!$B$4:$B$8,MATCH($G524,'CAT_PUESTOS'!$A$4:$A$8,0)),"(sin catálogo)"))</f>
        <v/>
      </c>
      <c r="AB524" s="5">
        <f>IF($H524="","",IFERROR(INDEX('CAT_ACTIVIDADES'!$B$4:$B$11,MATCH($H524,'CAT_ACTIVIDADES'!$A$4:$A$11,0)),"(sin catálogo)"))</f>
        <v/>
      </c>
      <c r="AC524" s="20">
        <f>IF($J524="","",TODAY()-$J524)</f>
        <v/>
      </c>
      <c r="AD524" s="20">
        <f>IF($J524="","",IF($J524&lt;=TODAY(),COUNTIFS(cal_fechas,"&gt;="&amp;$J524,cal_fechas,"&lt;"&amp;TODAY(),cal_habil,"sí"),-COUNTIFS(cal_fechas,"&gt;="&amp;TODAY(),cal_fechas,"&lt;"&amp;$J524,cal_habil,"sí")))</f>
        <v/>
      </c>
      <c r="AE524" s="5">
        <f>IF($AD524="","",IF($AD524&lt;0,"FUTURO",IF($AD524&gt;p_dias_backlog_max,"BACKLOG","MES CORRIENTE")))</f>
        <v/>
      </c>
      <c r="AF524" s="5">
        <f>IF($AD524="",FALSE,AND($AD524&gt;p_dias_backlog_min,$AD524&lt;=p_dias_backlog_max))</f>
        <v/>
      </c>
      <c r="AG524" s="4" t="n"/>
      <c r="AH524" s="5">
        <f>IF($AG524="","",IF((IFERROR(INDEX('ASIGNACIONES'!$J$4:$J$451,MATCH($O524&amp;"|"&amp;$S524&amp;"|"&amp;$AG524,'ASIGNACIONES'!$N$4:$N$451,0)),""))=0,"",IFERROR(INDEX('ASIGNACIONES'!$J$4:$J$451,MATCH($O524&amp;"|"&amp;$S524&amp;"|"&amp;$AG524,'ASIGNACIONES'!$N$4:$N$451,0)),"")))</f>
        <v/>
      </c>
      <c r="AI524" s="25">
        <f>IF($AG524="","",SUMIFS('ORDENES'!$M$4:$M$1203,'ORDENES'!$AG$4:$AG$1203,$AG524,'ORDENES'!$O$4:$O$1203,$O524,'ORDENES'!$S$4:$S$1203,$S524))</f>
        <v/>
      </c>
      <c r="AJ524" s="25">
        <f>IF($AI524="","",p_factor_productividad*IFERROR(INDEX('ASIGNACIONES'!$M$4:$M$451,MATCH($O524&amp;"|"&amp;$S524&amp;"|"&amp;$AG524,'ASIGNACIONES'!$N$4:$N$451,0)),0)-$AI524)</f>
        <v/>
      </c>
      <c r="AK524" s="18">
        <f>IF($A524="","",IFERROR(INDEX('2_IMPORTAR_EJECUCION'!$F$9:$F$1208,MATCH($AT524,'2_IMPORTAR_EJECUCION'!$J$9:$J$1208,0)),0))</f>
        <v/>
      </c>
      <c r="AL524" s="18">
        <f>IF($A524="","",MAX(0,IFERROR(INDEX('2_IMPORTAR_EJECUCION'!$H$9:$H$1208,MATCH($AT524,'2_IMPORTAR_EJECUCION'!$J$9:$J$1208,0)),0)-$AK524))</f>
        <v/>
      </c>
      <c r="AM524" s="18">
        <f>IF($A524="","",$AK524+$AL524)</f>
        <v/>
      </c>
      <c r="AN524" s="5">
        <f>IF($A524="","",IF(OR((IFERROR(INDEX('CAT_ACTIVIDADES'!$D$4:$D$11,MATCH($H524,'CAT_ACTIVIDADES'!$A$4:$A$11,0)),""))=0,(IFERROR(INDEX('CAT_ACTIVIDADES'!$D$4:$D$11,MATCH($H524,'CAT_ACTIVIDADES'!$A$4:$A$11,0)),""))=""),"SIN CLASIFICAR",IFERROR(INDEX('CAT_ACTIVIDADES'!$D$4:$D$11,MATCH($H524,'CAT_ACTIVIDADES'!$A$4:$A$11,0)),"")))</f>
        <v/>
      </c>
      <c r="AO524" s="4" t="n"/>
      <c r="AP524" s="4" t="n"/>
      <c r="AQ524" s="4" t="n"/>
      <c r="AR524" s="5">
        <f>IF($AQ524="","",HYPERLINK(p_ruta_base_checklists&amp;$AQ524,"abrir"))</f>
        <v/>
      </c>
      <c r="AS524" s="4" t="n"/>
      <c r="AT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2" t="n"/>
      <c r="K525" s="5" t="n"/>
      <c r="L525" s="18" t="n"/>
      <c r="M525" s="5">
        <f>IF($A525="","",IFERROR(INDEX('AJUSTES'!$B$4:$B$303,MATCH($AT525,'AJUSTES'!$A$4:$A$303,0)),IF($K525="","",$K525)))</f>
        <v/>
      </c>
      <c r="N525" s="5">
        <f>IF($A525="","",IFERROR(INDEX('CAT_ESTADOS_ERP'!$B$4:$B$7,MATCH(IFERROR(INDEX('2_IMPORTAR_EJECUCION'!$C$9:$C$1208,MATCH($AT525,'2_IMPORTAR_EJECUCION'!$J$9:$J$1208,0)),""),'CAT_ESTADOS_ERP'!$A$4:$A$7,0)),"Pendiente"))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IF($J525="","",$P525&amp;"-"&amp;TEXT($Q525,"00"))</f>
        <v/>
      </c>
      <c r="S525" s="5">
        <f>IF($J525="","",INDEX(lista_dias,WEEKDAY($J525,2)))</f>
        <v/>
      </c>
      <c r="T525" s="5">
        <f>IF($J525="","",IFERROR(INDEX('CALENDARIO'!$C$15:$C$214,MATCH(TEXT($J525,"yyyy-mm-dd")&amp;"|"&amp;$X525&amp;"|"&amp;$Y525,'CALENDARIO'!$G$15:$G$214,0)),IFERROR(INDEX('CALENDARIO'!$C$15:$C$214,MATCH(TEXT($J525,"yyyy-mm-dd")&amp;"|"&amp;$X525&amp;"|",'CALENDARIO'!$G$15:$G$214,0)),IFERROR(INDEX('CALENDARIO'!$C$15:$C$214,MATCH(TEXT($J525,"yyyy-mm-dd")&amp;"||",'CALENDARIO'!$G$15:$G$214,0)),INDEX(patronHabil,WEEKDAY($J525,2))))))</f>
        <v/>
      </c>
      <c r="U525" s="5">
        <f>IF($I525="","",IFERROR(INDEX('CAT_TIPOS_OT'!$C$4:$C$8,MATCH($I525,'CAT_TIPOS_OT'!$A$4:$A$8,0)),"sin_clasificar"))</f>
        <v/>
      </c>
      <c r="V525" s="5">
        <f>IF($I525="","",IF(IFERROR(INDEX('CAT_TIPOS_OT'!$D$4:$D$8,MATCH($I525,'CAT_TIPOS_OT'!$A$4:$A$8,0)),"SIN CLASIFICAR")="","SIN CLASIFICAR",IFERROR(INDEX('CAT_TIPOS_OT'!$D$4:$D$8,MATCH($I525,'CAT_TIPOS_OT'!$A$4:$A$8,0)),"SIN CLASIFICAR")))</f>
        <v/>
      </c>
      <c r="W525" s="5">
        <f>IF($F525="","",IFERROR(INDEX('CAT_CENTROS_COSTO'!$F$4:$F$13,MATCH($F525,'CAT_CENTROS_COSTO'!$A$4:$A$13,0)),"(sin catálogo)"))</f>
        <v/>
      </c>
      <c r="X525" s="5">
        <f>IF($F525="","",IFERROR(INDEX('CAT_CENTROS_COSTO'!$D$4:$D$13,MATCH($F525,'CAT_CENTROS_COSTO'!$A$4:$A$13,0)),"(sin catálogo)"))</f>
        <v/>
      </c>
      <c r="Y525" s="5">
        <f>IF($F525="","",IF((IFERROR(INDEX('CAT_CENTROS_COSTO'!$E$4:$E$13,MATCH($F525,'CAT_CENTROS_COSTO'!$A$4:$A$13,0)),""))&lt;&gt;"",IFERROR(INDEX('CAT_CENTROS_COSTO'!$E$4:$E$13,MATCH($F525,'CAT_CENTROS_COSTO'!$A$4:$A$13,0)),""),$X525))</f>
        <v/>
      </c>
      <c r="Z525" s="5">
        <f>IF($F525="","",IFERROR(INDEX('CAT_CENTROS_COSTO'!$G$4:$G$13,MATCH($F525,'CAT_CENTROS_COSTO'!$A$4:$A$13,0)),"(sin catálogo)"))</f>
        <v/>
      </c>
      <c r="AA525" s="5">
        <f>IF($G525="","",IFERROR(INDEX('CAT_PUESTOS'!$B$4:$B$8,MATCH($G525,'CAT_PUESTOS'!$A$4:$A$8,0)),"(sin catálogo)"))</f>
        <v/>
      </c>
      <c r="AB525" s="5">
        <f>IF($H525="","",IFERROR(INDEX('CAT_ACTIVIDADES'!$B$4:$B$11,MATCH($H525,'CAT_ACTIVIDADES'!$A$4:$A$11,0)),"(sin catálogo)"))</f>
        <v/>
      </c>
      <c r="AC525" s="20">
        <f>IF($J525="","",TODAY()-$J525)</f>
        <v/>
      </c>
      <c r="AD525" s="20">
        <f>IF($J525="","",IF($J525&lt;=TODAY(),COUNTIFS(cal_fechas,"&gt;="&amp;$J525,cal_fechas,"&lt;"&amp;TODAY(),cal_habil,"sí"),-COUNTIFS(cal_fechas,"&gt;="&amp;TODAY(),cal_fechas,"&lt;"&amp;$J525,cal_habil,"sí")))</f>
        <v/>
      </c>
      <c r="AE525" s="5">
        <f>IF($AD525="","",IF($AD525&lt;0,"FUTURO",IF($AD525&gt;p_dias_backlog_max,"BACKLOG","MES CORRIENTE")))</f>
        <v/>
      </c>
      <c r="AF525" s="5">
        <f>IF($AD525="",FALSE,AND($AD525&gt;p_dias_backlog_min,$AD525&lt;=p_dias_backlog_max))</f>
        <v/>
      </c>
      <c r="AG525" s="4" t="n"/>
      <c r="AH525" s="5">
        <f>IF($AG525="","",IF((IFERROR(INDEX('ASIGNACIONES'!$J$4:$J$451,MATCH($O525&amp;"|"&amp;$S525&amp;"|"&amp;$AG525,'ASIGNACIONES'!$N$4:$N$451,0)),""))=0,"",IFERROR(INDEX('ASIGNACIONES'!$J$4:$J$451,MATCH($O525&amp;"|"&amp;$S525&amp;"|"&amp;$AG525,'ASIGNACIONES'!$N$4:$N$451,0)),"")))</f>
        <v/>
      </c>
      <c r="AI525" s="25">
        <f>IF($AG525="","",SUMIFS('ORDENES'!$M$4:$M$1203,'ORDENES'!$AG$4:$AG$1203,$AG525,'ORDENES'!$O$4:$O$1203,$O525,'ORDENES'!$S$4:$S$1203,$S525))</f>
        <v/>
      </c>
      <c r="AJ525" s="25">
        <f>IF($AI525="","",p_factor_productividad*IFERROR(INDEX('ASIGNACIONES'!$M$4:$M$451,MATCH($O525&amp;"|"&amp;$S525&amp;"|"&amp;$AG525,'ASIGNACIONES'!$N$4:$N$451,0)),0)-$AI525)</f>
        <v/>
      </c>
      <c r="AK525" s="18">
        <f>IF($A525="","",IFERROR(INDEX('2_IMPORTAR_EJECUCION'!$F$9:$F$1208,MATCH($AT525,'2_IMPORTAR_EJECUCION'!$J$9:$J$1208,0)),0))</f>
        <v/>
      </c>
      <c r="AL525" s="18">
        <f>IF($A525="","",MAX(0,IFERROR(INDEX('2_IMPORTAR_EJECUCION'!$H$9:$H$1208,MATCH($AT525,'2_IMPORTAR_EJECUCION'!$J$9:$J$1208,0)),0)-$AK525))</f>
        <v/>
      </c>
      <c r="AM525" s="18">
        <f>IF($A525="","",$AK525+$AL525)</f>
        <v/>
      </c>
      <c r="AN525" s="5">
        <f>IF($A525="","",IF(OR((IFERROR(INDEX('CAT_ACTIVIDADES'!$D$4:$D$11,MATCH($H525,'CAT_ACTIVIDADES'!$A$4:$A$11,0)),""))=0,(IFERROR(INDEX('CAT_ACTIVIDADES'!$D$4:$D$11,MATCH($H525,'CAT_ACTIVIDADES'!$A$4:$A$11,0)),""))=""),"SIN CLASIFICAR",IFERROR(INDEX('CAT_ACTIVIDADES'!$D$4:$D$11,MATCH($H525,'CAT_ACTIVIDADES'!$A$4:$A$11,0)),"")))</f>
        <v/>
      </c>
      <c r="AO525" s="4" t="n"/>
      <c r="AP525" s="4" t="n"/>
      <c r="AQ525" s="4" t="n"/>
      <c r="AR525" s="5">
        <f>IF($AQ525="","",HYPERLINK(p_ruta_base_checklists&amp;$AQ525,"abrir"))</f>
        <v/>
      </c>
      <c r="AS525" s="4" t="n"/>
      <c r="AT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2" t="n"/>
      <c r="K526" s="5" t="n"/>
      <c r="L526" s="18" t="n"/>
      <c r="M526" s="5">
        <f>IF($A526="","",IFERROR(INDEX('AJUSTES'!$B$4:$B$303,MATCH($AT526,'AJUSTES'!$A$4:$A$303,0)),IF($K526="","",$K526)))</f>
        <v/>
      </c>
      <c r="N526" s="5">
        <f>IF($A526="","",IFERROR(INDEX('CAT_ESTADOS_ERP'!$B$4:$B$7,MATCH(IFERROR(INDEX('2_IMPORTAR_EJECUCION'!$C$9:$C$1208,MATCH($AT526,'2_IMPORTAR_EJECUCION'!$J$9:$J$1208,0)),""),'CAT_ESTADOS_ERP'!$A$4:$A$7,0)),"Pendiente"))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IF($J526="","",$P526&amp;"-"&amp;TEXT($Q526,"00"))</f>
        <v/>
      </c>
      <c r="S526" s="5">
        <f>IF($J526="","",INDEX(lista_dias,WEEKDAY($J526,2)))</f>
        <v/>
      </c>
      <c r="T526" s="5">
        <f>IF($J526="","",IFERROR(INDEX('CALENDARIO'!$C$15:$C$214,MATCH(TEXT($J526,"yyyy-mm-dd")&amp;"|"&amp;$X526&amp;"|"&amp;$Y526,'CALENDARIO'!$G$15:$G$214,0)),IFERROR(INDEX('CALENDARIO'!$C$15:$C$214,MATCH(TEXT($J526,"yyyy-mm-dd")&amp;"|"&amp;$X526&amp;"|",'CALENDARIO'!$G$15:$G$214,0)),IFERROR(INDEX('CALENDARIO'!$C$15:$C$214,MATCH(TEXT($J526,"yyyy-mm-dd")&amp;"||",'CALENDARIO'!$G$15:$G$214,0)),INDEX(patronHabil,WEEKDAY($J526,2))))))</f>
        <v/>
      </c>
      <c r="U526" s="5">
        <f>IF($I526="","",IFERROR(INDEX('CAT_TIPOS_OT'!$C$4:$C$8,MATCH($I526,'CAT_TIPOS_OT'!$A$4:$A$8,0)),"sin_clasificar"))</f>
        <v/>
      </c>
      <c r="V526" s="5">
        <f>IF($I526="","",IF(IFERROR(INDEX('CAT_TIPOS_OT'!$D$4:$D$8,MATCH($I526,'CAT_TIPOS_OT'!$A$4:$A$8,0)),"SIN CLASIFICAR")="","SIN CLASIFICAR",IFERROR(INDEX('CAT_TIPOS_OT'!$D$4:$D$8,MATCH($I526,'CAT_TIPOS_OT'!$A$4:$A$8,0)),"SIN CLASIFICAR")))</f>
        <v/>
      </c>
      <c r="W526" s="5">
        <f>IF($F526="","",IFERROR(INDEX('CAT_CENTROS_COSTO'!$F$4:$F$13,MATCH($F526,'CAT_CENTROS_COSTO'!$A$4:$A$13,0)),"(sin catálogo)"))</f>
        <v/>
      </c>
      <c r="X526" s="5">
        <f>IF($F526="","",IFERROR(INDEX('CAT_CENTROS_COSTO'!$D$4:$D$13,MATCH($F526,'CAT_CENTROS_COSTO'!$A$4:$A$13,0)),"(sin catálogo)"))</f>
        <v/>
      </c>
      <c r="Y526" s="5">
        <f>IF($F526="","",IF((IFERROR(INDEX('CAT_CENTROS_COSTO'!$E$4:$E$13,MATCH($F526,'CAT_CENTROS_COSTO'!$A$4:$A$13,0)),""))&lt;&gt;"",IFERROR(INDEX('CAT_CENTROS_COSTO'!$E$4:$E$13,MATCH($F526,'CAT_CENTROS_COSTO'!$A$4:$A$13,0)),""),$X526))</f>
        <v/>
      </c>
      <c r="Z526" s="5">
        <f>IF($F526="","",IFERROR(INDEX('CAT_CENTROS_COSTO'!$G$4:$G$13,MATCH($F526,'CAT_CENTROS_COSTO'!$A$4:$A$13,0)),"(sin catálogo)"))</f>
        <v/>
      </c>
      <c r="AA526" s="5">
        <f>IF($G526="","",IFERROR(INDEX('CAT_PUESTOS'!$B$4:$B$8,MATCH($G526,'CAT_PUESTOS'!$A$4:$A$8,0)),"(sin catálogo)"))</f>
        <v/>
      </c>
      <c r="AB526" s="5">
        <f>IF($H526="","",IFERROR(INDEX('CAT_ACTIVIDADES'!$B$4:$B$11,MATCH($H526,'CAT_ACTIVIDADES'!$A$4:$A$11,0)),"(sin catálogo)"))</f>
        <v/>
      </c>
      <c r="AC526" s="20">
        <f>IF($J526="","",TODAY()-$J526)</f>
        <v/>
      </c>
      <c r="AD526" s="20">
        <f>IF($J526="","",IF($J526&lt;=TODAY(),COUNTIFS(cal_fechas,"&gt;="&amp;$J526,cal_fechas,"&lt;"&amp;TODAY(),cal_habil,"sí"),-COUNTIFS(cal_fechas,"&gt;="&amp;TODAY(),cal_fechas,"&lt;"&amp;$J526,cal_habil,"sí")))</f>
        <v/>
      </c>
      <c r="AE526" s="5">
        <f>IF($AD526="","",IF($AD526&lt;0,"FUTURO",IF($AD526&gt;p_dias_backlog_max,"BACKLOG","MES CORRIENTE")))</f>
        <v/>
      </c>
      <c r="AF526" s="5">
        <f>IF($AD526="",FALSE,AND($AD526&gt;p_dias_backlog_min,$AD526&lt;=p_dias_backlog_max))</f>
        <v/>
      </c>
      <c r="AG526" s="4" t="n"/>
      <c r="AH526" s="5">
        <f>IF($AG526="","",IF((IFERROR(INDEX('ASIGNACIONES'!$J$4:$J$451,MATCH($O526&amp;"|"&amp;$S526&amp;"|"&amp;$AG526,'ASIGNACIONES'!$N$4:$N$451,0)),""))=0,"",IFERROR(INDEX('ASIGNACIONES'!$J$4:$J$451,MATCH($O526&amp;"|"&amp;$S526&amp;"|"&amp;$AG526,'ASIGNACIONES'!$N$4:$N$451,0)),"")))</f>
        <v/>
      </c>
      <c r="AI526" s="25">
        <f>IF($AG526="","",SUMIFS('ORDENES'!$M$4:$M$1203,'ORDENES'!$AG$4:$AG$1203,$AG526,'ORDENES'!$O$4:$O$1203,$O526,'ORDENES'!$S$4:$S$1203,$S526))</f>
        <v/>
      </c>
      <c r="AJ526" s="25">
        <f>IF($AI526="","",p_factor_productividad*IFERROR(INDEX('ASIGNACIONES'!$M$4:$M$451,MATCH($O526&amp;"|"&amp;$S526&amp;"|"&amp;$AG526,'ASIGNACIONES'!$N$4:$N$451,0)),0)-$AI526)</f>
        <v/>
      </c>
      <c r="AK526" s="18">
        <f>IF($A526="","",IFERROR(INDEX('2_IMPORTAR_EJECUCION'!$F$9:$F$1208,MATCH($AT526,'2_IMPORTAR_EJECUCION'!$J$9:$J$1208,0)),0))</f>
        <v/>
      </c>
      <c r="AL526" s="18">
        <f>IF($A526="","",MAX(0,IFERROR(INDEX('2_IMPORTAR_EJECUCION'!$H$9:$H$1208,MATCH($AT526,'2_IMPORTAR_EJECUCION'!$J$9:$J$1208,0)),0)-$AK526))</f>
        <v/>
      </c>
      <c r="AM526" s="18">
        <f>IF($A526="","",$AK526+$AL526)</f>
        <v/>
      </c>
      <c r="AN526" s="5">
        <f>IF($A526="","",IF(OR((IFERROR(INDEX('CAT_ACTIVIDADES'!$D$4:$D$11,MATCH($H526,'CAT_ACTIVIDADES'!$A$4:$A$11,0)),""))=0,(IFERROR(INDEX('CAT_ACTIVIDADES'!$D$4:$D$11,MATCH($H526,'CAT_ACTIVIDADES'!$A$4:$A$11,0)),""))=""),"SIN CLASIFICAR",IFERROR(INDEX('CAT_ACTIVIDADES'!$D$4:$D$11,MATCH($H526,'CAT_ACTIVIDADES'!$A$4:$A$11,0)),"")))</f>
        <v/>
      </c>
      <c r="AO526" s="4" t="n"/>
      <c r="AP526" s="4" t="n"/>
      <c r="AQ526" s="4" t="n"/>
      <c r="AR526" s="5">
        <f>IF($AQ526="","",HYPERLINK(p_ruta_base_checklists&amp;$AQ526,"abrir"))</f>
        <v/>
      </c>
      <c r="AS526" s="4" t="n"/>
      <c r="AT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2" t="n"/>
      <c r="K527" s="5" t="n"/>
      <c r="L527" s="18" t="n"/>
      <c r="M527" s="5">
        <f>IF($A527="","",IFERROR(INDEX('AJUSTES'!$B$4:$B$303,MATCH($AT527,'AJUSTES'!$A$4:$A$303,0)),IF($K527="","",$K527)))</f>
        <v/>
      </c>
      <c r="N527" s="5">
        <f>IF($A527="","",IFERROR(INDEX('CAT_ESTADOS_ERP'!$B$4:$B$7,MATCH(IFERROR(INDEX('2_IMPORTAR_EJECUCION'!$C$9:$C$1208,MATCH($AT527,'2_IMPORTAR_EJECUCION'!$J$9:$J$1208,0)),""),'CAT_ESTADOS_ERP'!$A$4:$A$7,0)),"Pendiente"))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IF($J527="","",$P527&amp;"-"&amp;TEXT($Q527,"00"))</f>
        <v/>
      </c>
      <c r="S527" s="5">
        <f>IF($J527="","",INDEX(lista_dias,WEEKDAY($J527,2)))</f>
        <v/>
      </c>
      <c r="T527" s="5">
        <f>IF($J527="","",IFERROR(INDEX('CALENDARIO'!$C$15:$C$214,MATCH(TEXT($J527,"yyyy-mm-dd")&amp;"|"&amp;$X527&amp;"|"&amp;$Y527,'CALENDARIO'!$G$15:$G$214,0)),IFERROR(INDEX('CALENDARIO'!$C$15:$C$214,MATCH(TEXT($J527,"yyyy-mm-dd")&amp;"|"&amp;$X527&amp;"|",'CALENDARIO'!$G$15:$G$214,0)),IFERROR(INDEX('CALENDARIO'!$C$15:$C$214,MATCH(TEXT($J527,"yyyy-mm-dd")&amp;"||",'CALENDARIO'!$G$15:$G$214,0)),INDEX(patronHabil,WEEKDAY($J527,2))))))</f>
        <v/>
      </c>
      <c r="U527" s="5">
        <f>IF($I527="","",IFERROR(INDEX('CAT_TIPOS_OT'!$C$4:$C$8,MATCH($I527,'CAT_TIPOS_OT'!$A$4:$A$8,0)),"sin_clasificar"))</f>
        <v/>
      </c>
      <c r="V527" s="5">
        <f>IF($I527="","",IF(IFERROR(INDEX('CAT_TIPOS_OT'!$D$4:$D$8,MATCH($I527,'CAT_TIPOS_OT'!$A$4:$A$8,0)),"SIN CLASIFICAR")="","SIN CLASIFICAR",IFERROR(INDEX('CAT_TIPOS_OT'!$D$4:$D$8,MATCH($I527,'CAT_TIPOS_OT'!$A$4:$A$8,0)),"SIN CLASIFICAR")))</f>
        <v/>
      </c>
      <c r="W527" s="5">
        <f>IF($F527="","",IFERROR(INDEX('CAT_CENTROS_COSTO'!$F$4:$F$13,MATCH($F527,'CAT_CENTROS_COSTO'!$A$4:$A$13,0)),"(sin catálogo)"))</f>
        <v/>
      </c>
      <c r="X527" s="5">
        <f>IF($F527="","",IFERROR(INDEX('CAT_CENTROS_COSTO'!$D$4:$D$13,MATCH($F527,'CAT_CENTROS_COSTO'!$A$4:$A$13,0)),"(sin catálogo)"))</f>
        <v/>
      </c>
      <c r="Y527" s="5">
        <f>IF($F527="","",IF((IFERROR(INDEX('CAT_CENTROS_COSTO'!$E$4:$E$13,MATCH($F527,'CAT_CENTROS_COSTO'!$A$4:$A$13,0)),""))&lt;&gt;"",IFERROR(INDEX('CAT_CENTROS_COSTO'!$E$4:$E$13,MATCH($F527,'CAT_CENTROS_COSTO'!$A$4:$A$13,0)),""),$X527))</f>
        <v/>
      </c>
      <c r="Z527" s="5">
        <f>IF($F527="","",IFERROR(INDEX('CAT_CENTROS_COSTO'!$G$4:$G$13,MATCH($F527,'CAT_CENTROS_COSTO'!$A$4:$A$13,0)),"(sin catálogo)"))</f>
        <v/>
      </c>
      <c r="AA527" s="5">
        <f>IF($G527="","",IFERROR(INDEX('CAT_PUESTOS'!$B$4:$B$8,MATCH($G527,'CAT_PUESTOS'!$A$4:$A$8,0)),"(sin catálogo)"))</f>
        <v/>
      </c>
      <c r="AB527" s="5">
        <f>IF($H527="","",IFERROR(INDEX('CAT_ACTIVIDADES'!$B$4:$B$11,MATCH($H527,'CAT_ACTIVIDADES'!$A$4:$A$11,0)),"(sin catálogo)"))</f>
        <v/>
      </c>
      <c r="AC527" s="20">
        <f>IF($J527="","",TODAY()-$J527)</f>
        <v/>
      </c>
      <c r="AD527" s="20">
        <f>IF($J527="","",IF($J527&lt;=TODAY(),COUNTIFS(cal_fechas,"&gt;="&amp;$J527,cal_fechas,"&lt;"&amp;TODAY(),cal_habil,"sí"),-COUNTIFS(cal_fechas,"&gt;="&amp;TODAY(),cal_fechas,"&lt;"&amp;$J527,cal_habil,"sí")))</f>
        <v/>
      </c>
      <c r="AE527" s="5">
        <f>IF($AD527="","",IF($AD527&lt;0,"FUTURO",IF($AD527&gt;p_dias_backlog_max,"BACKLOG","MES CORRIENTE")))</f>
        <v/>
      </c>
      <c r="AF527" s="5">
        <f>IF($AD527="",FALSE,AND($AD527&gt;p_dias_backlog_min,$AD527&lt;=p_dias_backlog_max))</f>
        <v/>
      </c>
      <c r="AG527" s="4" t="n"/>
      <c r="AH527" s="5">
        <f>IF($AG527="","",IF((IFERROR(INDEX('ASIGNACIONES'!$J$4:$J$451,MATCH($O527&amp;"|"&amp;$S527&amp;"|"&amp;$AG527,'ASIGNACIONES'!$N$4:$N$451,0)),""))=0,"",IFERROR(INDEX('ASIGNACIONES'!$J$4:$J$451,MATCH($O527&amp;"|"&amp;$S527&amp;"|"&amp;$AG527,'ASIGNACIONES'!$N$4:$N$451,0)),"")))</f>
        <v/>
      </c>
      <c r="AI527" s="25">
        <f>IF($AG527="","",SUMIFS('ORDENES'!$M$4:$M$1203,'ORDENES'!$AG$4:$AG$1203,$AG527,'ORDENES'!$O$4:$O$1203,$O527,'ORDENES'!$S$4:$S$1203,$S527))</f>
        <v/>
      </c>
      <c r="AJ527" s="25">
        <f>IF($AI527="","",p_factor_productividad*IFERROR(INDEX('ASIGNACIONES'!$M$4:$M$451,MATCH($O527&amp;"|"&amp;$S527&amp;"|"&amp;$AG527,'ASIGNACIONES'!$N$4:$N$451,0)),0)-$AI527)</f>
        <v/>
      </c>
      <c r="AK527" s="18">
        <f>IF($A527="","",IFERROR(INDEX('2_IMPORTAR_EJECUCION'!$F$9:$F$1208,MATCH($AT527,'2_IMPORTAR_EJECUCION'!$J$9:$J$1208,0)),0))</f>
        <v/>
      </c>
      <c r="AL527" s="18">
        <f>IF($A527="","",MAX(0,IFERROR(INDEX('2_IMPORTAR_EJECUCION'!$H$9:$H$1208,MATCH($AT527,'2_IMPORTAR_EJECUCION'!$J$9:$J$1208,0)),0)-$AK527))</f>
        <v/>
      </c>
      <c r="AM527" s="18">
        <f>IF($A527="","",$AK527+$AL527)</f>
        <v/>
      </c>
      <c r="AN527" s="5">
        <f>IF($A527="","",IF(OR((IFERROR(INDEX('CAT_ACTIVIDADES'!$D$4:$D$11,MATCH($H527,'CAT_ACTIVIDADES'!$A$4:$A$11,0)),""))=0,(IFERROR(INDEX('CAT_ACTIVIDADES'!$D$4:$D$11,MATCH($H527,'CAT_ACTIVIDADES'!$A$4:$A$11,0)),""))=""),"SIN CLASIFICAR",IFERROR(INDEX('CAT_ACTIVIDADES'!$D$4:$D$11,MATCH($H527,'CAT_ACTIVIDADES'!$A$4:$A$11,0)),"")))</f>
        <v/>
      </c>
      <c r="AO527" s="4" t="n"/>
      <c r="AP527" s="4" t="n"/>
      <c r="AQ527" s="4" t="n"/>
      <c r="AR527" s="5">
        <f>IF($AQ527="","",HYPERLINK(p_ruta_base_checklists&amp;$AQ527,"abrir"))</f>
        <v/>
      </c>
      <c r="AS527" s="4" t="n"/>
      <c r="AT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2" t="n"/>
      <c r="K528" s="5" t="n"/>
      <c r="L528" s="18" t="n"/>
      <c r="M528" s="5">
        <f>IF($A528="","",IFERROR(INDEX('AJUSTES'!$B$4:$B$303,MATCH($AT528,'AJUSTES'!$A$4:$A$303,0)),IF($K528="","",$K528)))</f>
        <v/>
      </c>
      <c r="N528" s="5">
        <f>IF($A528="","",IFERROR(INDEX('CAT_ESTADOS_ERP'!$B$4:$B$7,MATCH(IFERROR(INDEX('2_IMPORTAR_EJECUCION'!$C$9:$C$1208,MATCH($AT528,'2_IMPORTAR_EJECUCION'!$J$9:$J$1208,0)),""),'CAT_ESTADOS_ERP'!$A$4:$A$7,0)),"Pendiente"))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IF($J528="","",$P528&amp;"-"&amp;TEXT($Q528,"00"))</f>
        <v/>
      </c>
      <c r="S528" s="5">
        <f>IF($J528="","",INDEX(lista_dias,WEEKDAY($J528,2)))</f>
        <v/>
      </c>
      <c r="T528" s="5">
        <f>IF($J528="","",IFERROR(INDEX('CALENDARIO'!$C$15:$C$214,MATCH(TEXT($J528,"yyyy-mm-dd")&amp;"|"&amp;$X528&amp;"|"&amp;$Y528,'CALENDARIO'!$G$15:$G$214,0)),IFERROR(INDEX('CALENDARIO'!$C$15:$C$214,MATCH(TEXT($J528,"yyyy-mm-dd")&amp;"|"&amp;$X528&amp;"|",'CALENDARIO'!$G$15:$G$214,0)),IFERROR(INDEX('CALENDARIO'!$C$15:$C$214,MATCH(TEXT($J528,"yyyy-mm-dd")&amp;"||",'CALENDARIO'!$G$15:$G$214,0)),INDEX(patronHabil,WEEKDAY($J528,2))))))</f>
        <v/>
      </c>
      <c r="U528" s="5">
        <f>IF($I528="","",IFERROR(INDEX('CAT_TIPOS_OT'!$C$4:$C$8,MATCH($I528,'CAT_TIPOS_OT'!$A$4:$A$8,0)),"sin_clasificar"))</f>
        <v/>
      </c>
      <c r="V528" s="5">
        <f>IF($I528="","",IF(IFERROR(INDEX('CAT_TIPOS_OT'!$D$4:$D$8,MATCH($I528,'CAT_TIPOS_OT'!$A$4:$A$8,0)),"SIN CLASIFICAR")="","SIN CLASIFICAR",IFERROR(INDEX('CAT_TIPOS_OT'!$D$4:$D$8,MATCH($I528,'CAT_TIPOS_OT'!$A$4:$A$8,0)),"SIN CLASIFICAR")))</f>
        <v/>
      </c>
      <c r="W528" s="5">
        <f>IF($F528="","",IFERROR(INDEX('CAT_CENTROS_COSTO'!$F$4:$F$13,MATCH($F528,'CAT_CENTROS_COSTO'!$A$4:$A$13,0)),"(sin catálogo)"))</f>
        <v/>
      </c>
      <c r="X528" s="5">
        <f>IF($F528="","",IFERROR(INDEX('CAT_CENTROS_COSTO'!$D$4:$D$13,MATCH($F528,'CAT_CENTROS_COSTO'!$A$4:$A$13,0)),"(sin catálogo)"))</f>
        <v/>
      </c>
      <c r="Y528" s="5">
        <f>IF($F528="","",IF((IFERROR(INDEX('CAT_CENTROS_COSTO'!$E$4:$E$13,MATCH($F528,'CAT_CENTROS_COSTO'!$A$4:$A$13,0)),""))&lt;&gt;"",IFERROR(INDEX('CAT_CENTROS_COSTO'!$E$4:$E$13,MATCH($F528,'CAT_CENTROS_COSTO'!$A$4:$A$13,0)),""),$X528))</f>
        <v/>
      </c>
      <c r="Z528" s="5">
        <f>IF($F528="","",IFERROR(INDEX('CAT_CENTROS_COSTO'!$G$4:$G$13,MATCH($F528,'CAT_CENTROS_COSTO'!$A$4:$A$13,0)),"(sin catálogo)"))</f>
        <v/>
      </c>
      <c r="AA528" s="5">
        <f>IF($G528="","",IFERROR(INDEX('CAT_PUESTOS'!$B$4:$B$8,MATCH($G528,'CAT_PUESTOS'!$A$4:$A$8,0)),"(sin catálogo)"))</f>
        <v/>
      </c>
      <c r="AB528" s="5">
        <f>IF($H528="","",IFERROR(INDEX('CAT_ACTIVIDADES'!$B$4:$B$11,MATCH($H528,'CAT_ACTIVIDADES'!$A$4:$A$11,0)),"(sin catálogo)"))</f>
        <v/>
      </c>
      <c r="AC528" s="20">
        <f>IF($J528="","",TODAY()-$J528)</f>
        <v/>
      </c>
      <c r="AD528" s="20">
        <f>IF($J528="","",IF($J528&lt;=TODAY(),COUNTIFS(cal_fechas,"&gt;="&amp;$J528,cal_fechas,"&lt;"&amp;TODAY(),cal_habil,"sí"),-COUNTIFS(cal_fechas,"&gt;="&amp;TODAY(),cal_fechas,"&lt;"&amp;$J528,cal_habil,"sí")))</f>
        <v/>
      </c>
      <c r="AE528" s="5">
        <f>IF($AD528="","",IF($AD528&lt;0,"FUTURO",IF($AD528&gt;p_dias_backlog_max,"BACKLOG","MES CORRIENTE")))</f>
        <v/>
      </c>
      <c r="AF528" s="5">
        <f>IF($AD528="",FALSE,AND($AD528&gt;p_dias_backlog_min,$AD528&lt;=p_dias_backlog_max))</f>
        <v/>
      </c>
      <c r="AG528" s="4" t="n"/>
      <c r="AH528" s="5">
        <f>IF($AG528="","",IF((IFERROR(INDEX('ASIGNACIONES'!$J$4:$J$451,MATCH($O528&amp;"|"&amp;$S528&amp;"|"&amp;$AG528,'ASIGNACIONES'!$N$4:$N$451,0)),""))=0,"",IFERROR(INDEX('ASIGNACIONES'!$J$4:$J$451,MATCH($O528&amp;"|"&amp;$S528&amp;"|"&amp;$AG528,'ASIGNACIONES'!$N$4:$N$451,0)),"")))</f>
        <v/>
      </c>
      <c r="AI528" s="25">
        <f>IF($AG528="","",SUMIFS('ORDENES'!$M$4:$M$1203,'ORDENES'!$AG$4:$AG$1203,$AG528,'ORDENES'!$O$4:$O$1203,$O528,'ORDENES'!$S$4:$S$1203,$S528))</f>
        <v/>
      </c>
      <c r="AJ528" s="25">
        <f>IF($AI528="","",p_factor_productividad*IFERROR(INDEX('ASIGNACIONES'!$M$4:$M$451,MATCH($O528&amp;"|"&amp;$S528&amp;"|"&amp;$AG528,'ASIGNACIONES'!$N$4:$N$451,0)),0)-$AI528)</f>
        <v/>
      </c>
      <c r="AK528" s="18">
        <f>IF($A528="","",IFERROR(INDEX('2_IMPORTAR_EJECUCION'!$F$9:$F$1208,MATCH($AT528,'2_IMPORTAR_EJECUCION'!$J$9:$J$1208,0)),0))</f>
        <v/>
      </c>
      <c r="AL528" s="18">
        <f>IF($A528="","",MAX(0,IFERROR(INDEX('2_IMPORTAR_EJECUCION'!$H$9:$H$1208,MATCH($AT528,'2_IMPORTAR_EJECUCION'!$J$9:$J$1208,0)),0)-$AK528))</f>
        <v/>
      </c>
      <c r="AM528" s="18">
        <f>IF($A528="","",$AK528+$AL528)</f>
        <v/>
      </c>
      <c r="AN528" s="5">
        <f>IF($A528="","",IF(OR((IFERROR(INDEX('CAT_ACTIVIDADES'!$D$4:$D$11,MATCH($H528,'CAT_ACTIVIDADES'!$A$4:$A$11,0)),""))=0,(IFERROR(INDEX('CAT_ACTIVIDADES'!$D$4:$D$11,MATCH($H528,'CAT_ACTIVIDADES'!$A$4:$A$11,0)),""))=""),"SIN CLASIFICAR",IFERROR(INDEX('CAT_ACTIVIDADES'!$D$4:$D$11,MATCH($H528,'CAT_ACTIVIDADES'!$A$4:$A$11,0)),"")))</f>
        <v/>
      </c>
      <c r="AO528" s="4" t="n"/>
      <c r="AP528" s="4" t="n"/>
      <c r="AQ528" s="4" t="n"/>
      <c r="AR528" s="5">
        <f>IF($AQ528="","",HYPERLINK(p_ruta_base_checklists&amp;$AQ528,"abrir"))</f>
        <v/>
      </c>
      <c r="AS528" s="4" t="n"/>
      <c r="AT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2" t="n"/>
      <c r="K529" s="5" t="n"/>
      <c r="L529" s="18" t="n"/>
      <c r="M529" s="5">
        <f>IF($A529="","",IFERROR(INDEX('AJUSTES'!$B$4:$B$303,MATCH($AT529,'AJUSTES'!$A$4:$A$303,0)),IF($K529="","",$K529)))</f>
        <v/>
      </c>
      <c r="N529" s="5">
        <f>IF($A529="","",IFERROR(INDEX('CAT_ESTADOS_ERP'!$B$4:$B$7,MATCH(IFERROR(INDEX('2_IMPORTAR_EJECUCION'!$C$9:$C$1208,MATCH($AT529,'2_IMPORTAR_EJECUCION'!$J$9:$J$1208,0)),""),'CAT_ESTADOS_ERP'!$A$4:$A$7,0)),"Pendiente"))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IF($J529="","",$P529&amp;"-"&amp;TEXT($Q529,"00"))</f>
        <v/>
      </c>
      <c r="S529" s="5">
        <f>IF($J529="","",INDEX(lista_dias,WEEKDAY($J529,2)))</f>
        <v/>
      </c>
      <c r="T529" s="5">
        <f>IF($J529="","",IFERROR(INDEX('CALENDARIO'!$C$15:$C$214,MATCH(TEXT($J529,"yyyy-mm-dd")&amp;"|"&amp;$X529&amp;"|"&amp;$Y529,'CALENDARIO'!$G$15:$G$214,0)),IFERROR(INDEX('CALENDARIO'!$C$15:$C$214,MATCH(TEXT($J529,"yyyy-mm-dd")&amp;"|"&amp;$X529&amp;"|",'CALENDARIO'!$G$15:$G$214,0)),IFERROR(INDEX('CALENDARIO'!$C$15:$C$214,MATCH(TEXT($J529,"yyyy-mm-dd")&amp;"||",'CALENDARIO'!$G$15:$G$214,0)),INDEX(patronHabil,WEEKDAY($J529,2))))))</f>
        <v/>
      </c>
      <c r="U529" s="5">
        <f>IF($I529="","",IFERROR(INDEX('CAT_TIPOS_OT'!$C$4:$C$8,MATCH($I529,'CAT_TIPOS_OT'!$A$4:$A$8,0)),"sin_clasificar"))</f>
        <v/>
      </c>
      <c r="V529" s="5">
        <f>IF($I529="","",IF(IFERROR(INDEX('CAT_TIPOS_OT'!$D$4:$D$8,MATCH($I529,'CAT_TIPOS_OT'!$A$4:$A$8,0)),"SIN CLASIFICAR")="","SIN CLASIFICAR",IFERROR(INDEX('CAT_TIPOS_OT'!$D$4:$D$8,MATCH($I529,'CAT_TIPOS_OT'!$A$4:$A$8,0)),"SIN CLASIFICAR")))</f>
        <v/>
      </c>
      <c r="W529" s="5">
        <f>IF($F529="","",IFERROR(INDEX('CAT_CENTROS_COSTO'!$F$4:$F$13,MATCH($F529,'CAT_CENTROS_COSTO'!$A$4:$A$13,0)),"(sin catálogo)"))</f>
        <v/>
      </c>
      <c r="X529" s="5">
        <f>IF($F529="","",IFERROR(INDEX('CAT_CENTROS_COSTO'!$D$4:$D$13,MATCH($F529,'CAT_CENTROS_COSTO'!$A$4:$A$13,0)),"(sin catálogo)"))</f>
        <v/>
      </c>
      <c r="Y529" s="5">
        <f>IF($F529="","",IF((IFERROR(INDEX('CAT_CENTROS_COSTO'!$E$4:$E$13,MATCH($F529,'CAT_CENTROS_COSTO'!$A$4:$A$13,0)),""))&lt;&gt;"",IFERROR(INDEX('CAT_CENTROS_COSTO'!$E$4:$E$13,MATCH($F529,'CAT_CENTROS_COSTO'!$A$4:$A$13,0)),""),$X529))</f>
        <v/>
      </c>
      <c r="Z529" s="5">
        <f>IF($F529="","",IFERROR(INDEX('CAT_CENTROS_COSTO'!$G$4:$G$13,MATCH($F529,'CAT_CENTROS_COSTO'!$A$4:$A$13,0)),"(sin catálogo)"))</f>
        <v/>
      </c>
      <c r="AA529" s="5">
        <f>IF($G529="","",IFERROR(INDEX('CAT_PUESTOS'!$B$4:$B$8,MATCH($G529,'CAT_PUESTOS'!$A$4:$A$8,0)),"(sin catálogo)"))</f>
        <v/>
      </c>
      <c r="AB529" s="5">
        <f>IF($H529="","",IFERROR(INDEX('CAT_ACTIVIDADES'!$B$4:$B$11,MATCH($H529,'CAT_ACTIVIDADES'!$A$4:$A$11,0)),"(sin catálogo)"))</f>
        <v/>
      </c>
      <c r="AC529" s="20">
        <f>IF($J529="","",TODAY()-$J529)</f>
        <v/>
      </c>
      <c r="AD529" s="20">
        <f>IF($J529="","",IF($J529&lt;=TODAY(),COUNTIFS(cal_fechas,"&gt;="&amp;$J529,cal_fechas,"&lt;"&amp;TODAY(),cal_habil,"sí"),-COUNTIFS(cal_fechas,"&gt;="&amp;TODAY(),cal_fechas,"&lt;"&amp;$J529,cal_habil,"sí")))</f>
        <v/>
      </c>
      <c r="AE529" s="5">
        <f>IF($AD529="","",IF($AD529&lt;0,"FUTURO",IF($AD529&gt;p_dias_backlog_max,"BACKLOG","MES CORRIENTE")))</f>
        <v/>
      </c>
      <c r="AF529" s="5">
        <f>IF($AD529="",FALSE,AND($AD529&gt;p_dias_backlog_min,$AD529&lt;=p_dias_backlog_max))</f>
        <v/>
      </c>
      <c r="AG529" s="4" t="n"/>
      <c r="AH529" s="5">
        <f>IF($AG529="","",IF((IFERROR(INDEX('ASIGNACIONES'!$J$4:$J$451,MATCH($O529&amp;"|"&amp;$S529&amp;"|"&amp;$AG529,'ASIGNACIONES'!$N$4:$N$451,0)),""))=0,"",IFERROR(INDEX('ASIGNACIONES'!$J$4:$J$451,MATCH($O529&amp;"|"&amp;$S529&amp;"|"&amp;$AG529,'ASIGNACIONES'!$N$4:$N$451,0)),"")))</f>
        <v/>
      </c>
      <c r="AI529" s="25">
        <f>IF($AG529="","",SUMIFS('ORDENES'!$M$4:$M$1203,'ORDENES'!$AG$4:$AG$1203,$AG529,'ORDENES'!$O$4:$O$1203,$O529,'ORDENES'!$S$4:$S$1203,$S529))</f>
        <v/>
      </c>
      <c r="AJ529" s="25">
        <f>IF($AI529="","",p_factor_productividad*IFERROR(INDEX('ASIGNACIONES'!$M$4:$M$451,MATCH($O529&amp;"|"&amp;$S529&amp;"|"&amp;$AG529,'ASIGNACIONES'!$N$4:$N$451,0)),0)-$AI529)</f>
        <v/>
      </c>
      <c r="AK529" s="18">
        <f>IF($A529="","",IFERROR(INDEX('2_IMPORTAR_EJECUCION'!$F$9:$F$1208,MATCH($AT529,'2_IMPORTAR_EJECUCION'!$J$9:$J$1208,0)),0))</f>
        <v/>
      </c>
      <c r="AL529" s="18">
        <f>IF($A529="","",MAX(0,IFERROR(INDEX('2_IMPORTAR_EJECUCION'!$H$9:$H$1208,MATCH($AT529,'2_IMPORTAR_EJECUCION'!$J$9:$J$1208,0)),0)-$AK529))</f>
        <v/>
      </c>
      <c r="AM529" s="18">
        <f>IF($A529="","",$AK529+$AL529)</f>
        <v/>
      </c>
      <c r="AN529" s="5">
        <f>IF($A529="","",IF(OR((IFERROR(INDEX('CAT_ACTIVIDADES'!$D$4:$D$11,MATCH($H529,'CAT_ACTIVIDADES'!$A$4:$A$11,0)),""))=0,(IFERROR(INDEX('CAT_ACTIVIDADES'!$D$4:$D$11,MATCH($H529,'CAT_ACTIVIDADES'!$A$4:$A$11,0)),""))=""),"SIN CLASIFICAR",IFERROR(INDEX('CAT_ACTIVIDADES'!$D$4:$D$11,MATCH($H529,'CAT_ACTIVIDADES'!$A$4:$A$11,0)),"")))</f>
        <v/>
      </c>
      <c r="AO529" s="4" t="n"/>
      <c r="AP529" s="4" t="n"/>
      <c r="AQ529" s="4" t="n"/>
      <c r="AR529" s="5">
        <f>IF($AQ529="","",HYPERLINK(p_ruta_base_checklists&amp;$AQ529,"abrir"))</f>
        <v/>
      </c>
      <c r="AS529" s="4" t="n"/>
      <c r="AT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2" t="n"/>
      <c r="K530" s="5" t="n"/>
      <c r="L530" s="18" t="n"/>
      <c r="M530" s="5">
        <f>IF($A530="","",IFERROR(INDEX('AJUSTES'!$B$4:$B$303,MATCH($AT530,'AJUSTES'!$A$4:$A$303,0)),IF($K530="","",$K530)))</f>
        <v/>
      </c>
      <c r="N530" s="5">
        <f>IF($A530="","",IFERROR(INDEX('CAT_ESTADOS_ERP'!$B$4:$B$7,MATCH(IFERROR(INDEX('2_IMPORTAR_EJECUCION'!$C$9:$C$1208,MATCH($AT530,'2_IMPORTAR_EJECUCION'!$J$9:$J$1208,0)),""),'CAT_ESTADOS_ERP'!$A$4:$A$7,0)),"Pendiente"))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IF($J530="","",$P530&amp;"-"&amp;TEXT($Q530,"00"))</f>
        <v/>
      </c>
      <c r="S530" s="5">
        <f>IF($J530="","",INDEX(lista_dias,WEEKDAY($J530,2)))</f>
        <v/>
      </c>
      <c r="T530" s="5">
        <f>IF($J530="","",IFERROR(INDEX('CALENDARIO'!$C$15:$C$214,MATCH(TEXT($J530,"yyyy-mm-dd")&amp;"|"&amp;$X530&amp;"|"&amp;$Y530,'CALENDARIO'!$G$15:$G$214,0)),IFERROR(INDEX('CALENDARIO'!$C$15:$C$214,MATCH(TEXT($J530,"yyyy-mm-dd")&amp;"|"&amp;$X530&amp;"|",'CALENDARIO'!$G$15:$G$214,0)),IFERROR(INDEX('CALENDARIO'!$C$15:$C$214,MATCH(TEXT($J530,"yyyy-mm-dd")&amp;"||",'CALENDARIO'!$G$15:$G$214,0)),INDEX(patronHabil,WEEKDAY($J530,2))))))</f>
        <v/>
      </c>
      <c r="U530" s="5">
        <f>IF($I530="","",IFERROR(INDEX('CAT_TIPOS_OT'!$C$4:$C$8,MATCH($I530,'CAT_TIPOS_OT'!$A$4:$A$8,0)),"sin_clasificar"))</f>
        <v/>
      </c>
      <c r="V530" s="5">
        <f>IF($I530="","",IF(IFERROR(INDEX('CAT_TIPOS_OT'!$D$4:$D$8,MATCH($I530,'CAT_TIPOS_OT'!$A$4:$A$8,0)),"SIN CLASIFICAR")="","SIN CLASIFICAR",IFERROR(INDEX('CAT_TIPOS_OT'!$D$4:$D$8,MATCH($I530,'CAT_TIPOS_OT'!$A$4:$A$8,0)),"SIN CLASIFICAR")))</f>
        <v/>
      </c>
      <c r="W530" s="5">
        <f>IF($F530="","",IFERROR(INDEX('CAT_CENTROS_COSTO'!$F$4:$F$13,MATCH($F530,'CAT_CENTROS_COSTO'!$A$4:$A$13,0)),"(sin catálogo)"))</f>
        <v/>
      </c>
      <c r="X530" s="5">
        <f>IF($F530="","",IFERROR(INDEX('CAT_CENTROS_COSTO'!$D$4:$D$13,MATCH($F530,'CAT_CENTROS_COSTO'!$A$4:$A$13,0)),"(sin catálogo)"))</f>
        <v/>
      </c>
      <c r="Y530" s="5">
        <f>IF($F530="","",IF((IFERROR(INDEX('CAT_CENTROS_COSTO'!$E$4:$E$13,MATCH($F530,'CAT_CENTROS_COSTO'!$A$4:$A$13,0)),""))&lt;&gt;"",IFERROR(INDEX('CAT_CENTROS_COSTO'!$E$4:$E$13,MATCH($F530,'CAT_CENTROS_COSTO'!$A$4:$A$13,0)),""),$X530))</f>
        <v/>
      </c>
      <c r="Z530" s="5">
        <f>IF($F530="","",IFERROR(INDEX('CAT_CENTROS_COSTO'!$G$4:$G$13,MATCH($F530,'CAT_CENTROS_COSTO'!$A$4:$A$13,0)),"(sin catálogo)"))</f>
        <v/>
      </c>
      <c r="AA530" s="5">
        <f>IF($G530="","",IFERROR(INDEX('CAT_PUESTOS'!$B$4:$B$8,MATCH($G530,'CAT_PUESTOS'!$A$4:$A$8,0)),"(sin catálogo)"))</f>
        <v/>
      </c>
      <c r="AB530" s="5">
        <f>IF($H530="","",IFERROR(INDEX('CAT_ACTIVIDADES'!$B$4:$B$11,MATCH($H530,'CAT_ACTIVIDADES'!$A$4:$A$11,0)),"(sin catálogo)"))</f>
        <v/>
      </c>
      <c r="AC530" s="20">
        <f>IF($J530="","",TODAY()-$J530)</f>
        <v/>
      </c>
      <c r="AD530" s="20">
        <f>IF($J530="","",IF($J530&lt;=TODAY(),COUNTIFS(cal_fechas,"&gt;="&amp;$J530,cal_fechas,"&lt;"&amp;TODAY(),cal_habil,"sí"),-COUNTIFS(cal_fechas,"&gt;="&amp;TODAY(),cal_fechas,"&lt;"&amp;$J530,cal_habil,"sí")))</f>
        <v/>
      </c>
      <c r="AE530" s="5">
        <f>IF($AD530="","",IF($AD530&lt;0,"FUTURO",IF($AD530&gt;p_dias_backlog_max,"BACKLOG","MES CORRIENTE")))</f>
        <v/>
      </c>
      <c r="AF530" s="5">
        <f>IF($AD530="",FALSE,AND($AD530&gt;p_dias_backlog_min,$AD530&lt;=p_dias_backlog_max))</f>
        <v/>
      </c>
      <c r="AG530" s="4" t="n"/>
      <c r="AH530" s="5">
        <f>IF($AG530="","",IF((IFERROR(INDEX('ASIGNACIONES'!$J$4:$J$451,MATCH($O530&amp;"|"&amp;$S530&amp;"|"&amp;$AG530,'ASIGNACIONES'!$N$4:$N$451,0)),""))=0,"",IFERROR(INDEX('ASIGNACIONES'!$J$4:$J$451,MATCH($O530&amp;"|"&amp;$S530&amp;"|"&amp;$AG530,'ASIGNACIONES'!$N$4:$N$451,0)),"")))</f>
        <v/>
      </c>
      <c r="AI530" s="25">
        <f>IF($AG530="","",SUMIFS('ORDENES'!$M$4:$M$1203,'ORDENES'!$AG$4:$AG$1203,$AG530,'ORDENES'!$O$4:$O$1203,$O530,'ORDENES'!$S$4:$S$1203,$S530))</f>
        <v/>
      </c>
      <c r="AJ530" s="25">
        <f>IF($AI530="","",p_factor_productividad*IFERROR(INDEX('ASIGNACIONES'!$M$4:$M$451,MATCH($O530&amp;"|"&amp;$S530&amp;"|"&amp;$AG530,'ASIGNACIONES'!$N$4:$N$451,0)),0)-$AI530)</f>
        <v/>
      </c>
      <c r="AK530" s="18">
        <f>IF($A530="","",IFERROR(INDEX('2_IMPORTAR_EJECUCION'!$F$9:$F$1208,MATCH($AT530,'2_IMPORTAR_EJECUCION'!$J$9:$J$1208,0)),0))</f>
        <v/>
      </c>
      <c r="AL530" s="18">
        <f>IF($A530="","",MAX(0,IFERROR(INDEX('2_IMPORTAR_EJECUCION'!$H$9:$H$1208,MATCH($AT530,'2_IMPORTAR_EJECUCION'!$J$9:$J$1208,0)),0)-$AK530))</f>
        <v/>
      </c>
      <c r="AM530" s="18">
        <f>IF($A530="","",$AK530+$AL530)</f>
        <v/>
      </c>
      <c r="AN530" s="5">
        <f>IF($A530="","",IF(OR((IFERROR(INDEX('CAT_ACTIVIDADES'!$D$4:$D$11,MATCH($H530,'CAT_ACTIVIDADES'!$A$4:$A$11,0)),""))=0,(IFERROR(INDEX('CAT_ACTIVIDADES'!$D$4:$D$11,MATCH($H530,'CAT_ACTIVIDADES'!$A$4:$A$11,0)),""))=""),"SIN CLASIFICAR",IFERROR(INDEX('CAT_ACTIVIDADES'!$D$4:$D$11,MATCH($H530,'CAT_ACTIVIDADES'!$A$4:$A$11,0)),"")))</f>
        <v/>
      </c>
      <c r="AO530" s="4" t="n"/>
      <c r="AP530" s="4" t="n"/>
      <c r="AQ530" s="4" t="n"/>
      <c r="AR530" s="5">
        <f>IF($AQ530="","",HYPERLINK(p_ruta_base_checklists&amp;$AQ530,"abrir"))</f>
        <v/>
      </c>
      <c r="AS530" s="4" t="n"/>
      <c r="AT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2" t="n"/>
      <c r="K531" s="5" t="n"/>
      <c r="L531" s="18" t="n"/>
      <c r="M531" s="5">
        <f>IF($A531="","",IFERROR(INDEX('AJUSTES'!$B$4:$B$303,MATCH($AT531,'AJUSTES'!$A$4:$A$303,0)),IF($K531="","",$K531)))</f>
        <v/>
      </c>
      <c r="N531" s="5">
        <f>IF($A531="","",IFERROR(INDEX('CAT_ESTADOS_ERP'!$B$4:$B$7,MATCH(IFERROR(INDEX('2_IMPORTAR_EJECUCION'!$C$9:$C$1208,MATCH($AT531,'2_IMPORTAR_EJECUCION'!$J$9:$J$1208,0)),""),'CAT_ESTADOS_ERP'!$A$4:$A$7,0)),"Pendiente"))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IF($J531="","",$P531&amp;"-"&amp;TEXT($Q531,"00"))</f>
        <v/>
      </c>
      <c r="S531" s="5">
        <f>IF($J531="","",INDEX(lista_dias,WEEKDAY($J531,2)))</f>
        <v/>
      </c>
      <c r="T531" s="5">
        <f>IF($J531="","",IFERROR(INDEX('CALENDARIO'!$C$15:$C$214,MATCH(TEXT($J531,"yyyy-mm-dd")&amp;"|"&amp;$X531&amp;"|"&amp;$Y531,'CALENDARIO'!$G$15:$G$214,0)),IFERROR(INDEX('CALENDARIO'!$C$15:$C$214,MATCH(TEXT($J531,"yyyy-mm-dd")&amp;"|"&amp;$X531&amp;"|",'CALENDARIO'!$G$15:$G$214,0)),IFERROR(INDEX('CALENDARIO'!$C$15:$C$214,MATCH(TEXT($J531,"yyyy-mm-dd")&amp;"||",'CALENDARIO'!$G$15:$G$214,0)),INDEX(patronHabil,WEEKDAY($J531,2))))))</f>
        <v/>
      </c>
      <c r="U531" s="5">
        <f>IF($I531="","",IFERROR(INDEX('CAT_TIPOS_OT'!$C$4:$C$8,MATCH($I531,'CAT_TIPOS_OT'!$A$4:$A$8,0)),"sin_clasificar"))</f>
        <v/>
      </c>
      <c r="V531" s="5">
        <f>IF($I531="","",IF(IFERROR(INDEX('CAT_TIPOS_OT'!$D$4:$D$8,MATCH($I531,'CAT_TIPOS_OT'!$A$4:$A$8,0)),"SIN CLASIFICAR")="","SIN CLASIFICAR",IFERROR(INDEX('CAT_TIPOS_OT'!$D$4:$D$8,MATCH($I531,'CAT_TIPOS_OT'!$A$4:$A$8,0)),"SIN CLASIFICAR")))</f>
        <v/>
      </c>
      <c r="W531" s="5">
        <f>IF($F531="","",IFERROR(INDEX('CAT_CENTROS_COSTO'!$F$4:$F$13,MATCH($F531,'CAT_CENTROS_COSTO'!$A$4:$A$13,0)),"(sin catálogo)"))</f>
        <v/>
      </c>
      <c r="X531" s="5">
        <f>IF($F531="","",IFERROR(INDEX('CAT_CENTROS_COSTO'!$D$4:$D$13,MATCH($F531,'CAT_CENTROS_COSTO'!$A$4:$A$13,0)),"(sin catálogo)"))</f>
        <v/>
      </c>
      <c r="Y531" s="5">
        <f>IF($F531="","",IF((IFERROR(INDEX('CAT_CENTROS_COSTO'!$E$4:$E$13,MATCH($F531,'CAT_CENTROS_COSTO'!$A$4:$A$13,0)),""))&lt;&gt;"",IFERROR(INDEX('CAT_CENTROS_COSTO'!$E$4:$E$13,MATCH($F531,'CAT_CENTROS_COSTO'!$A$4:$A$13,0)),""),$X531))</f>
        <v/>
      </c>
      <c r="Z531" s="5">
        <f>IF($F531="","",IFERROR(INDEX('CAT_CENTROS_COSTO'!$G$4:$G$13,MATCH($F531,'CAT_CENTROS_COSTO'!$A$4:$A$13,0)),"(sin catálogo)"))</f>
        <v/>
      </c>
      <c r="AA531" s="5">
        <f>IF($G531="","",IFERROR(INDEX('CAT_PUESTOS'!$B$4:$B$8,MATCH($G531,'CAT_PUESTOS'!$A$4:$A$8,0)),"(sin catálogo)"))</f>
        <v/>
      </c>
      <c r="AB531" s="5">
        <f>IF($H531="","",IFERROR(INDEX('CAT_ACTIVIDADES'!$B$4:$B$11,MATCH($H531,'CAT_ACTIVIDADES'!$A$4:$A$11,0)),"(sin catálogo)"))</f>
        <v/>
      </c>
      <c r="AC531" s="20">
        <f>IF($J531="","",TODAY()-$J531)</f>
        <v/>
      </c>
      <c r="AD531" s="20">
        <f>IF($J531="","",IF($J531&lt;=TODAY(),COUNTIFS(cal_fechas,"&gt;="&amp;$J531,cal_fechas,"&lt;"&amp;TODAY(),cal_habil,"sí"),-COUNTIFS(cal_fechas,"&gt;="&amp;TODAY(),cal_fechas,"&lt;"&amp;$J531,cal_habil,"sí")))</f>
        <v/>
      </c>
      <c r="AE531" s="5">
        <f>IF($AD531="","",IF($AD531&lt;0,"FUTURO",IF($AD531&gt;p_dias_backlog_max,"BACKLOG","MES CORRIENTE")))</f>
        <v/>
      </c>
      <c r="AF531" s="5">
        <f>IF($AD531="",FALSE,AND($AD531&gt;p_dias_backlog_min,$AD531&lt;=p_dias_backlog_max))</f>
        <v/>
      </c>
      <c r="AG531" s="4" t="n"/>
      <c r="AH531" s="5">
        <f>IF($AG531="","",IF((IFERROR(INDEX('ASIGNACIONES'!$J$4:$J$451,MATCH($O531&amp;"|"&amp;$S531&amp;"|"&amp;$AG531,'ASIGNACIONES'!$N$4:$N$451,0)),""))=0,"",IFERROR(INDEX('ASIGNACIONES'!$J$4:$J$451,MATCH($O531&amp;"|"&amp;$S531&amp;"|"&amp;$AG531,'ASIGNACIONES'!$N$4:$N$451,0)),"")))</f>
        <v/>
      </c>
      <c r="AI531" s="25">
        <f>IF($AG531="","",SUMIFS('ORDENES'!$M$4:$M$1203,'ORDENES'!$AG$4:$AG$1203,$AG531,'ORDENES'!$O$4:$O$1203,$O531,'ORDENES'!$S$4:$S$1203,$S531))</f>
        <v/>
      </c>
      <c r="AJ531" s="25">
        <f>IF($AI531="","",p_factor_productividad*IFERROR(INDEX('ASIGNACIONES'!$M$4:$M$451,MATCH($O531&amp;"|"&amp;$S531&amp;"|"&amp;$AG531,'ASIGNACIONES'!$N$4:$N$451,0)),0)-$AI531)</f>
        <v/>
      </c>
      <c r="AK531" s="18">
        <f>IF($A531="","",IFERROR(INDEX('2_IMPORTAR_EJECUCION'!$F$9:$F$1208,MATCH($AT531,'2_IMPORTAR_EJECUCION'!$J$9:$J$1208,0)),0))</f>
        <v/>
      </c>
      <c r="AL531" s="18">
        <f>IF($A531="","",MAX(0,IFERROR(INDEX('2_IMPORTAR_EJECUCION'!$H$9:$H$1208,MATCH($AT531,'2_IMPORTAR_EJECUCION'!$J$9:$J$1208,0)),0)-$AK531))</f>
        <v/>
      </c>
      <c r="AM531" s="18">
        <f>IF($A531="","",$AK531+$AL531)</f>
        <v/>
      </c>
      <c r="AN531" s="5">
        <f>IF($A531="","",IF(OR((IFERROR(INDEX('CAT_ACTIVIDADES'!$D$4:$D$11,MATCH($H531,'CAT_ACTIVIDADES'!$A$4:$A$11,0)),""))=0,(IFERROR(INDEX('CAT_ACTIVIDADES'!$D$4:$D$11,MATCH($H531,'CAT_ACTIVIDADES'!$A$4:$A$11,0)),""))=""),"SIN CLASIFICAR",IFERROR(INDEX('CAT_ACTIVIDADES'!$D$4:$D$11,MATCH($H531,'CAT_ACTIVIDADES'!$A$4:$A$11,0)),"")))</f>
        <v/>
      </c>
      <c r="AO531" s="4" t="n"/>
      <c r="AP531" s="4" t="n"/>
      <c r="AQ531" s="4" t="n"/>
      <c r="AR531" s="5">
        <f>IF($AQ531="","",HYPERLINK(p_ruta_base_checklists&amp;$AQ531,"abrir"))</f>
        <v/>
      </c>
      <c r="AS531" s="4" t="n"/>
      <c r="AT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2" t="n"/>
      <c r="K532" s="5" t="n"/>
      <c r="L532" s="18" t="n"/>
      <c r="M532" s="5">
        <f>IF($A532="","",IFERROR(INDEX('AJUSTES'!$B$4:$B$303,MATCH($AT532,'AJUSTES'!$A$4:$A$303,0)),IF($K532="","",$K532)))</f>
        <v/>
      </c>
      <c r="N532" s="5">
        <f>IF($A532="","",IFERROR(INDEX('CAT_ESTADOS_ERP'!$B$4:$B$7,MATCH(IFERROR(INDEX('2_IMPORTAR_EJECUCION'!$C$9:$C$1208,MATCH($AT532,'2_IMPORTAR_EJECUCION'!$J$9:$J$1208,0)),""),'CAT_ESTADOS_ERP'!$A$4:$A$7,0)),"Pendiente"))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IF($J532="","",$P532&amp;"-"&amp;TEXT($Q532,"00"))</f>
        <v/>
      </c>
      <c r="S532" s="5">
        <f>IF($J532="","",INDEX(lista_dias,WEEKDAY($J532,2)))</f>
        <v/>
      </c>
      <c r="T532" s="5">
        <f>IF($J532="","",IFERROR(INDEX('CALENDARIO'!$C$15:$C$214,MATCH(TEXT($J532,"yyyy-mm-dd")&amp;"|"&amp;$X532&amp;"|"&amp;$Y532,'CALENDARIO'!$G$15:$G$214,0)),IFERROR(INDEX('CALENDARIO'!$C$15:$C$214,MATCH(TEXT($J532,"yyyy-mm-dd")&amp;"|"&amp;$X532&amp;"|",'CALENDARIO'!$G$15:$G$214,0)),IFERROR(INDEX('CALENDARIO'!$C$15:$C$214,MATCH(TEXT($J532,"yyyy-mm-dd")&amp;"||",'CALENDARIO'!$G$15:$G$214,0)),INDEX(patronHabil,WEEKDAY($J532,2))))))</f>
        <v/>
      </c>
      <c r="U532" s="5">
        <f>IF($I532="","",IFERROR(INDEX('CAT_TIPOS_OT'!$C$4:$C$8,MATCH($I532,'CAT_TIPOS_OT'!$A$4:$A$8,0)),"sin_clasificar"))</f>
        <v/>
      </c>
      <c r="V532" s="5">
        <f>IF($I532="","",IF(IFERROR(INDEX('CAT_TIPOS_OT'!$D$4:$D$8,MATCH($I532,'CAT_TIPOS_OT'!$A$4:$A$8,0)),"SIN CLASIFICAR")="","SIN CLASIFICAR",IFERROR(INDEX('CAT_TIPOS_OT'!$D$4:$D$8,MATCH($I532,'CAT_TIPOS_OT'!$A$4:$A$8,0)),"SIN CLASIFICAR")))</f>
        <v/>
      </c>
      <c r="W532" s="5">
        <f>IF($F532="","",IFERROR(INDEX('CAT_CENTROS_COSTO'!$F$4:$F$13,MATCH($F532,'CAT_CENTROS_COSTO'!$A$4:$A$13,0)),"(sin catálogo)"))</f>
        <v/>
      </c>
      <c r="X532" s="5">
        <f>IF($F532="","",IFERROR(INDEX('CAT_CENTROS_COSTO'!$D$4:$D$13,MATCH($F532,'CAT_CENTROS_COSTO'!$A$4:$A$13,0)),"(sin catálogo)"))</f>
        <v/>
      </c>
      <c r="Y532" s="5">
        <f>IF($F532="","",IF((IFERROR(INDEX('CAT_CENTROS_COSTO'!$E$4:$E$13,MATCH($F532,'CAT_CENTROS_COSTO'!$A$4:$A$13,0)),""))&lt;&gt;"",IFERROR(INDEX('CAT_CENTROS_COSTO'!$E$4:$E$13,MATCH($F532,'CAT_CENTROS_COSTO'!$A$4:$A$13,0)),""),$X532))</f>
        <v/>
      </c>
      <c r="Z532" s="5">
        <f>IF($F532="","",IFERROR(INDEX('CAT_CENTROS_COSTO'!$G$4:$G$13,MATCH($F532,'CAT_CENTROS_COSTO'!$A$4:$A$13,0)),"(sin catálogo)"))</f>
        <v/>
      </c>
      <c r="AA532" s="5">
        <f>IF($G532="","",IFERROR(INDEX('CAT_PUESTOS'!$B$4:$B$8,MATCH($G532,'CAT_PUESTOS'!$A$4:$A$8,0)),"(sin catálogo)"))</f>
        <v/>
      </c>
      <c r="AB532" s="5">
        <f>IF($H532="","",IFERROR(INDEX('CAT_ACTIVIDADES'!$B$4:$B$11,MATCH($H532,'CAT_ACTIVIDADES'!$A$4:$A$11,0)),"(sin catálogo)"))</f>
        <v/>
      </c>
      <c r="AC532" s="20">
        <f>IF($J532="","",TODAY()-$J532)</f>
        <v/>
      </c>
      <c r="AD532" s="20">
        <f>IF($J532="","",IF($J532&lt;=TODAY(),COUNTIFS(cal_fechas,"&gt;="&amp;$J532,cal_fechas,"&lt;"&amp;TODAY(),cal_habil,"sí"),-COUNTIFS(cal_fechas,"&gt;="&amp;TODAY(),cal_fechas,"&lt;"&amp;$J532,cal_habil,"sí")))</f>
        <v/>
      </c>
      <c r="AE532" s="5">
        <f>IF($AD532="","",IF($AD532&lt;0,"FUTURO",IF($AD532&gt;p_dias_backlog_max,"BACKLOG","MES CORRIENTE")))</f>
        <v/>
      </c>
      <c r="AF532" s="5">
        <f>IF($AD532="",FALSE,AND($AD532&gt;p_dias_backlog_min,$AD532&lt;=p_dias_backlog_max))</f>
        <v/>
      </c>
      <c r="AG532" s="4" t="n"/>
      <c r="AH532" s="5">
        <f>IF($AG532="","",IF((IFERROR(INDEX('ASIGNACIONES'!$J$4:$J$451,MATCH($O532&amp;"|"&amp;$S532&amp;"|"&amp;$AG532,'ASIGNACIONES'!$N$4:$N$451,0)),""))=0,"",IFERROR(INDEX('ASIGNACIONES'!$J$4:$J$451,MATCH($O532&amp;"|"&amp;$S532&amp;"|"&amp;$AG532,'ASIGNACIONES'!$N$4:$N$451,0)),"")))</f>
        <v/>
      </c>
      <c r="AI532" s="25">
        <f>IF($AG532="","",SUMIFS('ORDENES'!$M$4:$M$1203,'ORDENES'!$AG$4:$AG$1203,$AG532,'ORDENES'!$O$4:$O$1203,$O532,'ORDENES'!$S$4:$S$1203,$S532))</f>
        <v/>
      </c>
      <c r="AJ532" s="25">
        <f>IF($AI532="","",p_factor_productividad*IFERROR(INDEX('ASIGNACIONES'!$M$4:$M$451,MATCH($O532&amp;"|"&amp;$S532&amp;"|"&amp;$AG532,'ASIGNACIONES'!$N$4:$N$451,0)),0)-$AI532)</f>
        <v/>
      </c>
      <c r="AK532" s="18">
        <f>IF($A532="","",IFERROR(INDEX('2_IMPORTAR_EJECUCION'!$F$9:$F$1208,MATCH($AT532,'2_IMPORTAR_EJECUCION'!$J$9:$J$1208,0)),0))</f>
        <v/>
      </c>
      <c r="AL532" s="18">
        <f>IF($A532="","",MAX(0,IFERROR(INDEX('2_IMPORTAR_EJECUCION'!$H$9:$H$1208,MATCH($AT532,'2_IMPORTAR_EJECUCION'!$J$9:$J$1208,0)),0)-$AK532))</f>
        <v/>
      </c>
      <c r="AM532" s="18">
        <f>IF($A532="","",$AK532+$AL532)</f>
        <v/>
      </c>
      <c r="AN532" s="5">
        <f>IF($A532="","",IF(OR((IFERROR(INDEX('CAT_ACTIVIDADES'!$D$4:$D$11,MATCH($H532,'CAT_ACTIVIDADES'!$A$4:$A$11,0)),""))=0,(IFERROR(INDEX('CAT_ACTIVIDADES'!$D$4:$D$11,MATCH($H532,'CAT_ACTIVIDADES'!$A$4:$A$11,0)),""))=""),"SIN CLASIFICAR",IFERROR(INDEX('CAT_ACTIVIDADES'!$D$4:$D$11,MATCH($H532,'CAT_ACTIVIDADES'!$A$4:$A$11,0)),"")))</f>
        <v/>
      </c>
      <c r="AO532" s="4" t="n"/>
      <c r="AP532" s="4" t="n"/>
      <c r="AQ532" s="4" t="n"/>
      <c r="AR532" s="5">
        <f>IF($AQ532="","",HYPERLINK(p_ruta_base_checklists&amp;$AQ532,"abrir"))</f>
        <v/>
      </c>
      <c r="AS532" s="4" t="n"/>
      <c r="AT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2" t="n"/>
      <c r="K533" s="5" t="n"/>
      <c r="L533" s="18" t="n"/>
      <c r="M533" s="5">
        <f>IF($A533="","",IFERROR(INDEX('AJUSTES'!$B$4:$B$303,MATCH($AT533,'AJUSTES'!$A$4:$A$303,0)),IF($K533="","",$K533)))</f>
        <v/>
      </c>
      <c r="N533" s="5">
        <f>IF($A533="","",IFERROR(INDEX('CAT_ESTADOS_ERP'!$B$4:$B$7,MATCH(IFERROR(INDEX('2_IMPORTAR_EJECUCION'!$C$9:$C$1208,MATCH($AT533,'2_IMPORTAR_EJECUCION'!$J$9:$J$1208,0)),""),'CAT_ESTADOS_ERP'!$A$4:$A$7,0)),"Pendiente"))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IF($J533="","",$P533&amp;"-"&amp;TEXT($Q533,"00"))</f>
        <v/>
      </c>
      <c r="S533" s="5">
        <f>IF($J533="","",INDEX(lista_dias,WEEKDAY($J533,2)))</f>
        <v/>
      </c>
      <c r="T533" s="5">
        <f>IF($J533="","",IFERROR(INDEX('CALENDARIO'!$C$15:$C$214,MATCH(TEXT($J533,"yyyy-mm-dd")&amp;"|"&amp;$X533&amp;"|"&amp;$Y533,'CALENDARIO'!$G$15:$G$214,0)),IFERROR(INDEX('CALENDARIO'!$C$15:$C$214,MATCH(TEXT($J533,"yyyy-mm-dd")&amp;"|"&amp;$X533&amp;"|",'CALENDARIO'!$G$15:$G$214,0)),IFERROR(INDEX('CALENDARIO'!$C$15:$C$214,MATCH(TEXT($J533,"yyyy-mm-dd")&amp;"||",'CALENDARIO'!$G$15:$G$214,0)),INDEX(patronHabil,WEEKDAY($J533,2))))))</f>
        <v/>
      </c>
      <c r="U533" s="5">
        <f>IF($I533="","",IFERROR(INDEX('CAT_TIPOS_OT'!$C$4:$C$8,MATCH($I533,'CAT_TIPOS_OT'!$A$4:$A$8,0)),"sin_clasificar"))</f>
        <v/>
      </c>
      <c r="V533" s="5">
        <f>IF($I533="","",IF(IFERROR(INDEX('CAT_TIPOS_OT'!$D$4:$D$8,MATCH($I533,'CAT_TIPOS_OT'!$A$4:$A$8,0)),"SIN CLASIFICAR")="","SIN CLASIFICAR",IFERROR(INDEX('CAT_TIPOS_OT'!$D$4:$D$8,MATCH($I533,'CAT_TIPOS_OT'!$A$4:$A$8,0)),"SIN CLASIFICAR")))</f>
        <v/>
      </c>
      <c r="W533" s="5">
        <f>IF($F533="","",IFERROR(INDEX('CAT_CENTROS_COSTO'!$F$4:$F$13,MATCH($F533,'CAT_CENTROS_COSTO'!$A$4:$A$13,0)),"(sin catálogo)"))</f>
        <v/>
      </c>
      <c r="X533" s="5">
        <f>IF($F533="","",IFERROR(INDEX('CAT_CENTROS_COSTO'!$D$4:$D$13,MATCH($F533,'CAT_CENTROS_COSTO'!$A$4:$A$13,0)),"(sin catálogo)"))</f>
        <v/>
      </c>
      <c r="Y533" s="5">
        <f>IF($F533="","",IF((IFERROR(INDEX('CAT_CENTROS_COSTO'!$E$4:$E$13,MATCH($F533,'CAT_CENTROS_COSTO'!$A$4:$A$13,0)),""))&lt;&gt;"",IFERROR(INDEX('CAT_CENTROS_COSTO'!$E$4:$E$13,MATCH($F533,'CAT_CENTROS_COSTO'!$A$4:$A$13,0)),""),$X533))</f>
        <v/>
      </c>
      <c r="Z533" s="5">
        <f>IF($F533="","",IFERROR(INDEX('CAT_CENTROS_COSTO'!$G$4:$G$13,MATCH($F533,'CAT_CENTROS_COSTO'!$A$4:$A$13,0)),"(sin catálogo)"))</f>
        <v/>
      </c>
      <c r="AA533" s="5">
        <f>IF($G533="","",IFERROR(INDEX('CAT_PUESTOS'!$B$4:$B$8,MATCH($G533,'CAT_PUESTOS'!$A$4:$A$8,0)),"(sin catálogo)"))</f>
        <v/>
      </c>
      <c r="AB533" s="5">
        <f>IF($H533="","",IFERROR(INDEX('CAT_ACTIVIDADES'!$B$4:$B$11,MATCH($H533,'CAT_ACTIVIDADES'!$A$4:$A$11,0)),"(sin catálogo)"))</f>
        <v/>
      </c>
      <c r="AC533" s="20">
        <f>IF($J533="","",TODAY()-$J533)</f>
        <v/>
      </c>
      <c r="AD533" s="20">
        <f>IF($J533="","",IF($J533&lt;=TODAY(),COUNTIFS(cal_fechas,"&gt;="&amp;$J533,cal_fechas,"&lt;"&amp;TODAY(),cal_habil,"sí"),-COUNTIFS(cal_fechas,"&gt;="&amp;TODAY(),cal_fechas,"&lt;"&amp;$J533,cal_habil,"sí")))</f>
        <v/>
      </c>
      <c r="AE533" s="5">
        <f>IF($AD533="","",IF($AD533&lt;0,"FUTURO",IF($AD533&gt;p_dias_backlog_max,"BACKLOG","MES CORRIENTE")))</f>
        <v/>
      </c>
      <c r="AF533" s="5">
        <f>IF($AD533="",FALSE,AND($AD533&gt;p_dias_backlog_min,$AD533&lt;=p_dias_backlog_max))</f>
        <v/>
      </c>
      <c r="AG533" s="4" t="n"/>
      <c r="AH533" s="5">
        <f>IF($AG533="","",IF((IFERROR(INDEX('ASIGNACIONES'!$J$4:$J$451,MATCH($O533&amp;"|"&amp;$S533&amp;"|"&amp;$AG533,'ASIGNACIONES'!$N$4:$N$451,0)),""))=0,"",IFERROR(INDEX('ASIGNACIONES'!$J$4:$J$451,MATCH($O533&amp;"|"&amp;$S533&amp;"|"&amp;$AG533,'ASIGNACIONES'!$N$4:$N$451,0)),"")))</f>
        <v/>
      </c>
      <c r="AI533" s="25">
        <f>IF($AG533="","",SUMIFS('ORDENES'!$M$4:$M$1203,'ORDENES'!$AG$4:$AG$1203,$AG533,'ORDENES'!$O$4:$O$1203,$O533,'ORDENES'!$S$4:$S$1203,$S533))</f>
        <v/>
      </c>
      <c r="AJ533" s="25">
        <f>IF($AI533="","",p_factor_productividad*IFERROR(INDEX('ASIGNACIONES'!$M$4:$M$451,MATCH($O533&amp;"|"&amp;$S533&amp;"|"&amp;$AG533,'ASIGNACIONES'!$N$4:$N$451,0)),0)-$AI533)</f>
        <v/>
      </c>
      <c r="AK533" s="18">
        <f>IF($A533="","",IFERROR(INDEX('2_IMPORTAR_EJECUCION'!$F$9:$F$1208,MATCH($AT533,'2_IMPORTAR_EJECUCION'!$J$9:$J$1208,0)),0))</f>
        <v/>
      </c>
      <c r="AL533" s="18">
        <f>IF($A533="","",MAX(0,IFERROR(INDEX('2_IMPORTAR_EJECUCION'!$H$9:$H$1208,MATCH($AT533,'2_IMPORTAR_EJECUCION'!$J$9:$J$1208,0)),0)-$AK533))</f>
        <v/>
      </c>
      <c r="AM533" s="18">
        <f>IF($A533="","",$AK533+$AL533)</f>
        <v/>
      </c>
      <c r="AN533" s="5">
        <f>IF($A533="","",IF(OR((IFERROR(INDEX('CAT_ACTIVIDADES'!$D$4:$D$11,MATCH($H533,'CAT_ACTIVIDADES'!$A$4:$A$11,0)),""))=0,(IFERROR(INDEX('CAT_ACTIVIDADES'!$D$4:$D$11,MATCH($H533,'CAT_ACTIVIDADES'!$A$4:$A$11,0)),""))=""),"SIN CLASIFICAR",IFERROR(INDEX('CAT_ACTIVIDADES'!$D$4:$D$11,MATCH($H533,'CAT_ACTIVIDADES'!$A$4:$A$11,0)),"")))</f>
        <v/>
      </c>
      <c r="AO533" s="4" t="n"/>
      <c r="AP533" s="4" t="n"/>
      <c r="AQ533" s="4" t="n"/>
      <c r="AR533" s="5">
        <f>IF($AQ533="","",HYPERLINK(p_ruta_base_checklists&amp;$AQ533,"abrir"))</f>
        <v/>
      </c>
      <c r="AS533" s="4" t="n"/>
      <c r="AT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2" t="n"/>
      <c r="K534" s="5" t="n"/>
      <c r="L534" s="18" t="n"/>
      <c r="M534" s="5">
        <f>IF($A534="","",IFERROR(INDEX('AJUSTES'!$B$4:$B$303,MATCH($AT534,'AJUSTES'!$A$4:$A$303,0)),IF($K534="","",$K534)))</f>
        <v/>
      </c>
      <c r="N534" s="5">
        <f>IF($A534="","",IFERROR(INDEX('CAT_ESTADOS_ERP'!$B$4:$B$7,MATCH(IFERROR(INDEX('2_IMPORTAR_EJECUCION'!$C$9:$C$1208,MATCH($AT534,'2_IMPORTAR_EJECUCION'!$J$9:$J$1208,0)),""),'CAT_ESTADOS_ERP'!$A$4:$A$7,0)),"Pendiente"))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IF($J534="","",$P534&amp;"-"&amp;TEXT($Q534,"00"))</f>
        <v/>
      </c>
      <c r="S534" s="5">
        <f>IF($J534="","",INDEX(lista_dias,WEEKDAY($J534,2)))</f>
        <v/>
      </c>
      <c r="T534" s="5">
        <f>IF($J534="","",IFERROR(INDEX('CALENDARIO'!$C$15:$C$214,MATCH(TEXT($J534,"yyyy-mm-dd")&amp;"|"&amp;$X534&amp;"|"&amp;$Y534,'CALENDARIO'!$G$15:$G$214,0)),IFERROR(INDEX('CALENDARIO'!$C$15:$C$214,MATCH(TEXT($J534,"yyyy-mm-dd")&amp;"|"&amp;$X534&amp;"|",'CALENDARIO'!$G$15:$G$214,0)),IFERROR(INDEX('CALENDARIO'!$C$15:$C$214,MATCH(TEXT($J534,"yyyy-mm-dd")&amp;"||",'CALENDARIO'!$G$15:$G$214,0)),INDEX(patronHabil,WEEKDAY($J534,2))))))</f>
        <v/>
      </c>
      <c r="U534" s="5">
        <f>IF($I534="","",IFERROR(INDEX('CAT_TIPOS_OT'!$C$4:$C$8,MATCH($I534,'CAT_TIPOS_OT'!$A$4:$A$8,0)),"sin_clasificar"))</f>
        <v/>
      </c>
      <c r="V534" s="5">
        <f>IF($I534="","",IF(IFERROR(INDEX('CAT_TIPOS_OT'!$D$4:$D$8,MATCH($I534,'CAT_TIPOS_OT'!$A$4:$A$8,0)),"SIN CLASIFICAR")="","SIN CLASIFICAR",IFERROR(INDEX('CAT_TIPOS_OT'!$D$4:$D$8,MATCH($I534,'CAT_TIPOS_OT'!$A$4:$A$8,0)),"SIN CLASIFICAR")))</f>
        <v/>
      </c>
      <c r="W534" s="5">
        <f>IF($F534="","",IFERROR(INDEX('CAT_CENTROS_COSTO'!$F$4:$F$13,MATCH($F534,'CAT_CENTROS_COSTO'!$A$4:$A$13,0)),"(sin catálogo)"))</f>
        <v/>
      </c>
      <c r="X534" s="5">
        <f>IF($F534="","",IFERROR(INDEX('CAT_CENTROS_COSTO'!$D$4:$D$13,MATCH($F534,'CAT_CENTROS_COSTO'!$A$4:$A$13,0)),"(sin catálogo)"))</f>
        <v/>
      </c>
      <c r="Y534" s="5">
        <f>IF($F534="","",IF((IFERROR(INDEX('CAT_CENTROS_COSTO'!$E$4:$E$13,MATCH($F534,'CAT_CENTROS_COSTO'!$A$4:$A$13,0)),""))&lt;&gt;"",IFERROR(INDEX('CAT_CENTROS_COSTO'!$E$4:$E$13,MATCH($F534,'CAT_CENTROS_COSTO'!$A$4:$A$13,0)),""),$X534))</f>
        <v/>
      </c>
      <c r="Z534" s="5">
        <f>IF($F534="","",IFERROR(INDEX('CAT_CENTROS_COSTO'!$G$4:$G$13,MATCH($F534,'CAT_CENTROS_COSTO'!$A$4:$A$13,0)),"(sin catálogo)"))</f>
        <v/>
      </c>
      <c r="AA534" s="5">
        <f>IF($G534="","",IFERROR(INDEX('CAT_PUESTOS'!$B$4:$B$8,MATCH($G534,'CAT_PUESTOS'!$A$4:$A$8,0)),"(sin catálogo)"))</f>
        <v/>
      </c>
      <c r="AB534" s="5">
        <f>IF($H534="","",IFERROR(INDEX('CAT_ACTIVIDADES'!$B$4:$B$11,MATCH($H534,'CAT_ACTIVIDADES'!$A$4:$A$11,0)),"(sin catálogo)"))</f>
        <v/>
      </c>
      <c r="AC534" s="20">
        <f>IF($J534="","",TODAY()-$J534)</f>
        <v/>
      </c>
      <c r="AD534" s="20">
        <f>IF($J534="","",IF($J534&lt;=TODAY(),COUNTIFS(cal_fechas,"&gt;="&amp;$J534,cal_fechas,"&lt;"&amp;TODAY(),cal_habil,"sí"),-COUNTIFS(cal_fechas,"&gt;="&amp;TODAY(),cal_fechas,"&lt;"&amp;$J534,cal_habil,"sí")))</f>
        <v/>
      </c>
      <c r="AE534" s="5">
        <f>IF($AD534="","",IF($AD534&lt;0,"FUTURO",IF($AD534&gt;p_dias_backlog_max,"BACKLOG","MES CORRIENTE")))</f>
        <v/>
      </c>
      <c r="AF534" s="5">
        <f>IF($AD534="",FALSE,AND($AD534&gt;p_dias_backlog_min,$AD534&lt;=p_dias_backlog_max))</f>
        <v/>
      </c>
      <c r="AG534" s="4" t="n"/>
      <c r="AH534" s="5">
        <f>IF($AG534="","",IF((IFERROR(INDEX('ASIGNACIONES'!$J$4:$J$451,MATCH($O534&amp;"|"&amp;$S534&amp;"|"&amp;$AG534,'ASIGNACIONES'!$N$4:$N$451,0)),""))=0,"",IFERROR(INDEX('ASIGNACIONES'!$J$4:$J$451,MATCH($O534&amp;"|"&amp;$S534&amp;"|"&amp;$AG534,'ASIGNACIONES'!$N$4:$N$451,0)),"")))</f>
        <v/>
      </c>
      <c r="AI534" s="25">
        <f>IF($AG534="","",SUMIFS('ORDENES'!$M$4:$M$1203,'ORDENES'!$AG$4:$AG$1203,$AG534,'ORDENES'!$O$4:$O$1203,$O534,'ORDENES'!$S$4:$S$1203,$S534))</f>
        <v/>
      </c>
      <c r="AJ534" s="25">
        <f>IF($AI534="","",p_factor_productividad*IFERROR(INDEX('ASIGNACIONES'!$M$4:$M$451,MATCH($O534&amp;"|"&amp;$S534&amp;"|"&amp;$AG534,'ASIGNACIONES'!$N$4:$N$451,0)),0)-$AI534)</f>
        <v/>
      </c>
      <c r="AK534" s="18">
        <f>IF($A534="","",IFERROR(INDEX('2_IMPORTAR_EJECUCION'!$F$9:$F$1208,MATCH($AT534,'2_IMPORTAR_EJECUCION'!$J$9:$J$1208,0)),0))</f>
        <v/>
      </c>
      <c r="AL534" s="18">
        <f>IF($A534="","",MAX(0,IFERROR(INDEX('2_IMPORTAR_EJECUCION'!$H$9:$H$1208,MATCH($AT534,'2_IMPORTAR_EJECUCION'!$J$9:$J$1208,0)),0)-$AK534))</f>
        <v/>
      </c>
      <c r="AM534" s="18">
        <f>IF($A534="","",$AK534+$AL534)</f>
        <v/>
      </c>
      <c r="AN534" s="5">
        <f>IF($A534="","",IF(OR((IFERROR(INDEX('CAT_ACTIVIDADES'!$D$4:$D$11,MATCH($H534,'CAT_ACTIVIDADES'!$A$4:$A$11,0)),""))=0,(IFERROR(INDEX('CAT_ACTIVIDADES'!$D$4:$D$11,MATCH($H534,'CAT_ACTIVIDADES'!$A$4:$A$11,0)),""))=""),"SIN CLASIFICAR",IFERROR(INDEX('CAT_ACTIVIDADES'!$D$4:$D$11,MATCH($H534,'CAT_ACTIVIDADES'!$A$4:$A$11,0)),"")))</f>
        <v/>
      </c>
      <c r="AO534" s="4" t="n"/>
      <c r="AP534" s="4" t="n"/>
      <c r="AQ534" s="4" t="n"/>
      <c r="AR534" s="5">
        <f>IF($AQ534="","",HYPERLINK(p_ruta_base_checklists&amp;$AQ534,"abrir"))</f>
        <v/>
      </c>
      <c r="AS534" s="4" t="n"/>
      <c r="AT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2" t="n"/>
      <c r="K535" s="5" t="n"/>
      <c r="L535" s="18" t="n"/>
      <c r="M535" s="5">
        <f>IF($A535="","",IFERROR(INDEX('AJUSTES'!$B$4:$B$303,MATCH($AT535,'AJUSTES'!$A$4:$A$303,0)),IF($K535="","",$K535)))</f>
        <v/>
      </c>
      <c r="N535" s="5">
        <f>IF($A535="","",IFERROR(INDEX('CAT_ESTADOS_ERP'!$B$4:$B$7,MATCH(IFERROR(INDEX('2_IMPORTAR_EJECUCION'!$C$9:$C$1208,MATCH($AT535,'2_IMPORTAR_EJECUCION'!$J$9:$J$1208,0)),""),'CAT_ESTADOS_ERP'!$A$4:$A$7,0)),"Pendiente"))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IF($J535="","",$P535&amp;"-"&amp;TEXT($Q535,"00"))</f>
        <v/>
      </c>
      <c r="S535" s="5">
        <f>IF($J535="","",INDEX(lista_dias,WEEKDAY($J535,2)))</f>
        <v/>
      </c>
      <c r="T535" s="5">
        <f>IF($J535="","",IFERROR(INDEX('CALENDARIO'!$C$15:$C$214,MATCH(TEXT($J535,"yyyy-mm-dd")&amp;"|"&amp;$X535&amp;"|"&amp;$Y535,'CALENDARIO'!$G$15:$G$214,0)),IFERROR(INDEX('CALENDARIO'!$C$15:$C$214,MATCH(TEXT($J535,"yyyy-mm-dd")&amp;"|"&amp;$X535&amp;"|",'CALENDARIO'!$G$15:$G$214,0)),IFERROR(INDEX('CALENDARIO'!$C$15:$C$214,MATCH(TEXT($J535,"yyyy-mm-dd")&amp;"||",'CALENDARIO'!$G$15:$G$214,0)),INDEX(patronHabil,WEEKDAY($J535,2))))))</f>
        <v/>
      </c>
      <c r="U535" s="5">
        <f>IF($I535="","",IFERROR(INDEX('CAT_TIPOS_OT'!$C$4:$C$8,MATCH($I535,'CAT_TIPOS_OT'!$A$4:$A$8,0)),"sin_clasificar"))</f>
        <v/>
      </c>
      <c r="V535" s="5">
        <f>IF($I535="","",IF(IFERROR(INDEX('CAT_TIPOS_OT'!$D$4:$D$8,MATCH($I535,'CAT_TIPOS_OT'!$A$4:$A$8,0)),"SIN CLASIFICAR")="","SIN CLASIFICAR",IFERROR(INDEX('CAT_TIPOS_OT'!$D$4:$D$8,MATCH($I535,'CAT_TIPOS_OT'!$A$4:$A$8,0)),"SIN CLASIFICAR")))</f>
        <v/>
      </c>
      <c r="W535" s="5">
        <f>IF($F535="","",IFERROR(INDEX('CAT_CENTROS_COSTO'!$F$4:$F$13,MATCH($F535,'CAT_CENTROS_COSTO'!$A$4:$A$13,0)),"(sin catálogo)"))</f>
        <v/>
      </c>
      <c r="X535" s="5">
        <f>IF($F535="","",IFERROR(INDEX('CAT_CENTROS_COSTO'!$D$4:$D$13,MATCH($F535,'CAT_CENTROS_COSTO'!$A$4:$A$13,0)),"(sin catálogo)"))</f>
        <v/>
      </c>
      <c r="Y535" s="5">
        <f>IF($F535="","",IF((IFERROR(INDEX('CAT_CENTROS_COSTO'!$E$4:$E$13,MATCH($F535,'CAT_CENTROS_COSTO'!$A$4:$A$13,0)),""))&lt;&gt;"",IFERROR(INDEX('CAT_CENTROS_COSTO'!$E$4:$E$13,MATCH($F535,'CAT_CENTROS_COSTO'!$A$4:$A$13,0)),""),$X535))</f>
        <v/>
      </c>
      <c r="Z535" s="5">
        <f>IF($F535="","",IFERROR(INDEX('CAT_CENTROS_COSTO'!$G$4:$G$13,MATCH($F535,'CAT_CENTROS_COSTO'!$A$4:$A$13,0)),"(sin catálogo)"))</f>
        <v/>
      </c>
      <c r="AA535" s="5">
        <f>IF($G535="","",IFERROR(INDEX('CAT_PUESTOS'!$B$4:$B$8,MATCH($G535,'CAT_PUESTOS'!$A$4:$A$8,0)),"(sin catálogo)"))</f>
        <v/>
      </c>
      <c r="AB535" s="5">
        <f>IF($H535="","",IFERROR(INDEX('CAT_ACTIVIDADES'!$B$4:$B$11,MATCH($H535,'CAT_ACTIVIDADES'!$A$4:$A$11,0)),"(sin catálogo)"))</f>
        <v/>
      </c>
      <c r="AC535" s="20">
        <f>IF($J535="","",TODAY()-$J535)</f>
        <v/>
      </c>
      <c r="AD535" s="20">
        <f>IF($J535="","",IF($J535&lt;=TODAY(),COUNTIFS(cal_fechas,"&gt;="&amp;$J535,cal_fechas,"&lt;"&amp;TODAY(),cal_habil,"sí"),-COUNTIFS(cal_fechas,"&gt;="&amp;TODAY(),cal_fechas,"&lt;"&amp;$J535,cal_habil,"sí")))</f>
        <v/>
      </c>
      <c r="AE535" s="5">
        <f>IF($AD535="","",IF($AD535&lt;0,"FUTURO",IF($AD535&gt;p_dias_backlog_max,"BACKLOG","MES CORRIENTE")))</f>
        <v/>
      </c>
      <c r="AF535" s="5">
        <f>IF($AD535="",FALSE,AND($AD535&gt;p_dias_backlog_min,$AD535&lt;=p_dias_backlog_max))</f>
        <v/>
      </c>
      <c r="AG535" s="4" t="n"/>
      <c r="AH535" s="5">
        <f>IF($AG535="","",IF((IFERROR(INDEX('ASIGNACIONES'!$J$4:$J$451,MATCH($O535&amp;"|"&amp;$S535&amp;"|"&amp;$AG535,'ASIGNACIONES'!$N$4:$N$451,0)),""))=0,"",IFERROR(INDEX('ASIGNACIONES'!$J$4:$J$451,MATCH($O535&amp;"|"&amp;$S535&amp;"|"&amp;$AG535,'ASIGNACIONES'!$N$4:$N$451,0)),"")))</f>
        <v/>
      </c>
      <c r="AI535" s="25">
        <f>IF($AG535="","",SUMIFS('ORDENES'!$M$4:$M$1203,'ORDENES'!$AG$4:$AG$1203,$AG535,'ORDENES'!$O$4:$O$1203,$O535,'ORDENES'!$S$4:$S$1203,$S535))</f>
        <v/>
      </c>
      <c r="AJ535" s="25">
        <f>IF($AI535="","",p_factor_productividad*IFERROR(INDEX('ASIGNACIONES'!$M$4:$M$451,MATCH($O535&amp;"|"&amp;$S535&amp;"|"&amp;$AG535,'ASIGNACIONES'!$N$4:$N$451,0)),0)-$AI535)</f>
        <v/>
      </c>
      <c r="AK535" s="18">
        <f>IF($A535="","",IFERROR(INDEX('2_IMPORTAR_EJECUCION'!$F$9:$F$1208,MATCH($AT535,'2_IMPORTAR_EJECUCION'!$J$9:$J$1208,0)),0))</f>
        <v/>
      </c>
      <c r="AL535" s="18">
        <f>IF($A535="","",MAX(0,IFERROR(INDEX('2_IMPORTAR_EJECUCION'!$H$9:$H$1208,MATCH($AT535,'2_IMPORTAR_EJECUCION'!$J$9:$J$1208,0)),0)-$AK535))</f>
        <v/>
      </c>
      <c r="AM535" s="18">
        <f>IF($A535="","",$AK535+$AL535)</f>
        <v/>
      </c>
      <c r="AN535" s="5">
        <f>IF($A535="","",IF(OR((IFERROR(INDEX('CAT_ACTIVIDADES'!$D$4:$D$11,MATCH($H535,'CAT_ACTIVIDADES'!$A$4:$A$11,0)),""))=0,(IFERROR(INDEX('CAT_ACTIVIDADES'!$D$4:$D$11,MATCH($H535,'CAT_ACTIVIDADES'!$A$4:$A$11,0)),""))=""),"SIN CLASIFICAR",IFERROR(INDEX('CAT_ACTIVIDADES'!$D$4:$D$11,MATCH($H535,'CAT_ACTIVIDADES'!$A$4:$A$11,0)),"")))</f>
        <v/>
      </c>
      <c r="AO535" s="4" t="n"/>
      <c r="AP535" s="4" t="n"/>
      <c r="AQ535" s="4" t="n"/>
      <c r="AR535" s="5">
        <f>IF($AQ535="","",HYPERLINK(p_ruta_base_checklists&amp;$AQ535,"abrir"))</f>
        <v/>
      </c>
      <c r="AS535" s="4" t="n"/>
      <c r="AT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2" t="n"/>
      <c r="K536" s="5" t="n"/>
      <c r="L536" s="18" t="n"/>
      <c r="M536" s="5">
        <f>IF($A536="","",IFERROR(INDEX('AJUSTES'!$B$4:$B$303,MATCH($AT536,'AJUSTES'!$A$4:$A$303,0)),IF($K536="","",$K536)))</f>
        <v/>
      </c>
      <c r="N536" s="5">
        <f>IF($A536="","",IFERROR(INDEX('CAT_ESTADOS_ERP'!$B$4:$B$7,MATCH(IFERROR(INDEX('2_IMPORTAR_EJECUCION'!$C$9:$C$1208,MATCH($AT536,'2_IMPORTAR_EJECUCION'!$J$9:$J$1208,0)),""),'CAT_ESTADOS_ERP'!$A$4:$A$7,0)),"Pendiente"))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IF($J536="","",$P536&amp;"-"&amp;TEXT($Q536,"00"))</f>
        <v/>
      </c>
      <c r="S536" s="5">
        <f>IF($J536="","",INDEX(lista_dias,WEEKDAY($J536,2)))</f>
        <v/>
      </c>
      <c r="T536" s="5">
        <f>IF($J536="","",IFERROR(INDEX('CALENDARIO'!$C$15:$C$214,MATCH(TEXT($J536,"yyyy-mm-dd")&amp;"|"&amp;$X536&amp;"|"&amp;$Y536,'CALENDARIO'!$G$15:$G$214,0)),IFERROR(INDEX('CALENDARIO'!$C$15:$C$214,MATCH(TEXT($J536,"yyyy-mm-dd")&amp;"|"&amp;$X536&amp;"|",'CALENDARIO'!$G$15:$G$214,0)),IFERROR(INDEX('CALENDARIO'!$C$15:$C$214,MATCH(TEXT($J536,"yyyy-mm-dd")&amp;"||",'CALENDARIO'!$G$15:$G$214,0)),INDEX(patronHabil,WEEKDAY($J536,2))))))</f>
        <v/>
      </c>
      <c r="U536" s="5">
        <f>IF($I536="","",IFERROR(INDEX('CAT_TIPOS_OT'!$C$4:$C$8,MATCH($I536,'CAT_TIPOS_OT'!$A$4:$A$8,0)),"sin_clasificar"))</f>
        <v/>
      </c>
      <c r="V536" s="5">
        <f>IF($I536="","",IF(IFERROR(INDEX('CAT_TIPOS_OT'!$D$4:$D$8,MATCH($I536,'CAT_TIPOS_OT'!$A$4:$A$8,0)),"SIN CLASIFICAR")="","SIN CLASIFICAR",IFERROR(INDEX('CAT_TIPOS_OT'!$D$4:$D$8,MATCH($I536,'CAT_TIPOS_OT'!$A$4:$A$8,0)),"SIN CLASIFICAR")))</f>
        <v/>
      </c>
      <c r="W536" s="5">
        <f>IF($F536="","",IFERROR(INDEX('CAT_CENTROS_COSTO'!$F$4:$F$13,MATCH($F536,'CAT_CENTROS_COSTO'!$A$4:$A$13,0)),"(sin catálogo)"))</f>
        <v/>
      </c>
      <c r="X536" s="5">
        <f>IF($F536="","",IFERROR(INDEX('CAT_CENTROS_COSTO'!$D$4:$D$13,MATCH($F536,'CAT_CENTROS_COSTO'!$A$4:$A$13,0)),"(sin catálogo)"))</f>
        <v/>
      </c>
      <c r="Y536" s="5">
        <f>IF($F536="","",IF((IFERROR(INDEX('CAT_CENTROS_COSTO'!$E$4:$E$13,MATCH($F536,'CAT_CENTROS_COSTO'!$A$4:$A$13,0)),""))&lt;&gt;"",IFERROR(INDEX('CAT_CENTROS_COSTO'!$E$4:$E$13,MATCH($F536,'CAT_CENTROS_COSTO'!$A$4:$A$13,0)),""),$X536))</f>
        <v/>
      </c>
      <c r="Z536" s="5">
        <f>IF($F536="","",IFERROR(INDEX('CAT_CENTROS_COSTO'!$G$4:$G$13,MATCH($F536,'CAT_CENTROS_COSTO'!$A$4:$A$13,0)),"(sin catálogo)"))</f>
        <v/>
      </c>
      <c r="AA536" s="5">
        <f>IF($G536="","",IFERROR(INDEX('CAT_PUESTOS'!$B$4:$B$8,MATCH($G536,'CAT_PUESTOS'!$A$4:$A$8,0)),"(sin catálogo)"))</f>
        <v/>
      </c>
      <c r="AB536" s="5">
        <f>IF($H536="","",IFERROR(INDEX('CAT_ACTIVIDADES'!$B$4:$B$11,MATCH($H536,'CAT_ACTIVIDADES'!$A$4:$A$11,0)),"(sin catálogo)"))</f>
        <v/>
      </c>
      <c r="AC536" s="20">
        <f>IF($J536="","",TODAY()-$J536)</f>
        <v/>
      </c>
      <c r="AD536" s="20">
        <f>IF($J536="","",IF($J536&lt;=TODAY(),COUNTIFS(cal_fechas,"&gt;="&amp;$J536,cal_fechas,"&lt;"&amp;TODAY(),cal_habil,"sí"),-COUNTIFS(cal_fechas,"&gt;="&amp;TODAY(),cal_fechas,"&lt;"&amp;$J536,cal_habil,"sí")))</f>
        <v/>
      </c>
      <c r="AE536" s="5">
        <f>IF($AD536="","",IF($AD536&lt;0,"FUTURO",IF($AD536&gt;p_dias_backlog_max,"BACKLOG","MES CORRIENTE")))</f>
        <v/>
      </c>
      <c r="AF536" s="5">
        <f>IF($AD536="",FALSE,AND($AD536&gt;p_dias_backlog_min,$AD536&lt;=p_dias_backlog_max))</f>
        <v/>
      </c>
      <c r="AG536" s="4" t="n"/>
      <c r="AH536" s="5">
        <f>IF($AG536="","",IF((IFERROR(INDEX('ASIGNACIONES'!$J$4:$J$451,MATCH($O536&amp;"|"&amp;$S536&amp;"|"&amp;$AG536,'ASIGNACIONES'!$N$4:$N$451,0)),""))=0,"",IFERROR(INDEX('ASIGNACIONES'!$J$4:$J$451,MATCH($O536&amp;"|"&amp;$S536&amp;"|"&amp;$AG536,'ASIGNACIONES'!$N$4:$N$451,0)),"")))</f>
        <v/>
      </c>
      <c r="AI536" s="25">
        <f>IF($AG536="","",SUMIFS('ORDENES'!$M$4:$M$1203,'ORDENES'!$AG$4:$AG$1203,$AG536,'ORDENES'!$O$4:$O$1203,$O536,'ORDENES'!$S$4:$S$1203,$S536))</f>
        <v/>
      </c>
      <c r="AJ536" s="25">
        <f>IF($AI536="","",p_factor_productividad*IFERROR(INDEX('ASIGNACIONES'!$M$4:$M$451,MATCH($O536&amp;"|"&amp;$S536&amp;"|"&amp;$AG536,'ASIGNACIONES'!$N$4:$N$451,0)),0)-$AI536)</f>
        <v/>
      </c>
      <c r="AK536" s="18">
        <f>IF($A536="","",IFERROR(INDEX('2_IMPORTAR_EJECUCION'!$F$9:$F$1208,MATCH($AT536,'2_IMPORTAR_EJECUCION'!$J$9:$J$1208,0)),0))</f>
        <v/>
      </c>
      <c r="AL536" s="18">
        <f>IF($A536="","",MAX(0,IFERROR(INDEX('2_IMPORTAR_EJECUCION'!$H$9:$H$1208,MATCH($AT536,'2_IMPORTAR_EJECUCION'!$J$9:$J$1208,0)),0)-$AK536))</f>
        <v/>
      </c>
      <c r="AM536" s="18">
        <f>IF($A536="","",$AK536+$AL536)</f>
        <v/>
      </c>
      <c r="AN536" s="5">
        <f>IF($A536="","",IF(OR((IFERROR(INDEX('CAT_ACTIVIDADES'!$D$4:$D$11,MATCH($H536,'CAT_ACTIVIDADES'!$A$4:$A$11,0)),""))=0,(IFERROR(INDEX('CAT_ACTIVIDADES'!$D$4:$D$11,MATCH($H536,'CAT_ACTIVIDADES'!$A$4:$A$11,0)),""))=""),"SIN CLASIFICAR",IFERROR(INDEX('CAT_ACTIVIDADES'!$D$4:$D$11,MATCH($H536,'CAT_ACTIVIDADES'!$A$4:$A$11,0)),"")))</f>
        <v/>
      </c>
      <c r="AO536" s="4" t="n"/>
      <c r="AP536" s="4" t="n"/>
      <c r="AQ536" s="4" t="n"/>
      <c r="AR536" s="5">
        <f>IF($AQ536="","",HYPERLINK(p_ruta_base_checklists&amp;$AQ536,"abrir"))</f>
        <v/>
      </c>
      <c r="AS536" s="4" t="n"/>
      <c r="AT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2" t="n"/>
      <c r="K537" s="5" t="n"/>
      <c r="L537" s="18" t="n"/>
      <c r="M537" s="5">
        <f>IF($A537="","",IFERROR(INDEX('AJUSTES'!$B$4:$B$303,MATCH($AT537,'AJUSTES'!$A$4:$A$303,0)),IF($K537="","",$K537)))</f>
        <v/>
      </c>
      <c r="N537" s="5">
        <f>IF($A537="","",IFERROR(INDEX('CAT_ESTADOS_ERP'!$B$4:$B$7,MATCH(IFERROR(INDEX('2_IMPORTAR_EJECUCION'!$C$9:$C$1208,MATCH($AT537,'2_IMPORTAR_EJECUCION'!$J$9:$J$1208,0)),""),'CAT_ESTADOS_ERP'!$A$4:$A$7,0)),"Pendiente"))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IF($J537="","",$P537&amp;"-"&amp;TEXT($Q537,"00"))</f>
        <v/>
      </c>
      <c r="S537" s="5">
        <f>IF($J537="","",INDEX(lista_dias,WEEKDAY($J537,2)))</f>
        <v/>
      </c>
      <c r="T537" s="5">
        <f>IF($J537="","",IFERROR(INDEX('CALENDARIO'!$C$15:$C$214,MATCH(TEXT($J537,"yyyy-mm-dd")&amp;"|"&amp;$X537&amp;"|"&amp;$Y537,'CALENDARIO'!$G$15:$G$214,0)),IFERROR(INDEX('CALENDARIO'!$C$15:$C$214,MATCH(TEXT($J537,"yyyy-mm-dd")&amp;"|"&amp;$X537&amp;"|",'CALENDARIO'!$G$15:$G$214,0)),IFERROR(INDEX('CALENDARIO'!$C$15:$C$214,MATCH(TEXT($J537,"yyyy-mm-dd")&amp;"||",'CALENDARIO'!$G$15:$G$214,0)),INDEX(patronHabil,WEEKDAY($J537,2))))))</f>
        <v/>
      </c>
      <c r="U537" s="5">
        <f>IF($I537="","",IFERROR(INDEX('CAT_TIPOS_OT'!$C$4:$C$8,MATCH($I537,'CAT_TIPOS_OT'!$A$4:$A$8,0)),"sin_clasificar"))</f>
        <v/>
      </c>
      <c r="V537" s="5">
        <f>IF($I537="","",IF(IFERROR(INDEX('CAT_TIPOS_OT'!$D$4:$D$8,MATCH($I537,'CAT_TIPOS_OT'!$A$4:$A$8,0)),"SIN CLASIFICAR")="","SIN CLASIFICAR",IFERROR(INDEX('CAT_TIPOS_OT'!$D$4:$D$8,MATCH($I537,'CAT_TIPOS_OT'!$A$4:$A$8,0)),"SIN CLASIFICAR")))</f>
        <v/>
      </c>
      <c r="W537" s="5">
        <f>IF($F537="","",IFERROR(INDEX('CAT_CENTROS_COSTO'!$F$4:$F$13,MATCH($F537,'CAT_CENTROS_COSTO'!$A$4:$A$13,0)),"(sin catálogo)"))</f>
        <v/>
      </c>
      <c r="X537" s="5">
        <f>IF($F537="","",IFERROR(INDEX('CAT_CENTROS_COSTO'!$D$4:$D$13,MATCH($F537,'CAT_CENTROS_COSTO'!$A$4:$A$13,0)),"(sin catálogo)"))</f>
        <v/>
      </c>
      <c r="Y537" s="5">
        <f>IF($F537="","",IF((IFERROR(INDEX('CAT_CENTROS_COSTO'!$E$4:$E$13,MATCH($F537,'CAT_CENTROS_COSTO'!$A$4:$A$13,0)),""))&lt;&gt;"",IFERROR(INDEX('CAT_CENTROS_COSTO'!$E$4:$E$13,MATCH($F537,'CAT_CENTROS_COSTO'!$A$4:$A$13,0)),""),$X537))</f>
        <v/>
      </c>
      <c r="Z537" s="5">
        <f>IF($F537="","",IFERROR(INDEX('CAT_CENTROS_COSTO'!$G$4:$G$13,MATCH($F537,'CAT_CENTROS_COSTO'!$A$4:$A$13,0)),"(sin catálogo)"))</f>
        <v/>
      </c>
      <c r="AA537" s="5">
        <f>IF($G537="","",IFERROR(INDEX('CAT_PUESTOS'!$B$4:$B$8,MATCH($G537,'CAT_PUESTOS'!$A$4:$A$8,0)),"(sin catálogo)"))</f>
        <v/>
      </c>
      <c r="AB537" s="5">
        <f>IF($H537="","",IFERROR(INDEX('CAT_ACTIVIDADES'!$B$4:$B$11,MATCH($H537,'CAT_ACTIVIDADES'!$A$4:$A$11,0)),"(sin catálogo)"))</f>
        <v/>
      </c>
      <c r="AC537" s="20">
        <f>IF($J537="","",TODAY()-$J537)</f>
        <v/>
      </c>
      <c r="AD537" s="20">
        <f>IF($J537="","",IF($J537&lt;=TODAY(),COUNTIFS(cal_fechas,"&gt;="&amp;$J537,cal_fechas,"&lt;"&amp;TODAY(),cal_habil,"sí"),-COUNTIFS(cal_fechas,"&gt;="&amp;TODAY(),cal_fechas,"&lt;"&amp;$J537,cal_habil,"sí")))</f>
        <v/>
      </c>
      <c r="AE537" s="5">
        <f>IF($AD537="","",IF($AD537&lt;0,"FUTURO",IF($AD537&gt;p_dias_backlog_max,"BACKLOG","MES CORRIENTE")))</f>
        <v/>
      </c>
      <c r="AF537" s="5">
        <f>IF($AD537="",FALSE,AND($AD537&gt;p_dias_backlog_min,$AD537&lt;=p_dias_backlog_max))</f>
        <v/>
      </c>
      <c r="AG537" s="4" t="n"/>
      <c r="AH537" s="5">
        <f>IF($AG537="","",IF((IFERROR(INDEX('ASIGNACIONES'!$J$4:$J$451,MATCH($O537&amp;"|"&amp;$S537&amp;"|"&amp;$AG537,'ASIGNACIONES'!$N$4:$N$451,0)),""))=0,"",IFERROR(INDEX('ASIGNACIONES'!$J$4:$J$451,MATCH($O537&amp;"|"&amp;$S537&amp;"|"&amp;$AG537,'ASIGNACIONES'!$N$4:$N$451,0)),"")))</f>
        <v/>
      </c>
      <c r="AI537" s="25">
        <f>IF($AG537="","",SUMIFS('ORDENES'!$M$4:$M$1203,'ORDENES'!$AG$4:$AG$1203,$AG537,'ORDENES'!$O$4:$O$1203,$O537,'ORDENES'!$S$4:$S$1203,$S537))</f>
        <v/>
      </c>
      <c r="AJ537" s="25">
        <f>IF($AI537="","",p_factor_productividad*IFERROR(INDEX('ASIGNACIONES'!$M$4:$M$451,MATCH($O537&amp;"|"&amp;$S537&amp;"|"&amp;$AG537,'ASIGNACIONES'!$N$4:$N$451,0)),0)-$AI537)</f>
        <v/>
      </c>
      <c r="AK537" s="18">
        <f>IF($A537="","",IFERROR(INDEX('2_IMPORTAR_EJECUCION'!$F$9:$F$1208,MATCH($AT537,'2_IMPORTAR_EJECUCION'!$J$9:$J$1208,0)),0))</f>
        <v/>
      </c>
      <c r="AL537" s="18">
        <f>IF($A537="","",MAX(0,IFERROR(INDEX('2_IMPORTAR_EJECUCION'!$H$9:$H$1208,MATCH($AT537,'2_IMPORTAR_EJECUCION'!$J$9:$J$1208,0)),0)-$AK537))</f>
        <v/>
      </c>
      <c r="AM537" s="18">
        <f>IF($A537="","",$AK537+$AL537)</f>
        <v/>
      </c>
      <c r="AN537" s="5">
        <f>IF($A537="","",IF(OR((IFERROR(INDEX('CAT_ACTIVIDADES'!$D$4:$D$11,MATCH($H537,'CAT_ACTIVIDADES'!$A$4:$A$11,0)),""))=0,(IFERROR(INDEX('CAT_ACTIVIDADES'!$D$4:$D$11,MATCH($H537,'CAT_ACTIVIDADES'!$A$4:$A$11,0)),""))=""),"SIN CLASIFICAR",IFERROR(INDEX('CAT_ACTIVIDADES'!$D$4:$D$11,MATCH($H537,'CAT_ACTIVIDADES'!$A$4:$A$11,0)),"")))</f>
        <v/>
      </c>
      <c r="AO537" s="4" t="n"/>
      <c r="AP537" s="4" t="n"/>
      <c r="AQ537" s="4" t="n"/>
      <c r="AR537" s="5">
        <f>IF($AQ537="","",HYPERLINK(p_ruta_base_checklists&amp;$AQ537,"abrir"))</f>
        <v/>
      </c>
      <c r="AS537" s="4" t="n"/>
      <c r="AT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2" t="n"/>
      <c r="K538" s="5" t="n"/>
      <c r="L538" s="18" t="n"/>
      <c r="M538" s="5">
        <f>IF($A538="","",IFERROR(INDEX('AJUSTES'!$B$4:$B$303,MATCH($AT538,'AJUSTES'!$A$4:$A$303,0)),IF($K538="","",$K538)))</f>
        <v/>
      </c>
      <c r="N538" s="5">
        <f>IF($A538="","",IFERROR(INDEX('CAT_ESTADOS_ERP'!$B$4:$B$7,MATCH(IFERROR(INDEX('2_IMPORTAR_EJECUCION'!$C$9:$C$1208,MATCH($AT538,'2_IMPORTAR_EJECUCION'!$J$9:$J$1208,0)),""),'CAT_ESTADOS_ERP'!$A$4:$A$7,0)),"Pendiente"))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IF($J538="","",$P538&amp;"-"&amp;TEXT($Q538,"00"))</f>
        <v/>
      </c>
      <c r="S538" s="5">
        <f>IF($J538="","",INDEX(lista_dias,WEEKDAY($J538,2)))</f>
        <v/>
      </c>
      <c r="T538" s="5">
        <f>IF($J538="","",IFERROR(INDEX('CALENDARIO'!$C$15:$C$214,MATCH(TEXT($J538,"yyyy-mm-dd")&amp;"|"&amp;$X538&amp;"|"&amp;$Y538,'CALENDARIO'!$G$15:$G$214,0)),IFERROR(INDEX('CALENDARIO'!$C$15:$C$214,MATCH(TEXT($J538,"yyyy-mm-dd")&amp;"|"&amp;$X538&amp;"|",'CALENDARIO'!$G$15:$G$214,0)),IFERROR(INDEX('CALENDARIO'!$C$15:$C$214,MATCH(TEXT($J538,"yyyy-mm-dd")&amp;"||",'CALENDARIO'!$G$15:$G$214,0)),INDEX(patronHabil,WEEKDAY($J538,2))))))</f>
        <v/>
      </c>
      <c r="U538" s="5">
        <f>IF($I538="","",IFERROR(INDEX('CAT_TIPOS_OT'!$C$4:$C$8,MATCH($I538,'CAT_TIPOS_OT'!$A$4:$A$8,0)),"sin_clasificar"))</f>
        <v/>
      </c>
      <c r="V538" s="5">
        <f>IF($I538="","",IF(IFERROR(INDEX('CAT_TIPOS_OT'!$D$4:$D$8,MATCH($I538,'CAT_TIPOS_OT'!$A$4:$A$8,0)),"SIN CLASIFICAR")="","SIN CLASIFICAR",IFERROR(INDEX('CAT_TIPOS_OT'!$D$4:$D$8,MATCH($I538,'CAT_TIPOS_OT'!$A$4:$A$8,0)),"SIN CLASIFICAR")))</f>
        <v/>
      </c>
      <c r="W538" s="5">
        <f>IF($F538="","",IFERROR(INDEX('CAT_CENTROS_COSTO'!$F$4:$F$13,MATCH($F538,'CAT_CENTROS_COSTO'!$A$4:$A$13,0)),"(sin catálogo)"))</f>
        <v/>
      </c>
      <c r="X538" s="5">
        <f>IF($F538="","",IFERROR(INDEX('CAT_CENTROS_COSTO'!$D$4:$D$13,MATCH($F538,'CAT_CENTROS_COSTO'!$A$4:$A$13,0)),"(sin catálogo)"))</f>
        <v/>
      </c>
      <c r="Y538" s="5">
        <f>IF($F538="","",IF((IFERROR(INDEX('CAT_CENTROS_COSTO'!$E$4:$E$13,MATCH($F538,'CAT_CENTROS_COSTO'!$A$4:$A$13,0)),""))&lt;&gt;"",IFERROR(INDEX('CAT_CENTROS_COSTO'!$E$4:$E$13,MATCH($F538,'CAT_CENTROS_COSTO'!$A$4:$A$13,0)),""),$X538))</f>
        <v/>
      </c>
      <c r="Z538" s="5">
        <f>IF($F538="","",IFERROR(INDEX('CAT_CENTROS_COSTO'!$G$4:$G$13,MATCH($F538,'CAT_CENTROS_COSTO'!$A$4:$A$13,0)),"(sin catálogo)"))</f>
        <v/>
      </c>
      <c r="AA538" s="5">
        <f>IF($G538="","",IFERROR(INDEX('CAT_PUESTOS'!$B$4:$B$8,MATCH($G538,'CAT_PUESTOS'!$A$4:$A$8,0)),"(sin catálogo)"))</f>
        <v/>
      </c>
      <c r="AB538" s="5">
        <f>IF($H538="","",IFERROR(INDEX('CAT_ACTIVIDADES'!$B$4:$B$11,MATCH($H538,'CAT_ACTIVIDADES'!$A$4:$A$11,0)),"(sin catálogo)"))</f>
        <v/>
      </c>
      <c r="AC538" s="20">
        <f>IF($J538="","",TODAY()-$J538)</f>
        <v/>
      </c>
      <c r="AD538" s="20">
        <f>IF($J538="","",IF($J538&lt;=TODAY(),COUNTIFS(cal_fechas,"&gt;="&amp;$J538,cal_fechas,"&lt;"&amp;TODAY(),cal_habil,"sí"),-COUNTIFS(cal_fechas,"&gt;="&amp;TODAY(),cal_fechas,"&lt;"&amp;$J538,cal_habil,"sí")))</f>
        <v/>
      </c>
      <c r="AE538" s="5">
        <f>IF($AD538="","",IF($AD538&lt;0,"FUTURO",IF($AD538&gt;p_dias_backlog_max,"BACKLOG","MES CORRIENTE")))</f>
        <v/>
      </c>
      <c r="AF538" s="5">
        <f>IF($AD538="",FALSE,AND($AD538&gt;p_dias_backlog_min,$AD538&lt;=p_dias_backlog_max))</f>
        <v/>
      </c>
      <c r="AG538" s="4" t="n"/>
      <c r="AH538" s="5">
        <f>IF($AG538="","",IF((IFERROR(INDEX('ASIGNACIONES'!$J$4:$J$451,MATCH($O538&amp;"|"&amp;$S538&amp;"|"&amp;$AG538,'ASIGNACIONES'!$N$4:$N$451,0)),""))=0,"",IFERROR(INDEX('ASIGNACIONES'!$J$4:$J$451,MATCH($O538&amp;"|"&amp;$S538&amp;"|"&amp;$AG538,'ASIGNACIONES'!$N$4:$N$451,0)),"")))</f>
        <v/>
      </c>
      <c r="AI538" s="25">
        <f>IF($AG538="","",SUMIFS('ORDENES'!$M$4:$M$1203,'ORDENES'!$AG$4:$AG$1203,$AG538,'ORDENES'!$O$4:$O$1203,$O538,'ORDENES'!$S$4:$S$1203,$S538))</f>
        <v/>
      </c>
      <c r="AJ538" s="25">
        <f>IF($AI538="","",p_factor_productividad*IFERROR(INDEX('ASIGNACIONES'!$M$4:$M$451,MATCH($O538&amp;"|"&amp;$S538&amp;"|"&amp;$AG538,'ASIGNACIONES'!$N$4:$N$451,0)),0)-$AI538)</f>
        <v/>
      </c>
      <c r="AK538" s="18">
        <f>IF($A538="","",IFERROR(INDEX('2_IMPORTAR_EJECUCION'!$F$9:$F$1208,MATCH($AT538,'2_IMPORTAR_EJECUCION'!$J$9:$J$1208,0)),0))</f>
        <v/>
      </c>
      <c r="AL538" s="18">
        <f>IF($A538="","",MAX(0,IFERROR(INDEX('2_IMPORTAR_EJECUCION'!$H$9:$H$1208,MATCH($AT538,'2_IMPORTAR_EJECUCION'!$J$9:$J$1208,0)),0)-$AK538))</f>
        <v/>
      </c>
      <c r="AM538" s="18">
        <f>IF($A538="","",$AK538+$AL538)</f>
        <v/>
      </c>
      <c r="AN538" s="5">
        <f>IF($A538="","",IF(OR((IFERROR(INDEX('CAT_ACTIVIDADES'!$D$4:$D$11,MATCH($H538,'CAT_ACTIVIDADES'!$A$4:$A$11,0)),""))=0,(IFERROR(INDEX('CAT_ACTIVIDADES'!$D$4:$D$11,MATCH($H538,'CAT_ACTIVIDADES'!$A$4:$A$11,0)),""))=""),"SIN CLASIFICAR",IFERROR(INDEX('CAT_ACTIVIDADES'!$D$4:$D$11,MATCH($H538,'CAT_ACTIVIDADES'!$A$4:$A$11,0)),"")))</f>
        <v/>
      </c>
      <c r="AO538" s="4" t="n"/>
      <c r="AP538" s="4" t="n"/>
      <c r="AQ538" s="4" t="n"/>
      <c r="AR538" s="5">
        <f>IF($AQ538="","",HYPERLINK(p_ruta_base_checklists&amp;$AQ538,"abrir"))</f>
        <v/>
      </c>
      <c r="AS538" s="4" t="n"/>
      <c r="AT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2" t="n"/>
      <c r="K539" s="5" t="n"/>
      <c r="L539" s="18" t="n"/>
      <c r="M539" s="5">
        <f>IF($A539="","",IFERROR(INDEX('AJUSTES'!$B$4:$B$303,MATCH($AT539,'AJUSTES'!$A$4:$A$303,0)),IF($K539="","",$K539)))</f>
        <v/>
      </c>
      <c r="N539" s="5">
        <f>IF($A539="","",IFERROR(INDEX('CAT_ESTADOS_ERP'!$B$4:$B$7,MATCH(IFERROR(INDEX('2_IMPORTAR_EJECUCION'!$C$9:$C$1208,MATCH($AT539,'2_IMPORTAR_EJECUCION'!$J$9:$J$1208,0)),""),'CAT_ESTADOS_ERP'!$A$4:$A$7,0)),"Pendiente"))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IF($J539="","",$P539&amp;"-"&amp;TEXT($Q539,"00"))</f>
        <v/>
      </c>
      <c r="S539" s="5">
        <f>IF($J539="","",INDEX(lista_dias,WEEKDAY($J539,2)))</f>
        <v/>
      </c>
      <c r="T539" s="5">
        <f>IF($J539="","",IFERROR(INDEX('CALENDARIO'!$C$15:$C$214,MATCH(TEXT($J539,"yyyy-mm-dd")&amp;"|"&amp;$X539&amp;"|"&amp;$Y539,'CALENDARIO'!$G$15:$G$214,0)),IFERROR(INDEX('CALENDARIO'!$C$15:$C$214,MATCH(TEXT($J539,"yyyy-mm-dd")&amp;"|"&amp;$X539&amp;"|",'CALENDARIO'!$G$15:$G$214,0)),IFERROR(INDEX('CALENDARIO'!$C$15:$C$214,MATCH(TEXT($J539,"yyyy-mm-dd")&amp;"||",'CALENDARIO'!$G$15:$G$214,0)),INDEX(patronHabil,WEEKDAY($J539,2))))))</f>
        <v/>
      </c>
      <c r="U539" s="5">
        <f>IF($I539="","",IFERROR(INDEX('CAT_TIPOS_OT'!$C$4:$C$8,MATCH($I539,'CAT_TIPOS_OT'!$A$4:$A$8,0)),"sin_clasificar"))</f>
        <v/>
      </c>
      <c r="V539" s="5">
        <f>IF($I539="","",IF(IFERROR(INDEX('CAT_TIPOS_OT'!$D$4:$D$8,MATCH($I539,'CAT_TIPOS_OT'!$A$4:$A$8,0)),"SIN CLASIFICAR")="","SIN CLASIFICAR",IFERROR(INDEX('CAT_TIPOS_OT'!$D$4:$D$8,MATCH($I539,'CAT_TIPOS_OT'!$A$4:$A$8,0)),"SIN CLASIFICAR")))</f>
        <v/>
      </c>
      <c r="W539" s="5">
        <f>IF($F539="","",IFERROR(INDEX('CAT_CENTROS_COSTO'!$F$4:$F$13,MATCH($F539,'CAT_CENTROS_COSTO'!$A$4:$A$13,0)),"(sin catálogo)"))</f>
        <v/>
      </c>
      <c r="X539" s="5">
        <f>IF($F539="","",IFERROR(INDEX('CAT_CENTROS_COSTO'!$D$4:$D$13,MATCH($F539,'CAT_CENTROS_COSTO'!$A$4:$A$13,0)),"(sin catálogo)"))</f>
        <v/>
      </c>
      <c r="Y539" s="5">
        <f>IF($F539="","",IF((IFERROR(INDEX('CAT_CENTROS_COSTO'!$E$4:$E$13,MATCH($F539,'CAT_CENTROS_COSTO'!$A$4:$A$13,0)),""))&lt;&gt;"",IFERROR(INDEX('CAT_CENTROS_COSTO'!$E$4:$E$13,MATCH($F539,'CAT_CENTROS_COSTO'!$A$4:$A$13,0)),""),$X539))</f>
        <v/>
      </c>
      <c r="Z539" s="5">
        <f>IF($F539="","",IFERROR(INDEX('CAT_CENTROS_COSTO'!$G$4:$G$13,MATCH($F539,'CAT_CENTROS_COSTO'!$A$4:$A$13,0)),"(sin catálogo)"))</f>
        <v/>
      </c>
      <c r="AA539" s="5">
        <f>IF($G539="","",IFERROR(INDEX('CAT_PUESTOS'!$B$4:$B$8,MATCH($G539,'CAT_PUESTOS'!$A$4:$A$8,0)),"(sin catálogo)"))</f>
        <v/>
      </c>
      <c r="AB539" s="5">
        <f>IF($H539="","",IFERROR(INDEX('CAT_ACTIVIDADES'!$B$4:$B$11,MATCH($H539,'CAT_ACTIVIDADES'!$A$4:$A$11,0)),"(sin catálogo)"))</f>
        <v/>
      </c>
      <c r="AC539" s="20">
        <f>IF($J539="","",TODAY()-$J539)</f>
        <v/>
      </c>
      <c r="AD539" s="20">
        <f>IF($J539="","",IF($J539&lt;=TODAY(),COUNTIFS(cal_fechas,"&gt;="&amp;$J539,cal_fechas,"&lt;"&amp;TODAY(),cal_habil,"sí"),-COUNTIFS(cal_fechas,"&gt;="&amp;TODAY(),cal_fechas,"&lt;"&amp;$J539,cal_habil,"sí")))</f>
        <v/>
      </c>
      <c r="AE539" s="5">
        <f>IF($AD539="","",IF($AD539&lt;0,"FUTURO",IF($AD539&gt;p_dias_backlog_max,"BACKLOG","MES CORRIENTE")))</f>
        <v/>
      </c>
      <c r="AF539" s="5">
        <f>IF($AD539="",FALSE,AND($AD539&gt;p_dias_backlog_min,$AD539&lt;=p_dias_backlog_max))</f>
        <v/>
      </c>
      <c r="AG539" s="4" t="n"/>
      <c r="AH539" s="5">
        <f>IF($AG539="","",IF((IFERROR(INDEX('ASIGNACIONES'!$J$4:$J$451,MATCH($O539&amp;"|"&amp;$S539&amp;"|"&amp;$AG539,'ASIGNACIONES'!$N$4:$N$451,0)),""))=0,"",IFERROR(INDEX('ASIGNACIONES'!$J$4:$J$451,MATCH($O539&amp;"|"&amp;$S539&amp;"|"&amp;$AG539,'ASIGNACIONES'!$N$4:$N$451,0)),"")))</f>
        <v/>
      </c>
      <c r="AI539" s="25">
        <f>IF($AG539="","",SUMIFS('ORDENES'!$M$4:$M$1203,'ORDENES'!$AG$4:$AG$1203,$AG539,'ORDENES'!$O$4:$O$1203,$O539,'ORDENES'!$S$4:$S$1203,$S539))</f>
        <v/>
      </c>
      <c r="AJ539" s="25">
        <f>IF($AI539="","",p_factor_productividad*IFERROR(INDEX('ASIGNACIONES'!$M$4:$M$451,MATCH($O539&amp;"|"&amp;$S539&amp;"|"&amp;$AG539,'ASIGNACIONES'!$N$4:$N$451,0)),0)-$AI539)</f>
        <v/>
      </c>
      <c r="AK539" s="18">
        <f>IF($A539="","",IFERROR(INDEX('2_IMPORTAR_EJECUCION'!$F$9:$F$1208,MATCH($AT539,'2_IMPORTAR_EJECUCION'!$J$9:$J$1208,0)),0))</f>
        <v/>
      </c>
      <c r="AL539" s="18">
        <f>IF($A539="","",MAX(0,IFERROR(INDEX('2_IMPORTAR_EJECUCION'!$H$9:$H$1208,MATCH($AT539,'2_IMPORTAR_EJECUCION'!$J$9:$J$1208,0)),0)-$AK539))</f>
        <v/>
      </c>
      <c r="AM539" s="18">
        <f>IF($A539="","",$AK539+$AL539)</f>
        <v/>
      </c>
      <c r="AN539" s="5">
        <f>IF($A539="","",IF(OR((IFERROR(INDEX('CAT_ACTIVIDADES'!$D$4:$D$11,MATCH($H539,'CAT_ACTIVIDADES'!$A$4:$A$11,0)),""))=0,(IFERROR(INDEX('CAT_ACTIVIDADES'!$D$4:$D$11,MATCH($H539,'CAT_ACTIVIDADES'!$A$4:$A$11,0)),""))=""),"SIN CLASIFICAR",IFERROR(INDEX('CAT_ACTIVIDADES'!$D$4:$D$11,MATCH($H539,'CAT_ACTIVIDADES'!$A$4:$A$11,0)),"")))</f>
        <v/>
      </c>
      <c r="AO539" s="4" t="n"/>
      <c r="AP539" s="4" t="n"/>
      <c r="AQ539" s="4" t="n"/>
      <c r="AR539" s="5">
        <f>IF($AQ539="","",HYPERLINK(p_ruta_base_checklists&amp;$AQ539,"abrir"))</f>
        <v/>
      </c>
      <c r="AS539" s="4" t="n"/>
      <c r="AT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2" t="n"/>
      <c r="K540" s="5" t="n"/>
      <c r="L540" s="18" t="n"/>
      <c r="M540" s="5">
        <f>IF($A540="","",IFERROR(INDEX('AJUSTES'!$B$4:$B$303,MATCH($AT540,'AJUSTES'!$A$4:$A$303,0)),IF($K540="","",$K540)))</f>
        <v/>
      </c>
      <c r="N540" s="5">
        <f>IF($A540="","",IFERROR(INDEX('CAT_ESTADOS_ERP'!$B$4:$B$7,MATCH(IFERROR(INDEX('2_IMPORTAR_EJECUCION'!$C$9:$C$1208,MATCH($AT540,'2_IMPORTAR_EJECUCION'!$J$9:$J$1208,0)),""),'CAT_ESTADOS_ERP'!$A$4:$A$7,0)),"Pendiente"))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IF($J540="","",$P540&amp;"-"&amp;TEXT($Q540,"00"))</f>
        <v/>
      </c>
      <c r="S540" s="5">
        <f>IF($J540="","",INDEX(lista_dias,WEEKDAY($J540,2)))</f>
        <v/>
      </c>
      <c r="T540" s="5">
        <f>IF($J540="","",IFERROR(INDEX('CALENDARIO'!$C$15:$C$214,MATCH(TEXT($J540,"yyyy-mm-dd")&amp;"|"&amp;$X540&amp;"|"&amp;$Y540,'CALENDARIO'!$G$15:$G$214,0)),IFERROR(INDEX('CALENDARIO'!$C$15:$C$214,MATCH(TEXT($J540,"yyyy-mm-dd")&amp;"|"&amp;$X540&amp;"|",'CALENDARIO'!$G$15:$G$214,0)),IFERROR(INDEX('CALENDARIO'!$C$15:$C$214,MATCH(TEXT($J540,"yyyy-mm-dd")&amp;"||",'CALENDARIO'!$G$15:$G$214,0)),INDEX(patronHabil,WEEKDAY($J540,2))))))</f>
        <v/>
      </c>
      <c r="U540" s="5">
        <f>IF($I540="","",IFERROR(INDEX('CAT_TIPOS_OT'!$C$4:$C$8,MATCH($I540,'CAT_TIPOS_OT'!$A$4:$A$8,0)),"sin_clasificar"))</f>
        <v/>
      </c>
      <c r="V540" s="5">
        <f>IF($I540="","",IF(IFERROR(INDEX('CAT_TIPOS_OT'!$D$4:$D$8,MATCH($I540,'CAT_TIPOS_OT'!$A$4:$A$8,0)),"SIN CLASIFICAR")="","SIN CLASIFICAR",IFERROR(INDEX('CAT_TIPOS_OT'!$D$4:$D$8,MATCH($I540,'CAT_TIPOS_OT'!$A$4:$A$8,0)),"SIN CLASIFICAR")))</f>
        <v/>
      </c>
      <c r="W540" s="5">
        <f>IF($F540="","",IFERROR(INDEX('CAT_CENTROS_COSTO'!$F$4:$F$13,MATCH($F540,'CAT_CENTROS_COSTO'!$A$4:$A$13,0)),"(sin catálogo)"))</f>
        <v/>
      </c>
      <c r="X540" s="5">
        <f>IF($F540="","",IFERROR(INDEX('CAT_CENTROS_COSTO'!$D$4:$D$13,MATCH($F540,'CAT_CENTROS_COSTO'!$A$4:$A$13,0)),"(sin catálogo)"))</f>
        <v/>
      </c>
      <c r="Y540" s="5">
        <f>IF($F540="","",IF((IFERROR(INDEX('CAT_CENTROS_COSTO'!$E$4:$E$13,MATCH($F540,'CAT_CENTROS_COSTO'!$A$4:$A$13,0)),""))&lt;&gt;"",IFERROR(INDEX('CAT_CENTROS_COSTO'!$E$4:$E$13,MATCH($F540,'CAT_CENTROS_COSTO'!$A$4:$A$13,0)),""),$X540))</f>
        <v/>
      </c>
      <c r="Z540" s="5">
        <f>IF($F540="","",IFERROR(INDEX('CAT_CENTROS_COSTO'!$G$4:$G$13,MATCH($F540,'CAT_CENTROS_COSTO'!$A$4:$A$13,0)),"(sin catálogo)"))</f>
        <v/>
      </c>
      <c r="AA540" s="5">
        <f>IF($G540="","",IFERROR(INDEX('CAT_PUESTOS'!$B$4:$B$8,MATCH($G540,'CAT_PUESTOS'!$A$4:$A$8,0)),"(sin catálogo)"))</f>
        <v/>
      </c>
      <c r="AB540" s="5">
        <f>IF($H540="","",IFERROR(INDEX('CAT_ACTIVIDADES'!$B$4:$B$11,MATCH($H540,'CAT_ACTIVIDADES'!$A$4:$A$11,0)),"(sin catálogo)"))</f>
        <v/>
      </c>
      <c r="AC540" s="20">
        <f>IF($J540="","",TODAY()-$J540)</f>
        <v/>
      </c>
      <c r="AD540" s="20">
        <f>IF($J540="","",IF($J540&lt;=TODAY(),COUNTIFS(cal_fechas,"&gt;="&amp;$J540,cal_fechas,"&lt;"&amp;TODAY(),cal_habil,"sí"),-COUNTIFS(cal_fechas,"&gt;="&amp;TODAY(),cal_fechas,"&lt;"&amp;$J540,cal_habil,"sí")))</f>
        <v/>
      </c>
      <c r="AE540" s="5">
        <f>IF($AD540="","",IF($AD540&lt;0,"FUTURO",IF($AD540&gt;p_dias_backlog_max,"BACKLOG","MES CORRIENTE")))</f>
        <v/>
      </c>
      <c r="AF540" s="5">
        <f>IF($AD540="",FALSE,AND($AD540&gt;p_dias_backlog_min,$AD540&lt;=p_dias_backlog_max))</f>
        <v/>
      </c>
      <c r="AG540" s="4" t="n"/>
      <c r="AH540" s="5">
        <f>IF($AG540="","",IF((IFERROR(INDEX('ASIGNACIONES'!$J$4:$J$451,MATCH($O540&amp;"|"&amp;$S540&amp;"|"&amp;$AG540,'ASIGNACIONES'!$N$4:$N$451,0)),""))=0,"",IFERROR(INDEX('ASIGNACIONES'!$J$4:$J$451,MATCH($O540&amp;"|"&amp;$S540&amp;"|"&amp;$AG540,'ASIGNACIONES'!$N$4:$N$451,0)),"")))</f>
        <v/>
      </c>
      <c r="AI540" s="25">
        <f>IF($AG540="","",SUMIFS('ORDENES'!$M$4:$M$1203,'ORDENES'!$AG$4:$AG$1203,$AG540,'ORDENES'!$O$4:$O$1203,$O540,'ORDENES'!$S$4:$S$1203,$S540))</f>
        <v/>
      </c>
      <c r="AJ540" s="25">
        <f>IF($AI540="","",p_factor_productividad*IFERROR(INDEX('ASIGNACIONES'!$M$4:$M$451,MATCH($O540&amp;"|"&amp;$S540&amp;"|"&amp;$AG540,'ASIGNACIONES'!$N$4:$N$451,0)),0)-$AI540)</f>
        <v/>
      </c>
      <c r="AK540" s="18">
        <f>IF($A540="","",IFERROR(INDEX('2_IMPORTAR_EJECUCION'!$F$9:$F$1208,MATCH($AT540,'2_IMPORTAR_EJECUCION'!$J$9:$J$1208,0)),0))</f>
        <v/>
      </c>
      <c r="AL540" s="18">
        <f>IF($A540="","",MAX(0,IFERROR(INDEX('2_IMPORTAR_EJECUCION'!$H$9:$H$1208,MATCH($AT540,'2_IMPORTAR_EJECUCION'!$J$9:$J$1208,0)),0)-$AK540))</f>
        <v/>
      </c>
      <c r="AM540" s="18">
        <f>IF($A540="","",$AK540+$AL540)</f>
        <v/>
      </c>
      <c r="AN540" s="5">
        <f>IF($A540="","",IF(OR((IFERROR(INDEX('CAT_ACTIVIDADES'!$D$4:$D$11,MATCH($H540,'CAT_ACTIVIDADES'!$A$4:$A$11,0)),""))=0,(IFERROR(INDEX('CAT_ACTIVIDADES'!$D$4:$D$11,MATCH($H540,'CAT_ACTIVIDADES'!$A$4:$A$11,0)),""))=""),"SIN CLASIFICAR",IFERROR(INDEX('CAT_ACTIVIDADES'!$D$4:$D$11,MATCH($H540,'CAT_ACTIVIDADES'!$A$4:$A$11,0)),"")))</f>
        <v/>
      </c>
      <c r="AO540" s="4" t="n"/>
      <c r="AP540" s="4" t="n"/>
      <c r="AQ540" s="4" t="n"/>
      <c r="AR540" s="5">
        <f>IF($AQ540="","",HYPERLINK(p_ruta_base_checklists&amp;$AQ540,"abrir"))</f>
        <v/>
      </c>
      <c r="AS540" s="4" t="n"/>
      <c r="AT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2" t="n"/>
      <c r="K541" s="5" t="n"/>
      <c r="L541" s="18" t="n"/>
      <c r="M541" s="5">
        <f>IF($A541="","",IFERROR(INDEX('AJUSTES'!$B$4:$B$303,MATCH($AT541,'AJUSTES'!$A$4:$A$303,0)),IF($K541="","",$K541)))</f>
        <v/>
      </c>
      <c r="N541" s="5">
        <f>IF($A541="","",IFERROR(INDEX('CAT_ESTADOS_ERP'!$B$4:$B$7,MATCH(IFERROR(INDEX('2_IMPORTAR_EJECUCION'!$C$9:$C$1208,MATCH($AT541,'2_IMPORTAR_EJECUCION'!$J$9:$J$1208,0)),""),'CAT_ESTADOS_ERP'!$A$4:$A$7,0)),"Pendiente"))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IF($J541="","",$P541&amp;"-"&amp;TEXT($Q541,"00"))</f>
        <v/>
      </c>
      <c r="S541" s="5">
        <f>IF($J541="","",INDEX(lista_dias,WEEKDAY($J541,2)))</f>
        <v/>
      </c>
      <c r="T541" s="5">
        <f>IF($J541="","",IFERROR(INDEX('CALENDARIO'!$C$15:$C$214,MATCH(TEXT($J541,"yyyy-mm-dd")&amp;"|"&amp;$X541&amp;"|"&amp;$Y541,'CALENDARIO'!$G$15:$G$214,0)),IFERROR(INDEX('CALENDARIO'!$C$15:$C$214,MATCH(TEXT($J541,"yyyy-mm-dd")&amp;"|"&amp;$X541&amp;"|",'CALENDARIO'!$G$15:$G$214,0)),IFERROR(INDEX('CALENDARIO'!$C$15:$C$214,MATCH(TEXT($J541,"yyyy-mm-dd")&amp;"||",'CALENDARIO'!$G$15:$G$214,0)),INDEX(patronHabil,WEEKDAY($J541,2))))))</f>
        <v/>
      </c>
      <c r="U541" s="5">
        <f>IF($I541="","",IFERROR(INDEX('CAT_TIPOS_OT'!$C$4:$C$8,MATCH($I541,'CAT_TIPOS_OT'!$A$4:$A$8,0)),"sin_clasificar"))</f>
        <v/>
      </c>
      <c r="V541" s="5">
        <f>IF($I541="","",IF(IFERROR(INDEX('CAT_TIPOS_OT'!$D$4:$D$8,MATCH($I541,'CAT_TIPOS_OT'!$A$4:$A$8,0)),"SIN CLASIFICAR")="","SIN CLASIFICAR",IFERROR(INDEX('CAT_TIPOS_OT'!$D$4:$D$8,MATCH($I541,'CAT_TIPOS_OT'!$A$4:$A$8,0)),"SIN CLASIFICAR")))</f>
        <v/>
      </c>
      <c r="W541" s="5">
        <f>IF($F541="","",IFERROR(INDEX('CAT_CENTROS_COSTO'!$F$4:$F$13,MATCH($F541,'CAT_CENTROS_COSTO'!$A$4:$A$13,0)),"(sin catálogo)"))</f>
        <v/>
      </c>
      <c r="X541" s="5">
        <f>IF($F541="","",IFERROR(INDEX('CAT_CENTROS_COSTO'!$D$4:$D$13,MATCH($F541,'CAT_CENTROS_COSTO'!$A$4:$A$13,0)),"(sin catálogo)"))</f>
        <v/>
      </c>
      <c r="Y541" s="5">
        <f>IF($F541="","",IF((IFERROR(INDEX('CAT_CENTROS_COSTO'!$E$4:$E$13,MATCH($F541,'CAT_CENTROS_COSTO'!$A$4:$A$13,0)),""))&lt;&gt;"",IFERROR(INDEX('CAT_CENTROS_COSTO'!$E$4:$E$13,MATCH($F541,'CAT_CENTROS_COSTO'!$A$4:$A$13,0)),""),$X541))</f>
        <v/>
      </c>
      <c r="Z541" s="5">
        <f>IF($F541="","",IFERROR(INDEX('CAT_CENTROS_COSTO'!$G$4:$G$13,MATCH($F541,'CAT_CENTROS_COSTO'!$A$4:$A$13,0)),"(sin catálogo)"))</f>
        <v/>
      </c>
      <c r="AA541" s="5">
        <f>IF($G541="","",IFERROR(INDEX('CAT_PUESTOS'!$B$4:$B$8,MATCH($G541,'CAT_PUESTOS'!$A$4:$A$8,0)),"(sin catálogo)"))</f>
        <v/>
      </c>
      <c r="AB541" s="5">
        <f>IF($H541="","",IFERROR(INDEX('CAT_ACTIVIDADES'!$B$4:$B$11,MATCH($H541,'CAT_ACTIVIDADES'!$A$4:$A$11,0)),"(sin catálogo)"))</f>
        <v/>
      </c>
      <c r="AC541" s="20">
        <f>IF($J541="","",TODAY()-$J541)</f>
        <v/>
      </c>
      <c r="AD541" s="20">
        <f>IF($J541="","",IF($J541&lt;=TODAY(),COUNTIFS(cal_fechas,"&gt;="&amp;$J541,cal_fechas,"&lt;"&amp;TODAY(),cal_habil,"sí"),-COUNTIFS(cal_fechas,"&gt;="&amp;TODAY(),cal_fechas,"&lt;"&amp;$J541,cal_habil,"sí")))</f>
        <v/>
      </c>
      <c r="AE541" s="5">
        <f>IF($AD541="","",IF($AD541&lt;0,"FUTURO",IF($AD541&gt;p_dias_backlog_max,"BACKLOG","MES CORRIENTE")))</f>
        <v/>
      </c>
      <c r="AF541" s="5">
        <f>IF($AD541="",FALSE,AND($AD541&gt;p_dias_backlog_min,$AD541&lt;=p_dias_backlog_max))</f>
        <v/>
      </c>
      <c r="AG541" s="4" t="n"/>
      <c r="AH541" s="5">
        <f>IF($AG541="","",IF((IFERROR(INDEX('ASIGNACIONES'!$J$4:$J$451,MATCH($O541&amp;"|"&amp;$S541&amp;"|"&amp;$AG541,'ASIGNACIONES'!$N$4:$N$451,0)),""))=0,"",IFERROR(INDEX('ASIGNACIONES'!$J$4:$J$451,MATCH($O541&amp;"|"&amp;$S541&amp;"|"&amp;$AG541,'ASIGNACIONES'!$N$4:$N$451,0)),"")))</f>
        <v/>
      </c>
      <c r="AI541" s="25">
        <f>IF($AG541="","",SUMIFS('ORDENES'!$M$4:$M$1203,'ORDENES'!$AG$4:$AG$1203,$AG541,'ORDENES'!$O$4:$O$1203,$O541,'ORDENES'!$S$4:$S$1203,$S541))</f>
        <v/>
      </c>
      <c r="AJ541" s="25">
        <f>IF($AI541="","",p_factor_productividad*IFERROR(INDEX('ASIGNACIONES'!$M$4:$M$451,MATCH($O541&amp;"|"&amp;$S541&amp;"|"&amp;$AG541,'ASIGNACIONES'!$N$4:$N$451,0)),0)-$AI541)</f>
        <v/>
      </c>
      <c r="AK541" s="18">
        <f>IF($A541="","",IFERROR(INDEX('2_IMPORTAR_EJECUCION'!$F$9:$F$1208,MATCH($AT541,'2_IMPORTAR_EJECUCION'!$J$9:$J$1208,0)),0))</f>
        <v/>
      </c>
      <c r="AL541" s="18">
        <f>IF($A541="","",MAX(0,IFERROR(INDEX('2_IMPORTAR_EJECUCION'!$H$9:$H$1208,MATCH($AT541,'2_IMPORTAR_EJECUCION'!$J$9:$J$1208,0)),0)-$AK541))</f>
        <v/>
      </c>
      <c r="AM541" s="18">
        <f>IF($A541="","",$AK541+$AL541)</f>
        <v/>
      </c>
      <c r="AN541" s="5">
        <f>IF($A541="","",IF(OR((IFERROR(INDEX('CAT_ACTIVIDADES'!$D$4:$D$11,MATCH($H541,'CAT_ACTIVIDADES'!$A$4:$A$11,0)),""))=0,(IFERROR(INDEX('CAT_ACTIVIDADES'!$D$4:$D$11,MATCH($H541,'CAT_ACTIVIDADES'!$A$4:$A$11,0)),""))=""),"SIN CLASIFICAR",IFERROR(INDEX('CAT_ACTIVIDADES'!$D$4:$D$11,MATCH($H541,'CAT_ACTIVIDADES'!$A$4:$A$11,0)),"")))</f>
        <v/>
      </c>
      <c r="AO541" s="4" t="n"/>
      <c r="AP541" s="4" t="n"/>
      <c r="AQ541" s="4" t="n"/>
      <c r="AR541" s="5">
        <f>IF($AQ541="","",HYPERLINK(p_ruta_base_checklists&amp;$AQ541,"abrir"))</f>
        <v/>
      </c>
      <c r="AS541" s="4" t="n"/>
      <c r="AT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2" t="n"/>
      <c r="K542" s="5" t="n"/>
      <c r="L542" s="18" t="n"/>
      <c r="M542" s="5">
        <f>IF($A542="","",IFERROR(INDEX('AJUSTES'!$B$4:$B$303,MATCH($AT542,'AJUSTES'!$A$4:$A$303,0)),IF($K542="","",$K542)))</f>
        <v/>
      </c>
      <c r="N542" s="5">
        <f>IF($A542="","",IFERROR(INDEX('CAT_ESTADOS_ERP'!$B$4:$B$7,MATCH(IFERROR(INDEX('2_IMPORTAR_EJECUCION'!$C$9:$C$1208,MATCH($AT542,'2_IMPORTAR_EJECUCION'!$J$9:$J$1208,0)),""),'CAT_ESTADOS_ERP'!$A$4:$A$7,0)),"Pendiente"))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IF($J542="","",$P542&amp;"-"&amp;TEXT($Q542,"00"))</f>
        <v/>
      </c>
      <c r="S542" s="5">
        <f>IF($J542="","",INDEX(lista_dias,WEEKDAY($J542,2)))</f>
        <v/>
      </c>
      <c r="T542" s="5">
        <f>IF($J542="","",IFERROR(INDEX('CALENDARIO'!$C$15:$C$214,MATCH(TEXT($J542,"yyyy-mm-dd")&amp;"|"&amp;$X542&amp;"|"&amp;$Y542,'CALENDARIO'!$G$15:$G$214,0)),IFERROR(INDEX('CALENDARIO'!$C$15:$C$214,MATCH(TEXT($J542,"yyyy-mm-dd")&amp;"|"&amp;$X542&amp;"|",'CALENDARIO'!$G$15:$G$214,0)),IFERROR(INDEX('CALENDARIO'!$C$15:$C$214,MATCH(TEXT($J542,"yyyy-mm-dd")&amp;"||",'CALENDARIO'!$G$15:$G$214,0)),INDEX(patronHabil,WEEKDAY($J542,2))))))</f>
        <v/>
      </c>
      <c r="U542" s="5">
        <f>IF($I542="","",IFERROR(INDEX('CAT_TIPOS_OT'!$C$4:$C$8,MATCH($I542,'CAT_TIPOS_OT'!$A$4:$A$8,0)),"sin_clasificar"))</f>
        <v/>
      </c>
      <c r="V542" s="5">
        <f>IF($I542="","",IF(IFERROR(INDEX('CAT_TIPOS_OT'!$D$4:$D$8,MATCH($I542,'CAT_TIPOS_OT'!$A$4:$A$8,0)),"SIN CLASIFICAR")="","SIN CLASIFICAR",IFERROR(INDEX('CAT_TIPOS_OT'!$D$4:$D$8,MATCH($I542,'CAT_TIPOS_OT'!$A$4:$A$8,0)),"SIN CLASIFICAR")))</f>
        <v/>
      </c>
      <c r="W542" s="5">
        <f>IF($F542="","",IFERROR(INDEX('CAT_CENTROS_COSTO'!$F$4:$F$13,MATCH($F542,'CAT_CENTROS_COSTO'!$A$4:$A$13,0)),"(sin catálogo)"))</f>
        <v/>
      </c>
      <c r="X542" s="5">
        <f>IF($F542="","",IFERROR(INDEX('CAT_CENTROS_COSTO'!$D$4:$D$13,MATCH($F542,'CAT_CENTROS_COSTO'!$A$4:$A$13,0)),"(sin catálogo)"))</f>
        <v/>
      </c>
      <c r="Y542" s="5">
        <f>IF($F542="","",IF((IFERROR(INDEX('CAT_CENTROS_COSTO'!$E$4:$E$13,MATCH($F542,'CAT_CENTROS_COSTO'!$A$4:$A$13,0)),""))&lt;&gt;"",IFERROR(INDEX('CAT_CENTROS_COSTO'!$E$4:$E$13,MATCH($F542,'CAT_CENTROS_COSTO'!$A$4:$A$13,0)),""),$X542))</f>
        <v/>
      </c>
      <c r="Z542" s="5">
        <f>IF($F542="","",IFERROR(INDEX('CAT_CENTROS_COSTO'!$G$4:$G$13,MATCH($F542,'CAT_CENTROS_COSTO'!$A$4:$A$13,0)),"(sin catálogo)"))</f>
        <v/>
      </c>
      <c r="AA542" s="5">
        <f>IF($G542="","",IFERROR(INDEX('CAT_PUESTOS'!$B$4:$B$8,MATCH($G542,'CAT_PUESTOS'!$A$4:$A$8,0)),"(sin catálogo)"))</f>
        <v/>
      </c>
      <c r="AB542" s="5">
        <f>IF($H542="","",IFERROR(INDEX('CAT_ACTIVIDADES'!$B$4:$B$11,MATCH($H542,'CAT_ACTIVIDADES'!$A$4:$A$11,0)),"(sin catálogo)"))</f>
        <v/>
      </c>
      <c r="AC542" s="20">
        <f>IF($J542="","",TODAY()-$J542)</f>
        <v/>
      </c>
      <c r="AD542" s="20">
        <f>IF($J542="","",IF($J542&lt;=TODAY(),COUNTIFS(cal_fechas,"&gt;="&amp;$J542,cal_fechas,"&lt;"&amp;TODAY(),cal_habil,"sí"),-COUNTIFS(cal_fechas,"&gt;="&amp;TODAY(),cal_fechas,"&lt;"&amp;$J542,cal_habil,"sí")))</f>
        <v/>
      </c>
      <c r="AE542" s="5">
        <f>IF($AD542="","",IF($AD542&lt;0,"FUTURO",IF($AD542&gt;p_dias_backlog_max,"BACKLOG","MES CORRIENTE")))</f>
        <v/>
      </c>
      <c r="AF542" s="5">
        <f>IF($AD542="",FALSE,AND($AD542&gt;p_dias_backlog_min,$AD542&lt;=p_dias_backlog_max))</f>
        <v/>
      </c>
      <c r="AG542" s="4" t="n"/>
      <c r="AH542" s="5">
        <f>IF($AG542="","",IF((IFERROR(INDEX('ASIGNACIONES'!$J$4:$J$451,MATCH($O542&amp;"|"&amp;$S542&amp;"|"&amp;$AG542,'ASIGNACIONES'!$N$4:$N$451,0)),""))=0,"",IFERROR(INDEX('ASIGNACIONES'!$J$4:$J$451,MATCH($O542&amp;"|"&amp;$S542&amp;"|"&amp;$AG542,'ASIGNACIONES'!$N$4:$N$451,0)),"")))</f>
        <v/>
      </c>
      <c r="AI542" s="25">
        <f>IF($AG542="","",SUMIFS('ORDENES'!$M$4:$M$1203,'ORDENES'!$AG$4:$AG$1203,$AG542,'ORDENES'!$O$4:$O$1203,$O542,'ORDENES'!$S$4:$S$1203,$S542))</f>
        <v/>
      </c>
      <c r="AJ542" s="25">
        <f>IF($AI542="","",p_factor_productividad*IFERROR(INDEX('ASIGNACIONES'!$M$4:$M$451,MATCH($O542&amp;"|"&amp;$S542&amp;"|"&amp;$AG542,'ASIGNACIONES'!$N$4:$N$451,0)),0)-$AI542)</f>
        <v/>
      </c>
      <c r="AK542" s="18">
        <f>IF($A542="","",IFERROR(INDEX('2_IMPORTAR_EJECUCION'!$F$9:$F$1208,MATCH($AT542,'2_IMPORTAR_EJECUCION'!$J$9:$J$1208,0)),0))</f>
        <v/>
      </c>
      <c r="AL542" s="18">
        <f>IF($A542="","",MAX(0,IFERROR(INDEX('2_IMPORTAR_EJECUCION'!$H$9:$H$1208,MATCH($AT542,'2_IMPORTAR_EJECUCION'!$J$9:$J$1208,0)),0)-$AK542))</f>
        <v/>
      </c>
      <c r="AM542" s="18">
        <f>IF($A542="","",$AK542+$AL542)</f>
        <v/>
      </c>
      <c r="AN542" s="5">
        <f>IF($A542="","",IF(OR((IFERROR(INDEX('CAT_ACTIVIDADES'!$D$4:$D$11,MATCH($H542,'CAT_ACTIVIDADES'!$A$4:$A$11,0)),""))=0,(IFERROR(INDEX('CAT_ACTIVIDADES'!$D$4:$D$11,MATCH($H542,'CAT_ACTIVIDADES'!$A$4:$A$11,0)),""))=""),"SIN CLASIFICAR",IFERROR(INDEX('CAT_ACTIVIDADES'!$D$4:$D$11,MATCH($H542,'CAT_ACTIVIDADES'!$A$4:$A$11,0)),"")))</f>
        <v/>
      </c>
      <c r="AO542" s="4" t="n"/>
      <c r="AP542" s="4" t="n"/>
      <c r="AQ542" s="4" t="n"/>
      <c r="AR542" s="5">
        <f>IF($AQ542="","",HYPERLINK(p_ruta_base_checklists&amp;$AQ542,"abrir"))</f>
        <v/>
      </c>
      <c r="AS542" s="4" t="n"/>
      <c r="AT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2" t="n"/>
      <c r="K543" s="5" t="n"/>
      <c r="L543" s="18" t="n"/>
      <c r="M543" s="5">
        <f>IF($A543="","",IFERROR(INDEX('AJUSTES'!$B$4:$B$303,MATCH($AT543,'AJUSTES'!$A$4:$A$303,0)),IF($K543="","",$K543)))</f>
        <v/>
      </c>
      <c r="N543" s="5">
        <f>IF($A543="","",IFERROR(INDEX('CAT_ESTADOS_ERP'!$B$4:$B$7,MATCH(IFERROR(INDEX('2_IMPORTAR_EJECUCION'!$C$9:$C$1208,MATCH($AT543,'2_IMPORTAR_EJECUCION'!$J$9:$J$1208,0)),""),'CAT_ESTADOS_ERP'!$A$4:$A$7,0)),"Pendiente"))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IF($J543="","",$P543&amp;"-"&amp;TEXT($Q543,"00"))</f>
        <v/>
      </c>
      <c r="S543" s="5">
        <f>IF($J543="","",INDEX(lista_dias,WEEKDAY($J543,2)))</f>
        <v/>
      </c>
      <c r="T543" s="5">
        <f>IF($J543="","",IFERROR(INDEX('CALENDARIO'!$C$15:$C$214,MATCH(TEXT($J543,"yyyy-mm-dd")&amp;"|"&amp;$X543&amp;"|"&amp;$Y543,'CALENDARIO'!$G$15:$G$214,0)),IFERROR(INDEX('CALENDARIO'!$C$15:$C$214,MATCH(TEXT($J543,"yyyy-mm-dd")&amp;"|"&amp;$X543&amp;"|",'CALENDARIO'!$G$15:$G$214,0)),IFERROR(INDEX('CALENDARIO'!$C$15:$C$214,MATCH(TEXT($J543,"yyyy-mm-dd")&amp;"||",'CALENDARIO'!$G$15:$G$214,0)),INDEX(patronHabil,WEEKDAY($J543,2))))))</f>
        <v/>
      </c>
      <c r="U543" s="5">
        <f>IF($I543="","",IFERROR(INDEX('CAT_TIPOS_OT'!$C$4:$C$8,MATCH($I543,'CAT_TIPOS_OT'!$A$4:$A$8,0)),"sin_clasificar"))</f>
        <v/>
      </c>
      <c r="V543" s="5">
        <f>IF($I543="","",IF(IFERROR(INDEX('CAT_TIPOS_OT'!$D$4:$D$8,MATCH($I543,'CAT_TIPOS_OT'!$A$4:$A$8,0)),"SIN CLASIFICAR")="","SIN CLASIFICAR",IFERROR(INDEX('CAT_TIPOS_OT'!$D$4:$D$8,MATCH($I543,'CAT_TIPOS_OT'!$A$4:$A$8,0)),"SIN CLASIFICAR")))</f>
        <v/>
      </c>
      <c r="W543" s="5">
        <f>IF($F543="","",IFERROR(INDEX('CAT_CENTROS_COSTO'!$F$4:$F$13,MATCH($F543,'CAT_CENTROS_COSTO'!$A$4:$A$13,0)),"(sin catálogo)"))</f>
        <v/>
      </c>
      <c r="X543" s="5">
        <f>IF($F543="","",IFERROR(INDEX('CAT_CENTROS_COSTO'!$D$4:$D$13,MATCH($F543,'CAT_CENTROS_COSTO'!$A$4:$A$13,0)),"(sin catálogo)"))</f>
        <v/>
      </c>
      <c r="Y543" s="5">
        <f>IF($F543="","",IF((IFERROR(INDEX('CAT_CENTROS_COSTO'!$E$4:$E$13,MATCH($F543,'CAT_CENTROS_COSTO'!$A$4:$A$13,0)),""))&lt;&gt;"",IFERROR(INDEX('CAT_CENTROS_COSTO'!$E$4:$E$13,MATCH($F543,'CAT_CENTROS_COSTO'!$A$4:$A$13,0)),""),$X543))</f>
        <v/>
      </c>
      <c r="Z543" s="5">
        <f>IF($F543="","",IFERROR(INDEX('CAT_CENTROS_COSTO'!$G$4:$G$13,MATCH($F543,'CAT_CENTROS_COSTO'!$A$4:$A$13,0)),"(sin catálogo)"))</f>
        <v/>
      </c>
      <c r="AA543" s="5">
        <f>IF($G543="","",IFERROR(INDEX('CAT_PUESTOS'!$B$4:$B$8,MATCH($G543,'CAT_PUESTOS'!$A$4:$A$8,0)),"(sin catálogo)"))</f>
        <v/>
      </c>
      <c r="AB543" s="5">
        <f>IF($H543="","",IFERROR(INDEX('CAT_ACTIVIDADES'!$B$4:$B$11,MATCH($H543,'CAT_ACTIVIDADES'!$A$4:$A$11,0)),"(sin catálogo)"))</f>
        <v/>
      </c>
      <c r="AC543" s="20">
        <f>IF($J543="","",TODAY()-$J543)</f>
        <v/>
      </c>
      <c r="AD543" s="20">
        <f>IF($J543="","",IF($J543&lt;=TODAY(),COUNTIFS(cal_fechas,"&gt;="&amp;$J543,cal_fechas,"&lt;"&amp;TODAY(),cal_habil,"sí"),-COUNTIFS(cal_fechas,"&gt;="&amp;TODAY(),cal_fechas,"&lt;"&amp;$J543,cal_habil,"sí")))</f>
        <v/>
      </c>
      <c r="AE543" s="5">
        <f>IF($AD543="","",IF($AD543&lt;0,"FUTURO",IF($AD543&gt;p_dias_backlog_max,"BACKLOG","MES CORRIENTE")))</f>
        <v/>
      </c>
      <c r="AF543" s="5">
        <f>IF($AD543="",FALSE,AND($AD543&gt;p_dias_backlog_min,$AD543&lt;=p_dias_backlog_max))</f>
        <v/>
      </c>
      <c r="AG543" s="4" t="n"/>
      <c r="AH543" s="5">
        <f>IF($AG543="","",IF((IFERROR(INDEX('ASIGNACIONES'!$J$4:$J$451,MATCH($O543&amp;"|"&amp;$S543&amp;"|"&amp;$AG543,'ASIGNACIONES'!$N$4:$N$451,0)),""))=0,"",IFERROR(INDEX('ASIGNACIONES'!$J$4:$J$451,MATCH($O543&amp;"|"&amp;$S543&amp;"|"&amp;$AG543,'ASIGNACIONES'!$N$4:$N$451,0)),"")))</f>
        <v/>
      </c>
      <c r="AI543" s="25">
        <f>IF($AG543="","",SUMIFS('ORDENES'!$M$4:$M$1203,'ORDENES'!$AG$4:$AG$1203,$AG543,'ORDENES'!$O$4:$O$1203,$O543,'ORDENES'!$S$4:$S$1203,$S543))</f>
        <v/>
      </c>
      <c r="AJ543" s="25">
        <f>IF($AI543="","",p_factor_productividad*IFERROR(INDEX('ASIGNACIONES'!$M$4:$M$451,MATCH($O543&amp;"|"&amp;$S543&amp;"|"&amp;$AG543,'ASIGNACIONES'!$N$4:$N$451,0)),0)-$AI543)</f>
        <v/>
      </c>
      <c r="AK543" s="18">
        <f>IF($A543="","",IFERROR(INDEX('2_IMPORTAR_EJECUCION'!$F$9:$F$1208,MATCH($AT543,'2_IMPORTAR_EJECUCION'!$J$9:$J$1208,0)),0))</f>
        <v/>
      </c>
      <c r="AL543" s="18">
        <f>IF($A543="","",MAX(0,IFERROR(INDEX('2_IMPORTAR_EJECUCION'!$H$9:$H$1208,MATCH($AT543,'2_IMPORTAR_EJECUCION'!$J$9:$J$1208,0)),0)-$AK543))</f>
        <v/>
      </c>
      <c r="AM543" s="18">
        <f>IF($A543="","",$AK543+$AL543)</f>
        <v/>
      </c>
      <c r="AN543" s="5">
        <f>IF($A543="","",IF(OR((IFERROR(INDEX('CAT_ACTIVIDADES'!$D$4:$D$11,MATCH($H543,'CAT_ACTIVIDADES'!$A$4:$A$11,0)),""))=0,(IFERROR(INDEX('CAT_ACTIVIDADES'!$D$4:$D$11,MATCH($H543,'CAT_ACTIVIDADES'!$A$4:$A$11,0)),""))=""),"SIN CLASIFICAR",IFERROR(INDEX('CAT_ACTIVIDADES'!$D$4:$D$11,MATCH($H543,'CAT_ACTIVIDADES'!$A$4:$A$11,0)),"")))</f>
        <v/>
      </c>
      <c r="AO543" s="4" t="n"/>
      <c r="AP543" s="4" t="n"/>
      <c r="AQ543" s="4" t="n"/>
      <c r="AR543" s="5">
        <f>IF($AQ543="","",HYPERLINK(p_ruta_base_checklists&amp;$AQ543,"abrir"))</f>
        <v/>
      </c>
      <c r="AS543" s="4" t="n"/>
      <c r="AT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2" t="n"/>
      <c r="K544" s="5" t="n"/>
      <c r="L544" s="18" t="n"/>
      <c r="M544" s="5">
        <f>IF($A544="","",IFERROR(INDEX('AJUSTES'!$B$4:$B$303,MATCH($AT544,'AJUSTES'!$A$4:$A$303,0)),IF($K544="","",$K544)))</f>
        <v/>
      </c>
      <c r="N544" s="5">
        <f>IF($A544="","",IFERROR(INDEX('CAT_ESTADOS_ERP'!$B$4:$B$7,MATCH(IFERROR(INDEX('2_IMPORTAR_EJECUCION'!$C$9:$C$1208,MATCH($AT544,'2_IMPORTAR_EJECUCION'!$J$9:$J$1208,0)),""),'CAT_ESTADOS_ERP'!$A$4:$A$7,0)),"Pendiente"))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IF($J544="","",$P544&amp;"-"&amp;TEXT($Q544,"00"))</f>
        <v/>
      </c>
      <c r="S544" s="5">
        <f>IF($J544="","",INDEX(lista_dias,WEEKDAY($J544,2)))</f>
        <v/>
      </c>
      <c r="T544" s="5">
        <f>IF($J544="","",IFERROR(INDEX('CALENDARIO'!$C$15:$C$214,MATCH(TEXT($J544,"yyyy-mm-dd")&amp;"|"&amp;$X544&amp;"|"&amp;$Y544,'CALENDARIO'!$G$15:$G$214,0)),IFERROR(INDEX('CALENDARIO'!$C$15:$C$214,MATCH(TEXT($J544,"yyyy-mm-dd")&amp;"|"&amp;$X544&amp;"|",'CALENDARIO'!$G$15:$G$214,0)),IFERROR(INDEX('CALENDARIO'!$C$15:$C$214,MATCH(TEXT($J544,"yyyy-mm-dd")&amp;"||",'CALENDARIO'!$G$15:$G$214,0)),INDEX(patronHabil,WEEKDAY($J544,2))))))</f>
        <v/>
      </c>
      <c r="U544" s="5">
        <f>IF($I544="","",IFERROR(INDEX('CAT_TIPOS_OT'!$C$4:$C$8,MATCH($I544,'CAT_TIPOS_OT'!$A$4:$A$8,0)),"sin_clasificar"))</f>
        <v/>
      </c>
      <c r="V544" s="5">
        <f>IF($I544="","",IF(IFERROR(INDEX('CAT_TIPOS_OT'!$D$4:$D$8,MATCH($I544,'CAT_TIPOS_OT'!$A$4:$A$8,0)),"SIN CLASIFICAR")="","SIN CLASIFICAR",IFERROR(INDEX('CAT_TIPOS_OT'!$D$4:$D$8,MATCH($I544,'CAT_TIPOS_OT'!$A$4:$A$8,0)),"SIN CLASIFICAR")))</f>
        <v/>
      </c>
      <c r="W544" s="5">
        <f>IF($F544="","",IFERROR(INDEX('CAT_CENTROS_COSTO'!$F$4:$F$13,MATCH($F544,'CAT_CENTROS_COSTO'!$A$4:$A$13,0)),"(sin catálogo)"))</f>
        <v/>
      </c>
      <c r="X544" s="5">
        <f>IF($F544="","",IFERROR(INDEX('CAT_CENTROS_COSTO'!$D$4:$D$13,MATCH($F544,'CAT_CENTROS_COSTO'!$A$4:$A$13,0)),"(sin catálogo)"))</f>
        <v/>
      </c>
      <c r="Y544" s="5">
        <f>IF($F544="","",IF((IFERROR(INDEX('CAT_CENTROS_COSTO'!$E$4:$E$13,MATCH($F544,'CAT_CENTROS_COSTO'!$A$4:$A$13,0)),""))&lt;&gt;"",IFERROR(INDEX('CAT_CENTROS_COSTO'!$E$4:$E$13,MATCH($F544,'CAT_CENTROS_COSTO'!$A$4:$A$13,0)),""),$X544))</f>
        <v/>
      </c>
      <c r="Z544" s="5">
        <f>IF($F544="","",IFERROR(INDEX('CAT_CENTROS_COSTO'!$G$4:$G$13,MATCH($F544,'CAT_CENTROS_COSTO'!$A$4:$A$13,0)),"(sin catálogo)"))</f>
        <v/>
      </c>
      <c r="AA544" s="5">
        <f>IF($G544="","",IFERROR(INDEX('CAT_PUESTOS'!$B$4:$B$8,MATCH($G544,'CAT_PUESTOS'!$A$4:$A$8,0)),"(sin catálogo)"))</f>
        <v/>
      </c>
      <c r="AB544" s="5">
        <f>IF($H544="","",IFERROR(INDEX('CAT_ACTIVIDADES'!$B$4:$B$11,MATCH($H544,'CAT_ACTIVIDADES'!$A$4:$A$11,0)),"(sin catálogo)"))</f>
        <v/>
      </c>
      <c r="AC544" s="20">
        <f>IF($J544="","",TODAY()-$J544)</f>
        <v/>
      </c>
      <c r="AD544" s="20">
        <f>IF($J544="","",IF($J544&lt;=TODAY(),COUNTIFS(cal_fechas,"&gt;="&amp;$J544,cal_fechas,"&lt;"&amp;TODAY(),cal_habil,"sí"),-COUNTIFS(cal_fechas,"&gt;="&amp;TODAY(),cal_fechas,"&lt;"&amp;$J544,cal_habil,"sí")))</f>
        <v/>
      </c>
      <c r="AE544" s="5">
        <f>IF($AD544="","",IF($AD544&lt;0,"FUTURO",IF($AD544&gt;p_dias_backlog_max,"BACKLOG","MES CORRIENTE")))</f>
        <v/>
      </c>
      <c r="AF544" s="5">
        <f>IF($AD544="",FALSE,AND($AD544&gt;p_dias_backlog_min,$AD544&lt;=p_dias_backlog_max))</f>
        <v/>
      </c>
      <c r="AG544" s="4" t="n"/>
      <c r="AH544" s="5">
        <f>IF($AG544="","",IF((IFERROR(INDEX('ASIGNACIONES'!$J$4:$J$451,MATCH($O544&amp;"|"&amp;$S544&amp;"|"&amp;$AG544,'ASIGNACIONES'!$N$4:$N$451,0)),""))=0,"",IFERROR(INDEX('ASIGNACIONES'!$J$4:$J$451,MATCH($O544&amp;"|"&amp;$S544&amp;"|"&amp;$AG544,'ASIGNACIONES'!$N$4:$N$451,0)),"")))</f>
        <v/>
      </c>
      <c r="AI544" s="25">
        <f>IF($AG544="","",SUMIFS('ORDENES'!$M$4:$M$1203,'ORDENES'!$AG$4:$AG$1203,$AG544,'ORDENES'!$O$4:$O$1203,$O544,'ORDENES'!$S$4:$S$1203,$S544))</f>
        <v/>
      </c>
      <c r="AJ544" s="25">
        <f>IF($AI544="","",p_factor_productividad*IFERROR(INDEX('ASIGNACIONES'!$M$4:$M$451,MATCH($O544&amp;"|"&amp;$S544&amp;"|"&amp;$AG544,'ASIGNACIONES'!$N$4:$N$451,0)),0)-$AI544)</f>
        <v/>
      </c>
      <c r="AK544" s="18">
        <f>IF($A544="","",IFERROR(INDEX('2_IMPORTAR_EJECUCION'!$F$9:$F$1208,MATCH($AT544,'2_IMPORTAR_EJECUCION'!$J$9:$J$1208,0)),0))</f>
        <v/>
      </c>
      <c r="AL544" s="18">
        <f>IF($A544="","",MAX(0,IFERROR(INDEX('2_IMPORTAR_EJECUCION'!$H$9:$H$1208,MATCH($AT544,'2_IMPORTAR_EJECUCION'!$J$9:$J$1208,0)),0)-$AK544))</f>
        <v/>
      </c>
      <c r="AM544" s="18">
        <f>IF($A544="","",$AK544+$AL544)</f>
        <v/>
      </c>
      <c r="AN544" s="5">
        <f>IF($A544="","",IF(OR((IFERROR(INDEX('CAT_ACTIVIDADES'!$D$4:$D$11,MATCH($H544,'CAT_ACTIVIDADES'!$A$4:$A$11,0)),""))=0,(IFERROR(INDEX('CAT_ACTIVIDADES'!$D$4:$D$11,MATCH($H544,'CAT_ACTIVIDADES'!$A$4:$A$11,0)),""))=""),"SIN CLASIFICAR",IFERROR(INDEX('CAT_ACTIVIDADES'!$D$4:$D$11,MATCH($H544,'CAT_ACTIVIDADES'!$A$4:$A$11,0)),"")))</f>
        <v/>
      </c>
      <c r="AO544" s="4" t="n"/>
      <c r="AP544" s="4" t="n"/>
      <c r="AQ544" s="4" t="n"/>
      <c r="AR544" s="5">
        <f>IF($AQ544="","",HYPERLINK(p_ruta_base_checklists&amp;$AQ544,"abrir"))</f>
        <v/>
      </c>
      <c r="AS544" s="4" t="n"/>
      <c r="AT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2" t="n"/>
      <c r="K545" s="5" t="n"/>
      <c r="L545" s="18" t="n"/>
      <c r="M545" s="5">
        <f>IF($A545="","",IFERROR(INDEX('AJUSTES'!$B$4:$B$303,MATCH($AT545,'AJUSTES'!$A$4:$A$303,0)),IF($K545="","",$K545)))</f>
        <v/>
      </c>
      <c r="N545" s="5">
        <f>IF($A545="","",IFERROR(INDEX('CAT_ESTADOS_ERP'!$B$4:$B$7,MATCH(IFERROR(INDEX('2_IMPORTAR_EJECUCION'!$C$9:$C$1208,MATCH($AT545,'2_IMPORTAR_EJECUCION'!$J$9:$J$1208,0)),""),'CAT_ESTADOS_ERP'!$A$4:$A$7,0)),"Pendiente"))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IF($J545="","",$P545&amp;"-"&amp;TEXT($Q545,"00"))</f>
        <v/>
      </c>
      <c r="S545" s="5">
        <f>IF($J545="","",INDEX(lista_dias,WEEKDAY($J545,2)))</f>
        <v/>
      </c>
      <c r="T545" s="5">
        <f>IF($J545="","",IFERROR(INDEX('CALENDARIO'!$C$15:$C$214,MATCH(TEXT($J545,"yyyy-mm-dd")&amp;"|"&amp;$X545&amp;"|"&amp;$Y545,'CALENDARIO'!$G$15:$G$214,0)),IFERROR(INDEX('CALENDARIO'!$C$15:$C$214,MATCH(TEXT($J545,"yyyy-mm-dd")&amp;"|"&amp;$X545&amp;"|",'CALENDARIO'!$G$15:$G$214,0)),IFERROR(INDEX('CALENDARIO'!$C$15:$C$214,MATCH(TEXT($J545,"yyyy-mm-dd")&amp;"||",'CALENDARIO'!$G$15:$G$214,0)),INDEX(patronHabil,WEEKDAY($J545,2))))))</f>
        <v/>
      </c>
      <c r="U545" s="5">
        <f>IF($I545="","",IFERROR(INDEX('CAT_TIPOS_OT'!$C$4:$C$8,MATCH($I545,'CAT_TIPOS_OT'!$A$4:$A$8,0)),"sin_clasificar"))</f>
        <v/>
      </c>
      <c r="V545" s="5">
        <f>IF($I545="","",IF(IFERROR(INDEX('CAT_TIPOS_OT'!$D$4:$D$8,MATCH($I545,'CAT_TIPOS_OT'!$A$4:$A$8,0)),"SIN CLASIFICAR")="","SIN CLASIFICAR",IFERROR(INDEX('CAT_TIPOS_OT'!$D$4:$D$8,MATCH($I545,'CAT_TIPOS_OT'!$A$4:$A$8,0)),"SIN CLASIFICAR")))</f>
        <v/>
      </c>
      <c r="W545" s="5">
        <f>IF($F545="","",IFERROR(INDEX('CAT_CENTROS_COSTO'!$F$4:$F$13,MATCH($F545,'CAT_CENTROS_COSTO'!$A$4:$A$13,0)),"(sin catálogo)"))</f>
        <v/>
      </c>
      <c r="X545" s="5">
        <f>IF($F545="","",IFERROR(INDEX('CAT_CENTROS_COSTO'!$D$4:$D$13,MATCH($F545,'CAT_CENTROS_COSTO'!$A$4:$A$13,0)),"(sin catálogo)"))</f>
        <v/>
      </c>
      <c r="Y545" s="5">
        <f>IF($F545="","",IF((IFERROR(INDEX('CAT_CENTROS_COSTO'!$E$4:$E$13,MATCH($F545,'CAT_CENTROS_COSTO'!$A$4:$A$13,0)),""))&lt;&gt;"",IFERROR(INDEX('CAT_CENTROS_COSTO'!$E$4:$E$13,MATCH($F545,'CAT_CENTROS_COSTO'!$A$4:$A$13,0)),""),$X545))</f>
        <v/>
      </c>
      <c r="Z545" s="5">
        <f>IF($F545="","",IFERROR(INDEX('CAT_CENTROS_COSTO'!$G$4:$G$13,MATCH($F545,'CAT_CENTROS_COSTO'!$A$4:$A$13,0)),"(sin catálogo)"))</f>
        <v/>
      </c>
      <c r="AA545" s="5">
        <f>IF($G545="","",IFERROR(INDEX('CAT_PUESTOS'!$B$4:$B$8,MATCH($G545,'CAT_PUESTOS'!$A$4:$A$8,0)),"(sin catálogo)"))</f>
        <v/>
      </c>
      <c r="AB545" s="5">
        <f>IF($H545="","",IFERROR(INDEX('CAT_ACTIVIDADES'!$B$4:$B$11,MATCH($H545,'CAT_ACTIVIDADES'!$A$4:$A$11,0)),"(sin catálogo)"))</f>
        <v/>
      </c>
      <c r="AC545" s="20">
        <f>IF($J545="","",TODAY()-$J545)</f>
        <v/>
      </c>
      <c r="AD545" s="20">
        <f>IF($J545="","",IF($J545&lt;=TODAY(),COUNTIFS(cal_fechas,"&gt;="&amp;$J545,cal_fechas,"&lt;"&amp;TODAY(),cal_habil,"sí"),-COUNTIFS(cal_fechas,"&gt;="&amp;TODAY(),cal_fechas,"&lt;"&amp;$J545,cal_habil,"sí")))</f>
        <v/>
      </c>
      <c r="AE545" s="5">
        <f>IF($AD545="","",IF($AD545&lt;0,"FUTURO",IF($AD545&gt;p_dias_backlog_max,"BACKLOG","MES CORRIENTE")))</f>
        <v/>
      </c>
      <c r="AF545" s="5">
        <f>IF($AD545="",FALSE,AND($AD545&gt;p_dias_backlog_min,$AD545&lt;=p_dias_backlog_max))</f>
        <v/>
      </c>
      <c r="AG545" s="4" t="n"/>
      <c r="AH545" s="5">
        <f>IF($AG545="","",IF((IFERROR(INDEX('ASIGNACIONES'!$J$4:$J$451,MATCH($O545&amp;"|"&amp;$S545&amp;"|"&amp;$AG545,'ASIGNACIONES'!$N$4:$N$451,0)),""))=0,"",IFERROR(INDEX('ASIGNACIONES'!$J$4:$J$451,MATCH($O545&amp;"|"&amp;$S545&amp;"|"&amp;$AG545,'ASIGNACIONES'!$N$4:$N$451,0)),"")))</f>
        <v/>
      </c>
      <c r="AI545" s="25">
        <f>IF($AG545="","",SUMIFS('ORDENES'!$M$4:$M$1203,'ORDENES'!$AG$4:$AG$1203,$AG545,'ORDENES'!$O$4:$O$1203,$O545,'ORDENES'!$S$4:$S$1203,$S545))</f>
        <v/>
      </c>
      <c r="AJ545" s="25">
        <f>IF($AI545="","",p_factor_productividad*IFERROR(INDEX('ASIGNACIONES'!$M$4:$M$451,MATCH($O545&amp;"|"&amp;$S545&amp;"|"&amp;$AG545,'ASIGNACIONES'!$N$4:$N$451,0)),0)-$AI545)</f>
        <v/>
      </c>
      <c r="AK545" s="18">
        <f>IF($A545="","",IFERROR(INDEX('2_IMPORTAR_EJECUCION'!$F$9:$F$1208,MATCH($AT545,'2_IMPORTAR_EJECUCION'!$J$9:$J$1208,0)),0))</f>
        <v/>
      </c>
      <c r="AL545" s="18">
        <f>IF($A545="","",MAX(0,IFERROR(INDEX('2_IMPORTAR_EJECUCION'!$H$9:$H$1208,MATCH($AT545,'2_IMPORTAR_EJECUCION'!$J$9:$J$1208,0)),0)-$AK545))</f>
        <v/>
      </c>
      <c r="AM545" s="18">
        <f>IF($A545="","",$AK545+$AL545)</f>
        <v/>
      </c>
      <c r="AN545" s="5">
        <f>IF($A545="","",IF(OR((IFERROR(INDEX('CAT_ACTIVIDADES'!$D$4:$D$11,MATCH($H545,'CAT_ACTIVIDADES'!$A$4:$A$11,0)),""))=0,(IFERROR(INDEX('CAT_ACTIVIDADES'!$D$4:$D$11,MATCH($H545,'CAT_ACTIVIDADES'!$A$4:$A$11,0)),""))=""),"SIN CLASIFICAR",IFERROR(INDEX('CAT_ACTIVIDADES'!$D$4:$D$11,MATCH($H545,'CAT_ACTIVIDADES'!$A$4:$A$11,0)),"")))</f>
        <v/>
      </c>
      <c r="AO545" s="4" t="n"/>
      <c r="AP545" s="4" t="n"/>
      <c r="AQ545" s="4" t="n"/>
      <c r="AR545" s="5">
        <f>IF($AQ545="","",HYPERLINK(p_ruta_base_checklists&amp;$AQ545,"abrir"))</f>
        <v/>
      </c>
      <c r="AS545" s="4" t="n"/>
      <c r="AT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2" t="n"/>
      <c r="K546" s="5" t="n"/>
      <c r="L546" s="18" t="n"/>
      <c r="M546" s="5">
        <f>IF($A546="","",IFERROR(INDEX('AJUSTES'!$B$4:$B$303,MATCH($AT546,'AJUSTES'!$A$4:$A$303,0)),IF($K546="","",$K546)))</f>
        <v/>
      </c>
      <c r="N546" s="5">
        <f>IF($A546="","",IFERROR(INDEX('CAT_ESTADOS_ERP'!$B$4:$B$7,MATCH(IFERROR(INDEX('2_IMPORTAR_EJECUCION'!$C$9:$C$1208,MATCH($AT546,'2_IMPORTAR_EJECUCION'!$J$9:$J$1208,0)),""),'CAT_ESTADOS_ERP'!$A$4:$A$7,0)),"Pendiente"))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IF($J546="","",$P546&amp;"-"&amp;TEXT($Q546,"00"))</f>
        <v/>
      </c>
      <c r="S546" s="5">
        <f>IF($J546="","",INDEX(lista_dias,WEEKDAY($J546,2)))</f>
        <v/>
      </c>
      <c r="T546" s="5">
        <f>IF($J546="","",IFERROR(INDEX('CALENDARIO'!$C$15:$C$214,MATCH(TEXT($J546,"yyyy-mm-dd")&amp;"|"&amp;$X546&amp;"|"&amp;$Y546,'CALENDARIO'!$G$15:$G$214,0)),IFERROR(INDEX('CALENDARIO'!$C$15:$C$214,MATCH(TEXT($J546,"yyyy-mm-dd")&amp;"|"&amp;$X546&amp;"|",'CALENDARIO'!$G$15:$G$214,0)),IFERROR(INDEX('CALENDARIO'!$C$15:$C$214,MATCH(TEXT($J546,"yyyy-mm-dd")&amp;"||",'CALENDARIO'!$G$15:$G$214,0)),INDEX(patronHabil,WEEKDAY($J546,2))))))</f>
        <v/>
      </c>
      <c r="U546" s="5">
        <f>IF($I546="","",IFERROR(INDEX('CAT_TIPOS_OT'!$C$4:$C$8,MATCH($I546,'CAT_TIPOS_OT'!$A$4:$A$8,0)),"sin_clasificar"))</f>
        <v/>
      </c>
      <c r="V546" s="5">
        <f>IF($I546="","",IF(IFERROR(INDEX('CAT_TIPOS_OT'!$D$4:$D$8,MATCH($I546,'CAT_TIPOS_OT'!$A$4:$A$8,0)),"SIN CLASIFICAR")="","SIN CLASIFICAR",IFERROR(INDEX('CAT_TIPOS_OT'!$D$4:$D$8,MATCH($I546,'CAT_TIPOS_OT'!$A$4:$A$8,0)),"SIN CLASIFICAR")))</f>
        <v/>
      </c>
      <c r="W546" s="5">
        <f>IF($F546="","",IFERROR(INDEX('CAT_CENTROS_COSTO'!$F$4:$F$13,MATCH($F546,'CAT_CENTROS_COSTO'!$A$4:$A$13,0)),"(sin catálogo)"))</f>
        <v/>
      </c>
      <c r="X546" s="5">
        <f>IF($F546="","",IFERROR(INDEX('CAT_CENTROS_COSTO'!$D$4:$D$13,MATCH($F546,'CAT_CENTROS_COSTO'!$A$4:$A$13,0)),"(sin catálogo)"))</f>
        <v/>
      </c>
      <c r="Y546" s="5">
        <f>IF($F546="","",IF((IFERROR(INDEX('CAT_CENTROS_COSTO'!$E$4:$E$13,MATCH($F546,'CAT_CENTROS_COSTO'!$A$4:$A$13,0)),""))&lt;&gt;"",IFERROR(INDEX('CAT_CENTROS_COSTO'!$E$4:$E$13,MATCH($F546,'CAT_CENTROS_COSTO'!$A$4:$A$13,0)),""),$X546))</f>
        <v/>
      </c>
      <c r="Z546" s="5">
        <f>IF($F546="","",IFERROR(INDEX('CAT_CENTROS_COSTO'!$G$4:$G$13,MATCH($F546,'CAT_CENTROS_COSTO'!$A$4:$A$13,0)),"(sin catálogo)"))</f>
        <v/>
      </c>
      <c r="AA546" s="5">
        <f>IF($G546="","",IFERROR(INDEX('CAT_PUESTOS'!$B$4:$B$8,MATCH($G546,'CAT_PUESTOS'!$A$4:$A$8,0)),"(sin catálogo)"))</f>
        <v/>
      </c>
      <c r="AB546" s="5">
        <f>IF($H546="","",IFERROR(INDEX('CAT_ACTIVIDADES'!$B$4:$B$11,MATCH($H546,'CAT_ACTIVIDADES'!$A$4:$A$11,0)),"(sin catálogo)"))</f>
        <v/>
      </c>
      <c r="AC546" s="20">
        <f>IF($J546="","",TODAY()-$J546)</f>
        <v/>
      </c>
      <c r="AD546" s="20">
        <f>IF($J546="","",IF($J546&lt;=TODAY(),COUNTIFS(cal_fechas,"&gt;="&amp;$J546,cal_fechas,"&lt;"&amp;TODAY(),cal_habil,"sí"),-COUNTIFS(cal_fechas,"&gt;="&amp;TODAY(),cal_fechas,"&lt;"&amp;$J546,cal_habil,"sí")))</f>
        <v/>
      </c>
      <c r="AE546" s="5">
        <f>IF($AD546="","",IF($AD546&lt;0,"FUTURO",IF($AD546&gt;p_dias_backlog_max,"BACKLOG","MES CORRIENTE")))</f>
        <v/>
      </c>
      <c r="AF546" s="5">
        <f>IF($AD546="",FALSE,AND($AD546&gt;p_dias_backlog_min,$AD546&lt;=p_dias_backlog_max))</f>
        <v/>
      </c>
      <c r="AG546" s="4" t="n"/>
      <c r="AH546" s="5">
        <f>IF($AG546="","",IF((IFERROR(INDEX('ASIGNACIONES'!$J$4:$J$451,MATCH($O546&amp;"|"&amp;$S546&amp;"|"&amp;$AG546,'ASIGNACIONES'!$N$4:$N$451,0)),""))=0,"",IFERROR(INDEX('ASIGNACIONES'!$J$4:$J$451,MATCH($O546&amp;"|"&amp;$S546&amp;"|"&amp;$AG546,'ASIGNACIONES'!$N$4:$N$451,0)),"")))</f>
        <v/>
      </c>
      <c r="AI546" s="25">
        <f>IF($AG546="","",SUMIFS('ORDENES'!$M$4:$M$1203,'ORDENES'!$AG$4:$AG$1203,$AG546,'ORDENES'!$O$4:$O$1203,$O546,'ORDENES'!$S$4:$S$1203,$S546))</f>
        <v/>
      </c>
      <c r="AJ546" s="25">
        <f>IF($AI546="","",p_factor_productividad*IFERROR(INDEX('ASIGNACIONES'!$M$4:$M$451,MATCH($O546&amp;"|"&amp;$S546&amp;"|"&amp;$AG546,'ASIGNACIONES'!$N$4:$N$451,0)),0)-$AI546)</f>
        <v/>
      </c>
      <c r="AK546" s="18">
        <f>IF($A546="","",IFERROR(INDEX('2_IMPORTAR_EJECUCION'!$F$9:$F$1208,MATCH($AT546,'2_IMPORTAR_EJECUCION'!$J$9:$J$1208,0)),0))</f>
        <v/>
      </c>
      <c r="AL546" s="18">
        <f>IF($A546="","",MAX(0,IFERROR(INDEX('2_IMPORTAR_EJECUCION'!$H$9:$H$1208,MATCH($AT546,'2_IMPORTAR_EJECUCION'!$J$9:$J$1208,0)),0)-$AK546))</f>
        <v/>
      </c>
      <c r="AM546" s="18">
        <f>IF($A546="","",$AK546+$AL546)</f>
        <v/>
      </c>
      <c r="AN546" s="5">
        <f>IF($A546="","",IF(OR((IFERROR(INDEX('CAT_ACTIVIDADES'!$D$4:$D$11,MATCH($H546,'CAT_ACTIVIDADES'!$A$4:$A$11,0)),""))=0,(IFERROR(INDEX('CAT_ACTIVIDADES'!$D$4:$D$11,MATCH($H546,'CAT_ACTIVIDADES'!$A$4:$A$11,0)),""))=""),"SIN CLASIFICAR",IFERROR(INDEX('CAT_ACTIVIDADES'!$D$4:$D$11,MATCH($H546,'CAT_ACTIVIDADES'!$A$4:$A$11,0)),"")))</f>
        <v/>
      </c>
      <c r="AO546" s="4" t="n"/>
      <c r="AP546" s="4" t="n"/>
      <c r="AQ546" s="4" t="n"/>
      <c r="AR546" s="5">
        <f>IF($AQ546="","",HYPERLINK(p_ruta_base_checklists&amp;$AQ546,"abrir"))</f>
        <v/>
      </c>
      <c r="AS546" s="4" t="n"/>
      <c r="AT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2" t="n"/>
      <c r="K547" s="5" t="n"/>
      <c r="L547" s="18" t="n"/>
      <c r="M547" s="5">
        <f>IF($A547="","",IFERROR(INDEX('AJUSTES'!$B$4:$B$303,MATCH($AT547,'AJUSTES'!$A$4:$A$303,0)),IF($K547="","",$K547)))</f>
        <v/>
      </c>
      <c r="N547" s="5">
        <f>IF($A547="","",IFERROR(INDEX('CAT_ESTADOS_ERP'!$B$4:$B$7,MATCH(IFERROR(INDEX('2_IMPORTAR_EJECUCION'!$C$9:$C$1208,MATCH($AT547,'2_IMPORTAR_EJECUCION'!$J$9:$J$1208,0)),""),'CAT_ESTADOS_ERP'!$A$4:$A$7,0)),"Pendiente"))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IF($J547="","",$P547&amp;"-"&amp;TEXT($Q547,"00"))</f>
        <v/>
      </c>
      <c r="S547" s="5">
        <f>IF($J547="","",INDEX(lista_dias,WEEKDAY($J547,2)))</f>
        <v/>
      </c>
      <c r="T547" s="5">
        <f>IF($J547="","",IFERROR(INDEX('CALENDARIO'!$C$15:$C$214,MATCH(TEXT($J547,"yyyy-mm-dd")&amp;"|"&amp;$X547&amp;"|"&amp;$Y547,'CALENDARIO'!$G$15:$G$214,0)),IFERROR(INDEX('CALENDARIO'!$C$15:$C$214,MATCH(TEXT($J547,"yyyy-mm-dd")&amp;"|"&amp;$X547&amp;"|",'CALENDARIO'!$G$15:$G$214,0)),IFERROR(INDEX('CALENDARIO'!$C$15:$C$214,MATCH(TEXT($J547,"yyyy-mm-dd")&amp;"||",'CALENDARIO'!$G$15:$G$214,0)),INDEX(patronHabil,WEEKDAY($J547,2))))))</f>
        <v/>
      </c>
      <c r="U547" s="5">
        <f>IF($I547="","",IFERROR(INDEX('CAT_TIPOS_OT'!$C$4:$C$8,MATCH($I547,'CAT_TIPOS_OT'!$A$4:$A$8,0)),"sin_clasificar"))</f>
        <v/>
      </c>
      <c r="V547" s="5">
        <f>IF($I547="","",IF(IFERROR(INDEX('CAT_TIPOS_OT'!$D$4:$D$8,MATCH($I547,'CAT_TIPOS_OT'!$A$4:$A$8,0)),"SIN CLASIFICAR")="","SIN CLASIFICAR",IFERROR(INDEX('CAT_TIPOS_OT'!$D$4:$D$8,MATCH($I547,'CAT_TIPOS_OT'!$A$4:$A$8,0)),"SIN CLASIFICAR")))</f>
        <v/>
      </c>
      <c r="W547" s="5">
        <f>IF($F547="","",IFERROR(INDEX('CAT_CENTROS_COSTO'!$F$4:$F$13,MATCH($F547,'CAT_CENTROS_COSTO'!$A$4:$A$13,0)),"(sin catálogo)"))</f>
        <v/>
      </c>
      <c r="X547" s="5">
        <f>IF($F547="","",IFERROR(INDEX('CAT_CENTROS_COSTO'!$D$4:$D$13,MATCH($F547,'CAT_CENTROS_COSTO'!$A$4:$A$13,0)),"(sin catálogo)"))</f>
        <v/>
      </c>
      <c r="Y547" s="5">
        <f>IF($F547="","",IF((IFERROR(INDEX('CAT_CENTROS_COSTO'!$E$4:$E$13,MATCH($F547,'CAT_CENTROS_COSTO'!$A$4:$A$13,0)),""))&lt;&gt;"",IFERROR(INDEX('CAT_CENTROS_COSTO'!$E$4:$E$13,MATCH($F547,'CAT_CENTROS_COSTO'!$A$4:$A$13,0)),""),$X547))</f>
        <v/>
      </c>
      <c r="Z547" s="5">
        <f>IF($F547="","",IFERROR(INDEX('CAT_CENTROS_COSTO'!$G$4:$G$13,MATCH($F547,'CAT_CENTROS_COSTO'!$A$4:$A$13,0)),"(sin catálogo)"))</f>
        <v/>
      </c>
      <c r="AA547" s="5">
        <f>IF($G547="","",IFERROR(INDEX('CAT_PUESTOS'!$B$4:$B$8,MATCH($G547,'CAT_PUESTOS'!$A$4:$A$8,0)),"(sin catálogo)"))</f>
        <v/>
      </c>
      <c r="AB547" s="5">
        <f>IF($H547="","",IFERROR(INDEX('CAT_ACTIVIDADES'!$B$4:$B$11,MATCH($H547,'CAT_ACTIVIDADES'!$A$4:$A$11,0)),"(sin catálogo)"))</f>
        <v/>
      </c>
      <c r="AC547" s="20">
        <f>IF($J547="","",TODAY()-$J547)</f>
        <v/>
      </c>
      <c r="AD547" s="20">
        <f>IF($J547="","",IF($J547&lt;=TODAY(),COUNTIFS(cal_fechas,"&gt;="&amp;$J547,cal_fechas,"&lt;"&amp;TODAY(),cal_habil,"sí"),-COUNTIFS(cal_fechas,"&gt;="&amp;TODAY(),cal_fechas,"&lt;"&amp;$J547,cal_habil,"sí")))</f>
        <v/>
      </c>
      <c r="AE547" s="5">
        <f>IF($AD547="","",IF($AD547&lt;0,"FUTURO",IF($AD547&gt;p_dias_backlog_max,"BACKLOG","MES CORRIENTE")))</f>
        <v/>
      </c>
      <c r="AF547" s="5">
        <f>IF($AD547="",FALSE,AND($AD547&gt;p_dias_backlog_min,$AD547&lt;=p_dias_backlog_max))</f>
        <v/>
      </c>
      <c r="AG547" s="4" t="n"/>
      <c r="AH547" s="5">
        <f>IF($AG547="","",IF((IFERROR(INDEX('ASIGNACIONES'!$J$4:$J$451,MATCH($O547&amp;"|"&amp;$S547&amp;"|"&amp;$AG547,'ASIGNACIONES'!$N$4:$N$451,0)),""))=0,"",IFERROR(INDEX('ASIGNACIONES'!$J$4:$J$451,MATCH($O547&amp;"|"&amp;$S547&amp;"|"&amp;$AG547,'ASIGNACIONES'!$N$4:$N$451,0)),"")))</f>
        <v/>
      </c>
      <c r="AI547" s="25">
        <f>IF($AG547="","",SUMIFS('ORDENES'!$M$4:$M$1203,'ORDENES'!$AG$4:$AG$1203,$AG547,'ORDENES'!$O$4:$O$1203,$O547,'ORDENES'!$S$4:$S$1203,$S547))</f>
        <v/>
      </c>
      <c r="AJ547" s="25">
        <f>IF($AI547="","",p_factor_productividad*IFERROR(INDEX('ASIGNACIONES'!$M$4:$M$451,MATCH($O547&amp;"|"&amp;$S547&amp;"|"&amp;$AG547,'ASIGNACIONES'!$N$4:$N$451,0)),0)-$AI547)</f>
        <v/>
      </c>
      <c r="AK547" s="18">
        <f>IF($A547="","",IFERROR(INDEX('2_IMPORTAR_EJECUCION'!$F$9:$F$1208,MATCH($AT547,'2_IMPORTAR_EJECUCION'!$J$9:$J$1208,0)),0))</f>
        <v/>
      </c>
      <c r="AL547" s="18">
        <f>IF($A547="","",MAX(0,IFERROR(INDEX('2_IMPORTAR_EJECUCION'!$H$9:$H$1208,MATCH($AT547,'2_IMPORTAR_EJECUCION'!$J$9:$J$1208,0)),0)-$AK547))</f>
        <v/>
      </c>
      <c r="AM547" s="18">
        <f>IF($A547="","",$AK547+$AL547)</f>
        <v/>
      </c>
      <c r="AN547" s="5">
        <f>IF($A547="","",IF(OR((IFERROR(INDEX('CAT_ACTIVIDADES'!$D$4:$D$11,MATCH($H547,'CAT_ACTIVIDADES'!$A$4:$A$11,0)),""))=0,(IFERROR(INDEX('CAT_ACTIVIDADES'!$D$4:$D$11,MATCH($H547,'CAT_ACTIVIDADES'!$A$4:$A$11,0)),""))=""),"SIN CLASIFICAR",IFERROR(INDEX('CAT_ACTIVIDADES'!$D$4:$D$11,MATCH($H547,'CAT_ACTIVIDADES'!$A$4:$A$11,0)),"")))</f>
        <v/>
      </c>
      <c r="AO547" s="4" t="n"/>
      <c r="AP547" s="4" t="n"/>
      <c r="AQ547" s="4" t="n"/>
      <c r="AR547" s="5">
        <f>IF($AQ547="","",HYPERLINK(p_ruta_base_checklists&amp;$AQ547,"abrir"))</f>
        <v/>
      </c>
      <c r="AS547" s="4" t="n"/>
      <c r="AT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2" t="n"/>
      <c r="K548" s="5" t="n"/>
      <c r="L548" s="18" t="n"/>
      <c r="M548" s="5">
        <f>IF($A548="","",IFERROR(INDEX('AJUSTES'!$B$4:$B$303,MATCH($AT548,'AJUSTES'!$A$4:$A$303,0)),IF($K548="","",$K548)))</f>
        <v/>
      </c>
      <c r="N548" s="5">
        <f>IF($A548="","",IFERROR(INDEX('CAT_ESTADOS_ERP'!$B$4:$B$7,MATCH(IFERROR(INDEX('2_IMPORTAR_EJECUCION'!$C$9:$C$1208,MATCH($AT548,'2_IMPORTAR_EJECUCION'!$J$9:$J$1208,0)),""),'CAT_ESTADOS_ERP'!$A$4:$A$7,0)),"Pendiente"))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IF($J548="","",$P548&amp;"-"&amp;TEXT($Q548,"00"))</f>
        <v/>
      </c>
      <c r="S548" s="5">
        <f>IF($J548="","",INDEX(lista_dias,WEEKDAY($J548,2)))</f>
        <v/>
      </c>
      <c r="T548" s="5">
        <f>IF($J548="","",IFERROR(INDEX('CALENDARIO'!$C$15:$C$214,MATCH(TEXT($J548,"yyyy-mm-dd")&amp;"|"&amp;$X548&amp;"|"&amp;$Y548,'CALENDARIO'!$G$15:$G$214,0)),IFERROR(INDEX('CALENDARIO'!$C$15:$C$214,MATCH(TEXT($J548,"yyyy-mm-dd")&amp;"|"&amp;$X548&amp;"|",'CALENDARIO'!$G$15:$G$214,0)),IFERROR(INDEX('CALENDARIO'!$C$15:$C$214,MATCH(TEXT($J548,"yyyy-mm-dd")&amp;"||",'CALENDARIO'!$G$15:$G$214,0)),INDEX(patronHabil,WEEKDAY($J548,2))))))</f>
        <v/>
      </c>
      <c r="U548" s="5">
        <f>IF($I548="","",IFERROR(INDEX('CAT_TIPOS_OT'!$C$4:$C$8,MATCH($I548,'CAT_TIPOS_OT'!$A$4:$A$8,0)),"sin_clasificar"))</f>
        <v/>
      </c>
      <c r="V548" s="5">
        <f>IF($I548="","",IF(IFERROR(INDEX('CAT_TIPOS_OT'!$D$4:$D$8,MATCH($I548,'CAT_TIPOS_OT'!$A$4:$A$8,0)),"SIN CLASIFICAR")="","SIN CLASIFICAR",IFERROR(INDEX('CAT_TIPOS_OT'!$D$4:$D$8,MATCH($I548,'CAT_TIPOS_OT'!$A$4:$A$8,0)),"SIN CLASIFICAR")))</f>
        <v/>
      </c>
      <c r="W548" s="5">
        <f>IF($F548="","",IFERROR(INDEX('CAT_CENTROS_COSTO'!$F$4:$F$13,MATCH($F548,'CAT_CENTROS_COSTO'!$A$4:$A$13,0)),"(sin catálogo)"))</f>
        <v/>
      </c>
      <c r="X548" s="5">
        <f>IF($F548="","",IFERROR(INDEX('CAT_CENTROS_COSTO'!$D$4:$D$13,MATCH($F548,'CAT_CENTROS_COSTO'!$A$4:$A$13,0)),"(sin catálogo)"))</f>
        <v/>
      </c>
      <c r="Y548" s="5">
        <f>IF($F548="","",IF((IFERROR(INDEX('CAT_CENTROS_COSTO'!$E$4:$E$13,MATCH($F548,'CAT_CENTROS_COSTO'!$A$4:$A$13,0)),""))&lt;&gt;"",IFERROR(INDEX('CAT_CENTROS_COSTO'!$E$4:$E$13,MATCH($F548,'CAT_CENTROS_COSTO'!$A$4:$A$13,0)),""),$X548))</f>
        <v/>
      </c>
      <c r="Z548" s="5">
        <f>IF($F548="","",IFERROR(INDEX('CAT_CENTROS_COSTO'!$G$4:$G$13,MATCH($F548,'CAT_CENTROS_COSTO'!$A$4:$A$13,0)),"(sin catálogo)"))</f>
        <v/>
      </c>
      <c r="AA548" s="5">
        <f>IF($G548="","",IFERROR(INDEX('CAT_PUESTOS'!$B$4:$B$8,MATCH($G548,'CAT_PUESTOS'!$A$4:$A$8,0)),"(sin catálogo)"))</f>
        <v/>
      </c>
      <c r="AB548" s="5">
        <f>IF($H548="","",IFERROR(INDEX('CAT_ACTIVIDADES'!$B$4:$B$11,MATCH($H548,'CAT_ACTIVIDADES'!$A$4:$A$11,0)),"(sin catálogo)"))</f>
        <v/>
      </c>
      <c r="AC548" s="20">
        <f>IF($J548="","",TODAY()-$J548)</f>
        <v/>
      </c>
      <c r="AD548" s="20">
        <f>IF($J548="","",IF($J548&lt;=TODAY(),COUNTIFS(cal_fechas,"&gt;="&amp;$J548,cal_fechas,"&lt;"&amp;TODAY(),cal_habil,"sí"),-COUNTIFS(cal_fechas,"&gt;="&amp;TODAY(),cal_fechas,"&lt;"&amp;$J548,cal_habil,"sí")))</f>
        <v/>
      </c>
      <c r="AE548" s="5">
        <f>IF($AD548="","",IF($AD548&lt;0,"FUTURO",IF($AD548&gt;p_dias_backlog_max,"BACKLOG","MES CORRIENTE")))</f>
        <v/>
      </c>
      <c r="AF548" s="5">
        <f>IF($AD548="",FALSE,AND($AD548&gt;p_dias_backlog_min,$AD548&lt;=p_dias_backlog_max))</f>
        <v/>
      </c>
      <c r="AG548" s="4" t="n"/>
      <c r="AH548" s="5">
        <f>IF($AG548="","",IF((IFERROR(INDEX('ASIGNACIONES'!$J$4:$J$451,MATCH($O548&amp;"|"&amp;$S548&amp;"|"&amp;$AG548,'ASIGNACIONES'!$N$4:$N$451,0)),""))=0,"",IFERROR(INDEX('ASIGNACIONES'!$J$4:$J$451,MATCH($O548&amp;"|"&amp;$S548&amp;"|"&amp;$AG548,'ASIGNACIONES'!$N$4:$N$451,0)),"")))</f>
        <v/>
      </c>
      <c r="AI548" s="25">
        <f>IF($AG548="","",SUMIFS('ORDENES'!$M$4:$M$1203,'ORDENES'!$AG$4:$AG$1203,$AG548,'ORDENES'!$O$4:$O$1203,$O548,'ORDENES'!$S$4:$S$1203,$S548))</f>
        <v/>
      </c>
      <c r="AJ548" s="25">
        <f>IF($AI548="","",p_factor_productividad*IFERROR(INDEX('ASIGNACIONES'!$M$4:$M$451,MATCH($O548&amp;"|"&amp;$S548&amp;"|"&amp;$AG548,'ASIGNACIONES'!$N$4:$N$451,0)),0)-$AI548)</f>
        <v/>
      </c>
      <c r="AK548" s="18">
        <f>IF($A548="","",IFERROR(INDEX('2_IMPORTAR_EJECUCION'!$F$9:$F$1208,MATCH($AT548,'2_IMPORTAR_EJECUCION'!$J$9:$J$1208,0)),0))</f>
        <v/>
      </c>
      <c r="AL548" s="18">
        <f>IF($A548="","",MAX(0,IFERROR(INDEX('2_IMPORTAR_EJECUCION'!$H$9:$H$1208,MATCH($AT548,'2_IMPORTAR_EJECUCION'!$J$9:$J$1208,0)),0)-$AK548))</f>
        <v/>
      </c>
      <c r="AM548" s="18">
        <f>IF($A548="","",$AK548+$AL548)</f>
        <v/>
      </c>
      <c r="AN548" s="5">
        <f>IF($A548="","",IF(OR((IFERROR(INDEX('CAT_ACTIVIDADES'!$D$4:$D$11,MATCH($H548,'CAT_ACTIVIDADES'!$A$4:$A$11,0)),""))=0,(IFERROR(INDEX('CAT_ACTIVIDADES'!$D$4:$D$11,MATCH($H548,'CAT_ACTIVIDADES'!$A$4:$A$11,0)),""))=""),"SIN CLASIFICAR",IFERROR(INDEX('CAT_ACTIVIDADES'!$D$4:$D$11,MATCH($H548,'CAT_ACTIVIDADES'!$A$4:$A$11,0)),"")))</f>
        <v/>
      </c>
      <c r="AO548" s="4" t="n"/>
      <c r="AP548" s="4" t="n"/>
      <c r="AQ548" s="4" t="n"/>
      <c r="AR548" s="5">
        <f>IF($AQ548="","",HYPERLINK(p_ruta_base_checklists&amp;$AQ548,"abrir"))</f>
        <v/>
      </c>
      <c r="AS548" s="4" t="n"/>
      <c r="AT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2" t="n"/>
      <c r="K549" s="5" t="n"/>
      <c r="L549" s="18" t="n"/>
      <c r="M549" s="5">
        <f>IF($A549="","",IFERROR(INDEX('AJUSTES'!$B$4:$B$303,MATCH($AT549,'AJUSTES'!$A$4:$A$303,0)),IF($K549="","",$K549)))</f>
        <v/>
      </c>
      <c r="N549" s="5">
        <f>IF($A549="","",IFERROR(INDEX('CAT_ESTADOS_ERP'!$B$4:$B$7,MATCH(IFERROR(INDEX('2_IMPORTAR_EJECUCION'!$C$9:$C$1208,MATCH($AT549,'2_IMPORTAR_EJECUCION'!$J$9:$J$1208,0)),""),'CAT_ESTADOS_ERP'!$A$4:$A$7,0)),"Pendiente"))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IF($J549="","",$P549&amp;"-"&amp;TEXT($Q549,"00"))</f>
        <v/>
      </c>
      <c r="S549" s="5">
        <f>IF($J549="","",INDEX(lista_dias,WEEKDAY($J549,2)))</f>
        <v/>
      </c>
      <c r="T549" s="5">
        <f>IF($J549="","",IFERROR(INDEX('CALENDARIO'!$C$15:$C$214,MATCH(TEXT($J549,"yyyy-mm-dd")&amp;"|"&amp;$X549&amp;"|"&amp;$Y549,'CALENDARIO'!$G$15:$G$214,0)),IFERROR(INDEX('CALENDARIO'!$C$15:$C$214,MATCH(TEXT($J549,"yyyy-mm-dd")&amp;"|"&amp;$X549&amp;"|",'CALENDARIO'!$G$15:$G$214,0)),IFERROR(INDEX('CALENDARIO'!$C$15:$C$214,MATCH(TEXT($J549,"yyyy-mm-dd")&amp;"||",'CALENDARIO'!$G$15:$G$214,0)),INDEX(patronHabil,WEEKDAY($J549,2))))))</f>
        <v/>
      </c>
      <c r="U549" s="5">
        <f>IF($I549="","",IFERROR(INDEX('CAT_TIPOS_OT'!$C$4:$C$8,MATCH($I549,'CAT_TIPOS_OT'!$A$4:$A$8,0)),"sin_clasificar"))</f>
        <v/>
      </c>
      <c r="V549" s="5">
        <f>IF($I549="","",IF(IFERROR(INDEX('CAT_TIPOS_OT'!$D$4:$D$8,MATCH($I549,'CAT_TIPOS_OT'!$A$4:$A$8,0)),"SIN CLASIFICAR")="","SIN CLASIFICAR",IFERROR(INDEX('CAT_TIPOS_OT'!$D$4:$D$8,MATCH($I549,'CAT_TIPOS_OT'!$A$4:$A$8,0)),"SIN CLASIFICAR")))</f>
        <v/>
      </c>
      <c r="W549" s="5">
        <f>IF($F549="","",IFERROR(INDEX('CAT_CENTROS_COSTO'!$F$4:$F$13,MATCH($F549,'CAT_CENTROS_COSTO'!$A$4:$A$13,0)),"(sin catálogo)"))</f>
        <v/>
      </c>
      <c r="X549" s="5">
        <f>IF($F549="","",IFERROR(INDEX('CAT_CENTROS_COSTO'!$D$4:$D$13,MATCH($F549,'CAT_CENTROS_COSTO'!$A$4:$A$13,0)),"(sin catálogo)"))</f>
        <v/>
      </c>
      <c r="Y549" s="5">
        <f>IF($F549="","",IF((IFERROR(INDEX('CAT_CENTROS_COSTO'!$E$4:$E$13,MATCH($F549,'CAT_CENTROS_COSTO'!$A$4:$A$13,0)),""))&lt;&gt;"",IFERROR(INDEX('CAT_CENTROS_COSTO'!$E$4:$E$13,MATCH($F549,'CAT_CENTROS_COSTO'!$A$4:$A$13,0)),""),$X549))</f>
        <v/>
      </c>
      <c r="Z549" s="5">
        <f>IF($F549="","",IFERROR(INDEX('CAT_CENTROS_COSTO'!$G$4:$G$13,MATCH($F549,'CAT_CENTROS_COSTO'!$A$4:$A$13,0)),"(sin catálogo)"))</f>
        <v/>
      </c>
      <c r="AA549" s="5">
        <f>IF($G549="","",IFERROR(INDEX('CAT_PUESTOS'!$B$4:$B$8,MATCH($G549,'CAT_PUESTOS'!$A$4:$A$8,0)),"(sin catálogo)"))</f>
        <v/>
      </c>
      <c r="AB549" s="5">
        <f>IF($H549="","",IFERROR(INDEX('CAT_ACTIVIDADES'!$B$4:$B$11,MATCH($H549,'CAT_ACTIVIDADES'!$A$4:$A$11,0)),"(sin catálogo)"))</f>
        <v/>
      </c>
      <c r="AC549" s="20">
        <f>IF($J549="","",TODAY()-$J549)</f>
        <v/>
      </c>
      <c r="AD549" s="20">
        <f>IF($J549="","",IF($J549&lt;=TODAY(),COUNTIFS(cal_fechas,"&gt;="&amp;$J549,cal_fechas,"&lt;"&amp;TODAY(),cal_habil,"sí"),-COUNTIFS(cal_fechas,"&gt;="&amp;TODAY(),cal_fechas,"&lt;"&amp;$J549,cal_habil,"sí")))</f>
        <v/>
      </c>
      <c r="AE549" s="5">
        <f>IF($AD549="","",IF($AD549&lt;0,"FUTURO",IF($AD549&gt;p_dias_backlog_max,"BACKLOG","MES CORRIENTE")))</f>
        <v/>
      </c>
      <c r="AF549" s="5">
        <f>IF($AD549="",FALSE,AND($AD549&gt;p_dias_backlog_min,$AD549&lt;=p_dias_backlog_max))</f>
        <v/>
      </c>
      <c r="AG549" s="4" t="n"/>
      <c r="AH549" s="5">
        <f>IF($AG549="","",IF((IFERROR(INDEX('ASIGNACIONES'!$J$4:$J$451,MATCH($O549&amp;"|"&amp;$S549&amp;"|"&amp;$AG549,'ASIGNACIONES'!$N$4:$N$451,0)),""))=0,"",IFERROR(INDEX('ASIGNACIONES'!$J$4:$J$451,MATCH($O549&amp;"|"&amp;$S549&amp;"|"&amp;$AG549,'ASIGNACIONES'!$N$4:$N$451,0)),"")))</f>
        <v/>
      </c>
      <c r="AI549" s="25">
        <f>IF($AG549="","",SUMIFS('ORDENES'!$M$4:$M$1203,'ORDENES'!$AG$4:$AG$1203,$AG549,'ORDENES'!$O$4:$O$1203,$O549,'ORDENES'!$S$4:$S$1203,$S549))</f>
        <v/>
      </c>
      <c r="AJ549" s="25">
        <f>IF($AI549="","",p_factor_productividad*IFERROR(INDEX('ASIGNACIONES'!$M$4:$M$451,MATCH($O549&amp;"|"&amp;$S549&amp;"|"&amp;$AG549,'ASIGNACIONES'!$N$4:$N$451,0)),0)-$AI549)</f>
        <v/>
      </c>
      <c r="AK549" s="18">
        <f>IF($A549="","",IFERROR(INDEX('2_IMPORTAR_EJECUCION'!$F$9:$F$1208,MATCH($AT549,'2_IMPORTAR_EJECUCION'!$J$9:$J$1208,0)),0))</f>
        <v/>
      </c>
      <c r="AL549" s="18">
        <f>IF($A549="","",MAX(0,IFERROR(INDEX('2_IMPORTAR_EJECUCION'!$H$9:$H$1208,MATCH($AT549,'2_IMPORTAR_EJECUCION'!$J$9:$J$1208,0)),0)-$AK549))</f>
        <v/>
      </c>
      <c r="AM549" s="18">
        <f>IF($A549="","",$AK549+$AL549)</f>
        <v/>
      </c>
      <c r="AN549" s="5">
        <f>IF($A549="","",IF(OR((IFERROR(INDEX('CAT_ACTIVIDADES'!$D$4:$D$11,MATCH($H549,'CAT_ACTIVIDADES'!$A$4:$A$11,0)),""))=0,(IFERROR(INDEX('CAT_ACTIVIDADES'!$D$4:$D$11,MATCH($H549,'CAT_ACTIVIDADES'!$A$4:$A$11,0)),""))=""),"SIN CLASIFICAR",IFERROR(INDEX('CAT_ACTIVIDADES'!$D$4:$D$11,MATCH($H549,'CAT_ACTIVIDADES'!$A$4:$A$11,0)),"")))</f>
        <v/>
      </c>
      <c r="AO549" s="4" t="n"/>
      <c r="AP549" s="4" t="n"/>
      <c r="AQ549" s="4" t="n"/>
      <c r="AR549" s="5">
        <f>IF($AQ549="","",HYPERLINK(p_ruta_base_checklists&amp;$AQ549,"abrir"))</f>
        <v/>
      </c>
      <c r="AS549" s="4" t="n"/>
      <c r="AT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2" t="n"/>
      <c r="K550" s="5" t="n"/>
      <c r="L550" s="18" t="n"/>
      <c r="M550" s="5">
        <f>IF($A550="","",IFERROR(INDEX('AJUSTES'!$B$4:$B$303,MATCH($AT550,'AJUSTES'!$A$4:$A$303,0)),IF($K550="","",$K550)))</f>
        <v/>
      </c>
      <c r="N550" s="5">
        <f>IF($A550="","",IFERROR(INDEX('CAT_ESTADOS_ERP'!$B$4:$B$7,MATCH(IFERROR(INDEX('2_IMPORTAR_EJECUCION'!$C$9:$C$1208,MATCH($AT550,'2_IMPORTAR_EJECUCION'!$J$9:$J$1208,0)),""),'CAT_ESTADOS_ERP'!$A$4:$A$7,0)),"Pendiente"))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IF($J550="","",$P550&amp;"-"&amp;TEXT($Q550,"00"))</f>
        <v/>
      </c>
      <c r="S550" s="5">
        <f>IF($J550="","",INDEX(lista_dias,WEEKDAY($J550,2)))</f>
        <v/>
      </c>
      <c r="T550" s="5">
        <f>IF($J550="","",IFERROR(INDEX('CALENDARIO'!$C$15:$C$214,MATCH(TEXT($J550,"yyyy-mm-dd")&amp;"|"&amp;$X550&amp;"|"&amp;$Y550,'CALENDARIO'!$G$15:$G$214,0)),IFERROR(INDEX('CALENDARIO'!$C$15:$C$214,MATCH(TEXT($J550,"yyyy-mm-dd")&amp;"|"&amp;$X550&amp;"|",'CALENDARIO'!$G$15:$G$214,0)),IFERROR(INDEX('CALENDARIO'!$C$15:$C$214,MATCH(TEXT($J550,"yyyy-mm-dd")&amp;"||",'CALENDARIO'!$G$15:$G$214,0)),INDEX(patronHabil,WEEKDAY($J550,2))))))</f>
        <v/>
      </c>
      <c r="U550" s="5">
        <f>IF($I550="","",IFERROR(INDEX('CAT_TIPOS_OT'!$C$4:$C$8,MATCH($I550,'CAT_TIPOS_OT'!$A$4:$A$8,0)),"sin_clasificar"))</f>
        <v/>
      </c>
      <c r="V550" s="5">
        <f>IF($I550="","",IF(IFERROR(INDEX('CAT_TIPOS_OT'!$D$4:$D$8,MATCH($I550,'CAT_TIPOS_OT'!$A$4:$A$8,0)),"SIN CLASIFICAR")="","SIN CLASIFICAR",IFERROR(INDEX('CAT_TIPOS_OT'!$D$4:$D$8,MATCH($I550,'CAT_TIPOS_OT'!$A$4:$A$8,0)),"SIN CLASIFICAR")))</f>
        <v/>
      </c>
      <c r="W550" s="5">
        <f>IF($F550="","",IFERROR(INDEX('CAT_CENTROS_COSTO'!$F$4:$F$13,MATCH($F550,'CAT_CENTROS_COSTO'!$A$4:$A$13,0)),"(sin catálogo)"))</f>
        <v/>
      </c>
      <c r="X550" s="5">
        <f>IF($F550="","",IFERROR(INDEX('CAT_CENTROS_COSTO'!$D$4:$D$13,MATCH($F550,'CAT_CENTROS_COSTO'!$A$4:$A$13,0)),"(sin catálogo)"))</f>
        <v/>
      </c>
      <c r="Y550" s="5">
        <f>IF($F550="","",IF((IFERROR(INDEX('CAT_CENTROS_COSTO'!$E$4:$E$13,MATCH($F550,'CAT_CENTROS_COSTO'!$A$4:$A$13,0)),""))&lt;&gt;"",IFERROR(INDEX('CAT_CENTROS_COSTO'!$E$4:$E$13,MATCH($F550,'CAT_CENTROS_COSTO'!$A$4:$A$13,0)),""),$X550))</f>
        <v/>
      </c>
      <c r="Z550" s="5">
        <f>IF($F550="","",IFERROR(INDEX('CAT_CENTROS_COSTO'!$G$4:$G$13,MATCH($F550,'CAT_CENTROS_COSTO'!$A$4:$A$13,0)),"(sin catálogo)"))</f>
        <v/>
      </c>
      <c r="AA550" s="5">
        <f>IF($G550="","",IFERROR(INDEX('CAT_PUESTOS'!$B$4:$B$8,MATCH($G550,'CAT_PUESTOS'!$A$4:$A$8,0)),"(sin catálogo)"))</f>
        <v/>
      </c>
      <c r="AB550" s="5">
        <f>IF($H550="","",IFERROR(INDEX('CAT_ACTIVIDADES'!$B$4:$B$11,MATCH($H550,'CAT_ACTIVIDADES'!$A$4:$A$11,0)),"(sin catálogo)"))</f>
        <v/>
      </c>
      <c r="AC550" s="20">
        <f>IF($J550="","",TODAY()-$J550)</f>
        <v/>
      </c>
      <c r="AD550" s="20">
        <f>IF($J550="","",IF($J550&lt;=TODAY(),COUNTIFS(cal_fechas,"&gt;="&amp;$J550,cal_fechas,"&lt;"&amp;TODAY(),cal_habil,"sí"),-COUNTIFS(cal_fechas,"&gt;="&amp;TODAY(),cal_fechas,"&lt;"&amp;$J550,cal_habil,"sí")))</f>
        <v/>
      </c>
      <c r="AE550" s="5">
        <f>IF($AD550="","",IF($AD550&lt;0,"FUTURO",IF($AD550&gt;p_dias_backlog_max,"BACKLOG","MES CORRIENTE")))</f>
        <v/>
      </c>
      <c r="AF550" s="5">
        <f>IF($AD550="",FALSE,AND($AD550&gt;p_dias_backlog_min,$AD550&lt;=p_dias_backlog_max))</f>
        <v/>
      </c>
      <c r="AG550" s="4" t="n"/>
      <c r="AH550" s="5">
        <f>IF($AG550="","",IF((IFERROR(INDEX('ASIGNACIONES'!$J$4:$J$451,MATCH($O550&amp;"|"&amp;$S550&amp;"|"&amp;$AG550,'ASIGNACIONES'!$N$4:$N$451,0)),""))=0,"",IFERROR(INDEX('ASIGNACIONES'!$J$4:$J$451,MATCH($O550&amp;"|"&amp;$S550&amp;"|"&amp;$AG550,'ASIGNACIONES'!$N$4:$N$451,0)),"")))</f>
        <v/>
      </c>
      <c r="AI550" s="25">
        <f>IF($AG550="","",SUMIFS('ORDENES'!$M$4:$M$1203,'ORDENES'!$AG$4:$AG$1203,$AG550,'ORDENES'!$O$4:$O$1203,$O550,'ORDENES'!$S$4:$S$1203,$S550))</f>
        <v/>
      </c>
      <c r="AJ550" s="25">
        <f>IF($AI550="","",p_factor_productividad*IFERROR(INDEX('ASIGNACIONES'!$M$4:$M$451,MATCH($O550&amp;"|"&amp;$S550&amp;"|"&amp;$AG550,'ASIGNACIONES'!$N$4:$N$451,0)),0)-$AI550)</f>
        <v/>
      </c>
      <c r="AK550" s="18">
        <f>IF($A550="","",IFERROR(INDEX('2_IMPORTAR_EJECUCION'!$F$9:$F$1208,MATCH($AT550,'2_IMPORTAR_EJECUCION'!$J$9:$J$1208,0)),0))</f>
        <v/>
      </c>
      <c r="AL550" s="18">
        <f>IF($A550="","",MAX(0,IFERROR(INDEX('2_IMPORTAR_EJECUCION'!$H$9:$H$1208,MATCH($AT550,'2_IMPORTAR_EJECUCION'!$J$9:$J$1208,0)),0)-$AK550))</f>
        <v/>
      </c>
      <c r="AM550" s="18">
        <f>IF($A550="","",$AK550+$AL550)</f>
        <v/>
      </c>
      <c r="AN550" s="5">
        <f>IF($A550="","",IF(OR((IFERROR(INDEX('CAT_ACTIVIDADES'!$D$4:$D$11,MATCH($H550,'CAT_ACTIVIDADES'!$A$4:$A$11,0)),""))=0,(IFERROR(INDEX('CAT_ACTIVIDADES'!$D$4:$D$11,MATCH($H550,'CAT_ACTIVIDADES'!$A$4:$A$11,0)),""))=""),"SIN CLASIFICAR",IFERROR(INDEX('CAT_ACTIVIDADES'!$D$4:$D$11,MATCH($H550,'CAT_ACTIVIDADES'!$A$4:$A$11,0)),"")))</f>
        <v/>
      </c>
      <c r="AO550" s="4" t="n"/>
      <c r="AP550" s="4" t="n"/>
      <c r="AQ550" s="4" t="n"/>
      <c r="AR550" s="5">
        <f>IF($AQ550="","",HYPERLINK(p_ruta_base_checklists&amp;$AQ550,"abrir"))</f>
        <v/>
      </c>
      <c r="AS550" s="4" t="n"/>
      <c r="AT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2" t="n"/>
      <c r="K551" s="5" t="n"/>
      <c r="L551" s="18" t="n"/>
      <c r="M551" s="5">
        <f>IF($A551="","",IFERROR(INDEX('AJUSTES'!$B$4:$B$303,MATCH($AT551,'AJUSTES'!$A$4:$A$303,0)),IF($K551="","",$K551)))</f>
        <v/>
      </c>
      <c r="N551" s="5">
        <f>IF($A551="","",IFERROR(INDEX('CAT_ESTADOS_ERP'!$B$4:$B$7,MATCH(IFERROR(INDEX('2_IMPORTAR_EJECUCION'!$C$9:$C$1208,MATCH($AT551,'2_IMPORTAR_EJECUCION'!$J$9:$J$1208,0)),""),'CAT_ESTADOS_ERP'!$A$4:$A$7,0)),"Pendiente"))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IF($J551="","",$P551&amp;"-"&amp;TEXT($Q551,"00"))</f>
        <v/>
      </c>
      <c r="S551" s="5">
        <f>IF($J551="","",INDEX(lista_dias,WEEKDAY($J551,2)))</f>
        <v/>
      </c>
      <c r="T551" s="5">
        <f>IF($J551="","",IFERROR(INDEX('CALENDARIO'!$C$15:$C$214,MATCH(TEXT($J551,"yyyy-mm-dd")&amp;"|"&amp;$X551&amp;"|"&amp;$Y551,'CALENDARIO'!$G$15:$G$214,0)),IFERROR(INDEX('CALENDARIO'!$C$15:$C$214,MATCH(TEXT($J551,"yyyy-mm-dd")&amp;"|"&amp;$X551&amp;"|",'CALENDARIO'!$G$15:$G$214,0)),IFERROR(INDEX('CALENDARIO'!$C$15:$C$214,MATCH(TEXT($J551,"yyyy-mm-dd")&amp;"||",'CALENDARIO'!$G$15:$G$214,0)),INDEX(patronHabil,WEEKDAY($J551,2))))))</f>
        <v/>
      </c>
      <c r="U551" s="5">
        <f>IF($I551="","",IFERROR(INDEX('CAT_TIPOS_OT'!$C$4:$C$8,MATCH($I551,'CAT_TIPOS_OT'!$A$4:$A$8,0)),"sin_clasificar"))</f>
        <v/>
      </c>
      <c r="V551" s="5">
        <f>IF($I551="","",IF(IFERROR(INDEX('CAT_TIPOS_OT'!$D$4:$D$8,MATCH($I551,'CAT_TIPOS_OT'!$A$4:$A$8,0)),"SIN CLASIFICAR")="","SIN CLASIFICAR",IFERROR(INDEX('CAT_TIPOS_OT'!$D$4:$D$8,MATCH($I551,'CAT_TIPOS_OT'!$A$4:$A$8,0)),"SIN CLASIFICAR")))</f>
        <v/>
      </c>
      <c r="W551" s="5">
        <f>IF($F551="","",IFERROR(INDEX('CAT_CENTROS_COSTO'!$F$4:$F$13,MATCH($F551,'CAT_CENTROS_COSTO'!$A$4:$A$13,0)),"(sin catálogo)"))</f>
        <v/>
      </c>
      <c r="X551" s="5">
        <f>IF($F551="","",IFERROR(INDEX('CAT_CENTROS_COSTO'!$D$4:$D$13,MATCH($F551,'CAT_CENTROS_COSTO'!$A$4:$A$13,0)),"(sin catálogo)"))</f>
        <v/>
      </c>
      <c r="Y551" s="5">
        <f>IF($F551="","",IF((IFERROR(INDEX('CAT_CENTROS_COSTO'!$E$4:$E$13,MATCH($F551,'CAT_CENTROS_COSTO'!$A$4:$A$13,0)),""))&lt;&gt;"",IFERROR(INDEX('CAT_CENTROS_COSTO'!$E$4:$E$13,MATCH($F551,'CAT_CENTROS_COSTO'!$A$4:$A$13,0)),""),$X551))</f>
        <v/>
      </c>
      <c r="Z551" s="5">
        <f>IF($F551="","",IFERROR(INDEX('CAT_CENTROS_COSTO'!$G$4:$G$13,MATCH($F551,'CAT_CENTROS_COSTO'!$A$4:$A$13,0)),"(sin catálogo)"))</f>
        <v/>
      </c>
      <c r="AA551" s="5">
        <f>IF($G551="","",IFERROR(INDEX('CAT_PUESTOS'!$B$4:$B$8,MATCH($G551,'CAT_PUESTOS'!$A$4:$A$8,0)),"(sin catálogo)"))</f>
        <v/>
      </c>
      <c r="AB551" s="5">
        <f>IF($H551="","",IFERROR(INDEX('CAT_ACTIVIDADES'!$B$4:$B$11,MATCH($H551,'CAT_ACTIVIDADES'!$A$4:$A$11,0)),"(sin catálogo)"))</f>
        <v/>
      </c>
      <c r="AC551" s="20">
        <f>IF($J551="","",TODAY()-$J551)</f>
        <v/>
      </c>
      <c r="AD551" s="20">
        <f>IF($J551="","",IF($J551&lt;=TODAY(),COUNTIFS(cal_fechas,"&gt;="&amp;$J551,cal_fechas,"&lt;"&amp;TODAY(),cal_habil,"sí"),-COUNTIFS(cal_fechas,"&gt;="&amp;TODAY(),cal_fechas,"&lt;"&amp;$J551,cal_habil,"sí")))</f>
        <v/>
      </c>
      <c r="AE551" s="5">
        <f>IF($AD551="","",IF($AD551&lt;0,"FUTURO",IF($AD551&gt;p_dias_backlog_max,"BACKLOG","MES CORRIENTE")))</f>
        <v/>
      </c>
      <c r="AF551" s="5">
        <f>IF($AD551="",FALSE,AND($AD551&gt;p_dias_backlog_min,$AD551&lt;=p_dias_backlog_max))</f>
        <v/>
      </c>
      <c r="AG551" s="4" t="n"/>
      <c r="AH551" s="5">
        <f>IF($AG551="","",IF((IFERROR(INDEX('ASIGNACIONES'!$J$4:$J$451,MATCH($O551&amp;"|"&amp;$S551&amp;"|"&amp;$AG551,'ASIGNACIONES'!$N$4:$N$451,0)),""))=0,"",IFERROR(INDEX('ASIGNACIONES'!$J$4:$J$451,MATCH($O551&amp;"|"&amp;$S551&amp;"|"&amp;$AG551,'ASIGNACIONES'!$N$4:$N$451,0)),"")))</f>
        <v/>
      </c>
      <c r="AI551" s="25">
        <f>IF($AG551="","",SUMIFS('ORDENES'!$M$4:$M$1203,'ORDENES'!$AG$4:$AG$1203,$AG551,'ORDENES'!$O$4:$O$1203,$O551,'ORDENES'!$S$4:$S$1203,$S551))</f>
        <v/>
      </c>
      <c r="AJ551" s="25">
        <f>IF($AI551="","",p_factor_productividad*IFERROR(INDEX('ASIGNACIONES'!$M$4:$M$451,MATCH($O551&amp;"|"&amp;$S551&amp;"|"&amp;$AG551,'ASIGNACIONES'!$N$4:$N$451,0)),0)-$AI551)</f>
        <v/>
      </c>
      <c r="AK551" s="18">
        <f>IF($A551="","",IFERROR(INDEX('2_IMPORTAR_EJECUCION'!$F$9:$F$1208,MATCH($AT551,'2_IMPORTAR_EJECUCION'!$J$9:$J$1208,0)),0))</f>
        <v/>
      </c>
      <c r="AL551" s="18">
        <f>IF($A551="","",MAX(0,IFERROR(INDEX('2_IMPORTAR_EJECUCION'!$H$9:$H$1208,MATCH($AT551,'2_IMPORTAR_EJECUCION'!$J$9:$J$1208,0)),0)-$AK551))</f>
        <v/>
      </c>
      <c r="AM551" s="18">
        <f>IF($A551="","",$AK551+$AL551)</f>
        <v/>
      </c>
      <c r="AN551" s="5">
        <f>IF($A551="","",IF(OR((IFERROR(INDEX('CAT_ACTIVIDADES'!$D$4:$D$11,MATCH($H551,'CAT_ACTIVIDADES'!$A$4:$A$11,0)),""))=0,(IFERROR(INDEX('CAT_ACTIVIDADES'!$D$4:$D$11,MATCH($H551,'CAT_ACTIVIDADES'!$A$4:$A$11,0)),""))=""),"SIN CLASIFICAR",IFERROR(INDEX('CAT_ACTIVIDADES'!$D$4:$D$11,MATCH($H551,'CAT_ACTIVIDADES'!$A$4:$A$11,0)),"")))</f>
        <v/>
      </c>
      <c r="AO551" s="4" t="n"/>
      <c r="AP551" s="4" t="n"/>
      <c r="AQ551" s="4" t="n"/>
      <c r="AR551" s="5">
        <f>IF($AQ551="","",HYPERLINK(p_ruta_base_checklists&amp;$AQ551,"abrir"))</f>
        <v/>
      </c>
      <c r="AS551" s="4" t="n"/>
      <c r="AT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2" t="n"/>
      <c r="K552" s="5" t="n"/>
      <c r="L552" s="18" t="n"/>
      <c r="M552" s="5">
        <f>IF($A552="","",IFERROR(INDEX('AJUSTES'!$B$4:$B$303,MATCH($AT552,'AJUSTES'!$A$4:$A$303,0)),IF($K552="","",$K552)))</f>
        <v/>
      </c>
      <c r="N552" s="5">
        <f>IF($A552="","",IFERROR(INDEX('CAT_ESTADOS_ERP'!$B$4:$B$7,MATCH(IFERROR(INDEX('2_IMPORTAR_EJECUCION'!$C$9:$C$1208,MATCH($AT552,'2_IMPORTAR_EJECUCION'!$J$9:$J$1208,0)),""),'CAT_ESTADOS_ERP'!$A$4:$A$7,0)),"Pendiente"))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IF($J552="","",$P552&amp;"-"&amp;TEXT($Q552,"00"))</f>
        <v/>
      </c>
      <c r="S552" s="5">
        <f>IF($J552="","",INDEX(lista_dias,WEEKDAY($J552,2)))</f>
        <v/>
      </c>
      <c r="T552" s="5">
        <f>IF($J552="","",IFERROR(INDEX('CALENDARIO'!$C$15:$C$214,MATCH(TEXT($J552,"yyyy-mm-dd")&amp;"|"&amp;$X552&amp;"|"&amp;$Y552,'CALENDARIO'!$G$15:$G$214,0)),IFERROR(INDEX('CALENDARIO'!$C$15:$C$214,MATCH(TEXT($J552,"yyyy-mm-dd")&amp;"|"&amp;$X552&amp;"|",'CALENDARIO'!$G$15:$G$214,0)),IFERROR(INDEX('CALENDARIO'!$C$15:$C$214,MATCH(TEXT($J552,"yyyy-mm-dd")&amp;"||",'CALENDARIO'!$G$15:$G$214,0)),INDEX(patronHabil,WEEKDAY($J552,2))))))</f>
        <v/>
      </c>
      <c r="U552" s="5">
        <f>IF($I552="","",IFERROR(INDEX('CAT_TIPOS_OT'!$C$4:$C$8,MATCH($I552,'CAT_TIPOS_OT'!$A$4:$A$8,0)),"sin_clasificar"))</f>
        <v/>
      </c>
      <c r="V552" s="5">
        <f>IF($I552="","",IF(IFERROR(INDEX('CAT_TIPOS_OT'!$D$4:$D$8,MATCH($I552,'CAT_TIPOS_OT'!$A$4:$A$8,0)),"SIN CLASIFICAR")="","SIN CLASIFICAR",IFERROR(INDEX('CAT_TIPOS_OT'!$D$4:$D$8,MATCH($I552,'CAT_TIPOS_OT'!$A$4:$A$8,0)),"SIN CLASIFICAR")))</f>
        <v/>
      </c>
      <c r="W552" s="5">
        <f>IF($F552="","",IFERROR(INDEX('CAT_CENTROS_COSTO'!$F$4:$F$13,MATCH($F552,'CAT_CENTROS_COSTO'!$A$4:$A$13,0)),"(sin catálogo)"))</f>
        <v/>
      </c>
      <c r="X552" s="5">
        <f>IF($F552="","",IFERROR(INDEX('CAT_CENTROS_COSTO'!$D$4:$D$13,MATCH($F552,'CAT_CENTROS_COSTO'!$A$4:$A$13,0)),"(sin catálogo)"))</f>
        <v/>
      </c>
      <c r="Y552" s="5">
        <f>IF($F552="","",IF((IFERROR(INDEX('CAT_CENTROS_COSTO'!$E$4:$E$13,MATCH($F552,'CAT_CENTROS_COSTO'!$A$4:$A$13,0)),""))&lt;&gt;"",IFERROR(INDEX('CAT_CENTROS_COSTO'!$E$4:$E$13,MATCH($F552,'CAT_CENTROS_COSTO'!$A$4:$A$13,0)),""),$X552))</f>
        <v/>
      </c>
      <c r="Z552" s="5">
        <f>IF($F552="","",IFERROR(INDEX('CAT_CENTROS_COSTO'!$G$4:$G$13,MATCH($F552,'CAT_CENTROS_COSTO'!$A$4:$A$13,0)),"(sin catálogo)"))</f>
        <v/>
      </c>
      <c r="AA552" s="5">
        <f>IF($G552="","",IFERROR(INDEX('CAT_PUESTOS'!$B$4:$B$8,MATCH($G552,'CAT_PUESTOS'!$A$4:$A$8,0)),"(sin catálogo)"))</f>
        <v/>
      </c>
      <c r="AB552" s="5">
        <f>IF($H552="","",IFERROR(INDEX('CAT_ACTIVIDADES'!$B$4:$B$11,MATCH($H552,'CAT_ACTIVIDADES'!$A$4:$A$11,0)),"(sin catálogo)"))</f>
        <v/>
      </c>
      <c r="AC552" s="20">
        <f>IF($J552="","",TODAY()-$J552)</f>
        <v/>
      </c>
      <c r="AD552" s="20">
        <f>IF($J552="","",IF($J552&lt;=TODAY(),COUNTIFS(cal_fechas,"&gt;="&amp;$J552,cal_fechas,"&lt;"&amp;TODAY(),cal_habil,"sí"),-COUNTIFS(cal_fechas,"&gt;="&amp;TODAY(),cal_fechas,"&lt;"&amp;$J552,cal_habil,"sí")))</f>
        <v/>
      </c>
      <c r="AE552" s="5">
        <f>IF($AD552="","",IF($AD552&lt;0,"FUTURO",IF($AD552&gt;p_dias_backlog_max,"BACKLOG","MES CORRIENTE")))</f>
        <v/>
      </c>
      <c r="AF552" s="5">
        <f>IF($AD552="",FALSE,AND($AD552&gt;p_dias_backlog_min,$AD552&lt;=p_dias_backlog_max))</f>
        <v/>
      </c>
      <c r="AG552" s="4" t="n"/>
      <c r="AH552" s="5">
        <f>IF($AG552="","",IF((IFERROR(INDEX('ASIGNACIONES'!$J$4:$J$451,MATCH($O552&amp;"|"&amp;$S552&amp;"|"&amp;$AG552,'ASIGNACIONES'!$N$4:$N$451,0)),""))=0,"",IFERROR(INDEX('ASIGNACIONES'!$J$4:$J$451,MATCH($O552&amp;"|"&amp;$S552&amp;"|"&amp;$AG552,'ASIGNACIONES'!$N$4:$N$451,0)),"")))</f>
        <v/>
      </c>
      <c r="AI552" s="25">
        <f>IF($AG552="","",SUMIFS('ORDENES'!$M$4:$M$1203,'ORDENES'!$AG$4:$AG$1203,$AG552,'ORDENES'!$O$4:$O$1203,$O552,'ORDENES'!$S$4:$S$1203,$S552))</f>
        <v/>
      </c>
      <c r="AJ552" s="25">
        <f>IF($AI552="","",p_factor_productividad*IFERROR(INDEX('ASIGNACIONES'!$M$4:$M$451,MATCH($O552&amp;"|"&amp;$S552&amp;"|"&amp;$AG552,'ASIGNACIONES'!$N$4:$N$451,0)),0)-$AI552)</f>
        <v/>
      </c>
      <c r="AK552" s="18">
        <f>IF($A552="","",IFERROR(INDEX('2_IMPORTAR_EJECUCION'!$F$9:$F$1208,MATCH($AT552,'2_IMPORTAR_EJECUCION'!$J$9:$J$1208,0)),0))</f>
        <v/>
      </c>
      <c r="AL552" s="18">
        <f>IF($A552="","",MAX(0,IFERROR(INDEX('2_IMPORTAR_EJECUCION'!$H$9:$H$1208,MATCH($AT552,'2_IMPORTAR_EJECUCION'!$J$9:$J$1208,0)),0)-$AK552))</f>
        <v/>
      </c>
      <c r="AM552" s="18">
        <f>IF($A552="","",$AK552+$AL552)</f>
        <v/>
      </c>
      <c r="AN552" s="5">
        <f>IF($A552="","",IF(OR((IFERROR(INDEX('CAT_ACTIVIDADES'!$D$4:$D$11,MATCH($H552,'CAT_ACTIVIDADES'!$A$4:$A$11,0)),""))=0,(IFERROR(INDEX('CAT_ACTIVIDADES'!$D$4:$D$11,MATCH($H552,'CAT_ACTIVIDADES'!$A$4:$A$11,0)),""))=""),"SIN CLASIFICAR",IFERROR(INDEX('CAT_ACTIVIDADES'!$D$4:$D$11,MATCH($H552,'CAT_ACTIVIDADES'!$A$4:$A$11,0)),"")))</f>
        <v/>
      </c>
      <c r="AO552" s="4" t="n"/>
      <c r="AP552" s="4" t="n"/>
      <c r="AQ552" s="4" t="n"/>
      <c r="AR552" s="5">
        <f>IF($AQ552="","",HYPERLINK(p_ruta_base_checklists&amp;$AQ552,"abrir"))</f>
        <v/>
      </c>
      <c r="AS552" s="4" t="n"/>
      <c r="AT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2" t="n"/>
      <c r="K553" s="5" t="n"/>
      <c r="L553" s="18" t="n"/>
      <c r="M553" s="5">
        <f>IF($A553="","",IFERROR(INDEX('AJUSTES'!$B$4:$B$303,MATCH($AT553,'AJUSTES'!$A$4:$A$303,0)),IF($K553="","",$K553)))</f>
        <v/>
      </c>
      <c r="N553" s="5">
        <f>IF($A553="","",IFERROR(INDEX('CAT_ESTADOS_ERP'!$B$4:$B$7,MATCH(IFERROR(INDEX('2_IMPORTAR_EJECUCION'!$C$9:$C$1208,MATCH($AT553,'2_IMPORTAR_EJECUCION'!$J$9:$J$1208,0)),""),'CAT_ESTADOS_ERP'!$A$4:$A$7,0)),"Pendiente"))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IF($J553="","",$P553&amp;"-"&amp;TEXT($Q553,"00"))</f>
        <v/>
      </c>
      <c r="S553" s="5">
        <f>IF($J553="","",INDEX(lista_dias,WEEKDAY($J553,2)))</f>
        <v/>
      </c>
      <c r="T553" s="5">
        <f>IF($J553="","",IFERROR(INDEX('CALENDARIO'!$C$15:$C$214,MATCH(TEXT($J553,"yyyy-mm-dd")&amp;"|"&amp;$X553&amp;"|"&amp;$Y553,'CALENDARIO'!$G$15:$G$214,0)),IFERROR(INDEX('CALENDARIO'!$C$15:$C$214,MATCH(TEXT($J553,"yyyy-mm-dd")&amp;"|"&amp;$X553&amp;"|",'CALENDARIO'!$G$15:$G$214,0)),IFERROR(INDEX('CALENDARIO'!$C$15:$C$214,MATCH(TEXT($J553,"yyyy-mm-dd")&amp;"||",'CALENDARIO'!$G$15:$G$214,0)),INDEX(patronHabil,WEEKDAY($J553,2))))))</f>
        <v/>
      </c>
      <c r="U553" s="5">
        <f>IF($I553="","",IFERROR(INDEX('CAT_TIPOS_OT'!$C$4:$C$8,MATCH($I553,'CAT_TIPOS_OT'!$A$4:$A$8,0)),"sin_clasificar"))</f>
        <v/>
      </c>
      <c r="V553" s="5">
        <f>IF($I553="","",IF(IFERROR(INDEX('CAT_TIPOS_OT'!$D$4:$D$8,MATCH($I553,'CAT_TIPOS_OT'!$A$4:$A$8,0)),"SIN CLASIFICAR")="","SIN CLASIFICAR",IFERROR(INDEX('CAT_TIPOS_OT'!$D$4:$D$8,MATCH($I553,'CAT_TIPOS_OT'!$A$4:$A$8,0)),"SIN CLASIFICAR")))</f>
        <v/>
      </c>
      <c r="W553" s="5">
        <f>IF($F553="","",IFERROR(INDEX('CAT_CENTROS_COSTO'!$F$4:$F$13,MATCH($F553,'CAT_CENTROS_COSTO'!$A$4:$A$13,0)),"(sin catálogo)"))</f>
        <v/>
      </c>
      <c r="X553" s="5">
        <f>IF($F553="","",IFERROR(INDEX('CAT_CENTROS_COSTO'!$D$4:$D$13,MATCH($F553,'CAT_CENTROS_COSTO'!$A$4:$A$13,0)),"(sin catálogo)"))</f>
        <v/>
      </c>
      <c r="Y553" s="5">
        <f>IF($F553="","",IF((IFERROR(INDEX('CAT_CENTROS_COSTO'!$E$4:$E$13,MATCH($F553,'CAT_CENTROS_COSTO'!$A$4:$A$13,0)),""))&lt;&gt;"",IFERROR(INDEX('CAT_CENTROS_COSTO'!$E$4:$E$13,MATCH($F553,'CAT_CENTROS_COSTO'!$A$4:$A$13,0)),""),$X553))</f>
        <v/>
      </c>
      <c r="Z553" s="5">
        <f>IF($F553="","",IFERROR(INDEX('CAT_CENTROS_COSTO'!$G$4:$G$13,MATCH($F553,'CAT_CENTROS_COSTO'!$A$4:$A$13,0)),"(sin catálogo)"))</f>
        <v/>
      </c>
      <c r="AA553" s="5">
        <f>IF($G553="","",IFERROR(INDEX('CAT_PUESTOS'!$B$4:$B$8,MATCH($G553,'CAT_PUESTOS'!$A$4:$A$8,0)),"(sin catálogo)"))</f>
        <v/>
      </c>
      <c r="AB553" s="5">
        <f>IF($H553="","",IFERROR(INDEX('CAT_ACTIVIDADES'!$B$4:$B$11,MATCH($H553,'CAT_ACTIVIDADES'!$A$4:$A$11,0)),"(sin catálogo)"))</f>
        <v/>
      </c>
      <c r="AC553" s="20">
        <f>IF($J553="","",TODAY()-$J553)</f>
        <v/>
      </c>
      <c r="AD553" s="20">
        <f>IF($J553="","",IF($J553&lt;=TODAY(),COUNTIFS(cal_fechas,"&gt;="&amp;$J553,cal_fechas,"&lt;"&amp;TODAY(),cal_habil,"sí"),-COUNTIFS(cal_fechas,"&gt;="&amp;TODAY(),cal_fechas,"&lt;"&amp;$J553,cal_habil,"sí")))</f>
        <v/>
      </c>
      <c r="AE553" s="5">
        <f>IF($AD553="","",IF($AD553&lt;0,"FUTURO",IF($AD553&gt;p_dias_backlog_max,"BACKLOG","MES CORRIENTE")))</f>
        <v/>
      </c>
      <c r="AF553" s="5">
        <f>IF($AD553="",FALSE,AND($AD553&gt;p_dias_backlog_min,$AD553&lt;=p_dias_backlog_max))</f>
        <v/>
      </c>
      <c r="AG553" s="4" t="n"/>
      <c r="AH553" s="5">
        <f>IF($AG553="","",IF((IFERROR(INDEX('ASIGNACIONES'!$J$4:$J$451,MATCH($O553&amp;"|"&amp;$S553&amp;"|"&amp;$AG553,'ASIGNACIONES'!$N$4:$N$451,0)),""))=0,"",IFERROR(INDEX('ASIGNACIONES'!$J$4:$J$451,MATCH($O553&amp;"|"&amp;$S553&amp;"|"&amp;$AG553,'ASIGNACIONES'!$N$4:$N$451,0)),"")))</f>
        <v/>
      </c>
      <c r="AI553" s="25">
        <f>IF($AG553="","",SUMIFS('ORDENES'!$M$4:$M$1203,'ORDENES'!$AG$4:$AG$1203,$AG553,'ORDENES'!$O$4:$O$1203,$O553,'ORDENES'!$S$4:$S$1203,$S553))</f>
        <v/>
      </c>
      <c r="AJ553" s="25">
        <f>IF($AI553="","",p_factor_productividad*IFERROR(INDEX('ASIGNACIONES'!$M$4:$M$451,MATCH($O553&amp;"|"&amp;$S553&amp;"|"&amp;$AG553,'ASIGNACIONES'!$N$4:$N$451,0)),0)-$AI553)</f>
        <v/>
      </c>
      <c r="AK553" s="18">
        <f>IF($A553="","",IFERROR(INDEX('2_IMPORTAR_EJECUCION'!$F$9:$F$1208,MATCH($AT553,'2_IMPORTAR_EJECUCION'!$J$9:$J$1208,0)),0))</f>
        <v/>
      </c>
      <c r="AL553" s="18">
        <f>IF($A553="","",MAX(0,IFERROR(INDEX('2_IMPORTAR_EJECUCION'!$H$9:$H$1208,MATCH($AT553,'2_IMPORTAR_EJECUCION'!$J$9:$J$1208,0)),0)-$AK553))</f>
        <v/>
      </c>
      <c r="AM553" s="18">
        <f>IF($A553="","",$AK553+$AL553)</f>
        <v/>
      </c>
      <c r="AN553" s="5">
        <f>IF($A553="","",IF(OR((IFERROR(INDEX('CAT_ACTIVIDADES'!$D$4:$D$11,MATCH($H553,'CAT_ACTIVIDADES'!$A$4:$A$11,0)),""))=0,(IFERROR(INDEX('CAT_ACTIVIDADES'!$D$4:$D$11,MATCH($H553,'CAT_ACTIVIDADES'!$A$4:$A$11,0)),""))=""),"SIN CLASIFICAR",IFERROR(INDEX('CAT_ACTIVIDADES'!$D$4:$D$11,MATCH($H553,'CAT_ACTIVIDADES'!$A$4:$A$11,0)),"")))</f>
        <v/>
      </c>
      <c r="AO553" s="4" t="n"/>
      <c r="AP553" s="4" t="n"/>
      <c r="AQ553" s="4" t="n"/>
      <c r="AR553" s="5">
        <f>IF($AQ553="","",HYPERLINK(p_ruta_base_checklists&amp;$AQ553,"abrir"))</f>
        <v/>
      </c>
      <c r="AS553" s="4" t="n"/>
      <c r="AT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2" t="n"/>
      <c r="K554" s="5" t="n"/>
      <c r="L554" s="18" t="n"/>
      <c r="M554" s="5">
        <f>IF($A554="","",IFERROR(INDEX('AJUSTES'!$B$4:$B$303,MATCH($AT554,'AJUSTES'!$A$4:$A$303,0)),IF($K554="","",$K554)))</f>
        <v/>
      </c>
      <c r="N554" s="5">
        <f>IF($A554="","",IFERROR(INDEX('CAT_ESTADOS_ERP'!$B$4:$B$7,MATCH(IFERROR(INDEX('2_IMPORTAR_EJECUCION'!$C$9:$C$1208,MATCH($AT554,'2_IMPORTAR_EJECUCION'!$J$9:$J$1208,0)),""),'CAT_ESTADOS_ERP'!$A$4:$A$7,0)),"Pendiente"))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IF($J554="","",$P554&amp;"-"&amp;TEXT($Q554,"00"))</f>
        <v/>
      </c>
      <c r="S554" s="5">
        <f>IF($J554="","",INDEX(lista_dias,WEEKDAY($J554,2)))</f>
        <v/>
      </c>
      <c r="T554" s="5">
        <f>IF($J554="","",IFERROR(INDEX('CALENDARIO'!$C$15:$C$214,MATCH(TEXT($J554,"yyyy-mm-dd")&amp;"|"&amp;$X554&amp;"|"&amp;$Y554,'CALENDARIO'!$G$15:$G$214,0)),IFERROR(INDEX('CALENDARIO'!$C$15:$C$214,MATCH(TEXT($J554,"yyyy-mm-dd")&amp;"|"&amp;$X554&amp;"|",'CALENDARIO'!$G$15:$G$214,0)),IFERROR(INDEX('CALENDARIO'!$C$15:$C$214,MATCH(TEXT($J554,"yyyy-mm-dd")&amp;"||",'CALENDARIO'!$G$15:$G$214,0)),INDEX(patronHabil,WEEKDAY($J554,2))))))</f>
        <v/>
      </c>
      <c r="U554" s="5">
        <f>IF($I554="","",IFERROR(INDEX('CAT_TIPOS_OT'!$C$4:$C$8,MATCH($I554,'CAT_TIPOS_OT'!$A$4:$A$8,0)),"sin_clasificar"))</f>
        <v/>
      </c>
      <c r="V554" s="5">
        <f>IF($I554="","",IF(IFERROR(INDEX('CAT_TIPOS_OT'!$D$4:$D$8,MATCH($I554,'CAT_TIPOS_OT'!$A$4:$A$8,0)),"SIN CLASIFICAR")="","SIN CLASIFICAR",IFERROR(INDEX('CAT_TIPOS_OT'!$D$4:$D$8,MATCH($I554,'CAT_TIPOS_OT'!$A$4:$A$8,0)),"SIN CLASIFICAR")))</f>
        <v/>
      </c>
      <c r="W554" s="5">
        <f>IF($F554="","",IFERROR(INDEX('CAT_CENTROS_COSTO'!$F$4:$F$13,MATCH($F554,'CAT_CENTROS_COSTO'!$A$4:$A$13,0)),"(sin catálogo)"))</f>
        <v/>
      </c>
      <c r="X554" s="5">
        <f>IF($F554="","",IFERROR(INDEX('CAT_CENTROS_COSTO'!$D$4:$D$13,MATCH($F554,'CAT_CENTROS_COSTO'!$A$4:$A$13,0)),"(sin catálogo)"))</f>
        <v/>
      </c>
      <c r="Y554" s="5">
        <f>IF($F554="","",IF((IFERROR(INDEX('CAT_CENTROS_COSTO'!$E$4:$E$13,MATCH($F554,'CAT_CENTROS_COSTO'!$A$4:$A$13,0)),""))&lt;&gt;"",IFERROR(INDEX('CAT_CENTROS_COSTO'!$E$4:$E$13,MATCH($F554,'CAT_CENTROS_COSTO'!$A$4:$A$13,0)),""),$X554))</f>
        <v/>
      </c>
      <c r="Z554" s="5">
        <f>IF($F554="","",IFERROR(INDEX('CAT_CENTROS_COSTO'!$G$4:$G$13,MATCH($F554,'CAT_CENTROS_COSTO'!$A$4:$A$13,0)),"(sin catálogo)"))</f>
        <v/>
      </c>
      <c r="AA554" s="5">
        <f>IF($G554="","",IFERROR(INDEX('CAT_PUESTOS'!$B$4:$B$8,MATCH($G554,'CAT_PUESTOS'!$A$4:$A$8,0)),"(sin catálogo)"))</f>
        <v/>
      </c>
      <c r="AB554" s="5">
        <f>IF($H554="","",IFERROR(INDEX('CAT_ACTIVIDADES'!$B$4:$B$11,MATCH($H554,'CAT_ACTIVIDADES'!$A$4:$A$11,0)),"(sin catálogo)"))</f>
        <v/>
      </c>
      <c r="AC554" s="20">
        <f>IF($J554="","",TODAY()-$J554)</f>
        <v/>
      </c>
      <c r="AD554" s="20">
        <f>IF($J554="","",IF($J554&lt;=TODAY(),COUNTIFS(cal_fechas,"&gt;="&amp;$J554,cal_fechas,"&lt;"&amp;TODAY(),cal_habil,"sí"),-COUNTIFS(cal_fechas,"&gt;="&amp;TODAY(),cal_fechas,"&lt;"&amp;$J554,cal_habil,"sí")))</f>
        <v/>
      </c>
      <c r="AE554" s="5">
        <f>IF($AD554="","",IF($AD554&lt;0,"FUTURO",IF($AD554&gt;p_dias_backlog_max,"BACKLOG","MES CORRIENTE")))</f>
        <v/>
      </c>
      <c r="AF554" s="5">
        <f>IF($AD554="",FALSE,AND($AD554&gt;p_dias_backlog_min,$AD554&lt;=p_dias_backlog_max))</f>
        <v/>
      </c>
      <c r="AG554" s="4" t="n"/>
      <c r="AH554" s="5">
        <f>IF($AG554="","",IF((IFERROR(INDEX('ASIGNACIONES'!$J$4:$J$451,MATCH($O554&amp;"|"&amp;$S554&amp;"|"&amp;$AG554,'ASIGNACIONES'!$N$4:$N$451,0)),""))=0,"",IFERROR(INDEX('ASIGNACIONES'!$J$4:$J$451,MATCH($O554&amp;"|"&amp;$S554&amp;"|"&amp;$AG554,'ASIGNACIONES'!$N$4:$N$451,0)),"")))</f>
        <v/>
      </c>
      <c r="AI554" s="25">
        <f>IF($AG554="","",SUMIFS('ORDENES'!$M$4:$M$1203,'ORDENES'!$AG$4:$AG$1203,$AG554,'ORDENES'!$O$4:$O$1203,$O554,'ORDENES'!$S$4:$S$1203,$S554))</f>
        <v/>
      </c>
      <c r="AJ554" s="25">
        <f>IF($AI554="","",p_factor_productividad*IFERROR(INDEX('ASIGNACIONES'!$M$4:$M$451,MATCH($O554&amp;"|"&amp;$S554&amp;"|"&amp;$AG554,'ASIGNACIONES'!$N$4:$N$451,0)),0)-$AI554)</f>
        <v/>
      </c>
      <c r="AK554" s="18">
        <f>IF($A554="","",IFERROR(INDEX('2_IMPORTAR_EJECUCION'!$F$9:$F$1208,MATCH($AT554,'2_IMPORTAR_EJECUCION'!$J$9:$J$1208,0)),0))</f>
        <v/>
      </c>
      <c r="AL554" s="18">
        <f>IF($A554="","",MAX(0,IFERROR(INDEX('2_IMPORTAR_EJECUCION'!$H$9:$H$1208,MATCH($AT554,'2_IMPORTAR_EJECUCION'!$J$9:$J$1208,0)),0)-$AK554))</f>
        <v/>
      </c>
      <c r="AM554" s="18">
        <f>IF($A554="","",$AK554+$AL554)</f>
        <v/>
      </c>
      <c r="AN554" s="5">
        <f>IF($A554="","",IF(OR((IFERROR(INDEX('CAT_ACTIVIDADES'!$D$4:$D$11,MATCH($H554,'CAT_ACTIVIDADES'!$A$4:$A$11,0)),""))=0,(IFERROR(INDEX('CAT_ACTIVIDADES'!$D$4:$D$11,MATCH($H554,'CAT_ACTIVIDADES'!$A$4:$A$11,0)),""))=""),"SIN CLASIFICAR",IFERROR(INDEX('CAT_ACTIVIDADES'!$D$4:$D$11,MATCH($H554,'CAT_ACTIVIDADES'!$A$4:$A$11,0)),"")))</f>
        <v/>
      </c>
      <c r="AO554" s="4" t="n"/>
      <c r="AP554" s="4" t="n"/>
      <c r="AQ554" s="4" t="n"/>
      <c r="AR554" s="5">
        <f>IF($AQ554="","",HYPERLINK(p_ruta_base_checklists&amp;$AQ554,"abrir"))</f>
        <v/>
      </c>
      <c r="AS554" s="4" t="n"/>
      <c r="AT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2" t="n"/>
      <c r="K555" s="5" t="n"/>
      <c r="L555" s="18" t="n"/>
      <c r="M555" s="5">
        <f>IF($A555="","",IFERROR(INDEX('AJUSTES'!$B$4:$B$303,MATCH($AT555,'AJUSTES'!$A$4:$A$303,0)),IF($K555="","",$K555)))</f>
        <v/>
      </c>
      <c r="N555" s="5">
        <f>IF($A555="","",IFERROR(INDEX('CAT_ESTADOS_ERP'!$B$4:$B$7,MATCH(IFERROR(INDEX('2_IMPORTAR_EJECUCION'!$C$9:$C$1208,MATCH($AT555,'2_IMPORTAR_EJECUCION'!$J$9:$J$1208,0)),""),'CAT_ESTADOS_ERP'!$A$4:$A$7,0)),"Pendiente"))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IF($J555="","",$P555&amp;"-"&amp;TEXT($Q555,"00"))</f>
        <v/>
      </c>
      <c r="S555" s="5">
        <f>IF($J555="","",INDEX(lista_dias,WEEKDAY($J555,2)))</f>
        <v/>
      </c>
      <c r="T555" s="5">
        <f>IF($J555="","",IFERROR(INDEX('CALENDARIO'!$C$15:$C$214,MATCH(TEXT($J555,"yyyy-mm-dd")&amp;"|"&amp;$X555&amp;"|"&amp;$Y555,'CALENDARIO'!$G$15:$G$214,0)),IFERROR(INDEX('CALENDARIO'!$C$15:$C$214,MATCH(TEXT($J555,"yyyy-mm-dd")&amp;"|"&amp;$X555&amp;"|",'CALENDARIO'!$G$15:$G$214,0)),IFERROR(INDEX('CALENDARIO'!$C$15:$C$214,MATCH(TEXT($J555,"yyyy-mm-dd")&amp;"||",'CALENDARIO'!$G$15:$G$214,0)),INDEX(patronHabil,WEEKDAY($J555,2))))))</f>
        <v/>
      </c>
      <c r="U555" s="5">
        <f>IF($I555="","",IFERROR(INDEX('CAT_TIPOS_OT'!$C$4:$C$8,MATCH($I555,'CAT_TIPOS_OT'!$A$4:$A$8,0)),"sin_clasificar"))</f>
        <v/>
      </c>
      <c r="V555" s="5">
        <f>IF($I555="","",IF(IFERROR(INDEX('CAT_TIPOS_OT'!$D$4:$D$8,MATCH($I555,'CAT_TIPOS_OT'!$A$4:$A$8,0)),"SIN CLASIFICAR")="","SIN CLASIFICAR",IFERROR(INDEX('CAT_TIPOS_OT'!$D$4:$D$8,MATCH($I555,'CAT_TIPOS_OT'!$A$4:$A$8,0)),"SIN CLASIFICAR")))</f>
        <v/>
      </c>
      <c r="W555" s="5">
        <f>IF($F555="","",IFERROR(INDEX('CAT_CENTROS_COSTO'!$F$4:$F$13,MATCH($F555,'CAT_CENTROS_COSTO'!$A$4:$A$13,0)),"(sin catálogo)"))</f>
        <v/>
      </c>
      <c r="X555" s="5">
        <f>IF($F555="","",IFERROR(INDEX('CAT_CENTROS_COSTO'!$D$4:$D$13,MATCH($F555,'CAT_CENTROS_COSTO'!$A$4:$A$13,0)),"(sin catálogo)"))</f>
        <v/>
      </c>
      <c r="Y555" s="5">
        <f>IF($F555="","",IF((IFERROR(INDEX('CAT_CENTROS_COSTO'!$E$4:$E$13,MATCH($F555,'CAT_CENTROS_COSTO'!$A$4:$A$13,0)),""))&lt;&gt;"",IFERROR(INDEX('CAT_CENTROS_COSTO'!$E$4:$E$13,MATCH($F555,'CAT_CENTROS_COSTO'!$A$4:$A$13,0)),""),$X555))</f>
        <v/>
      </c>
      <c r="Z555" s="5">
        <f>IF($F555="","",IFERROR(INDEX('CAT_CENTROS_COSTO'!$G$4:$G$13,MATCH($F555,'CAT_CENTROS_COSTO'!$A$4:$A$13,0)),"(sin catálogo)"))</f>
        <v/>
      </c>
      <c r="AA555" s="5">
        <f>IF($G555="","",IFERROR(INDEX('CAT_PUESTOS'!$B$4:$B$8,MATCH($G555,'CAT_PUESTOS'!$A$4:$A$8,0)),"(sin catálogo)"))</f>
        <v/>
      </c>
      <c r="AB555" s="5">
        <f>IF($H555="","",IFERROR(INDEX('CAT_ACTIVIDADES'!$B$4:$B$11,MATCH($H555,'CAT_ACTIVIDADES'!$A$4:$A$11,0)),"(sin catálogo)"))</f>
        <v/>
      </c>
      <c r="AC555" s="20">
        <f>IF($J555="","",TODAY()-$J555)</f>
        <v/>
      </c>
      <c r="AD555" s="20">
        <f>IF($J555="","",IF($J555&lt;=TODAY(),COUNTIFS(cal_fechas,"&gt;="&amp;$J555,cal_fechas,"&lt;"&amp;TODAY(),cal_habil,"sí"),-COUNTIFS(cal_fechas,"&gt;="&amp;TODAY(),cal_fechas,"&lt;"&amp;$J555,cal_habil,"sí")))</f>
        <v/>
      </c>
      <c r="AE555" s="5">
        <f>IF($AD555="","",IF($AD555&lt;0,"FUTURO",IF($AD555&gt;p_dias_backlog_max,"BACKLOG","MES CORRIENTE")))</f>
        <v/>
      </c>
      <c r="AF555" s="5">
        <f>IF($AD555="",FALSE,AND($AD555&gt;p_dias_backlog_min,$AD555&lt;=p_dias_backlog_max))</f>
        <v/>
      </c>
      <c r="AG555" s="4" t="n"/>
      <c r="AH555" s="5">
        <f>IF($AG555="","",IF((IFERROR(INDEX('ASIGNACIONES'!$J$4:$J$451,MATCH($O555&amp;"|"&amp;$S555&amp;"|"&amp;$AG555,'ASIGNACIONES'!$N$4:$N$451,0)),""))=0,"",IFERROR(INDEX('ASIGNACIONES'!$J$4:$J$451,MATCH($O555&amp;"|"&amp;$S555&amp;"|"&amp;$AG555,'ASIGNACIONES'!$N$4:$N$451,0)),"")))</f>
        <v/>
      </c>
      <c r="AI555" s="25">
        <f>IF($AG555="","",SUMIFS('ORDENES'!$M$4:$M$1203,'ORDENES'!$AG$4:$AG$1203,$AG555,'ORDENES'!$O$4:$O$1203,$O555,'ORDENES'!$S$4:$S$1203,$S555))</f>
        <v/>
      </c>
      <c r="AJ555" s="25">
        <f>IF($AI555="","",p_factor_productividad*IFERROR(INDEX('ASIGNACIONES'!$M$4:$M$451,MATCH($O555&amp;"|"&amp;$S555&amp;"|"&amp;$AG555,'ASIGNACIONES'!$N$4:$N$451,0)),0)-$AI555)</f>
        <v/>
      </c>
      <c r="AK555" s="18">
        <f>IF($A555="","",IFERROR(INDEX('2_IMPORTAR_EJECUCION'!$F$9:$F$1208,MATCH($AT555,'2_IMPORTAR_EJECUCION'!$J$9:$J$1208,0)),0))</f>
        <v/>
      </c>
      <c r="AL555" s="18">
        <f>IF($A555="","",MAX(0,IFERROR(INDEX('2_IMPORTAR_EJECUCION'!$H$9:$H$1208,MATCH($AT555,'2_IMPORTAR_EJECUCION'!$J$9:$J$1208,0)),0)-$AK555))</f>
        <v/>
      </c>
      <c r="AM555" s="18">
        <f>IF($A555="","",$AK555+$AL555)</f>
        <v/>
      </c>
      <c r="AN555" s="5">
        <f>IF($A555="","",IF(OR((IFERROR(INDEX('CAT_ACTIVIDADES'!$D$4:$D$11,MATCH($H555,'CAT_ACTIVIDADES'!$A$4:$A$11,0)),""))=0,(IFERROR(INDEX('CAT_ACTIVIDADES'!$D$4:$D$11,MATCH($H555,'CAT_ACTIVIDADES'!$A$4:$A$11,0)),""))=""),"SIN CLASIFICAR",IFERROR(INDEX('CAT_ACTIVIDADES'!$D$4:$D$11,MATCH($H555,'CAT_ACTIVIDADES'!$A$4:$A$11,0)),"")))</f>
        <v/>
      </c>
      <c r="AO555" s="4" t="n"/>
      <c r="AP555" s="4" t="n"/>
      <c r="AQ555" s="4" t="n"/>
      <c r="AR555" s="5">
        <f>IF($AQ555="","",HYPERLINK(p_ruta_base_checklists&amp;$AQ555,"abrir"))</f>
        <v/>
      </c>
      <c r="AS555" s="4" t="n"/>
      <c r="AT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2" t="n"/>
      <c r="K556" s="5" t="n"/>
      <c r="L556" s="18" t="n"/>
      <c r="M556" s="5">
        <f>IF($A556="","",IFERROR(INDEX('AJUSTES'!$B$4:$B$303,MATCH($AT556,'AJUSTES'!$A$4:$A$303,0)),IF($K556="","",$K556)))</f>
        <v/>
      </c>
      <c r="N556" s="5">
        <f>IF($A556="","",IFERROR(INDEX('CAT_ESTADOS_ERP'!$B$4:$B$7,MATCH(IFERROR(INDEX('2_IMPORTAR_EJECUCION'!$C$9:$C$1208,MATCH($AT556,'2_IMPORTAR_EJECUCION'!$J$9:$J$1208,0)),""),'CAT_ESTADOS_ERP'!$A$4:$A$7,0)),"Pendiente"))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IF($J556="","",$P556&amp;"-"&amp;TEXT($Q556,"00"))</f>
        <v/>
      </c>
      <c r="S556" s="5">
        <f>IF($J556="","",INDEX(lista_dias,WEEKDAY($J556,2)))</f>
        <v/>
      </c>
      <c r="T556" s="5">
        <f>IF($J556="","",IFERROR(INDEX('CALENDARIO'!$C$15:$C$214,MATCH(TEXT($J556,"yyyy-mm-dd")&amp;"|"&amp;$X556&amp;"|"&amp;$Y556,'CALENDARIO'!$G$15:$G$214,0)),IFERROR(INDEX('CALENDARIO'!$C$15:$C$214,MATCH(TEXT($J556,"yyyy-mm-dd")&amp;"|"&amp;$X556&amp;"|",'CALENDARIO'!$G$15:$G$214,0)),IFERROR(INDEX('CALENDARIO'!$C$15:$C$214,MATCH(TEXT($J556,"yyyy-mm-dd")&amp;"||",'CALENDARIO'!$G$15:$G$214,0)),INDEX(patronHabil,WEEKDAY($J556,2))))))</f>
        <v/>
      </c>
      <c r="U556" s="5">
        <f>IF($I556="","",IFERROR(INDEX('CAT_TIPOS_OT'!$C$4:$C$8,MATCH($I556,'CAT_TIPOS_OT'!$A$4:$A$8,0)),"sin_clasificar"))</f>
        <v/>
      </c>
      <c r="V556" s="5">
        <f>IF($I556="","",IF(IFERROR(INDEX('CAT_TIPOS_OT'!$D$4:$D$8,MATCH($I556,'CAT_TIPOS_OT'!$A$4:$A$8,0)),"SIN CLASIFICAR")="","SIN CLASIFICAR",IFERROR(INDEX('CAT_TIPOS_OT'!$D$4:$D$8,MATCH($I556,'CAT_TIPOS_OT'!$A$4:$A$8,0)),"SIN CLASIFICAR")))</f>
        <v/>
      </c>
      <c r="W556" s="5">
        <f>IF($F556="","",IFERROR(INDEX('CAT_CENTROS_COSTO'!$F$4:$F$13,MATCH($F556,'CAT_CENTROS_COSTO'!$A$4:$A$13,0)),"(sin catálogo)"))</f>
        <v/>
      </c>
      <c r="X556" s="5">
        <f>IF($F556="","",IFERROR(INDEX('CAT_CENTROS_COSTO'!$D$4:$D$13,MATCH($F556,'CAT_CENTROS_COSTO'!$A$4:$A$13,0)),"(sin catálogo)"))</f>
        <v/>
      </c>
      <c r="Y556" s="5">
        <f>IF($F556="","",IF((IFERROR(INDEX('CAT_CENTROS_COSTO'!$E$4:$E$13,MATCH($F556,'CAT_CENTROS_COSTO'!$A$4:$A$13,0)),""))&lt;&gt;"",IFERROR(INDEX('CAT_CENTROS_COSTO'!$E$4:$E$13,MATCH($F556,'CAT_CENTROS_COSTO'!$A$4:$A$13,0)),""),$X556))</f>
        <v/>
      </c>
      <c r="Z556" s="5">
        <f>IF($F556="","",IFERROR(INDEX('CAT_CENTROS_COSTO'!$G$4:$G$13,MATCH($F556,'CAT_CENTROS_COSTO'!$A$4:$A$13,0)),"(sin catálogo)"))</f>
        <v/>
      </c>
      <c r="AA556" s="5">
        <f>IF($G556="","",IFERROR(INDEX('CAT_PUESTOS'!$B$4:$B$8,MATCH($G556,'CAT_PUESTOS'!$A$4:$A$8,0)),"(sin catálogo)"))</f>
        <v/>
      </c>
      <c r="AB556" s="5">
        <f>IF($H556="","",IFERROR(INDEX('CAT_ACTIVIDADES'!$B$4:$B$11,MATCH($H556,'CAT_ACTIVIDADES'!$A$4:$A$11,0)),"(sin catálogo)"))</f>
        <v/>
      </c>
      <c r="AC556" s="20">
        <f>IF($J556="","",TODAY()-$J556)</f>
        <v/>
      </c>
      <c r="AD556" s="20">
        <f>IF($J556="","",IF($J556&lt;=TODAY(),COUNTIFS(cal_fechas,"&gt;="&amp;$J556,cal_fechas,"&lt;"&amp;TODAY(),cal_habil,"sí"),-COUNTIFS(cal_fechas,"&gt;="&amp;TODAY(),cal_fechas,"&lt;"&amp;$J556,cal_habil,"sí")))</f>
        <v/>
      </c>
      <c r="AE556" s="5">
        <f>IF($AD556="","",IF($AD556&lt;0,"FUTURO",IF($AD556&gt;p_dias_backlog_max,"BACKLOG","MES CORRIENTE")))</f>
        <v/>
      </c>
      <c r="AF556" s="5">
        <f>IF($AD556="",FALSE,AND($AD556&gt;p_dias_backlog_min,$AD556&lt;=p_dias_backlog_max))</f>
        <v/>
      </c>
      <c r="AG556" s="4" t="n"/>
      <c r="AH556" s="5">
        <f>IF($AG556="","",IF((IFERROR(INDEX('ASIGNACIONES'!$J$4:$J$451,MATCH($O556&amp;"|"&amp;$S556&amp;"|"&amp;$AG556,'ASIGNACIONES'!$N$4:$N$451,0)),""))=0,"",IFERROR(INDEX('ASIGNACIONES'!$J$4:$J$451,MATCH($O556&amp;"|"&amp;$S556&amp;"|"&amp;$AG556,'ASIGNACIONES'!$N$4:$N$451,0)),"")))</f>
        <v/>
      </c>
      <c r="AI556" s="25">
        <f>IF($AG556="","",SUMIFS('ORDENES'!$M$4:$M$1203,'ORDENES'!$AG$4:$AG$1203,$AG556,'ORDENES'!$O$4:$O$1203,$O556,'ORDENES'!$S$4:$S$1203,$S556))</f>
        <v/>
      </c>
      <c r="AJ556" s="25">
        <f>IF($AI556="","",p_factor_productividad*IFERROR(INDEX('ASIGNACIONES'!$M$4:$M$451,MATCH($O556&amp;"|"&amp;$S556&amp;"|"&amp;$AG556,'ASIGNACIONES'!$N$4:$N$451,0)),0)-$AI556)</f>
        <v/>
      </c>
      <c r="AK556" s="18">
        <f>IF($A556="","",IFERROR(INDEX('2_IMPORTAR_EJECUCION'!$F$9:$F$1208,MATCH($AT556,'2_IMPORTAR_EJECUCION'!$J$9:$J$1208,0)),0))</f>
        <v/>
      </c>
      <c r="AL556" s="18">
        <f>IF($A556="","",MAX(0,IFERROR(INDEX('2_IMPORTAR_EJECUCION'!$H$9:$H$1208,MATCH($AT556,'2_IMPORTAR_EJECUCION'!$J$9:$J$1208,0)),0)-$AK556))</f>
        <v/>
      </c>
      <c r="AM556" s="18">
        <f>IF($A556="","",$AK556+$AL556)</f>
        <v/>
      </c>
      <c r="AN556" s="5">
        <f>IF($A556="","",IF(OR((IFERROR(INDEX('CAT_ACTIVIDADES'!$D$4:$D$11,MATCH($H556,'CAT_ACTIVIDADES'!$A$4:$A$11,0)),""))=0,(IFERROR(INDEX('CAT_ACTIVIDADES'!$D$4:$D$11,MATCH($H556,'CAT_ACTIVIDADES'!$A$4:$A$11,0)),""))=""),"SIN CLASIFICAR",IFERROR(INDEX('CAT_ACTIVIDADES'!$D$4:$D$11,MATCH($H556,'CAT_ACTIVIDADES'!$A$4:$A$11,0)),"")))</f>
        <v/>
      </c>
      <c r="AO556" s="4" t="n"/>
      <c r="AP556" s="4" t="n"/>
      <c r="AQ556" s="4" t="n"/>
      <c r="AR556" s="5">
        <f>IF($AQ556="","",HYPERLINK(p_ruta_base_checklists&amp;$AQ556,"abrir"))</f>
        <v/>
      </c>
      <c r="AS556" s="4" t="n"/>
      <c r="AT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2" t="n"/>
      <c r="K557" s="5" t="n"/>
      <c r="L557" s="18" t="n"/>
      <c r="M557" s="5">
        <f>IF($A557="","",IFERROR(INDEX('AJUSTES'!$B$4:$B$303,MATCH($AT557,'AJUSTES'!$A$4:$A$303,0)),IF($K557="","",$K557)))</f>
        <v/>
      </c>
      <c r="N557" s="5">
        <f>IF($A557="","",IFERROR(INDEX('CAT_ESTADOS_ERP'!$B$4:$B$7,MATCH(IFERROR(INDEX('2_IMPORTAR_EJECUCION'!$C$9:$C$1208,MATCH($AT557,'2_IMPORTAR_EJECUCION'!$J$9:$J$1208,0)),""),'CAT_ESTADOS_ERP'!$A$4:$A$7,0)),"Pendiente"))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IF($J557="","",$P557&amp;"-"&amp;TEXT($Q557,"00"))</f>
        <v/>
      </c>
      <c r="S557" s="5">
        <f>IF($J557="","",INDEX(lista_dias,WEEKDAY($J557,2)))</f>
        <v/>
      </c>
      <c r="T557" s="5">
        <f>IF($J557="","",IFERROR(INDEX('CALENDARIO'!$C$15:$C$214,MATCH(TEXT($J557,"yyyy-mm-dd")&amp;"|"&amp;$X557&amp;"|"&amp;$Y557,'CALENDARIO'!$G$15:$G$214,0)),IFERROR(INDEX('CALENDARIO'!$C$15:$C$214,MATCH(TEXT($J557,"yyyy-mm-dd")&amp;"|"&amp;$X557&amp;"|",'CALENDARIO'!$G$15:$G$214,0)),IFERROR(INDEX('CALENDARIO'!$C$15:$C$214,MATCH(TEXT($J557,"yyyy-mm-dd")&amp;"||",'CALENDARIO'!$G$15:$G$214,0)),INDEX(patronHabil,WEEKDAY($J557,2))))))</f>
        <v/>
      </c>
      <c r="U557" s="5">
        <f>IF($I557="","",IFERROR(INDEX('CAT_TIPOS_OT'!$C$4:$C$8,MATCH($I557,'CAT_TIPOS_OT'!$A$4:$A$8,0)),"sin_clasificar"))</f>
        <v/>
      </c>
      <c r="V557" s="5">
        <f>IF($I557="","",IF(IFERROR(INDEX('CAT_TIPOS_OT'!$D$4:$D$8,MATCH($I557,'CAT_TIPOS_OT'!$A$4:$A$8,0)),"SIN CLASIFICAR")="","SIN CLASIFICAR",IFERROR(INDEX('CAT_TIPOS_OT'!$D$4:$D$8,MATCH($I557,'CAT_TIPOS_OT'!$A$4:$A$8,0)),"SIN CLASIFICAR")))</f>
        <v/>
      </c>
      <c r="W557" s="5">
        <f>IF($F557="","",IFERROR(INDEX('CAT_CENTROS_COSTO'!$F$4:$F$13,MATCH($F557,'CAT_CENTROS_COSTO'!$A$4:$A$13,0)),"(sin catálogo)"))</f>
        <v/>
      </c>
      <c r="X557" s="5">
        <f>IF($F557="","",IFERROR(INDEX('CAT_CENTROS_COSTO'!$D$4:$D$13,MATCH($F557,'CAT_CENTROS_COSTO'!$A$4:$A$13,0)),"(sin catálogo)"))</f>
        <v/>
      </c>
      <c r="Y557" s="5">
        <f>IF($F557="","",IF((IFERROR(INDEX('CAT_CENTROS_COSTO'!$E$4:$E$13,MATCH($F557,'CAT_CENTROS_COSTO'!$A$4:$A$13,0)),""))&lt;&gt;"",IFERROR(INDEX('CAT_CENTROS_COSTO'!$E$4:$E$13,MATCH($F557,'CAT_CENTROS_COSTO'!$A$4:$A$13,0)),""),$X557))</f>
        <v/>
      </c>
      <c r="Z557" s="5">
        <f>IF($F557="","",IFERROR(INDEX('CAT_CENTROS_COSTO'!$G$4:$G$13,MATCH($F557,'CAT_CENTROS_COSTO'!$A$4:$A$13,0)),"(sin catálogo)"))</f>
        <v/>
      </c>
      <c r="AA557" s="5">
        <f>IF($G557="","",IFERROR(INDEX('CAT_PUESTOS'!$B$4:$B$8,MATCH($G557,'CAT_PUESTOS'!$A$4:$A$8,0)),"(sin catálogo)"))</f>
        <v/>
      </c>
      <c r="AB557" s="5">
        <f>IF($H557="","",IFERROR(INDEX('CAT_ACTIVIDADES'!$B$4:$B$11,MATCH($H557,'CAT_ACTIVIDADES'!$A$4:$A$11,0)),"(sin catálogo)"))</f>
        <v/>
      </c>
      <c r="AC557" s="20">
        <f>IF($J557="","",TODAY()-$J557)</f>
        <v/>
      </c>
      <c r="AD557" s="20">
        <f>IF($J557="","",IF($J557&lt;=TODAY(),COUNTIFS(cal_fechas,"&gt;="&amp;$J557,cal_fechas,"&lt;"&amp;TODAY(),cal_habil,"sí"),-COUNTIFS(cal_fechas,"&gt;="&amp;TODAY(),cal_fechas,"&lt;"&amp;$J557,cal_habil,"sí")))</f>
        <v/>
      </c>
      <c r="AE557" s="5">
        <f>IF($AD557="","",IF($AD557&lt;0,"FUTURO",IF($AD557&gt;p_dias_backlog_max,"BACKLOG","MES CORRIENTE")))</f>
        <v/>
      </c>
      <c r="AF557" s="5">
        <f>IF($AD557="",FALSE,AND($AD557&gt;p_dias_backlog_min,$AD557&lt;=p_dias_backlog_max))</f>
        <v/>
      </c>
      <c r="AG557" s="4" t="n"/>
      <c r="AH557" s="5">
        <f>IF($AG557="","",IF((IFERROR(INDEX('ASIGNACIONES'!$J$4:$J$451,MATCH($O557&amp;"|"&amp;$S557&amp;"|"&amp;$AG557,'ASIGNACIONES'!$N$4:$N$451,0)),""))=0,"",IFERROR(INDEX('ASIGNACIONES'!$J$4:$J$451,MATCH($O557&amp;"|"&amp;$S557&amp;"|"&amp;$AG557,'ASIGNACIONES'!$N$4:$N$451,0)),"")))</f>
        <v/>
      </c>
      <c r="AI557" s="25">
        <f>IF($AG557="","",SUMIFS('ORDENES'!$M$4:$M$1203,'ORDENES'!$AG$4:$AG$1203,$AG557,'ORDENES'!$O$4:$O$1203,$O557,'ORDENES'!$S$4:$S$1203,$S557))</f>
        <v/>
      </c>
      <c r="AJ557" s="25">
        <f>IF($AI557="","",p_factor_productividad*IFERROR(INDEX('ASIGNACIONES'!$M$4:$M$451,MATCH($O557&amp;"|"&amp;$S557&amp;"|"&amp;$AG557,'ASIGNACIONES'!$N$4:$N$451,0)),0)-$AI557)</f>
        <v/>
      </c>
      <c r="AK557" s="18">
        <f>IF($A557="","",IFERROR(INDEX('2_IMPORTAR_EJECUCION'!$F$9:$F$1208,MATCH($AT557,'2_IMPORTAR_EJECUCION'!$J$9:$J$1208,0)),0))</f>
        <v/>
      </c>
      <c r="AL557" s="18">
        <f>IF($A557="","",MAX(0,IFERROR(INDEX('2_IMPORTAR_EJECUCION'!$H$9:$H$1208,MATCH($AT557,'2_IMPORTAR_EJECUCION'!$J$9:$J$1208,0)),0)-$AK557))</f>
        <v/>
      </c>
      <c r="AM557" s="18">
        <f>IF($A557="","",$AK557+$AL557)</f>
        <v/>
      </c>
      <c r="AN557" s="5">
        <f>IF($A557="","",IF(OR((IFERROR(INDEX('CAT_ACTIVIDADES'!$D$4:$D$11,MATCH($H557,'CAT_ACTIVIDADES'!$A$4:$A$11,0)),""))=0,(IFERROR(INDEX('CAT_ACTIVIDADES'!$D$4:$D$11,MATCH($H557,'CAT_ACTIVIDADES'!$A$4:$A$11,0)),""))=""),"SIN CLASIFICAR",IFERROR(INDEX('CAT_ACTIVIDADES'!$D$4:$D$11,MATCH($H557,'CAT_ACTIVIDADES'!$A$4:$A$11,0)),"")))</f>
        <v/>
      </c>
      <c r="AO557" s="4" t="n"/>
      <c r="AP557" s="4" t="n"/>
      <c r="AQ557" s="4" t="n"/>
      <c r="AR557" s="5">
        <f>IF($AQ557="","",HYPERLINK(p_ruta_base_checklists&amp;$AQ557,"abrir"))</f>
        <v/>
      </c>
      <c r="AS557" s="4" t="n"/>
      <c r="AT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2" t="n"/>
      <c r="K558" s="5" t="n"/>
      <c r="L558" s="18" t="n"/>
      <c r="M558" s="5">
        <f>IF($A558="","",IFERROR(INDEX('AJUSTES'!$B$4:$B$303,MATCH($AT558,'AJUSTES'!$A$4:$A$303,0)),IF($K558="","",$K558)))</f>
        <v/>
      </c>
      <c r="N558" s="5">
        <f>IF($A558="","",IFERROR(INDEX('CAT_ESTADOS_ERP'!$B$4:$B$7,MATCH(IFERROR(INDEX('2_IMPORTAR_EJECUCION'!$C$9:$C$1208,MATCH($AT558,'2_IMPORTAR_EJECUCION'!$J$9:$J$1208,0)),""),'CAT_ESTADOS_ERP'!$A$4:$A$7,0)),"Pendiente"))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IF($J558="","",$P558&amp;"-"&amp;TEXT($Q558,"00"))</f>
        <v/>
      </c>
      <c r="S558" s="5">
        <f>IF($J558="","",INDEX(lista_dias,WEEKDAY($J558,2)))</f>
        <v/>
      </c>
      <c r="T558" s="5">
        <f>IF($J558="","",IFERROR(INDEX('CALENDARIO'!$C$15:$C$214,MATCH(TEXT($J558,"yyyy-mm-dd")&amp;"|"&amp;$X558&amp;"|"&amp;$Y558,'CALENDARIO'!$G$15:$G$214,0)),IFERROR(INDEX('CALENDARIO'!$C$15:$C$214,MATCH(TEXT($J558,"yyyy-mm-dd")&amp;"|"&amp;$X558&amp;"|",'CALENDARIO'!$G$15:$G$214,0)),IFERROR(INDEX('CALENDARIO'!$C$15:$C$214,MATCH(TEXT($J558,"yyyy-mm-dd")&amp;"||",'CALENDARIO'!$G$15:$G$214,0)),INDEX(patronHabil,WEEKDAY($J558,2))))))</f>
        <v/>
      </c>
      <c r="U558" s="5">
        <f>IF($I558="","",IFERROR(INDEX('CAT_TIPOS_OT'!$C$4:$C$8,MATCH($I558,'CAT_TIPOS_OT'!$A$4:$A$8,0)),"sin_clasificar"))</f>
        <v/>
      </c>
      <c r="V558" s="5">
        <f>IF($I558="","",IF(IFERROR(INDEX('CAT_TIPOS_OT'!$D$4:$D$8,MATCH($I558,'CAT_TIPOS_OT'!$A$4:$A$8,0)),"SIN CLASIFICAR")="","SIN CLASIFICAR",IFERROR(INDEX('CAT_TIPOS_OT'!$D$4:$D$8,MATCH($I558,'CAT_TIPOS_OT'!$A$4:$A$8,0)),"SIN CLASIFICAR")))</f>
        <v/>
      </c>
      <c r="W558" s="5">
        <f>IF($F558="","",IFERROR(INDEX('CAT_CENTROS_COSTO'!$F$4:$F$13,MATCH($F558,'CAT_CENTROS_COSTO'!$A$4:$A$13,0)),"(sin catálogo)"))</f>
        <v/>
      </c>
      <c r="X558" s="5">
        <f>IF($F558="","",IFERROR(INDEX('CAT_CENTROS_COSTO'!$D$4:$D$13,MATCH($F558,'CAT_CENTROS_COSTO'!$A$4:$A$13,0)),"(sin catálogo)"))</f>
        <v/>
      </c>
      <c r="Y558" s="5">
        <f>IF($F558="","",IF((IFERROR(INDEX('CAT_CENTROS_COSTO'!$E$4:$E$13,MATCH($F558,'CAT_CENTROS_COSTO'!$A$4:$A$13,0)),""))&lt;&gt;"",IFERROR(INDEX('CAT_CENTROS_COSTO'!$E$4:$E$13,MATCH($F558,'CAT_CENTROS_COSTO'!$A$4:$A$13,0)),""),$X558))</f>
        <v/>
      </c>
      <c r="Z558" s="5">
        <f>IF($F558="","",IFERROR(INDEX('CAT_CENTROS_COSTO'!$G$4:$G$13,MATCH($F558,'CAT_CENTROS_COSTO'!$A$4:$A$13,0)),"(sin catálogo)"))</f>
        <v/>
      </c>
      <c r="AA558" s="5">
        <f>IF($G558="","",IFERROR(INDEX('CAT_PUESTOS'!$B$4:$B$8,MATCH($G558,'CAT_PUESTOS'!$A$4:$A$8,0)),"(sin catálogo)"))</f>
        <v/>
      </c>
      <c r="AB558" s="5">
        <f>IF($H558="","",IFERROR(INDEX('CAT_ACTIVIDADES'!$B$4:$B$11,MATCH($H558,'CAT_ACTIVIDADES'!$A$4:$A$11,0)),"(sin catálogo)"))</f>
        <v/>
      </c>
      <c r="AC558" s="20">
        <f>IF($J558="","",TODAY()-$J558)</f>
        <v/>
      </c>
      <c r="AD558" s="20">
        <f>IF($J558="","",IF($J558&lt;=TODAY(),COUNTIFS(cal_fechas,"&gt;="&amp;$J558,cal_fechas,"&lt;"&amp;TODAY(),cal_habil,"sí"),-COUNTIFS(cal_fechas,"&gt;="&amp;TODAY(),cal_fechas,"&lt;"&amp;$J558,cal_habil,"sí")))</f>
        <v/>
      </c>
      <c r="AE558" s="5">
        <f>IF($AD558="","",IF($AD558&lt;0,"FUTURO",IF($AD558&gt;p_dias_backlog_max,"BACKLOG","MES CORRIENTE")))</f>
        <v/>
      </c>
      <c r="AF558" s="5">
        <f>IF($AD558="",FALSE,AND($AD558&gt;p_dias_backlog_min,$AD558&lt;=p_dias_backlog_max))</f>
        <v/>
      </c>
      <c r="AG558" s="4" t="n"/>
      <c r="AH558" s="5">
        <f>IF($AG558="","",IF((IFERROR(INDEX('ASIGNACIONES'!$J$4:$J$451,MATCH($O558&amp;"|"&amp;$S558&amp;"|"&amp;$AG558,'ASIGNACIONES'!$N$4:$N$451,0)),""))=0,"",IFERROR(INDEX('ASIGNACIONES'!$J$4:$J$451,MATCH($O558&amp;"|"&amp;$S558&amp;"|"&amp;$AG558,'ASIGNACIONES'!$N$4:$N$451,0)),"")))</f>
        <v/>
      </c>
      <c r="AI558" s="25">
        <f>IF($AG558="","",SUMIFS('ORDENES'!$M$4:$M$1203,'ORDENES'!$AG$4:$AG$1203,$AG558,'ORDENES'!$O$4:$O$1203,$O558,'ORDENES'!$S$4:$S$1203,$S558))</f>
        <v/>
      </c>
      <c r="AJ558" s="25">
        <f>IF($AI558="","",p_factor_productividad*IFERROR(INDEX('ASIGNACIONES'!$M$4:$M$451,MATCH($O558&amp;"|"&amp;$S558&amp;"|"&amp;$AG558,'ASIGNACIONES'!$N$4:$N$451,0)),0)-$AI558)</f>
        <v/>
      </c>
      <c r="AK558" s="18">
        <f>IF($A558="","",IFERROR(INDEX('2_IMPORTAR_EJECUCION'!$F$9:$F$1208,MATCH($AT558,'2_IMPORTAR_EJECUCION'!$J$9:$J$1208,0)),0))</f>
        <v/>
      </c>
      <c r="AL558" s="18">
        <f>IF($A558="","",MAX(0,IFERROR(INDEX('2_IMPORTAR_EJECUCION'!$H$9:$H$1208,MATCH($AT558,'2_IMPORTAR_EJECUCION'!$J$9:$J$1208,0)),0)-$AK558))</f>
        <v/>
      </c>
      <c r="AM558" s="18">
        <f>IF($A558="","",$AK558+$AL558)</f>
        <v/>
      </c>
      <c r="AN558" s="5">
        <f>IF($A558="","",IF(OR((IFERROR(INDEX('CAT_ACTIVIDADES'!$D$4:$D$11,MATCH($H558,'CAT_ACTIVIDADES'!$A$4:$A$11,0)),""))=0,(IFERROR(INDEX('CAT_ACTIVIDADES'!$D$4:$D$11,MATCH($H558,'CAT_ACTIVIDADES'!$A$4:$A$11,0)),""))=""),"SIN CLASIFICAR",IFERROR(INDEX('CAT_ACTIVIDADES'!$D$4:$D$11,MATCH($H558,'CAT_ACTIVIDADES'!$A$4:$A$11,0)),"")))</f>
        <v/>
      </c>
      <c r="AO558" s="4" t="n"/>
      <c r="AP558" s="4" t="n"/>
      <c r="AQ558" s="4" t="n"/>
      <c r="AR558" s="5">
        <f>IF($AQ558="","",HYPERLINK(p_ruta_base_checklists&amp;$AQ558,"abrir"))</f>
        <v/>
      </c>
      <c r="AS558" s="4" t="n"/>
      <c r="AT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2" t="n"/>
      <c r="K559" s="5" t="n"/>
      <c r="L559" s="18" t="n"/>
      <c r="M559" s="5">
        <f>IF($A559="","",IFERROR(INDEX('AJUSTES'!$B$4:$B$303,MATCH($AT559,'AJUSTES'!$A$4:$A$303,0)),IF($K559="","",$K559)))</f>
        <v/>
      </c>
      <c r="N559" s="5">
        <f>IF($A559="","",IFERROR(INDEX('CAT_ESTADOS_ERP'!$B$4:$B$7,MATCH(IFERROR(INDEX('2_IMPORTAR_EJECUCION'!$C$9:$C$1208,MATCH($AT559,'2_IMPORTAR_EJECUCION'!$J$9:$J$1208,0)),""),'CAT_ESTADOS_ERP'!$A$4:$A$7,0)),"Pendiente"))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IF($J559="","",$P559&amp;"-"&amp;TEXT($Q559,"00"))</f>
        <v/>
      </c>
      <c r="S559" s="5">
        <f>IF($J559="","",INDEX(lista_dias,WEEKDAY($J559,2)))</f>
        <v/>
      </c>
      <c r="T559" s="5">
        <f>IF($J559="","",IFERROR(INDEX('CALENDARIO'!$C$15:$C$214,MATCH(TEXT($J559,"yyyy-mm-dd")&amp;"|"&amp;$X559&amp;"|"&amp;$Y559,'CALENDARIO'!$G$15:$G$214,0)),IFERROR(INDEX('CALENDARIO'!$C$15:$C$214,MATCH(TEXT($J559,"yyyy-mm-dd")&amp;"|"&amp;$X559&amp;"|",'CALENDARIO'!$G$15:$G$214,0)),IFERROR(INDEX('CALENDARIO'!$C$15:$C$214,MATCH(TEXT($J559,"yyyy-mm-dd")&amp;"||",'CALENDARIO'!$G$15:$G$214,0)),INDEX(patronHabil,WEEKDAY($J559,2))))))</f>
        <v/>
      </c>
      <c r="U559" s="5">
        <f>IF($I559="","",IFERROR(INDEX('CAT_TIPOS_OT'!$C$4:$C$8,MATCH($I559,'CAT_TIPOS_OT'!$A$4:$A$8,0)),"sin_clasificar"))</f>
        <v/>
      </c>
      <c r="V559" s="5">
        <f>IF($I559="","",IF(IFERROR(INDEX('CAT_TIPOS_OT'!$D$4:$D$8,MATCH($I559,'CAT_TIPOS_OT'!$A$4:$A$8,0)),"SIN CLASIFICAR")="","SIN CLASIFICAR",IFERROR(INDEX('CAT_TIPOS_OT'!$D$4:$D$8,MATCH($I559,'CAT_TIPOS_OT'!$A$4:$A$8,0)),"SIN CLASIFICAR")))</f>
        <v/>
      </c>
      <c r="W559" s="5">
        <f>IF($F559="","",IFERROR(INDEX('CAT_CENTROS_COSTO'!$F$4:$F$13,MATCH($F559,'CAT_CENTROS_COSTO'!$A$4:$A$13,0)),"(sin catálogo)"))</f>
        <v/>
      </c>
      <c r="X559" s="5">
        <f>IF($F559="","",IFERROR(INDEX('CAT_CENTROS_COSTO'!$D$4:$D$13,MATCH($F559,'CAT_CENTROS_COSTO'!$A$4:$A$13,0)),"(sin catálogo)"))</f>
        <v/>
      </c>
      <c r="Y559" s="5">
        <f>IF($F559="","",IF((IFERROR(INDEX('CAT_CENTROS_COSTO'!$E$4:$E$13,MATCH($F559,'CAT_CENTROS_COSTO'!$A$4:$A$13,0)),""))&lt;&gt;"",IFERROR(INDEX('CAT_CENTROS_COSTO'!$E$4:$E$13,MATCH($F559,'CAT_CENTROS_COSTO'!$A$4:$A$13,0)),""),$X559))</f>
        <v/>
      </c>
      <c r="Z559" s="5">
        <f>IF($F559="","",IFERROR(INDEX('CAT_CENTROS_COSTO'!$G$4:$G$13,MATCH($F559,'CAT_CENTROS_COSTO'!$A$4:$A$13,0)),"(sin catálogo)"))</f>
        <v/>
      </c>
      <c r="AA559" s="5">
        <f>IF($G559="","",IFERROR(INDEX('CAT_PUESTOS'!$B$4:$B$8,MATCH($G559,'CAT_PUESTOS'!$A$4:$A$8,0)),"(sin catálogo)"))</f>
        <v/>
      </c>
      <c r="AB559" s="5">
        <f>IF($H559="","",IFERROR(INDEX('CAT_ACTIVIDADES'!$B$4:$B$11,MATCH($H559,'CAT_ACTIVIDADES'!$A$4:$A$11,0)),"(sin catálogo)"))</f>
        <v/>
      </c>
      <c r="AC559" s="20">
        <f>IF($J559="","",TODAY()-$J559)</f>
        <v/>
      </c>
      <c r="AD559" s="20">
        <f>IF($J559="","",IF($J559&lt;=TODAY(),COUNTIFS(cal_fechas,"&gt;="&amp;$J559,cal_fechas,"&lt;"&amp;TODAY(),cal_habil,"sí"),-COUNTIFS(cal_fechas,"&gt;="&amp;TODAY(),cal_fechas,"&lt;"&amp;$J559,cal_habil,"sí")))</f>
        <v/>
      </c>
      <c r="AE559" s="5">
        <f>IF($AD559="","",IF($AD559&lt;0,"FUTURO",IF($AD559&gt;p_dias_backlog_max,"BACKLOG","MES CORRIENTE")))</f>
        <v/>
      </c>
      <c r="AF559" s="5">
        <f>IF($AD559="",FALSE,AND($AD559&gt;p_dias_backlog_min,$AD559&lt;=p_dias_backlog_max))</f>
        <v/>
      </c>
      <c r="AG559" s="4" t="n"/>
      <c r="AH559" s="5">
        <f>IF($AG559="","",IF((IFERROR(INDEX('ASIGNACIONES'!$J$4:$J$451,MATCH($O559&amp;"|"&amp;$S559&amp;"|"&amp;$AG559,'ASIGNACIONES'!$N$4:$N$451,0)),""))=0,"",IFERROR(INDEX('ASIGNACIONES'!$J$4:$J$451,MATCH($O559&amp;"|"&amp;$S559&amp;"|"&amp;$AG559,'ASIGNACIONES'!$N$4:$N$451,0)),"")))</f>
        <v/>
      </c>
      <c r="AI559" s="25">
        <f>IF($AG559="","",SUMIFS('ORDENES'!$M$4:$M$1203,'ORDENES'!$AG$4:$AG$1203,$AG559,'ORDENES'!$O$4:$O$1203,$O559,'ORDENES'!$S$4:$S$1203,$S559))</f>
        <v/>
      </c>
      <c r="AJ559" s="25">
        <f>IF($AI559="","",p_factor_productividad*IFERROR(INDEX('ASIGNACIONES'!$M$4:$M$451,MATCH($O559&amp;"|"&amp;$S559&amp;"|"&amp;$AG559,'ASIGNACIONES'!$N$4:$N$451,0)),0)-$AI559)</f>
        <v/>
      </c>
      <c r="AK559" s="18">
        <f>IF($A559="","",IFERROR(INDEX('2_IMPORTAR_EJECUCION'!$F$9:$F$1208,MATCH($AT559,'2_IMPORTAR_EJECUCION'!$J$9:$J$1208,0)),0))</f>
        <v/>
      </c>
      <c r="AL559" s="18">
        <f>IF($A559="","",MAX(0,IFERROR(INDEX('2_IMPORTAR_EJECUCION'!$H$9:$H$1208,MATCH($AT559,'2_IMPORTAR_EJECUCION'!$J$9:$J$1208,0)),0)-$AK559))</f>
        <v/>
      </c>
      <c r="AM559" s="18">
        <f>IF($A559="","",$AK559+$AL559)</f>
        <v/>
      </c>
      <c r="AN559" s="5">
        <f>IF($A559="","",IF(OR((IFERROR(INDEX('CAT_ACTIVIDADES'!$D$4:$D$11,MATCH($H559,'CAT_ACTIVIDADES'!$A$4:$A$11,0)),""))=0,(IFERROR(INDEX('CAT_ACTIVIDADES'!$D$4:$D$11,MATCH($H559,'CAT_ACTIVIDADES'!$A$4:$A$11,0)),""))=""),"SIN CLASIFICAR",IFERROR(INDEX('CAT_ACTIVIDADES'!$D$4:$D$11,MATCH($H559,'CAT_ACTIVIDADES'!$A$4:$A$11,0)),"")))</f>
        <v/>
      </c>
      <c r="AO559" s="4" t="n"/>
      <c r="AP559" s="4" t="n"/>
      <c r="AQ559" s="4" t="n"/>
      <c r="AR559" s="5">
        <f>IF($AQ559="","",HYPERLINK(p_ruta_base_checklists&amp;$AQ559,"abrir"))</f>
        <v/>
      </c>
      <c r="AS559" s="4" t="n"/>
      <c r="AT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2" t="n"/>
      <c r="K560" s="5" t="n"/>
      <c r="L560" s="18" t="n"/>
      <c r="M560" s="5">
        <f>IF($A560="","",IFERROR(INDEX('AJUSTES'!$B$4:$B$303,MATCH($AT560,'AJUSTES'!$A$4:$A$303,0)),IF($K560="","",$K560)))</f>
        <v/>
      </c>
      <c r="N560" s="5">
        <f>IF($A560="","",IFERROR(INDEX('CAT_ESTADOS_ERP'!$B$4:$B$7,MATCH(IFERROR(INDEX('2_IMPORTAR_EJECUCION'!$C$9:$C$1208,MATCH($AT560,'2_IMPORTAR_EJECUCION'!$J$9:$J$1208,0)),""),'CAT_ESTADOS_ERP'!$A$4:$A$7,0)),"Pendiente"))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IF($J560="","",$P560&amp;"-"&amp;TEXT($Q560,"00"))</f>
        <v/>
      </c>
      <c r="S560" s="5">
        <f>IF($J560="","",INDEX(lista_dias,WEEKDAY($J560,2)))</f>
        <v/>
      </c>
      <c r="T560" s="5">
        <f>IF($J560="","",IFERROR(INDEX('CALENDARIO'!$C$15:$C$214,MATCH(TEXT($J560,"yyyy-mm-dd")&amp;"|"&amp;$X560&amp;"|"&amp;$Y560,'CALENDARIO'!$G$15:$G$214,0)),IFERROR(INDEX('CALENDARIO'!$C$15:$C$214,MATCH(TEXT($J560,"yyyy-mm-dd")&amp;"|"&amp;$X560&amp;"|",'CALENDARIO'!$G$15:$G$214,0)),IFERROR(INDEX('CALENDARIO'!$C$15:$C$214,MATCH(TEXT($J560,"yyyy-mm-dd")&amp;"||",'CALENDARIO'!$G$15:$G$214,0)),INDEX(patronHabil,WEEKDAY($J560,2))))))</f>
        <v/>
      </c>
      <c r="U560" s="5">
        <f>IF($I560="","",IFERROR(INDEX('CAT_TIPOS_OT'!$C$4:$C$8,MATCH($I560,'CAT_TIPOS_OT'!$A$4:$A$8,0)),"sin_clasificar"))</f>
        <v/>
      </c>
      <c r="V560" s="5">
        <f>IF($I560="","",IF(IFERROR(INDEX('CAT_TIPOS_OT'!$D$4:$D$8,MATCH($I560,'CAT_TIPOS_OT'!$A$4:$A$8,0)),"SIN CLASIFICAR")="","SIN CLASIFICAR",IFERROR(INDEX('CAT_TIPOS_OT'!$D$4:$D$8,MATCH($I560,'CAT_TIPOS_OT'!$A$4:$A$8,0)),"SIN CLASIFICAR")))</f>
        <v/>
      </c>
      <c r="W560" s="5">
        <f>IF($F560="","",IFERROR(INDEX('CAT_CENTROS_COSTO'!$F$4:$F$13,MATCH($F560,'CAT_CENTROS_COSTO'!$A$4:$A$13,0)),"(sin catálogo)"))</f>
        <v/>
      </c>
      <c r="X560" s="5">
        <f>IF($F560="","",IFERROR(INDEX('CAT_CENTROS_COSTO'!$D$4:$D$13,MATCH($F560,'CAT_CENTROS_COSTO'!$A$4:$A$13,0)),"(sin catálogo)"))</f>
        <v/>
      </c>
      <c r="Y560" s="5">
        <f>IF($F560="","",IF((IFERROR(INDEX('CAT_CENTROS_COSTO'!$E$4:$E$13,MATCH($F560,'CAT_CENTROS_COSTO'!$A$4:$A$13,0)),""))&lt;&gt;"",IFERROR(INDEX('CAT_CENTROS_COSTO'!$E$4:$E$13,MATCH($F560,'CAT_CENTROS_COSTO'!$A$4:$A$13,0)),""),$X560))</f>
        <v/>
      </c>
      <c r="Z560" s="5">
        <f>IF($F560="","",IFERROR(INDEX('CAT_CENTROS_COSTO'!$G$4:$G$13,MATCH($F560,'CAT_CENTROS_COSTO'!$A$4:$A$13,0)),"(sin catálogo)"))</f>
        <v/>
      </c>
      <c r="AA560" s="5">
        <f>IF($G560="","",IFERROR(INDEX('CAT_PUESTOS'!$B$4:$B$8,MATCH($G560,'CAT_PUESTOS'!$A$4:$A$8,0)),"(sin catálogo)"))</f>
        <v/>
      </c>
      <c r="AB560" s="5">
        <f>IF($H560="","",IFERROR(INDEX('CAT_ACTIVIDADES'!$B$4:$B$11,MATCH($H560,'CAT_ACTIVIDADES'!$A$4:$A$11,0)),"(sin catálogo)"))</f>
        <v/>
      </c>
      <c r="AC560" s="20">
        <f>IF($J560="","",TODAY()-$J560)</f>
        <v/>
      </c>
      <c r="AD560" s="20">
        <f>IF($J560="","",IF($J560&lt;=TODAY(),COUNTIFS(cal_fechas,"&gt;="&amp;$J560,cal_fechas,"&lt;"&amp;TODAY(),cal_habil,"sí"),-COUNTIFS(cal_fechas,"&gt;="&amp;TODAY(),cal_fechas,"&lt;"&amp;$J560,cal_habil,"sí")))</f>
        <v/>
      </c>
      <c r="AE560" s="5">
        <f>IF($AD560="","",IF($AD560&lt;0,"FUTURO",IF($AD560&gt;p_dias_backlog_max,"BACKLOG","MES CORRIENTE")))</f>
        <v/>
      </c>
      <c r="AF560" s="5">
        <f>IF($AD560="",FALSE,AND($AD560&gt;p_dias_backlog_min,$AD560&lt;=p_dias_backlog_max))</f>
        <v/>
      </c>
      <c r="AG560" s="4" t="n"/>
      <c r="AH560" s="5">
        <f>IF($AG560="","",IF((IFERROR(INDEX('ASIGNACIONES'!$J$4:$J$451,MATCH($O560&amp;"|"&amp;$S560&amp;"|"&amp;$AG560,'ASIGNACIONES'!$N$4:$N$451,0)),""))=0,"",IFERROR(INDEX('ASIGNACIONES'!$J$4:$J$451,MATCH($O560&amp;"|"&amp;$S560&amp;"|"&amp;$AG560,'ASIGNACIONES'!$N$4:$N$451,0)),"")))</f>
        <v/>
      </c>
      <c r="AI560" s="25">
        <f>IF($AG560="","",SUMIFS('ORDENES'!$M$4:$M$1203,'ORDENES'!$AG$4:$AG$1203,$AG560,'ORDENES'!$O$4:$O$1203,$O560,'ORDENES'!$S$4:$S$1203,$S560))</f>
        <v/>
      </c>
      <c r="AJ560" s="25">
        <f>IF($AI560="","",p_factor_productividad*IFERROR(INDEX('ASIGNACIONES'!$M$4:$M$451,MATCH($O560&amp;"|"&amp;$S560&amp;"|"&amp;$AG560,'ASIGNACIONES'!$N$4:$N$451,0)),0)-$AI560)</f>
        <v/>
      </c>
      <c r="AK560" s="18">
        <f>IF($A560="","",IFERROR(INDEX('2_IMPORTAR_EJECUCION'!$F$9:$F$1208,MATCH($AT560,'2_IMPORTAR_EJECUCION'!$J$9:$J$1208,0)),0))</f>
        <v/>
      </c>
      <c r="AL560" s="18">
        <f>IF($A560="","",MAX(0,IFERROR(INDEX('2_IMPORTAR_EJECUCION'!$H$9:$H$1208,MATCH($AT560,'2_IMPORTAR_EJECUCION'!$J$9:$J$1208,0)),0)-$AK560))</f>
        <v/>
      </c>
      <c r="AM560" s="18">
        <f>IF($A560="","",$AK560+$AL560)</f>
        <v/>
      </c>
      <c r="AN560" s="5">
        <f>IF($A560="","",IF(OR((IFERROR(INDEX('CAT_ACTIVIDADES'!$D$4:$D$11,MATCH($H560,'CAT_ACTIVIDADES'!$A$4:$A$11,0)),""))=0,(IFERROR(INDEX('CAT_ACTIVIDADES'!$D$4:$D$11,MATCH($H560,'CAT_ACTIVIDADES'!$A$4:$A$11,0)),""))=""),"SIN CLASIFICAR",IFERROR(INDEX('CAT_ACTIVIDADES'!$D$4:$D$11,MATCH($H560,'CAT_ACTIVIDADES'!$A$4:$A$11,0)),"")))</f>
        <v/>
      </c>
      <c r="AO560" s="4" t="n"/>
      <c r="AP560" s="4" t="n"/>
      <c r="AQ560" s="4" t="n"/>
      <c r="AR560" s="5">
        <f>IF($AQ560="","",HYPERLINK(p_ruta_base_checklists&amp;$AQ560,"abrir"))</f>
        <v/>
      </c>
      <c r="AS560" s="4" t="n"/>
      <c r="AT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2" t="n"/>
      <c r="K561" s="5" t="n"/>
      <c r="L561" s="18" t="n"/>
      <c r="M561" s="5">
        <f>IF($A561="","",IFERROR(INDEX('AJUSTES'!$B$4:$B$303,MATCH($AT561,'AJUSTES'!$A$4:$A$303,0)),IF($K561="","",$K561)))</f>
        <v/>
      </c>
      <c r="N561" s="5">
        <f>IF($A561="","",IFERROR(INDEX('CAT_ESTADOS_ERP'!$B$4:$B$7,MATCH(IFERROR(INDEX('2_IMPORTAR_EJECUCION'!$C$9:$C$1208,MATCH($AT561,'2_IMPORTAR_EJECUCION'!$J$9:$J$1208,0)),""),'CAT_ESTADOS_ERP'!$A$4:$A$7,0)),"Pendiente"))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IF($J561="","",$P561&amp;"-"&amp;TEXT($Q561,"00"))</f>
        <v/>
      </c>
      <c r="S561" s="5">
        <f>IF($J561="","",INDEX(lista_dias,WEEKDAY($J561,2)))</f>
        <v/>
      </c>
      <c r="T561" s="5">
        <f>IF($J561="","",IFERROR(INDEX('CALENDARIO'!$C$15:$C$214,MATCH(TEXT($J561,"yyyy-mm-dd")&amp;"|"&amp;$X561&amp;"|"&amp;$Y561,'CALENDARIO'!$G$15:$G$214,0)),IFERROR(INDEX('CALENDARIO'!$C$15:$C$214,MATCH(TEXT($J561,"yyyy-mm-dd")&amp;"|"&amp;$X561&amp;"|",'CALENDARIO'!$G$15:$G$214,0)),IFERROR(INDEX('CALENDARIO'!$C$15:$C$214,MATCH(TEXT($J561,"yyyy-mm-dd")&amp;"||",'CALENDARIO'!$G$15:$G$214,0)),INDEX(patronHabil,WEEKDAY($J561,2))))))</f>
        <v/>
      </c>
      <c r="U561" s="5">
        <f>IF($I561="","",IFERROR(INDEX('CAT_TIPOS_OT'!$C$4:$C$8,MATCH($I561,'CAT_TIPOS_OT'!$A$4:$A$8,0)),"sin_clasificar"))</f>
        <v/>
      </c>
      <c r="V561" s="5">
        <f>IF($I561="","",IF(IFERROR(INDEX('CAT_TIPOS_OT'!$D$4:$D$8,MATCH($I561,'CAT_TIPOS_OT'!$A$4:$A$8,0)),"SIN CLASIFICAR")="","SIN CLASIFICAR",IFERROR(INDEX('CAT_TIPOS_OT'!$D$4:$D$8,MATCH($I561,'CAT_TIPOS_OT'!$A$4:$A$8,0)),"SIN CLASIFICAR")))</f>
        <v/>
      </c>
      <c r="W561" s="5">
        <f>IF($F561="","",IFERROR(INDEX('CAT_CENTROS_COSTO'!$F$4:$F$13,MATCH($F561,'CAT_CENTROS_COSTO'!$A$4:$A$13,0)),"(sin catálogo)"))</f>
        <v/>
      </c>
      <c r="X561" s="5">
        <f>IF($F561="","",IFERROR(INDEX('CAT_CENTROS_COSTO'!$D$4:$D$13,MATCH($F561,'CAT_CENTROS_COSTO'!$A$4:$A$13,0)),"(sin catálogo)"))</f>
        <v/>
      </c>
      <c r="Y561" s="5">
        <f>IF($F561="","",IF((IFERROR(INDEX('CAT_CENTROS_COSTO'!$E$4:$E$13,MATCH($F561,'CAT_CENTROS_COSTO'!$A$4:$A$13,0)),""))&lt;&gt;"",IFERROR(INDEX('CAT_CENTROS_COSTO'!$E$4:$E$13,MATCH($F561,'CAT_CENTROS_COSTO'!$A$4:$A$13,0)),""),$X561))</f>
        <v/>
      </c>
      <c r="Z561" s="5">
        <f>IF($F561="","",IFERROR(INDEX('CAT_CENTROS_COSTO'!$G$4:$G$13,MATCH($F561,'CAT_CENTROS_COSTO'!$A$4:$A$13,0)),"(sin catálogo)"))</f>
        <v/>
      </c>
      <c r="AA561" s="5">
        <f>IF($G561="","",IFERROR(INDEX('CAT_PUESTOS'!$B$4:$B$8,MATCH($G561,'CAT_PUESTOS'!$A$4:$A$8,0)),"(sin catálogo)"))</f>
        <v/>
      </c>
      <c r="AB561" s="5">
        <f>IF($H561="","",IFERROR(INDEX('CAT_ACTIVIDADES'!$B$4:$B$11,MATCH($H561,'CAT_ACTIVIDADES'!$A$4:$A$11,0)),"(sin catálogo)"))</f>
        <v/>
      </c>
      <c r="AC561" s="20">
        <f>IF($J561="","",TODAY()-$J561)</f>
        <v/>
      </c>
      <c r="AD561" s="20">
        <f>IF($J561="","",IF($J561&lt;=TODAY(),COUNTIFS(cal_fechas,"&gt;="&amp;$J561,cal_fechas,"&lt;"&amp;TODAY(),cal_habil,"sí"),-COUNTIFS(cal_fechas,"&gt;="&amp;TODAY(),cal_fechas,"&lt;"&amp;$J561,cal_habil,"sí")))</f>
        <v/>
      </c>
      <c r="AE561" s="5">
        <f>IF($AD561="","",IF($AD561&lt;0,"FUTURO",IF($AD561&gt;p_dias_backlog_max,"BACKLOG","MES CORRIENTE")))</f>
        <v/>
      </c>
      <c r="AF561" s="5">
        <f>IF($AD561="",FALSE,AND($AD561&gt;p_dias_backlog_min,$AD561&lt;=p_dias_backlog_max))</f>
        <v/>
      </c>
      <c r="AG561" s="4" t="n"/>
      <c r="AH561" s="5">
        <f>IF($AG561="","",IF((IFERROR(INDEX('ASIGNACIONES'!$J$4:$J$451,MATCH($O561&amp;"|"&amp;$S561&amp;"|"&amp;$AG561,'ASIGNACIONES'!$N$4:$N$451,0)),""))=0,"",IFERROR(INDEX('ASIGNACIONES'!$J$4:$J$451,MATCH($O561&amp;"|"&amp;$S561&amp;"|"&amp;$AG561,'ASIGNACIONES'!$N$4:$N$451,0)),"")))</f>
        <v/>
      </c>
      <c r="AI561" s="25">
        <f>IF($AG561="","",SUMIFS('ORDENES'!$M$4:$M$1203,'ORDENES'!$AG$4:$AG$1203,$AG561,'ORDENES'!$O$4:$O$1203,$O561,'ORDENES'!$S$4:$S$1203,$S561))</f>
        <v/>
      </c>
      <c r="AJ561" s="25">
        <f>IF($AI561="","",p_factor_productividad*IFERROR(INDEX('ASIGNACIONES'!$M$4:$M$451,MATCH($O561&amp;"|"&amp;$S561&amp;"|"&amp;$AG561,'ASIGNACIONES'!$N$4:$N$451,0)),0)-$AI561)</f>
        <v/>
      </c>
      <c r="AK561" s="18">
        <f>IF($A561="","",IFERROR(INDEX('2_IMPORTAR_EJECUCION'!$F$9:$F$1208,MATCH($AT561,'2_IMPORTAR_EJECUCION'!$J$9:$J$1208,0)),0))</f>
        <v/>
      </c>
      <c r="AL561" s="18">
        <f>IF($A561="","",MAX(0,IFERROR(INDEX('2_IMPORTAR_EJECUCION'!$H$9:$H$1208,MATCH($AT561,'2_IMPORTAR_EJECUCION'!$J$9:$J$1208,0)),0)-$AK561))</f>
        <v/>
      </c>
      <c r="AM561" s="18">
        <f>IF($A561="","",$AK561+$AL561)</f>
        <v/>
      </c>
      <c r="AN561" s="5">
        <f>IF($A561="","",IF(OR((IFERROR(INDEX('CAT_ACTIVIDADES'!$D$4:$D$11,MATCH($H561,'CAT_ACTIVIDADES'!$A$4:$A$11,0)),""))=0,(IFERROR(INDEX('CAT_ACTIVIDADES'!$D$4:$D$11,MATCH($H561,'CAT_ACTIVIDADES'!$A$4:$A$11,0)),""))=""),"SIN CLASIFICAR",IFERROR(INDEX('CAT_ACTIVIDADES'!$D$4:$D$11,MATCH($H561,'CAT_ACTIVIDADES'!$A$4:$A$11,0)),"")))</f>
        <v/>
      </c>
      <c r="AO561" s="4" t="n"/>
      <c r="AP561" s="4" t="n"/>
      <c r="AQ561" s="4" t="n"/>
      <c r="AR561" s="5">
        <f>IF($AQ561="","",HYPERLINK(p_ruta_base_checklists&amp;$AQ561,"abrir"))</f>
        <v/>
      </c>
      <c r="AS561" s="4" t="n"/>
      <c r="AT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2" t="n"/>
      <c r="K562" s="5" t="n"/>
      <c r="L562" s="18" t="n"/>
      <c r="M562" s="5">
        <f>IF($A562="","",IFERROR(INDEX('AJUSTES'!$B$4:$B$303,MATCH($AT562,'AJUSTES'!$A$4:$A$303,0)),IF($K562="","",$K562)))</f>
        <v/>
      </c>
      <c r="N562" s="5">
        <f>IF($A562="","",IFERROR(INDEX('CAT_ESTADOS_ERP'!$B$4:$B$7,MATCH(IFERROR(INDEX('2_IMPORTAR_EJECUCION'!$C$9:$C$1208,MATCH($AT562,'2_IMPORTAR_EJECUCION'!$J$9:$J$1208,0)),""),'CAT_ESTADOS_ERP'!$A$4:$A$7,0)),"Pendiente"))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IF($J562="","",$P562&amp;"-"&amp;TEXT($Q562,"00"))</f>
        <v/>
      </c>
      <c r="S562" s="5">
        <f>IF($J562="","",INDEX(lista_dias,WEEKDAY($J562,2)))</f>
        <v/>
      </c>
      <c r="T562" s="5">
        <f>IF($J562="","",IFERROR(INDEX('CALENDARIO'!$C$15:$C$214,MATCH(TEXT($J562,"yyyy-mm-dd")&amp;"|"&amp;$X562&amp;"|"&amp;$Y562,'CALENDARIO'!$G$15:$G$214,0)),IFERROR(INDEX('CALENDARIO'!$C$15:$C$214,MATCH(TEXT($J562,"yyyy-mm-dd")&amp;"|"&amp;$X562&amp;"|",'CALENDARIO'!$G$15:$G$214,0)),IFERROR(INDEX('CALENDARIO'!$C$15:$C$214,MATCH(TEXT($J562,"yyyy-mm-dd")&amp;"||",'CALENDARIO'!$G$15:$G$214,0)),INDEX(patronHabil,WEEKDAY($J562,2))))))</f>
        <v/>
      </c>
      <c r="U562" s="5">
        <f>IF($I562="","",IFERROR(INDEX('CAT_TIPOS_OT'!$C$4:$C$8,MATCH($I562,'CAT_TIPOS_OT'!$A$4:$A$8,0)),"sin_clasificar"))</f>
        <v/>
      </c>
      <c r="V562" s="5">
        <f>IF($I562="","",IF(IFERROR(INDEX('CAT_TIPOS_OT'!$D$4:$D$8,MATCH($I562,'CAT_TIPOS_OT'!$A$4:$A$8,0)),"SIN CLASIFICAR")="","SIN CLASIFICAR",IFERROR(INDEX('CAT_TIPOS_OT'!$D$4:$D$8,MATCH($I562,'CAT_TIPOS_OT'!$A$4:$A$8,0)),"SIN CLASIFICAR")))</f>
        <v/>
      </c>
      <c r="W562" s="5">
        <f>IF($F562="","",IFERROR(INDEX('CAT_CENTROS_COSTO'!$F$4:$F$13,MATCH($F562,'CAT_CENTROS_COSTO'!$A$4:$A$13,0)),"(sin catálogo)"))</f>
        <v/>
      </c>
      <c r="X562" s="5">
        <f>IF($F562="","",IFERROR(INDEX('CAT_CENTROS_COSTO'!$D$4:$D$13,MATCH($F562,'CAT_CENTROS_COSTO'!$A$4:$A$13,0)),"(sin catálogo)"))</f>
        <v/>
      </c>
      <c r="Y562" s="5">
        <f>IF($F562="","",IF((IFERROR(INDEX('CAT_CENTROS_COSTO'!$E$4:$E$13,MATCH($F562,'CAT_CENTROS_COSTO'!$A$4:$A$13,0)),""))&lt;&gt;"",IFERROR(INDEX('CAT_CENTROS_COSTO'!$E$4:$E$13,MATCH($F562,'CAT_CENTROS_COSTO'!$A$4:$A$13,0)),""),$X562))</f>
        <v/>
      </c>
      <c r="Z562" s="5">
        <f>IF($F562="","",IFERROR(INDEX('CAT_CENTROS_COSTO'!$G$4:$G$13,MATCH($F562,'CAT_CENTROS_COSTO'!$A$4:$A$13,0)),"(sin catálogo)"))</f>
        <v/>
      </c>
      <c r="AA562" s="5">
        <f>IF($G562="","",IFERROR(INDEX('CAT_PUESTOS'!$B$4:$B$8,MATCH($G562,'CAT_PUESTOS'!$A$4:$A$8,0)),"(sin catálogo)"))</f>
        <v/>
      </c>
      <c r="AB562" s="5">
        <f>IF($H562="","",IFERROR(INDEX('CAT_ACTIVIDADES'!$B$4:$B$11,MATCH($H562,'CAT_ACTIVIDADES'!$A$4:$A$11,0)),"(sin catálogo)"))</f>
        <v/>
      </c>
      <c r="AC562" s="20">
        <f>IF($J562="","",TODAY()-$J562)</f>
        <v/>
      </c>
      <c r="AD562" s="20">
        <f>IF($J562="","",IF($J562&lt;=TODAY(),COUNTIFS(cal_fechas,"&gt;="&amp;$J562,cal_fechas,"&lt;"&amp;TODAY(),cal_habil,"sí"),-COUNTIFS(cal_fechas,"&gt;="&amp;TODAY(),cal_fechas,"&lt;"&amp;$J562,cal_habil,"sí")))</f>
        <v/>
      </c>
      <c r="AE562" s="5">
        <f>IF($AD562="","",IF($AD562&lt;0,"FUTURO",IF($AD562&gt;p_dias_backlog_max,"BACKLOG","MES CORRIENTE")))</f>
        <v/>
      </c>
      <c r="AF562" s="5">
        <f>IF($AD562="",FALSE,AND($AD562&gt;p_dias_backlog_min,$AD562&lt;=p_dias_backlog_max))</f>
        <v/>
      </c>
      <c r="AG562" s="4" t="n"/>
      <c r="AH562" s="5">
        <f>IF($AG562="","",IF((IFERROR(INDEX('ASIGNACIONES'!$J$4:$J$451,MATCH($O562&amp;"|"&amp;$S562&amp;"|"&amp;$AG562,'ASIGNACIONES'!$N$4:$N$451,0)),""))=0,"",IFERROR(INDEX('ASIGNACIONES'!$J$4:$J$451,MATCH($O562&amp;"|"&amp;$S562&amp;"|"&amp;$AG562,'ASIGNACIONES'!$N$4:$N$451,0)),"")))</f>
        <v/>
      </c>
      <c r="AI562" s="25">
        <f>IF($AG562="","",SUMIFS('ORDENES'!$M$4:$M$1203,'ORDENES'!$AG$4:$AG$1203,$AG562,'ORDENES'!$O$4:$O$1203,$O562,'ORDENES'!$S$4:$S$1203,$S562))</f>
        <v/>
      </c>
      <c r="AJ562" s="25">
        <f>IF($AI562="","",p_factor_productividad*IFERROR(INDEX('ASIGNACIONES'!$M$4:$M$451,MATCH($O562&amp;"|"&amp;$S562&amp;"|"&amp;$AG562,'ASIGNACIONES'!$N$4:$N$451,0)),0)-$AI562)</f>
        <v/>
      </c>
      <c r="AK562" s="18">
        <f>IF($A562="","",IFERROR(INDEX('2_IMPORTAR_EJECUCION'!$F$9:$F$1208,MATCH($AT562,'2_IMPORTAR_EJECUCION'!$J$9:$J$1208,0)),0))</f>
        <v/>
      </c>
      <c r="AL562" s="18">
        <f>IF($A562="","",MAX(0,IFERROR(INDEX('2_IMPORTAR_EJECUCION'!$H$9:$H$1208,MATCH($AT562,'2_IMPORTAR_EJECUCION'!$J$9:$J$1208,0)),0)-$AK562))</f>
        <v/>
      </c>
      <c r="AM562" s="18">
        <f>IF($A562="","",$AK562+$AL562)</f>
        <v/>
      </c>
      <c r="AN562" s="5">
        <f>IF($A562="","",IF(OR((IFERROR(INDEX('CAT_ACTIVIDADES'!$D$4:$D$11,MATCH($H562,'CAT_ACTIVIDADES'!$A$4:$A$11,0)),""))=0,(IFERROR(INDEX('CAT_ACTIVIDADES'!$D$4:$D$11,MATCH($H562,'CAT_ACTIVIDADES'!$A$4:$A$11,0)),""))=""),"SIN CLASIFICAR",IFERROR(INDEX('CAT_ACTIVIDADES'!$D$4:$D$11,MATCH($H562,'CAT_ACTIVIDADES'!$A$4:$A$11,0)),"")))</f>
        <v/>
      </c>
      <c r="AO562" s="4" t="n"/>
      <c r="AP562" s="4" t="n"/>
      <c r="AQ562" s="4" t="n"/>
      <c r="AR562" s="5">
        <f>IF($AQ562="","",HYPERLINK(p_ruta_base_checklists&amp;$AQ562,"abrir"))</f>
        <v/>
      </c>
      <c r="AS562" s="4" t="n"/>
      <c r="AT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2" t="n"/>
      <c r="K563" s="5" t="n"/>
      <c r="L563" s="18" t="n"/>
      <c r="M563" s="5">
        <f>IF($A563="","",IFERROR(INDEX('AJUSTES'!$B$4:$B$303,MATCH($AT563,'AJUSTES'!$A$4:$A$303,0)),IF($K563="","",$K563)))</f>
        <v/>
      </c>
      <c r="N563" s="5">
        <f>IF($A563="","",IFERROR(INDEX('CAT_ESTADOS_ERP'!$B$4:$B$7,MATCH(IFERROR(INDEX('2_IMPORTAR_EJECUCION'!$C$9:$C$1208,MATCH($AT563,'2_IMPORTAR_EJECUCION'!$J$9:$J$1208,0)),""),'CAT_ESTADOS_ERP'!$A$4:$A$7,0)),"Pendiente"))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IF($J563="","",$P563&amp;"-"&amp;TEXT($Q563,"00"))</f>
        <v/>
      </c>
      <c r="S563" s="5">
        <f>IF($J563="","",INDEX(lista_dias,WEEKDAY($J563,2)))</f>
        <v/>
      </c>
      <c r="T563" s="5">
        <f>IF($J563="","",IFERROR(INDEX('CALENDARIO'!$C$15:$C$214,MATCH(TEXT($J563,"yyyy-mm-dd")&amp;"|"&amp;$X563&amp;"|"&amp;$Y563,'CALENDARIO'!$G$15:$G$214,0)),IFERROR(INDEX('CALENDARIO'!$C$15:$C$214,MATCH(TEXT($J563,"yyyy-mm-dd")&amp;"|"&amp;$X563&amp;"|",'CALENDARIO'!$G$15:$G$214,0)),IFERROR(INDEX('CALENDARIO'!$C$15:$C$214,MATCH(TEXT($J563,"yyyy-mm-dd")&amp;"||",'CALENDARIO'!$G$15:$G$214,0)),INDEX(patronHabil,WEEKDAY($J563,2))))))</f>
        <v/>
      </c>
      <c r="U563" s="5">
        <f>IF($I563="","",IFERROR(INDEX('CAT_TIPOS_OT'!$C$4:$C$8,MATCH($I563,'CAT_TIPOS_OT'!$A$4:$A$8,0)),"sin_clasificar"))</f>
        <v/>
      </c>
      <c r="V563" s="5">
        <f>IF($I563="","",IF(IFERROR(INDEX('CAT_TIPOS_OT'!$D$4:$D$8,MATCH($I563,'CAT_TIPOS_OT'!$A$4:$A$8,0)),"SIN CLASIFICAR")="","SIN CLASIFICAR",IFERROR(INDEX('CAT_TIPOS_OT'!$D$4:$D$8,MATCH($I563,'CAT_TIPOS_OT'!$A$4:$A$8,0)),"SIN CLASIFICAR")))</f>
        <v/>
      </c>
      <c r="W563" s="5">
        <f>IF($F563="","",IFERROR(INDEX('CAT_CENTROS_COSTO'!$F$4:$F$13,MATCH($F563,'CAT_CENTROS_COSTO'!$A$4:$A$13,0)),"(sin catálogo)"))</f>
        <v/>
      </c>
      <c r="X563" s="5">
        <f>IF($F563="","",IFERROR(INDEX('CAT_CENTROS_COSTO'!$D$4:$D$13,MATCH($F563,'CAT_CENTROS_COSTO'!$A$4:$A$13,0)),"(sin catálogo)"))</f>
        <v/>
      </c>
      <c r="Y563" s="5">
        <f>IF($F563="","",IF((IFERROR(INDEX('CAT_CENTROS_COSTO'!$E$4:$E$13,MATCH($F563,'CAT_CENTROS_COSTO'!$A$4:$A$13,0)),""))&lt;&gt;"",IFERROR(INDEX('CAT_CENTROS_COSTO'!$E$4:$E$13,MATCH($F563,'CAT_CENTROS_COSTO'!$A$4:$A$13,0)),""),$X563))</f>
        <v/>
      </c>
      <c r="Z563" s="5">
        <f>IF($F563="","",IFERROR(INDEX('CAT_CENTROS_COSTO'!$G$4:$G$13,MATCH($F563,'CAT_CENTROS_COSTO'!$A$4:$A$13,0)),"(sin catálogo)"))</f>
        <v/>
      </c>
      <c r="AA563" s="5">
        <f>IF($G563="","",IFERROR(INDEX('CAT_PUESTOS'!$B$4:$B$8,MATCH($G563,'CAT_PUESTOS'!$A$4:$A$8,0)),"(sin catálogo)"))</f>
        <v/>
      </c>
      <c r="AB563" s="5">
        <f>IF($H563="","",IFERROR(INDEX('CAT_ACTIVIDADES'!$B$4:$B$11,MATCH($H563,'CAT_ACTIVIDADES'!$A$4:$A$11,0)),"(sin catálogo)"))</f>
        <v/>
      </c>
      <c r="AC563" s="20">
        <f>IF($J563="","",TODAY()-$J563)</f>
        <v/>
      </c>
      <c r="AD563" s="20">
        <f>IF($J563="","",IF($J563&lt;=TODAY(),COUNTIFS(cal_fechas,"&gt;="&amp;$J563,cal_fechas,"&lt;"&amp;TODAY(),cal_habil,"sí"),-COUNTIFS(cal_fechas,"&gt;="&amp;TODAY(),cal_fechas,"&lt;"&amp;$J563,cal_habil,"sí")))</f>
        <v/>
      </c>
      <c r="AE563" s="5">
        <f>IF($AD563="","",IF($AD563&lt;0,"FUTURO",IF($AD563&gt;p_dias_backlog_max,"BACKLOG","MES CORRIENTE")))</f>
        <v/>
      </c>
      <c r="AF563" s="5">
        <f>IF($AD563="",FALSE,AND($AD563&gt;p_dias_backlog_min,$AD563&lt;=p_dias_backlog_max))</f>
        <v/>
      </c>
      <c r="AG563" s="4" t="n"/>
      <c r="AH563" s="5">
        <f>IF($AG563="","",IF((IFERROR(INDEX('ASIGNACIONES'!$J$4:$J$451,MATCH($O563&amp;"|"&amp;$S563&amp;"|"&amp;$AG563,'ASIGNACIONES'!$N$4:$N$451,0)),""))=0,"",IFERROR(INDEX('ASIGNACIONES'!$J$4:$J$451,MATCH($O563&amp;"|"&amp;$S563&amp;"|"&amp;$AG563,'ASIGNACIONES'!$N$4:$N$451,0)),"")))</f>
        <v/>
      </c>
      <c r="AI563" s="25">
        <f>IF($AG563="","",SUMIFS('ORDENES'!$M$4:$M$1203,'ORDENES'!$AG$4:$AG$1203,$AG563,'ORDENES'!$O$4:$O$1203,$O563,'ORDENES'!$S$4:$S$1203,$S563))</f>
        <v/>
      </c>
      <c r="AJ563" s="25">
        <f>IF($AI563="","",p_factor_productividad*IFERROR(INDEX('ASIGNACIONES'!$M$4:$M$451,MATCH($O563&amp;"|"&amp;$S563&amp;"|"&amp;$AG563,'ASIGNACIONES'!$N$4:$N$451,0)),0)-$AI563)</f>
        <v/>
      </c>
      <c r="AK563" s="18">
        <f>IF($A563="","",IFERROR(INDEX('2_IMPORTAR_EJECUCION'!$F$9:$F$1208,MATCH($AT563,'2_IMPORTAR_EJECUCION'!$J$9:$J$1208,0)),0))</f>
        <v/>
      </c>
      <c r="AL563" s="18">
        <f>IF($A563="","",MAX(0,IFERROR(INDEX('2_IMPORTAR_EJECUCION'!$H$9:$H$1208,MATCH($AT563,'2_IMPORTAR_EJECUCION'!$J$9:$J$1208,0)),0)-$AK563))</f>
        <v/>
      </c>
      <c r="AM563" s="18">
        <f>IF($A563="","",$AK563+$AL563)</f>
        <v/>
      </c>
      <c r="AN563" s="5">
        <f>IF($A563="","",IF(OR((IFERROR(INDEX('CAT_ACTIVIDADES'!$D$4:$D$11,MATCH($H563,'CAT_ACTIVIDADES'!$A$4:$A$11,0)),""))=0,(IFERROR(INDEX('CAT_ACTIVIDADES'!$D$4:$D$11,MATCH($H563,'CAT_ACTIVIDADES'!$A$4:$A$11,0)),""))=""),"SIN CLASIFICAR",IFERROR(INDEX('CAT_ACTIVIDADES'!$D$4:$D$11,MATCH($H563,'CAT_ACTIVIDADES'!$A$4:$A$11,0)),"")))</f>
        <v/>
      </c>
      <c r="AO563" s="4" t="n"/>
      <c r="AP563" s="4" t="n"/>
      <c r="AQ563" s="4" t="n"/>
      <c r="AR563" s="5">
        <f>IF($AQ563="","",HYPERLINK(p_ruta_base_checklists&amp;$AQ563,"abrir"))</f>
        <v/>
      </c>
      <c r="AS563" s="4" t="n"/>
      <c r="AT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2" t="n"/>
      <c r="K564" s="5" t="n"/>
      <c r="L564" s="18" t="n"/>
      <c r="M564" s="5">
        <f>IF($A564="","",IFERROR(INDEX('AJUSTES'!$B$4:$B$303,MATCH($AT564,'AJUSTES'!$A$4:$A$303,0)),IF($K564="","",$K564)))</f>
        <v/>
      </c>
      <c r="N564" s="5">
        <f>IF($A564="","",IFERROR(INDEX('CAT_ESTADOS_ERP'!$B$4:$B$7,MATCH(IFERROR(INDEX('2_IMPORTAR_EJECUCION'!$C$9:$C$1208,MATCH($AT564,'2_IMPORTAR_EJECUCION'!$J$9:$J$1208,0)),""),'CAT_ESTADOS_ERP'!$A$4:$A$7,0)),"Pendiente"))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IF($J564="","",$P564&amp;"-"&amp;TEXT($Q564,"00"))</f>
        <v/>
      </c>
      <c r="S564" s="5">
        <f>IF($J564="","",INDEX(lista_dias,WEEKDAY($J564,2)))</f>
        <v/>
      </c>
      <c r="T564" s="5">
        <f>IF($J564="","",IFERROR(INDEX('CALENDARIO'!$C$15:$C$214,MATCH(TEXT($J564,"yyyy-mm-dd")&amp;"|"&amp;$X564&amp;"|"&amp;$Y564,'CALENDARIO'!$G$15:$G$214,0)),IFERROR(INDEX('CALENDARIO'!$C$15:$C$214,MATCH(TEXT($J564,"yyyy-mm-dd")&amp;"|"&amp;$X564&amp;"|",'CALENDARIO'!$G$15:$G$214,0)),IFERROR(INDEX('CALENDARIO'!$C$15:$C$214,MATCH(TEXT($J564,"yyyy-mm-dd")&amp;"||",'CALENDARIO'!$G$15:$G$214,0)),INDEX(patronHabil,WEEKDAY($J564,2))))))</f>
        <v/>
      </c>
      <c r="U564" s="5">
        <f>IF($I564="","",IFERROR(INDEX('CAT_TIPOS_OT'!$C$4:$C$8,MATCH($I564,'CAT_TIPOS_OT'!$A$4:$A$8,0)),"sin_clasificar"))</f>
        <v/>
      </c>
      <c r="V564" s="5">
        <f>IF($I564="","",IF(IFERROR(INDEX('CAT_TIPOS_OT'!$D$4:$D$8,MATCH($I564,'CAT_TIPOS_OT'!$A$4:$A$8,0)),"SIN CLASIFICAR")="","SIN CLASIFICAR",IFERROR(INDEX('CAT_TIPOS_OT'!$D$4:$D$8,MATCH($I564,'CAT_TIPOS_OT'!$A$4:$A$8,0)),"SIN CLASIFICAR")))</f>
        <v/>
      </c>
      <c r="W564" s="5">
        <f>IF($F564="","",IFERROR(INDEX('CAT_CENTROS_COSTO'!$F$4:$F$13,MATCH($F564,'CAT_CENTROS_COSTO'!$A$4:$A$13,0)),"(sin catálogo)"))</f>
        <v/>
      </c>
      <c r="X564" s="5">
        <f>IF($F564="","",IFERROR(INDEX('CAT_CENTROS_COSTO'!$D$4:$D$13,MATCH($F564,'CAT_CENTROS_COSTO'!$A$4:$A$13,0)),"(sin catálogo)"))</f>
        <v/>
      </c>
      <c r="Y564" s="5">
        <f>IF($F564="","",IF((IFERROR(INDEX('CAT_CENTROS_COSTO'!$E$4:$E$13,MATCH($F564,'CAT_CENTROS_COSTO'!$A$4:$A$13,0)),""))&lt;&gt;"",IFERROR(INDEX('CAT_CENTROS_COSTO'!$E$4:$E$13,MATCH($F564,'CAT_CENTROS_COSTO'!$A$4:$A$13,0)),""),$X564))</f>
        <v/>
      </c>
      <c r="Z564" s="5">
        <f>IF($F564="","",IFERROR(INDEX('CAT_CENTROS_COSTO'!$G$4:$G$13,MATCH($F564,'CAT_CENTROS_COSTO'!$A$4:$A$13,0)),"(sin catálogo)"))</f>
        <v/>
      </c>
      <c r="AA564" s="5">
        <f>IF($G564="","",IFERROR(INDEX('CAT_PUESTOS'!$B$4:$B$8,MATCH($G564,'CAT_PUESTOS'!$A$4:$A$8,0)),"(sin catálogo)"))</f>
        <v/>
      </c>
      <c r="AB564" s="5">
        <f>IF($H564="","",IFERROR(INDEX('CAT_ACTIVIDADES'!$B$4:$B$11,MATCH($H564,'CAT_ACTIVIDADES'!$A$4:$A$11,0)),"(sin catálogo)"))</f>
        <v/>
      </c>
      <c r="AC564" s="20">
        <f>IF($J564="","",TODAY()-$J564)</f>
        <v/>
      </c>
      <c r="AD564" s="20">
        <f>IF($J564="","",IF($J564&lt;=TODAY(),COUNTIFS(cal_fechas,"&gt;="&amp;$J564,cal_fechas,"&lt;"&amp;TODAY(),cal_habil,"sí"),-COUNTIFS(cal_fechas,"&gt;="&amp;TODAY(),cal_fechas,"&lt;"&amp;$J564,cal_habil,"sí")))</f>
        <v/>
      </c>
      <c r="AE564" s="5">
        <f>IF($AD564="","",IF($AD564&lt;0,"FUTURO",IF($AD564&gt;p_dias_backlog_max,"BACKLOG","MES CORRIENTE")))</f>
        <v/>
      </c>
      <c r="AF564" s="5">
        <f>IF($AD564="",FALSE,AND($AD564&gt;p_dias_backlog_min,$AD564&lt;=p_dias_backlog_max))</f>
        <v/>
      </c>
      <c r="AG564" s="4" t="n"/>
      <c r="AH564" s="5">
        <f>IF($AG564="","",IF((IFERROR(INDEX('ASIGNACIONES'!$J$4:$J$451,MATCH($O564&amp;"|"&amp;$S564&amp;"|"&amp;$AG564,'ASIGNACIONES'!$N$4:$N$451,0)),""))=0,"",IFERROR(INDEX('ASIGNACIONES'!$J$4:$J$451,MATCH($O564&amp;"|"&amp;$S564&amp;"|"&amp;$AG564,'ASIGNACIONES'!$N$4:$N$451,0)),"")))</f>
        <v/>
      </c>
      <c r="AI564" s="25">
        <f>IF($AG564="","",SUMIFS('ORDENES'!$M$4:$M$1203,'ORDENES'!$AG$4:$AG$1203,$AG564,'ORDENES'!$O$4:$O$1203,$O564,'ORDENES'!$S$4:$S$1203,$S564))</f>
        <v/>
      </c>
      <c r="AJ564" s="25">
        <f>IF($AI564="","",p_factor_productividad*IFERROR(INDEX('ASIGNACIONES'!$M$4:$M$451,MATCH($O564&amp;"|"&amp;$S564&amp;"|"&amp;$AG564,'ASIGNACIONES'!$N$4:$N$451,0)),0)-$AI564)</f>
        <v/>
      </c>
      <c r="AK564" s="18">
        <f>IF($A564="","",IFERROR(INDEX('2_IMPORTAR_EJECUCION'!$F$9:$F$1208,MATCH($AT564,'2_IMPORTAR_EJECUCION'!$J$9:$J$1208,0)),0))</f>
        <v/>
      </c>
      <c r="AL564" s="18">
        <f>IF($A564="","",MAX(0,IFERROR(INDEX('2_IMPORTAR_EJECUCION'!$H$9:$H$1208,MATCH($AT564,'2_IMPORTAR_EJECUCION'!$J$9:$J$1208,0)),0)-$AK564))</f>
        <v/>
      </c>
      <c r="AM564" s="18">
        <f>IF($A564="","",$AK564+$AL564)</f>
        <v/>
      </c>
      <c r="AN564" s="5">
        <f>IF($A564="","",IF(OR((IFERROR(INDEX('CAT_ACTIVIDADES'!$D$4:$D$11,MATCH($H564,'CAT_ACTIVIDADES'!$A$4:$A$11,0)),""))=0,(IFERROR(INDEX('CAT_ACTIVIDADES'!$D$4:$D$11,MATCH($H564,'CAT_ACTIVIDADES'!$A$4:$A$11,0)),""))=""),"SIN CLASIFICAR",IFERROR(INDEX('CAT_ACTIVIDADES'!$D$4:$D$11,MATCH($H564,'CAT_ACTIVIDADES'!$A$4:$A$11,0)),"")))</f>
        <v/>
      </c>
      <c r="AO564" s="4" t="n"/>
      <c r="AP564" s="4" t="n"/>
      <c r="AQ564" s="4" t="n"/>
      <c r="AR564" s="5">
        <f>IF($AQ564="","",HYPERLINK(p_ruta_base_checklists&amp;$AQ564,"abrir"))</f>
        <v/>
      </c>
      <c r="AS564" s="4" t="n"/>
      <c r="AT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2" t="n"/>
      <c r="K565" s="5" t="n"/>
      <c r="L565" s="18" t="n"/>
      <c r="M565" s="5">
        <f>IF($A565="","",IFERROR(INDEX('AJUSTES'!$B$4:$B$303,MATCH($AT565,'AJUSTES'!$A$4:$A$303,0)),IF($K565="","",$K565)))</f>
        <v/>
      </c>
      <c r="N565" s="5">
        <f>IF($A565="","",IFERROR(INDEX('CAT_ESTADOS_ERP'!$B$4:$B$7,MATCH(IFERROR(INDEX('2_IMPORTAR_EJECUCION'!$C$9:$C$1208,MATCH($AT565,'2_IMPORTAR_EJECUCION'!$J$9:$J$1208,0)),""),'CAT_ESTADOS_ERP'!$A$4:$A$7,0)),"Pendiente"))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IF($J565="","",$P565&amp;"-"&amp;TEXT($Q565,"00"))</f>
        <v/>
      </c>
      <c r="S565" s="5">
        <f>IF($J565="","",INDEX(lista_dias,WEEKDAY($J565,2)))</f>
        <v/>
      </c>
      <c r="T565" s="5">
        <f>IF($J565="","",IFERROR(INDEX('CALENDARIO'!$C$15:$C$214,MATCH(TEXT($J565,"yyyy-mm-dd")&amp;"|"&amp;$X565&amp;"|"&amp;$Y565,'CALENDARIO'!$G$15:$G$214,0)),IFERROR(INDEX('CALENDARIO'!$C$15:$C$214,MATCH(TEXT($J565,"yyyy-mm-dd")&amp;"|"&amp;$X565&amp;"|",'CALENDARIO'!$G$15:$G$214,0)),IFERROR(INDEX('CALENDARIO'!$C$15:$C$214,MATCH(TEXT($J565,"yyyy-mm-dd")&amp;"||",'CALENDARIO'!$G$15:$G$214,0)),INDEX(patronHabil,WEEKDAY($J565,2))))))</f>
        <v/>
      </c>
      <c r="U565" s="5">
        <f>IF($I565="","",IFERROR(INDEX('CAT_TIPOS_OT'!$C$4:$C$8,MATCH($I565,'CAT_TIPOS_OT'!$A$4:$A$8,0)),"sin_clasificar"))</f>
        <v/>
      </c>
      <c r="V565" s="5">
        <f>IF($I565="","",IF(IFERROR(INDEX('CAT_TIPOS_OT'!$D$4:$D$8,MATCH($I565,'CAT_TIPOS_OT'!$A$4:$A$8,0)),"SIN CLASIFICAR")="","SIN CLASIFICAR",IFERROR(INDEX('CAT_TIPOS_OT'!$D$4:$D$8,MATCH($I565,'CAT_TIPOS_OT'!$A$4:$A$8,0)),"SIN CLASIFICAR")))</f>
        <v/>
      </c>
      <c r="W565" s="5">
        <f>IF($F565="","",IFERROR(INDEX('CAT_CENTROS_COSTO'!$F$4:$F$13,MATCH($F565,'CAT_CENTROS_COSTO'!$A$4:$A$13,0)),"(sin catálogo)"))</f>
        <v/>
      </c>
      <c r="X565" s="5">
        <f>IF($F565="","",IFERROR(INDEX('CAT_CENTROS_COSTO'!$D$4:$D$13,MATCH($F565,'CAT_CENTROS_COSTO'!$A$4:$A$13,0)),"(sin catálogo)"))</f>
        <v/>
      </c>
      <c r="Y565" s="5">
        <f>IF($F565="","",IF((IFERROR(INDEX('CAT_CENTROS_COSTO'!$E$4:$E$13,MATCH($F565,'CAT_CENTROS_COSTO'!$A$4:$A$13,0)),""))&lt;&gt;"",IFERROR(INDEX('CAT_CENTROS_COSTO'!$E$4:$E$13,MATCH($F565,'CAT_CENTROS_COSTO'!$A$4:$A$13,0)),""),$X565))</f>
        <v/>
      </c>
      <c r="Z565" s="5">
        <f>IF($F565="","",IFERROR(INDEX('CAT_CENTROS_COSTO'!$G$4:$G$13,MATCH($F565,'CAT_CENTROS_COSTO'!$A$4:$A$13,0)),"(sin catálogo)"))</f>
        <v/>
      </c>
      <c r="AA565" s="5">
        <f>IF($G565="","",IFERROR(INDEX('CAT_PUESTOS'!$B$4:$B$8,MATCH($G565,'CAT_PUESTOS'!$A$4:$A$8,0)),"(sin catálogo)"))</f>
        <v/>
      </c>
      <c r="AB565" s="5">
        <f>IF($H565="","",IFERROR(INDEX('CAT_ACTIVIDADES'!$B$4:$B$11,MATCH($H565,'CAT_ACTIVIDADES'!$A$4:$A$11,0)),"(sin catálogo)"))</f>
        <v/>
      </c>
      <c r="AC565" s="20">
        <f>IF($J565="","",TODAY()-$J565)</f>
        <v/>
      </c>
      <c r="AD565" s="20">
        <f>IF($J565="","",IF($J565&lt;=TODAY(),COUNTIFS(cal_fechas,"&gt;="&amp;$J565,cal_fechas,"&lt;"&amp;TODAY(),cal_habil,"sí"),-COUNTIFS(cal_fechas,"&gt;="&amp;TODAY(),cal_fechas,"&lt;"&amp;$J565,cal_habil,"sí")))</f>
        <v/>
      </c>
      <c r="AE565" s="5">
        <f>IF($AD565="","",IF($AD565&lt;0,"FUTURO",IF($AD565&gt;p_dias_backlog_max,"BACKLOG","MES CORRIENTE")))</f>
        <v/>
      </c>
      <c r="AF565" s="5">
        <f>IF($AD565="",FALSE,AND($AD565&gt;p_dias_backlog_min,$AD565&lt;=p_dias_backlog_max))</f>
        <v/>
      </c>
      <c r="AG565" s="4" t="n"/>
      <c r="AH565" s="5">
        <f>IF($AG565="","",IF((IFERROR(INDEX('ASIGNACIONES'!$J$4:$J$451,MATCH($O565&amp;"|"&amp;$S565&amp;"|"&amp;$AG565,'ASIGNACIONES'!$N$4:$N$451,0)),""))=0,"",IFERROR(INDEX('ASIGNACIONES'!$J$4:$J$451,MATCH($O565&amp;"|"&amp;$S565&amp;"|"&amp;$AG565,'ASIGNACIONES'!$N$4:$N$451,0)),"")))</f>
        <v/>
      </c>
      <c r="AI565" s="25">
        <f>IF($AG565="","",SUMIFS('ORDENES'!$M$4:$M$1203,'ORDENES'!$AG$4:$AG$1203,$AG565,'ORDENES'!$O$4:$O$1203,$O565,'ORDENES'!$S$4:$S$1203,$S565))</f>
        <v/>
      </c>
      <c r="AJ565" s="25">
        <f>IF($AI565="","",p_factor_productividad*IFERROR(INDEX('ASIGNACIONES'!$M$4:$M$451,MATCH($O565&amp;"|"&amp;$S565&amp;"|"&amp;$AG565,'ASIGNACIONES'!$N$4:$N$451,0)),0)-$AI565)</f>
        <v/>
      </c>
      <c r="AK565" s="18">
        <f>IF($A565="","",IFERROR(INDEX('2_IMPORTAR_EJECUCION'!$F$9:$F$1208,MATCH($AT565,'2_IMPORTAR_EJECUCION'!$J$9:$J$1208,0)),0))</f>
        <v/>
      </c>
      <c r="AL565" s="18">
        <f>IF($A565="","",MAX(0,IFERROR(INDEX('2_IMPORTAR_EJECUCION'!$H$9:$H$1208,MATCH($AT565,'2_IMPORTAR_EJECUCION'!$J$9:$J$1208,0)),0)-$AK565))</f>
        <v/>
      </c>
      <c r="AM565" s="18">
        <f>IF($A565="","",$AK565+$AL565)</f>
        <v/>
      </c>
      <c r="AN565" s="5">
        <f>IF($A565="","",IF(OR((IFERROR(INDEX('CAT_ACTIVIDADES'!$D$4:$D$11,MATCH($H565,'CAT_ACTIVIDADES'!$A$4:$A$11,0)),""))=0,(IFERROR(INDEX('CAT_ACTIVIDADES'!$D$4:$D$11,MATCH($H565,'CAT_ACTIVIDADES'!$A$4:$A$11,0)),""))=""),"SIN CLASIFICAR",IFERROR(INDEX('CAT_ACTIVIDADES'!$D$4:$D$11,MATCH($H565,'CAT_ACTIVIDADES'!$A$4:$A$11,0)),"")))</f>
        <v/>
      </c>
      <c r="AO565" s="4" t="n"/>
      <c r="AP565" s="4" t="n"/>
      <c r="AQ565" s="4" t="n"/>
      <c r="AR565" s="5">
        <f>IF($AQ565="","",HYPERLINK(p_ruta_base_checklists&amp;$AQ565,"abrir"))</f>
        <v/>
      </c>
      <c r="AS565" s="4" t="n"/>
      <c r="AT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2" t="n"/>
      <c r="K566" s="5" t="n"/>
      <c r="L566" s="18" t="n"/>
      <c r="M566" s="5">
        <f>IF($A566="","",IFERROR(INDEX('AJUSTES'!$B$4:$B$303,MATCH($AT566,'AJUSTES'!$A$4:$A$303,0)),IF($K566="","",$K566)))</f>
        <v/>
      </c>
      <c r="N566" s="5">
        <f>IF($A566="","",IFERROR(INDEX('CAT_ESTADOS_ERP'!$B$4:$B$7,MATCH(IFERROR(INDEX('2_IMPORTAR_EJECUCION'!$C$9:$C$1208,MATCH($AT566,'2_IMPORTAR_EJECUCION'!$J$9:$J$1208,0)),""),'CAT_ESTADOS_ERP'!$A$4:$A$7,0)),"Pendiente"))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IF($J566="","",$P566&amp;"-"&amp;TEXT($Q566,"00"))</f>
        <v/>
      </c>
      <c r="S566" s="5">
        <f>IF($J566="","",INDEX(lista_dias,WEEKDAY($J566,2)))</f>
        <v/>
      </c>
      <c r="T566" s="5">
        <f>IF($J566="","",IFERROR(INDEX('CALENDARIO'!$C$15:$C$214,MATCH(TEXT($J566,"yyyy-mm-dd")&amp;"|"&amp;$X566&amp;"|"&amp;$Y566,'CALENDARIO'!$G$15:$G$214,0)),IFERROR(INDEX('CALENDARIO'!$C$15:$C$214,MATCH(TEXT($J566,"yyyy-mm-dd")&amp;"|"&amp;$X566&amp;"|",'CALENDARIO'!$G$15:$G$214,0)),IFERROR(INDEX('CALENDARIO'!$C$15:$C$214,MATCH(TEXT($J566,"yyyy-mm-dd")&amp;"||",'CALENDARIO'!$G$15:$G$214,0)),INDEX(patronHabil,WEEKDAY($J566,2))))))</f>
        <v/>
      </c>
      <c r="U566" s="5">
        <f>IF($I566="","",IFERROR(INDEX('CAT_TIPOS_OT'!$C$4:$C$8,MATCH($I566,'CAT_TIPOS_OT'!$A$4:$A$8,0)),"sin_clasificar"))</f>
        <v/>
      </c>
      <c r="V566" s="5">
        <f>IF($I566="","",IF(IFERROR(INDEX('CAT_TIPOS_OT'!$D$4:$D$8,MATCH($I566,'CAT_TIPOS_OT'!$A$4:$A$8,0)),"SIN CLASIFICAR")="","SIN CLASIFICAR",IFERROR(INDEX('CAT_TIPOS_OT'!$D$4:$D$8,MATCH($I566,'CAT_TIPOS_OT'!$A$4:$A$8,0)),"SIN CLASIFICAR")))</f>
        <v/>
      </c>
      <c r="W566" s="5">
        <f>IF($F566="","",IFERROR(INDEX('CAT_CENTROS_COSTO'!$F$4:$F$13,MATCH($F566,'CAT_CENTROS_COSTO'!$A$4:$A$13,0)),"(sin catálogo)"))</f>
        <v/>
      </c>
      <c r="X566" s="5">
        <f>IF($F566="","",IFERROR(INDEX('CAT_CENTROS_COSTO'!$D$4:$D$13,MATCH($F566,'CAT_CENTROS_COSTO'!$A$4:$A$13,0)),"(sin catálogo)"))</f>
        <v/>
      </c>
      <c r="Y566" s="5">
        <f>IF($F566="","",IF((IFERROR(INDEX('CAT_CENTROS_COSTO'!$E$4:$E$13,MATCH($F566,'CAT_CENTROS_COSTO'!$A$4:$A$13,0)),""))&lt;&gt;"",IFERROR(INDEX('CAT_CENTROS_COSTO'!$E$4:$E$13,MATCH($F566,'CAT_CENTROS_COSTO'!$A$4:$A$13,0)),""),$X566))</f>
        <v/>
      </c>
      <c r="Z566" s="5">
        <f>IF($F566="","",IFERROR(INDEX('CAT_CENTROS_COSTO'!$G$4:$G$13,MATCH($F566,'CAT_CENTROS_COSTO'!$A$4:$A$13,0)),"(sin catálogo)"))</f>
        <v/>
      </c>
      <c r="AA566" s="5">
        <f>IF($G566="","",IFERROR(INDEX('CAT_PUESTOS'!$B$4:$B$8,MATCH($G566,'CAT_PUESTOS'!$A$4:$A$8,0)),"(sin catálogo)"))</f>
        <v/>
      </c>
      <c r="AB566" s="5">
        <f>IF($H566="","",IFERROR(INDEX('CAT_ACTIVIDADES'!$B$4:$B$11,MATCH($H566,'CAT_ACTIVIDADES'!$A$4:$A$11,0)),"(sin catálogo)"))</f>
        <v/>
      </c>
      <c r="AC566" s="20">
        <f>IF($J566="","",TODAY()-$J566)</f>
        <v/>
      </c>
      <c r="AD566" s="20">
        <f>IF($J566="","",IF($J566&lt;=TODAY(),COUNTIFS(cal_fechas,"&gt;="&amp;$J566,cal_fechas,"&lt;"&amp;TODAY(),cal_habil,"sí"),-COUNTIFS(cal_fechas,"&gt;="&amp;TODAY(),cal_fechas,"&lt;"&amp;$J566,cal_habil,"sí")))</f>
        <v/>
      </c>
      <c r="AE566" s="5">
        <f>IF($AD566="","",IF($AD566&lt;0,"FUTURO",IF($AD566&gt;p_dias_backlog_max,"BACKLOG","MES CORRIENTE")))</f>
        <v/>
      </c>
      <c r="AF566" s="5">
        <f>IF($AD566="",FALSE,AND($AD566&gt;p_dias_backlog_min,$AD566&lt;=p_dias_backlog_max))</f>
        <v/>
      </c>
      <c r="AG566" s="4" t="n"/>
      <c r="AH566" s="5">
        <f>IF($AG566="","",IF((IFERROR(INDEX('ASIGNACIONES'!$J$4:$J$451,MATCH($O566&amp;"|"&amp;$S566&amp;"|"&amp;$AG566,'ASIGNACIONES'!$N$4:$N$451,0)),""))=0,"",IFERROR(INDEX('ASIGNACIONES'!$J$4:$J$451,MATCH($O566&amp;"|"&amp;$S566&amp;"|"&amp;$AG566,'ASIGNACIONES'!$N$4:$N$451,0)),"")))</f>
        <v/>
      </c>
      <c r="AI566" s="25">
        <f>IF($AG566="","",SUMIFS('ORDENES'!$M$4:$M$1203,'ORDENES'!$AG$4:$AG$1203,$AG566,'ORDENES'!$O$4:$O$1203,$O566,'ORDENES'!$S$4:$S$1203,$S566))</f>
        <v/>
      </c>
      <c r="AJ566" s="25">
        <f>IF($AI566="","",p_factor_productividad*IFERROR(INDEX('ASIGNACIONES'!$M$4:$M$451,MATCH($O566&amp;"|"&amp;$S566&amp;"|"&amp;$AG566,'ASIGNACIONES'!$N$4:$N$451,0)),0)-$AI566)</f>
        <v/>
      </c>
      <c r="AK566" s="18">
        <f>IF($A566="","",IFERROR(INDEX('2_IMPORTAR_EJECUCION'!$F$9:$F$1208,MATCH($AT566,'2_IMPORTAR_EJECUCION'!$J$9:$J$1208,0)),0))</f>
        <v/>
      </c>
      <c r="AL566" s="18">
        <f>IF($A566="","",MAX(0,IFERROR(INDEX('2_IMPORTAR_EJECUCION'!$H$9:$H$1208,MATCH($AT566,'2_IMPORTAR_EJECUCION'!$J$9:$J$1208,0)),0)-$AK566))</f>
        <v/>
      </c>
      <c r="AM566" s="18">
        <f>IF($A566="","",$AK566+$AL566)</f>
        <v/>
      </c>
      <c r="AN566" s="5">
        <f>IF($A566="","",IF(OR((IFERROR(INDEX('CAT_ACTIVIDADES'!$D$4:$D$11,MATCH($H566,'CAT_ACTIVIDADES'!$A$4:$A$11,0)),""))=0,(IFERROR(INDEX('CAT_ACTIVIDADES'!$D$4:$D$11,MATCH($H566,'CAT_ACTIVIDADES'!$A$4:$A$11,0)),""))=""),"SIN CLASIFICAR",IFERROR(INDEX('CAT_ACTIVIDADES'!$D$4:$D$11,MATCH($H566,'CAT_ACTIVIDADES'!$A$4:$A$11,0)),"")))</f>
        <v/>
      </c>
      <c r="AO566" s="4" t="n"/>
      <c r="AP566" s="4" t="n"/>
      <c r="AQ566" s="4" t="n"/>
      <c r="AR566" s="5">
        <f>IF($AQ566="","",HYPERLINK(p_ruta_base_checklists&amp;$AQ566,"abrir"))</f>
        <v/>
      </c>
      <c r="AS566" s="4" t="n"/>
      <c r="AT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2" t="n"/>
      <c r="K567" s="5" t="n"/>
      <c r="L567" s="18" t="n"/>
      <c r="M567" s="5">
        <f>IF($A567="","",IFERROR(INDEX('AJUSTES'!$B$4:$B$303,MATCH($AT567,'AJUSTES'!$A$4:$A$303,0)),IF($K567="","",$K567)))</f>
        <v/>
      </c>
      <c r="N567" s="5">
        <f>IF($A567="","",IFERROR(INDEX('CAT_ESTADOS_ERP'!$B$4:$B$7,MATCH(IFERROR(INDEX('2_IMPORTAR_EJECUCION'!$C$9:$C$1208,MATCH($AT567,'2_IMPORTAR_EJECUCION'!$J$9:$J$1208,0)),""),'CAT_ESTADOS_ERP'!$A$4:$A$7,0)),"Pendiente"))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IF($J567="","",$P567&amp;"-"&amp;TEXT($Q567,"00"))</f>
        <v/>
      </c>
      <c r="S567" s="5">
        <f>IF($J567="","",INDEX(lista_dias,WEEKDAY($J567,2)))</f>
        <v/>
      </c>
      <c r="T567" s="5">
        <f>IF($J567="","",IFERROR(INDEX('CALENDARIO'!$C$15:$C$214,MATCH(TEXT($J567,"yyyy-mm-dd")&amp;"|"&amp;$X567&amp;"|"&amp;$Y567,'CALENDARIO'!$G$15:$G$214,0)),IFERROR(INDEX('CALENDARIO'!$C$15:$C$214,MATCH(TEXT($J567,"yyyy-mm-dd")&amp;"|"&amp;$X567&amp;"|",'CALENDARIO'!$G$15:$G$214,0)),IFERROR(INDEX('CALENDARIO'!$C$15:$C$214,MATCH(TEXT($J567,"yyyy-mm-dd")&amp;"||",'CALENDARIO'!$G$15:$G$214,0)),INDEX(patronHabil,WEEKDAY($J567,2))))))</f>
        <v/>
      </c>
      <c r="U567" s="5">
        <f>IF($I567="","",IFERROR(INDEX('CAT_TIPOS_OT'!$C$4:$C$8,MATCH($I567,'CAT_TIPOS_OT'!$A$4:$A$8,0)),"sin_clasificar"))</f>
        <v/>
      </c>
      <c r="V567" s="5">
        <f>IF($I567="","",IF(IFERROR(INDEX('CAT_TIPOS_OT'!$D$4:$D$8,MATCH($I567,'CAT_TIPOS_OT'!$A$4:$A$8,0)),"SIN CLASIFICAR")="","SIN CLASIFICAR",IFERROR(INDEX('CAT_TIPOS_OT'!$D$4:$D$8,MATCH($I567,'CAT_TIPOS_OT'!$A$4:$A$8,0)),"SIN CLASIFICAR")))</f>
        <v/>
      </c>
      <c r="W567" s="5">
        <f>IF($F567="","",IFERROR(INDEX('CAT_CENTROS_COSTO'!$F$4:$F$13,MATCH($F567,'CAT_CENTROS_COSTO'!$A$4:$A$13,0)),"(sin catálogo)"))</f>
        <v/>
      </c>
      <c r="X567" s="5">
        <f>IF($F567="","",IFERROR(INDEX('CAT_CENTROS_COSTO'!$D$4:$D$13,MATCH($F567,'CAT_CENTROS_COSTO'!$A$4:$A$13,0)),"(sin catálogo)"))</f>
        <v/>
      </c>
      <c r="Y567" s="5">
        <f>IF($F567="","",IF((IFERROR(INDEX('CAT_CENTROS_COSTO'!$E$4:$E$13,MATCH($F567,'CAT_CENTROS_COSTO'!$A$4:$A$13,0)),""))&lt;&gt;"",IFERROR(INDEX('CAT_CENTROS_COSTO'!$E$4:$E$13,MATCH($F567,'CAT_CENTROS_COSTO'!$A$4:$A$13,0)),""),$X567))</f>
        <v/>
      </c>
      <c r="Z567" s="5">
        <f>IF($F567="","",IFERROR(INDEX('CAT_CENTROS_COSTO'!$G$4:$G$13,MATCH($F567,'CAT_CENTROS_COSTO'!$A$4:$A$13,0)),"(sin catálogo)"))</f>
        <v/>
      </c>
      <c r="AA567" s="5">
        <f>IF($G567="","",IFERROR(INDEX('CAT_PUESTOS'!$B$4:$B$8,MATCH($G567,'CAT_PUESTOS'!$A$4:$A$8,0)),"(sin catálogo)"))</f>
        <v/>
      </c>
      <c r="AB567" s="5">
        <f>IF($H567="","",IFERROR(INDEX('CAT_ACTIVIDADES'!$B$4:$B$11,MATCH($H567,'CAT_ACTIVIDADES'!$A$4:$A$11,0)),"(sin catálogo)"))</f>
        <v/>
      </c>
      <c r="AC567" s="20">
        <f>IF($J567="","",TODAY()-$J567)</f>
        <v/>
      </c>
      <c r="AD567" s="20">
        <f>IF($J567="","",IF($J567&lt;=TODAY(),COUNTIFS(cal_fechas,"&gt;="&amp;$J567,cal_fechas,"&lt;"&amp;TODAY(),cal_habil,"sí"),-COUNTIFS(cal_fechas,"&gt;="&amp;TODAY(),cal_fechas,"&lt;"&amp;$J567,cal_habil,"sí")))</f>
        <v/>
      </c>
      <c r="AE567" s="5">
        <f>IF($AD567="","",IF($AD567&lt;0,"FUTURO",IF($AD567&gt;p_dias_backlog_max,"BACKLOG","MES CORRIENTE")))</f>
        <v/>
      </c>
      <c r="AF567" s="5">
        <f>IF($AD567="",FALSE,AND($AD567&gt;p_dias_backlog_min,$AD567&lt;=p_dias_backlog_max))</f>
        <v/>
      </c>
      <c r="AG567" s="4" t="n"/>
      <c r="AH567" s="5">
        <f>IF($AG567="","",IF((IFERROR(INDEX('ASIGNACIONES'!$J$4:$J$451,MATCH($O567&amp;"|"&amp;$S567&amp;"|"&amp;$AG567,'ASIGNACIONES'!$N$4:$N$451,0)),""))=0,"",IFERROR(INDEX('ASIGNACIONES'!$J$4:$J$451,MATCH($O567&amp;"|"&amp;$S567&amp;"|"&amp;$AG567,'ASIGNACIONES'!$N$4:$N$451,0)),"")))</f>
        <v/>
      </c>
      <c r="AI567" s="25">
        <f>IF($AG567="","",SUMIFS('ORDENES'!$M$4:$M$1203,'ORDENES'!$AG$4:$AG$1203,$AG567,'ORDENES'!$O$4:$O$1203,$O567,'ORDENES'!$S$4:$S$1203,$S567))</f>
        <v/>
      </c>
      <c r="AJ567" s="25">
        <f>IF($AI567="","",p_factor_productividad*IFERROR(INDEX('ASIGNACIONES'!$M$4:$M$451,MATCH($O567&amp;"|"&amp;$S567&amp;"|"&amp;$AG567,'ASIGNACIONES'!$N$4:$N$451,0)),0)-$AI567)</f>
        <v/>
      </c>
      <c r="AK567" s="18">
        <f>IF($A567="","",IFERROR(INDEX('2_IMPORTAR_EJECUCION'!$F$9:$F$1208,MATCH($AT567,'2_IMPORTAR_EJECUCION'!$J$9:$J$1208,0)),0))</f>
        <v/>
      </c>
      <c r="AL567" s="18">
        <f>IF($A567="","",MAX(0,IFERROR(INDEX('2_IMPORTAR_EJECUCION'!$H$9:$H$1208,MATCH($AT567,'2_IMPORTAR_EJECUCION'!$J$9:$J$1208,0)),0)-$AK567))</f>
        <v/>
      </c>
      <c r="AM567" s="18">
        <f>IF($A567="","",$AK567+$AL567)</f>
        <v/>
      </c>
      <c r="AN567" s="5">
        <f>IF($A567="","",IF(OR((IFERROR(INDEX('CAT_ACTIVIDADES'!$D$4:$D$11,MATCH($H567,'CAT_ACTIVIDADES'!$A$4:$A$11,0)),""))=0,(IFERROR(INDEX('CAT_ACTIVIDADES'!$D$4:$D$11,MATCH($H567,'CAT_ACTIVIDADES'!$A$4:$A$11,0)),""))=""),"SIN CLASIFICAR",IFERROR(INDEX('CAT_ACTIVIDADES'!$D$4:$D$11,MATCH($H567,'CAT_ACTIVIDADES'!$A$4:$A$11,0)),"")))</f>
        <v/>
      </c>
      <c r="AO567" s="4" t="n"/>
      <c r="AP567" s="4" t="n"/>
      <c r="AQ567" s="4" t="n"/>
      <c r="AR567" s="5">
        <f>IF($AQ567="","",HYPERLINK(p_ruta_base_checklists&amp;$AQ567,"abrir"))</f>
        <v/>
      </c>
      <c r="AS567" s="4" t="n"/>
      <c r="AT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2" t="n"/>
      <c r="K568" s="5" t="n"/>
      <c r="L568" s="18" t="n"/>
      <c r="M568" s="5">
        <f>IF($A568="","",IFERROR(INDEX('AJUSTES'!$B$4:$B$303,MATCH($AT568,'AJUSTES'!$A$4:$A$303,0)),IF($K568="","",$K568)))</f>
        <v/>
      </c>
      <c r="N568" s="5">
        <f>IF($A568="","",IFERROR(INDEX('CAT_ESTADOS_ERP'!$B$4:$B$7,MATCH(IFERROR(INDEX('2_IMPORTAR_EJECUCION'!$C$9:$C$1208,MATCH($AT568,'2_IMPORTAR_EJECUCION'!$J$9:$J$1208,0)),""),'CAT_ESTADOS_ERP'!$A$4:$A$7,0)),"Pendiente"))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IF($J568="","",$P568&amp;"-"&amp;TEXT($Q568,"00"))</f>
        <v/>
      </c>
      <c r="S568" s="5">
        <f>IF($J568="","",INDEX(lista_dias,WEEKDAY($J568,2)))</f>
        <v/>
      </c>
      <c r="T568" s="5">
        <f>IF($J568="","",IFERROR(INDEX('CALENDARIO'!$C$15:$C$214,MATCH(TEXT($J568,"yyyy-mm-dd")&amp;"|"&amp;$X568&amp;"|"&amp;$Y568,'CALENDARIO'!$G$15:$G$214,0)),IFERROR(INDEX('CALENDARIO'!$C$15:$C$214,MATCH(TEXT($J568,"yyyy-mm-dd")&amp;"|"&amp;$X568&amp;"|",'CALENDARIO'!$G$15:$G$214,0)),IFERROR(INDEX('CALENDARIO'!$C$15:$C$214,MATCH(TEXT($J568,"yyyy-mm-dd")&amp;"||",'CALENDARIO'!$G$15:$G$214,0)),INDEX(patronHabil,WEEKDAY($J568,2))))))</f>
        <v/>
      </c>
      <c r="U568" s="5">
        <f>IF($I568="","",IFERROR(INDEX('CAT_TIPOS_OT'!$C$4:$C$8,MATCH($I568,'CAT_TIPOS_OT'!$A$4:$A$8,0)),"sin_clasificar"))</f>
        <v/>
      </c>
      <c r="V568" s="5">
        <f>IF($I568="","",IF(IFERROR(INDEX('CAT_TIPOS_OT'!$D$4:$D$8,MATCH($I568,'CAT_TIPOS_OT'!$A$4:$A$8,0)),"SIN CLASIFICAR")="","SIN CLASIFICAR",IFERROR(INDEX('CAT_TIPOS_OT'!$D$4:$D$8,MATCH($I568,'CAT_TIPOS_OT'!$A$4:$A$8,0)),"SIN CLASIFICAR")))</f>
        <v/>
      </c>
      <c r="W568" s="5">
        <f>IF($F568="","",IFERROR(INDEX('CAT_CENTROS_COSTO'!$F$4:$F$13,MATCH($F568,'CAT_CENTROS_COSTO'!$A$4:$A$13,0)),"(sin catálogo)"))</f>
        <v/>
      </c>
      <c r="X568" s="5">
        <f>IF($F568="","",IFERROR(INDEX('CAT_CENTROS_COSTO'!$D$4:$D$13,MATCH($F568,'CAT_CENTROS_COSTO'!$A$4:$A$13,0)),"(sin catálogo)"))</f>
        <v/>
      </c>
      <c r="Y568" s="5">
        <f>IF($F568="","",IF((IFERROR(INDEX('CAT_CENTROS_COSTO'!$E$4:$E$13,MATCH($F568,'CAT_CENTROS_COSTO'!$A$4:$A$13,0)),""))&lt;&gt;"",IFERROR(INDEX('CAT_CENTROS_COSTO'!$E$4:$E$13,MATCH($F568,'CAT_CENTROS_COSTO'!$A$4:$A$13,0)),""),$X568))</f>
        <v/>
      </c>
      <c r="Z568" s="5">
        <f>IF($F568="","",IFERROR(INDEX('CAT_CENTROS_COSTO'!$G$4:$G$13,MATCH($F568,'CAT_CENTROS_COSTO'!$A$4:$A$13,0)),"(sin catálogo)"))</f>
        <v/>
      </c>
      <c r="AA568" s="5">
        <f>IF($G568="","",IFERROR(INDEX('CAT_PUESTOS'!$B$4:$B$8,MATCH($G568,'CAT_PUESTOS'!$A$4:$A$8,0)),"(sin catálogo)"))</f>
        <v/>
      </c>
      <c r="AB568" s="5">
        <f>IF($H568="","",IFERROR(INDEX('CAT_ACTIVIDADES'!$B$4:$B$11,MATCH($H568,'CAT_ACTIVIDADES'!$A$4:$A$11,0)),"(sin catálogo)"))</f>
        <v/>
      </c>
      <c r="AC568" s="20">
        <f>IF($J568="","",TODAY()-$J568)</f>
        <v/>
      </c>
      <c r="AD568" s="20">
        <f>IF($J568="","",IF($J568&lt;=TODAY(),COUNTIFS(cal_fechas,"&gt;="&amp;$J568,cal_fechas,"&lt;"&amp;TODAY(),cal_habil,"sí"),-COUNTIFS(cal_fechas,"&gt;="&amp;TODAY(),cal_fechas,"&lt;"&amp;$J568,cal_habil,"sí")))</f>
        <v/>
      </c>
      <c r="AE568" s="5">
        <f>IF($AD568="","",IF($AD568&lt;0,"FUTURO",IF($AD568&gt;p_dias_backlog_max,"BACKLOG","MES CORRIENTE")))</f>
        <v/>
      </c>
      <c r="AF568" s="5">
        <f>IF($AD568="",FALSE,AND($AD568&gt;p_dias_backlog_min,$AD568&lt;=p_dias_backlog_max))</f>
        <v/>
      </c>
      <c r="AG568" s="4" t="n"/>
      <c r="AH568" s="5">
        <f>IF($AG568="","",IF((IFERROR(INDEX('ASIGNACIONES'!$J$4:$J$451,MATCH($O568&amp;"|"&amp;$S568&amp;"|"&amp;$AG568,'ASIGNACIONES'!$N$4:$N$451,0)),""))=0,"",IFERROR(INDEX('ASIGNACIONES'!$J$4:$J$451,MATCH($O568&amp;"|"&amp;$S568&amp;"|"&amp;$AG568,'ASIGNACIONES'!$N$4:$N$451,0)),"")))</f>
        <v/>
      </c>
      <c r="AI568" s="25">
        <f>IF($AG568="","",SUMIFS('ORDENES'!$M$4:$M$1203,'ORDENES'!$AG$4:$AG$1203,$AG568,'ORDENES'!$O$4:$O$1203,$O568,'ORDENES'!$S$4:$S$1203,$S568))</f>
        <v/>
      </c>
      <c r="AJ568" s="25">
        <f>IF($AI568="","",p_factor_productividad*IFERROR(INDEX('ASIGNACIONES'!$M$4:$M$451,MATCH($O568&amp;"|"&amp;$S568&amp;"|"&amp;$AG568,'ASIGNACIONES'!$N$4:$N$451,0)),0)-$AI568)</f>
        <v/>
      </c>
      <c r="AK568" s="18">
        <f>IF($A568="","",IFERROR(INDEX('2_IMPORTAR_EJECUCION'!$F$9:$F$1208,MATCH($AT568,'2_IMPORTAR_EJECUCION'!$J$9:$J$1208,0)),0))</f>
        <v/>
      </c>
      <c r="AL568" s="18">
        <f>IF($A568="","",MAX(0,IFERROR(INDEX('2_IMPORTAR_EJECUCION'!$H$9:$H$1208,MATCH($AT568,'2_IMPORTAR_EJECUCION'!$J$9:$J$1208,0)),0)-$AK568))</f>
        <v/>
      </c>
      <c r="AM568" s="18">
        <f>IF($A568="","",$AK568+$AL568)</f>
        <v/>
      </c>
      <c r="AN568" s="5">
        <f>IF($A568="","",IF(OR((IFERROR(INDEX('CAT_ACTIVIDADES'!$D$4:$D$11,MATCH($H568,'CAT_ACTIVIDADES'!$A$4:$A$11,0)),""))=0,(IFERROR(INDEX('CAT_ACTIVIDADES'!$D$4:$D$11,MATCH($H568,'CAT_ACTIVIDADES'!$A$4:$A$11,0)),""))=""),"SIN CLASIFICAR",IFERROR(INDEX('CAT_ACTIVIDADES'!$D$4:$D$11,MATCH($H568,'CAT_ACTIVIDADES'!$A$4:$A$11,0)),"")))</f>
        <v/>
      </c>
      <c r="AO568" s="4" t="n"/>
      <c r="AP568" s="4" t="n"/>
      <c r="AQ568" s="4" t="n"/>
      <c r="AR568" s="5">
        <f>IF($AQ568="","",HYPERLINK(p_ruta_base_checklists&amp;$AQ568,"abrir"))</f>
        <v/>
      </c>
      <c r="AS568" s="4" t="n"/>
      <c r="AT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2" t="n"/>
      <c r="K569" s="5" t="n"/>
      <c r="L569" s="18" t="n"/>
      <c r="M569" s="5">
        <f>IF($A569="","",IFERROR(INDEX('AJUSTES'!$B$4:$B$303,MATCH($AT569,'AJUSTES'!$A$4:$A$303,0)),IF($K569="","",$K569)))</f>
        <v/>
      </c>
      <c r="N569" s="5">
        <f>IF($A569="","",IFERROR(INDEX('CAT_ESTADOS_ERP'!$B$4:$B$7,MATCH(IFERROR(INDEX('2_IMPORTAR_EJECUCION'!$C$9:$C$1208,MATCH($AT569,'2_IMPORTAR_EJECUCION'!$J$9:$J$1208,0)),""),'CAT_ESTADOS_ERP'!$A$4:$A$7,0)),"Pendiente"))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IF($J569="","",$P569&amp;"-"&amp;TEXT($Q569,"00"))</f>
        <v/>
      </c>
      <c r="S569" s="5">
        <f>IF($J569="","",INDEX(lista_dias,WEEKDAY($J569,2)))</f>
        <v/>
      </c>
      <c r="T569" s="5">
        <f>IF($J569="","",IFERROR(INDEX('CALENDARIO'!$C$15:$C$214,MATCH(TEXT($J569,"yyyy-mm-dd")&amp;"|"&amp;$X569&amp;"|"&amp;$Y569,'CALENDARIO'!$G$15:$G$214,0)),IFERROR(INDEX('CALENDARIO'!$C$15:$C$214,MATCH(TEXT($J569,"yyyy-mm-dd")&amp;"|"&amp;$X569&amp;"|",'CALENDARIO'!$G$15:$G$214,0)),IFERROR(INDEX('CALENDARIO'!$C$15:$C$214,MATCH(TEXT($J569,"yyyy-mm-dd")&amp;"||",'CALENDARIO'!$G$15:$G$214,0)),INDEX(patronHabil,WEEKDAY($J569,2))))))</f>
        <v/>
      </c>
      <c r="U569" s="5">
        <f>IF($I569="","",IFERROR(INDEX('CAT_TIPOS_OT'!$C$4:$C$8,MATCH($I569,'CAT_TIPOS_OT'!$A$4:$A$8,0)),"sin_clasificar"))</f>
        <v/>
      </c>
      <c r="V569" s="5">
        <f>IF($I569="","",IF(IFERROR(INDEX('CAT_TIPOS_OT'!$D$4:$D$8,MATCH($I569,'CAT_TIPOS_OT'!$A$4:$A$8,0)),"SIN CLASIFICAR")="","SIN CLASIFICAR",IFERROR(INDEX('CAT_TIPOS_OT'!$D$4:$D$8,MATCH($I569,'CAT_TIPOS_OT'!$A$4:$A$8,0)),"SIN CLASIFICAR")))</f>
        <v/>
      </c>
      <c r="W569" s="5">
        <f>IF($F569="","",IFERROR(INDEX('CAT_CENTROS_COSTO'!$F$4:$F$13,MATCH($F569,'CAT_CENTROS_COSTO'!$A$4:$A$13,0)),"(sin catálogo)"))</f>
        <v/>
      </c>
      <c r="X569" s="5">
        <f>IF($F569="","",IFERROR(INDEX('CAT_CENTROS_COSTO'!$D$4:$D$13,MATCH($F569,'CAT_CENTROS_COSTO'!$A$4:$A$13,0)),"(sin catálogo)"))</f>
        <v/>
      </c>
      <c r="Y569" s="5">
        <f>IF($F569="","",IF((IFERROR(INDEX('CAT_CENTROS_COSTO'!$E$4:$E$13,MATCH($F569,'CAT_CENTROS_COSTO'!$A$4:$A$13,0)),""))&lt;&gt;"",IFERROR(INDEX('CAT_CENTROS_COSTO'!$E$4:$E$13,MATCH($F569,'CAT_CENTROS_COSTO'!$A$4:$A$13,0)),""),$X569))</f>
        <v/>
      </c>
      <c r="Z569" s="5">
        <f>IF($F569="","",IFERROR(INDEX('CAT_CENTROS_COSTO'!$G$4:$G$13,MATCH($F569,'CAT_CENTROS_COSTO'!$A$4:$A$13,0)),"(sin catálogo)"))</f>
        <v/>
      </c>
      <c r="AA569" s="5">
        <f>IF($G569="","",IFERROR(INDEX('CAT_PUESTOS'!$B$4:$B$8,MATCH($G569,'CAT_PUESTOS'!$A$4:$A$8,0)),"(sin catálogo)"))</f>
        <v/>
      </c>
      <c r="AB569" s="5">
        <f>IF($H569="","",IFERROR(INDEX('CAT_ACTIVIDADES'!$B$4:$B$11,MATCH($H569,'CAT_ACTIVIDADES'!$A$4:$A$11,0)),"(sin catálogo)"))</f>
        <v/>
      </c>
      <c r="AC569" s="20">
        <f>IF($J569="","",TODAY()-$J569)</f>
        <v/>
      </c>
      <c r="AD569" s="20">
        <f>IF($J569="","",IF($J569&lt;=TODAY(),COUNTIFS(cal_fechas,"&gt;="&amp;$J569,cal_fechas,"&lt;"&amp;TODAY(),cal_habil,"sí"),-COUNTIFS(cal_fechas,"&gt;="&amp;TODAY(),cal_fechas,"&lt;"&amp;$J569,cal_habil,"sí")))</f>
        <v/>
      </c>
      <c r="AE569" s="5">
        <f>IF($AD569="","",IF($AD569&lt;0,"FUTURO",IF($AD569&gt;p_dias_backlog_max,"BACKLOG","MES CORRIENTE")))</f>
        <v/>
      </c>
      <c r="AF569" s="5">
        <f>IF($AD569="",FALSE,AND($AD569&gt;p_dias_backlog_min,$AD569&lt;=p_dias_backlog_max))</f>
        <v/>
      </c>
      <c r="AG569" s="4" t="n"/>
      <c r="AH569" s="5">
        <f>IF($AG569="","",IF((IFERROR(INDEX('ASIGNACIONES'!$J$4:$J$451,MATCH($O569&amp;"|"&amp;$S569&amp;"|"&amp;$AG569,'ASIGNACIONES'!$N$4:$N$451,0)),""))=0,"",IFERROR(INDEX('ASIGNACIONES'!$J$4:$J$451,MATCH($O569&amp;"|"&amp;$S569&amp;"|"&amp;$AG569,'ASIGNACIONES'!$N$4:$N$451,0)),"")))</f>
        <v/>
      </c>
      <c r="AI569" s="25">
        <f>IF($AG569="","",SUMIFS('ORDENES'!$M$4:$M$1203,'ORDENES'!$AG$4:$AG$1203,$AG569,'ORDENES'!$O$4:$O$1203,$O569,'ORDENES'!$S$4:$S$1203,$S569))</f>
        <v/>
      </c>
      <c r="AJ569" s="25">
        <f>IF($AI569="","",p_factor_productividad*IFERROR(INDEX('ASIGNACIONES'!$M$4:$M$451,MATCH($O569&amp;"|"&amp;$S569&amp;"|"&amp;$AG569,'ASIGNACIONES'!$N$4:$N$451,0)),0)-$AI569)</f>
        <v/>
      </c>
      <c r="AK569" s="18">
        <f>IF($A569="","",IFERROR(INDEX('2_IMPORTAR_EJECUCION'!$F$9:$F$1208,MATCH($AT569,'2_IMPORTAR_EJECUCION'!$J$9:$J$1208,0)),0))</f>
        <v/>
      </c>
      <c r="AL569" s="18">
        <f>IF($A569="","",MAX(0,IFERROR(INDEX('2_IMPORTAR_EJECUCION'!$H$9:$H$1208,MATCH($AT569,'2_IMPORTAR_EJECUCION'!$J$9:$J$1208,0)),0)-$AK569))</f>
        <v/>
      </c>
      <c r="AM569" s="18">
        <f>IF($A569="","",$AK569+$AL569)</f>
        <v/>
      </c>
      <c r="AN569" s="5">
        <f>IF($A569="","",IF(OR((IFERROR(INDEX('CAT_ACTIVIDADES'!$D$4:$D$11,MATCH($H569,'CAT_ACTIVIDADES'!$A$4:$A$11,0)),""))=0,(IFERROR(INDEX('CAT_ACTIVIDADES'!$D$4:$D$11,MATCH($H569,'CAT_ACTIVIDADES'!$A$4:$A$11,0)),""))=""),"SIN CLASIFICAR",IFERROR(INDEX('CAT_ACTIVIDADES'!$D$4:$D$11,MATCH($H569,'CAT_ACTIVIDADES'!$A$4:$A$11,0)),"")))</f>
        <v/>
      </c>
      <c r="AO569" s="4" t="n"/>
      <c r="AP569" s="4" t="n"/>
      <c r="AQ569" s="4" t="n"/>
      <c r="AR569" s="5">
        <f>IF($AQ569="","",HYPERLINK(p_ruta_base_checklists&amp;$AQ569,"abrir"))</f>
        <v/>
      </c>
      <c r="AS569" s="4" t="n"/>
      <c r="AT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2" t="n"/>
      <c r="K570" s="5" t="n"/>
      <c r="L570" s="18" t="n"/>
      <c r="M570" s="5">
        <f>IF($A570="","",IFERROR(INDEX('AJUSTES'!$B$4:$B$303,MATCH($AT570,'AJUSTES'!$A$4:$A$303,0)),IF($K570="","",$K570)))</f>
        <v/>
      </c>
      <c r="N570" s="5">
        <f>IF($A570="","",IFERROR(INDEX('CAT_ESTADOS_ERP'!$B$4:$B$7,MATCH(IFERROR(INDEX('2_IMPORTAR_EJECUCION'!$C$9:$C$1208,MATCH($AT570,'2_IMPORTAR_EJECUCION'!$J$9:$J$1208,0)),""),'CAT_ESTADOS_ERP'!$A$4:$A$7,0)),"Pendiente"))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IF($J570="","",$P570&amp;"-"&amp;TEXT($Q570,"00"))</f>
        <v/>
      </c>
      <c r="S570" s="5">
        <f>IF($J570="","",INDEX(lista_dias,WEEKDAY($J570,2)))</f>
        <v/>
      </c>
      <c r="T570" s="5">
        <f>IF($J570="","",IFERROR(INDEX('CALENDARIO'!$C$15:$C$214,MATCH(TEXT($J570,"yyyy-mm-dd")&amp;"|"&amp;$X570&amp;"|"&amp;$Y570,'CALENDARIO'!$G$15:$G$214,0)),IFERROR(INDEX('CALENDARIO'!$C$15:$C$214,MATCH(TEXT($J570,"yyyy-mm-dd")&amp;"|"&amp;$X570&amp;"|",'CALENDARIO'!$G$15:$G$214,0)),IFERROR(INDEX('CALENDARIO'!$C$15:$C$214,MATCH(TEXT($J570,"yyyy-mm-dd")&amp;"||",'CALENDARIO'!$G$15:$G$214,0)),INDEX(patronHabil,WEEKDAY($J570,2))))))</f>
        <v/>
      </c>
      <c r="U570" s="5">
        <f>IF($I570="","",IFERROR(INDEX('CAT_TIPOS_OT'!$C$4:$C$8,MATCH($I570,'CAT_TIPOS_OT'!$A$4:$A$8,0)),"sin_clasificar"))</f>
        <v/>
      </c>
      <c r="V570" s="5">
        <f>IF($I570="","",IF(IFERROR(INDEX('CAT_TIPOS_OT'!$D$4:$D$8,MATCH($I570,'CAT_TIPOS_OT'!$A$4:$A$8,0)),"SIN CLASIFICAR")="","SIN CLASIFICAR",IFERROR(INDEX('CAT_TIPOS_OT'!$D$4:$D$8,MATCH($I570,'CAT_TIPOS_OT'!$A$4:$A$8,0)),"SIN CLASIFICAR")))</f>
        <v/>
      </c>
      <c r="W570" s="5">
        <f>IF($F570="","",IFERROR(INDEX('CAT_CENTROS_COSTO'!$F$4:$F$13,MATCH($F570,'CAT_CENTROS_COSTO'!$A$4:$A$13,0)),"(sin catálogo)"))</f>
        <v/>
      </c>
      <c r="X570" s="5">
        <f>IF($F570="","",IFERROR(INDEX('CAT_CENTROS_COSTO'!$D$4:$D$13,MATCH($F570,'CAT_CENTROS_COSTO'!$A$4:$A$13,0)),"(sin catálogo)"))</f>
        <v/>
      </c>
      <c r="Y570" s="5">
        <f>IF($F570="","",IF((IFERROR(INDEX('CAT_CENTROS_COSTO'!$E$4:$E$13,MATCH($F570,'CAT_CENTROS_COSTO'!$A$4:$A$13,0)),""))&lt;&gt;"",IFERROR(INDEX('CAT_CENTROS_COSTO'!$E$4:$E$13,MATCH($F570,'CAT_CENTROS_COSTO'!$A$4:$A$13,0)),""),$X570))</f>
        <v/>
      </c>
      <c r="Z570" s="5">
        <f>IF($F570="","",IFERROR(INDEX('CAT_CENTROS_COSTO'!$G$4:$G$13,MATCH($F570,'CAT_CENTROS_COSTO'!$A$4:$A$13,0)),"(sin catálogo)"))</f>
        <v/>
      </c>
      <c r="AA570" s="5">
        <f>IF($G570="","",IFERROR(INDEX('CAT_PUESTOS'!$B$4:$B$8,MATCH($G570,'CAT_PUESTOS'!$A$4:$A$8,0)),"(sin catálogo)"))</f>
        <v/>
      </c>
      <c r="AB570" s="5">
        <f>IF($H570="","",IFERROR(INDEX('CAT_ACTIVIDADES'!$B$4:$B$11,MATCH($H570,'CAT_ACTIVIDADES'!$A$4:$A$11,0)),"(sin catálogo)"))</f>
        <v/>
      </c>
      <c r="AC570" s="20">
        <f>IF($J570="","",TODAY()-$J570)</f>
        <v/>
      </c>
      <c r="AD570" s="20">
        <f>IF($J570="","",IF($J570&lt;=TODAY(),COUNTIFS(cal_fechas,"&gt;="&amp;$J570,cal_fechas,"&lt;"&amp;TODAY(),cal_habil,"sí"),-COUNTIFS(cal_fechas,"&gt;="&amp;TODAY(),cal_fechas,"&lt;"&amp;$J570,cal_habil,"sí")))</f>
        <v/>
      </c>
      <c r="AE570" s="5">
        <f>IF($AD570="","",IF($AD570&lt;0,"FUTURO",IF($AD570&gt;p_dias_backlog_max,"BACKLOG","MES CORRIENTE")))</f>
        <v/>
      </c>
      <c r="AF570" s="5">
        <f>IF($AD570="",FALSE,AND($AD570&gt;p_dias_backlog_min,$AD570&lt;=p_dias_backlog_max))</f>
        <v/>
      </c>
      <c r="AG570" s="4" t="n"/>
      <c r="AH570" s="5">
        <f>IF($AG570="","",IF((IFERROR(INDEX('ASIGNACIONES'!$J$4:$J$451,MATCH($O570&amp;"|"&amp;$S570&amp;"|"&amp;$AG570,'ASIGNACIONES'!$N$4:$N$451,0)),""))=0,"",IFERROR(INDEX('ASIGNACIONES'!$J$4:$J$451,MATCH($O570&amp;"|"&amp;$S570&amp;"|"&amp;$AG570,'ASIGNACIONES'!$N$4:$N$451,0)),"")))</f>
        <v/>
      </c>
      <c r="AI570" s="25">
        <f>IF($AG570="","",SUMIFS('ORDENES'!$M$4:$M$1203,'ORDENES'!$AG$4:$AG$1203,$AG570,'ORDENES'!$O$4:$O$1203,$O570,'ORDENES'!$S$4:$S$1203,$S570))</f>
        <v/>
      </c>
      <c r="AJ570" s="25">
        <f>IF($AI570="","",p_factor_productividad*IFERROR(INDEX('ASIGNACIONES'!$M$4:$M$451,MATCH($O570&amp;"|"&amp;$S570&amp;"|"&amp;$AG570,'ASIGNACIONES'!$N$4:$N$451,0)),0)-$AI570)</f>
        <v/>
      </c>
      <c r="AK570" s="18">
        <f>IF($A570="","",IFERROR(INDEX('2_IMPORTAR_EJECUCION'!$F$9:$F$1208,MATCH($AT570,'2_IMPORTAR_EJECUCION'!$J$9:$J$1208,0)),0))</f>
        <v/>
      </c>
      <c r="AL570" s="18">
        <f>IF($A570="","",MAX(0,IFERROR(INDEX('2_IMPORTAR_EJECUCION'!$H$9:$H$1208,MATCH($AT570,'2_IMPORTAR_EJECUCION'!$J$9:$J$1208,0)),0)-$AK570))</f>
        <v/>
      </c>
      <c r="AM570" s="18">
        <f>IF($A570="","",$AK570+$AL570)</f>
        <v/>
      </c>
      <c r="AN570" s="5">
        <f>IF($A570="","",IF(OR((IFERROR(INDEX('CAT_ACTIVIDADES'!$D$4:$D$11,MATCH($H570,'CAT_ACTIVIDADES'!$A$4:$A$11,0)),""))=0,(IFERROR(INDEX('CAT_ACTIVIDADES'!$D$4:$D$11,MATCH($H570,'CAT_ACTIVIDADES'!$A$4:$A$11,0)),""))=""),"SIN CLASIFICAR",IFERROR(INDEX('CAT_ACTIVIDADES'!$D$4:$D$11,MATCH($H570,'CAT_ACTIVIDADES'!$A$4:$A$11,0)),"")))</f>
        <v/>
      </c>
      <c r="AO570" s="4" t="n"/>
      <c r="AP570" s="4" t="n"/>
      <c r="AQ570" s="4" t="n"/>
      <c r="AR570" s="5">
        <f>IF($AQ570="","",HYPERLINK(p_ruta_base_checklists&amp;$AQ570,"abrir"))</f>
        <v/>
      </c>
      <c r="AS570" s="4" t="n"/>
      <c r="AT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2" t="n"/>
      <c r="K571" s="5" t="n"/>
      <c r="L571" s="18" t="n"/>
      <c r="M571" s="5">
        <f>IF($A571="","",IFERROR(INDEX('AJUSTES'!$B$4:$B$303,MATCH($AT571,'AJUSTES'!$A$4:$A$303,0)),IF($K571="","",$K571)))</f>
        <v/>
      </c>
      <c r="N571" s="5">
        <f>IF($A571="","",IFERROR(INDEX('CAT_ESTADOS_ERP'!$B$4:$B$7,MATCH(IFERROR(INDEX('2_IMPORTAR_EJECUCION'!$C$9:$C$1208,MATCH($AT571,'2_IMPORTAR_EJECUCION'!$J$9:$J$1208,0)),""),'CAT_ESTADOS_ERP'!$A$4:$A$7,0)),"Pendiente"))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IF($J571="","",$P571&amp;"-"&amp;TEXT($Q571,"00"))</f>
        <v/>
      </c>
      <c r="S571" s="5">
        <f>IF($J571="","",INDEX(lista_dias,WEEKDAY($J571,2)))</f>
        <v/>
      </c>
      <c r="T571" s="5">
        <f>IF($J571="","",IFERROR(INDEX('CALENDARIO'!$C$15:$C$214,MATCH(TEXT($J571,"yyyy-mm-dd")&amp;"|"&amp;$X571&amp;"|"&amp;$Y571,'CALENDARIO'!$G$15:$G$214,0)),IFERROR(INDEX('CALENDARIO'!$C$15:$C$214,MATCH(TEXT($J571,"yyyy-mm-dd")&amp;"|"&amp;$X571&amp;"|",'CALENDARIO'!$G$15:$G$214,0)),IFERROR(INDEX('CALENDARIO'!$C$15:$C$214,MATCH(TEXT($J571,"yyyy-mm-dd")&amp;"||",'CALENDARIO'!$G$15:$G$214,0)),INDEX(patronHabil,WEEKDAY($J571,2))))))</f>
        <v/>
      </c>
      <c r="U571" s="5">
        <f>IF($I571="","",IFERROR(INDEX('CAT_TIPOS_OT'!$C$4:$C$8,MATCH($I571,'CAT_TIPOS_OT'!$A$4:$A$8,0)),"sin_clasificar"))</f>
        <v/>
      </c>
      <c r="V571" s="5">
        <f>IF($I571="","",IF(IFERROR(INDEX('CAT_TIPOS_OT'!$D$4:$D$8,MATCH($I571,'CAT_TIPOS_OT'!$A$4:$A$8,0)),"SIN CLASIFICAR")="","SIN CLASIFICAR",IFERROR(INDEX('CAT_TIPOS_OT'!$D$4:$D$8,MATCH($I571,'CAT_TIPOS_OT'!$A$4:$A$8,0)),"SIN CLASIFICAR")))</f>
        <v/>
      </c>
      <c r="W571" s="5">
        <f>IF($F571="","",IFERROR(INDEX('CAT_CENTROS_COSTO'!$F$4:$F$13,MATCH($F571,'CAT_CENTROS_COSTO'!$A$4:$A$13,0)),"(sin catálogo)"))</f>
        <v/>
      </c>
      <c r="X571" s="5">
        <f>IF($F571="","",IFERROR(INDEX('CAT_CENTROS_COSTO'!$D$4:$D$13,MATCH($F571,'CAT_CENTROS_COSTO'!$A$4:$A$13,0)),"(sin catálogo)"))</f>
        <v/>
      </c>
      <c r="Y571" s="5">
        <f>IF($F571="","",IF((IFERROR(INDEX('CAT_CENTROS_COSTO'!$E$4:$E$13,MATCH($F571,'CAT_CENTROS_COSTO'!$A$4:$A$13,0)),""))&lt;&gt;"",IFERROR(INDEX('CAT_CENTROS_COSTO'!$E$4:$E$13,MATCH($F571,'CAT_CENTROS_COSTO'!$A$4:$A$13,0)),""),$X571))</f>
        <v/>
      </c>
      <c r="Z571" s="5">
        <f>IF($F571="","",IFERROR(INDEX('CAT_CENTROS_COSTO'!$G$4:$G$13,MATCH($F571,'CAT_CENTROS_COSTO'!$A$4:$A$13,0)),"(sin catálogo)"))</f>
        <v/>
      </c>
      <c r="AA571" s="5">
        <f>IF($G571="","",IFERROR(INDEX('CAT_PUESTOS'!$B$4:$B$8,MATCH($G571,'CAT_PUESTOS'!$A$4:$A$8,0)),"(sin catálogo)"))</f>
        <v/>
      </c>
      <c r="AB571" s="5">
        <f>IF($H571="","",IFERROR(INDEX('CAT_ACTIVIDADES'!$B$4:$B$11,MATCH($H571,'CAT_ACTIVIDADES'!$A$4:$A$11,0)),"(sin catálogo)"))</f>
        <v/>
      </c>
      <c r="AC571" s="20">
        <f>IF($J571="","",TODAY()-$J571)</f>
        <v/>
      </c>
      <c r="AD571" s="20">
        <f>IF($J571="","",IF($J571&lt;=TODAY(),COUNTIFS(cal_fechas,"&gt;="&amp;$J571,cal_fechas,"&lt;"&amp;TODAY(),cal_habil,"sí"),-COUNTIFS(cal_fechas,"&gt;="&amp;TODAY(),cal_fechas,"&lt;"&amp;$J571,cal_habil,"sí")))</f>
        <v/>
      </c>
      <c r="AE571" s="5">
        <f>IF($AD571="","",IF($AD571&lt;0,"FUTURO",IF($AD571&gt;p_dias_backlog_max,"BACKLOG","MES CORRIENTE")))</f>
        <v/>
      </c>
      <c r="AF571" s="5">
        <f>IF($AD571="",FALSE,AND($AD571&gt;p_dias_backlog_min,$AD571&lt;=p_dias_backlog_max))</f>
        <v/>
      </c>
      <c r="AG571" s="4" t="n"/>
      <c r="AH571" s="5">
        <f>IF($AG571="","",IF((IFERROR(INDEX('ASIGNACIONES'!$J$4:$J$451,MATCH($O571&amp;"|"&amp;$S571&amp;"|"&amp;$AG571,'ASIGNACIONES'!$N$4:$N$451,0)),""))=0,"",IFERROR(INDEX('ASIGNACIONES'!$J$4:$J$451,MATCH($O571&amp;"|"&amp;$S571&amp;"|"&amp;$AG571,'ASIGNACIONES'!$N$4:$N$451,0)),"")))</f>
        <v/>
      </c>
      <c r="AI571" s="25">
        <f>IF($AG571="","",SUMIFS('ORDENES'!$M$4:$M$1203,'ORDENES'!$AG$4:$AG$1203,$AG571,'ORDENES'!$O$4:$O$1203,$O571,'ORDENES'!$S$4:$S$1203,$S571))</f>
        <v/>
      </c>
      <c r="AJ571" s="25">
        <f>IF($AI571="","",p_factor_productividad*IFERROR(INDEX('ASIGNACIONES'!$M$4:$M$451,MATCH($O571&amp;"|"&amp;$S571&amp;"|"&amp;$AG571,'ASIGNACIONES'!$N$4:$N$451,0)),0)-$AI571)</f>
        <v/>
      </c>
      <c r="AK571" s="18">
        <f>IF($A571="","",IFERROR(INDEX('2_IMPORTAR_EJECUCION'!$F$9:$F$1208,MATCH($AT571,'2_IMPORTAR_EJECUCION'!$J$9:$J$1208,0)),0))</f>
        <v/>
      </c>
      <c r="AL571" s="18">
        <f>IF($A571="","",MAX(0,IFERROR(INDEX('2_IMPORTAR_EJECUCION'!$H$9:$H$1208,MATCH($AT571,'2_IMPORTAR_EJECUCION'!$J$9:$J$1208,0)),0)-$AK571))</f>
        <v/>
      </c>
      <c r="AM571" s="18">
        <f>IF($A571="","",$AK571+$AL571)</f>
        <v/>
      </c>
      <c r="AN571" s="5">
        <f>IF($A571="","",IF(OR((IFERROR(INDEX('CAT_ACTIVIDADES'!$D$4:$D$11,MATCH($H571,'CAT_ACTIVIDADES'!$A$4:$A$11,0)),""))=0,(IFERROR(INDEX('CAT_ACTIVIDADES'!$D$4:$D$11,MATCH($H571,'CAT_ACTIVIDADES'!$A$4:$A$11,0)),""))=""),"SIN CLASIFICAR",IFERROR(INDEX('CAT_ACTIVIDADES'!$D$4:$D$11,MATCH($H571,'CAT_ACTIVIDADES'!$A$4:$A$11,0)),"")))</f>
        <v/>
      </c>
      <c r="AO571" s="4" t="n"/>
      <c r="AP571" s="4" t="n"/>
      <c r="AQ571" s="4" t="n"/>
      <c r="AR571" s="5">
        <f>IF($AQ571="","",HYPERLINK(p_ruta_base_checklists&amp;$AQ571,"abrir"))</f>
        <v/>
      </c>
      <c r="AS571" s="4" t="n"/>
      <c r="AT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2" t="n"/>
      <c r="K572" s="5" t="n"/>
      <c r="L572" s="18" t="n"/>
      <c r="M572" s="5">
        <f>IF($A572="","",IFERROR(INDEX('AJUSTES'!$B$4:$B$303,MATCH($AT572,'AJUSTES'!$A$4:$A$303,0)),IF($K572="","",$K572)))</f>
        <v/>
      </c>
      <c r="N572" s="5">
        <f>IF($A572="","",IFERROR(INDEX('CAT_ESTADOS_ERP'!$B$4:$B$7,MATCH(IFERROR(INDEX('2_IMPORTAR_EJECUCION'!$C$9:$C$1208,MATCH($AT572,'2_IMPORTAR_EJECUCION'!$J$9:$J$1208,0)),""),'CAT_ESTADOS_ERP'!$A$4:$A$7,0)),"Pendiente"))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IF($J572="","",$P572&amp;"-"&amp;TEXT($Q572,"00"))</f>
        <v/>
      </c>
      <c r="S572" s="5">
        <f>IF($J572="","",INDEX(lista_dias,WEEKDAY($J572,2)))</f>
        <v/>
      </c>
      <c r="T572" s="5">
        <f>IF($J572="","",IFERROR(INDEX('CALENDARIO'!$C$15:$C$214,MATCH(TEXT($J572,"yyyy-mm-dd")&amp;"|"&amp;$X572&amp;"|"&amp;$Y572,'CALENDARIO'!$G$15:$G$214,0)),IFERROR(INDEX('CALENDARIO'!$C$15:$C$214,MATCH(TEXT($J572,"yyyy-mm-dd")&amp;"|"&amp;$X572&amp;"|",'CALENDARIO'!$G$15:$G$214,0)),IFERROR(INDEX('CALENDARIO'!$C$15:$C$214,MATCH(TEXT($J572,"yyyy-mm-dd")&amp;"||",'CALENDARIO'!$G$15:$G$214,0)),INDEX(patronHabil,WEEKDAY($J572,2))))))</f>
        <v/>
      </c>
      <c r="U572" s="5">
        <f>IF($I572="","",IFERROR(INDEX('CAT_TIPOS_OT'!$C$4:$C$8,MATCH($I572,'CAT_TIPOS_OT'!$A$4:$A$8,0)),"sin_clasificar"))</f>
        <v/>
      </c>
      <c r="V572" s="5">
        <f>IF($I572="","",IF(IFERROR(INDEX('CAT_TIPOS_OT'!$D$4:$D$8,MATCH($I572,'CAT_TIPOS_OT'!$A$4:$A$8,0)),"SIN CLASIFICAR")="","SIN CLASIFICAR",IFERROR(INDEX('CAT_TIPOS_OT'!$D$4:$D$8,MATCH($I572,'CAT_TIPOS_OT'!$A$4:$A$8,0)),"SIN CLASIFICAR")))</f>
        <v/>
      </c>
      <c r="W572" s="5">
        <f>IF($F572="","",IFERROR(INDEX('CAT_CENTROS_COSTO'!$F$4:$F$13,MATCH($F572,'CAT_CENTROS_COSTO'!$A$4:$A$13,0)),"(sin catálogo)"))</f>
        <v/>
      </c>
      <c r="X572" s="5">
        <f>IF($F572="","",IFERROR(INDEX('CAT_CENTROS_COSTO'!$D$4:$D$13,MATCH($F572,'CAT_CENTROS_COSTO'!$A$4:$A$13,0)),"(sin catálogo)"))</f>
        <v/>
      </c>
      <c r="Y572" s="5">
        <f>IF($F572="","",IF((IFERROR(INDEX('CAT_CENTROS_COSTO'!$E$4:$E$13,MATCH($F572,'CAT_CENTROS_COSTO'!$A$4:$A$13,0)),""))&lt;&gt;"",IFERROR(INDEX('CAT_CENTROS_COSTO'!$E$4:$E$13,MATCH($F572,'CAT_CENTROS_COSTO'!$A$4:$A$13,0)),""),$X572))</f>
        <v/>
      </c>
      <c r="Z572" s="5">
        <f>IF($F572="","",IFERROR(INDEX('CAT_CENTROS_COSTO'!$G$4:$G$13,MATCH($F572,'CAT_CENTROS_COSTO'!$A$4:$A$13,0)),"(sin catálogo)"))</f>
        <v/>
      </c>
      <c r="AA572" s="5">
        <f>IF($G572="","",IFERROR(INDEX('CAT_PUESTOS'!$B$4:$B$8,MATCH($G572,'CAT_PUESTOS'!$A$4:$A$8,0)),"(sin catálogo)"))</f>
        <v/>
      </c>
      <c r="AB572" s="5">
        <f>IF($H572="","",IFERROR(INDEX('CAT_ACTIVIDADES'!$B$4:$B$11,MATCH($H572,'CAT_ACTIVIDADES'!$A$4:$A$11,0)),"(sin catálogo)"))</f>
        <v/>
      </c>
      <c r="AC572" s="20">
        <f>IF($J572="","",TODAY()-$J572)</f>
        <v/>
      </c>
      <c r="AD572" s="20">
        <f>IF($J572="","",IF($J572&lt;=TODAY(),COUNTIFS(cal_fechas,"&gt;="&amp;$J572,cal_fechas,"&lt;"&amp;TODAY(),cal_habil,"sí"),-COUNTIFS(cal_fechas,"&gt;="&amp;TODAY(),cal_fechas,"&lt;"&amp;$J572,cal_habil,"sí")))</f>
        <v/>
      </c>
      <c r="AE572" s="5">
        <f>IF($AD572="","",IF($AD572&lt;0,"FUTURO",IF($AD572&gt;p_dias_backlog_max,"BACKLOG","MES CORRIENTE")))</f>
        <v/>
      </c>
      <c r="AF572" s="5">
        <f>IF($AD572="",FALSE,AND($AD572&gt;p_dias_backlog_min,$AD572&lt;=p_dias_backlog_max))</f>
        <v/>
      </c>
      <c r="AG572" s="4" t="n"/>
      <c r="AH572" s="5">
        <f>IF($AG572="","",IF((IFERROR(INDEX('ASIGNACIONES'!$J$4:$J$451,MATCH($O572&amp;"|"&amp;$S572&amp;"|"&amp;$AG572,'ASIGNACIONES'!$N$4:$N$451,0)),""))=0,"",IFERROR(INDEX('ASIGNACIONES'!$J$4:$J$451,MATCH($O572&amp;"|"&amp;$S572&amp;"|"&amp;$AG572,'ASIGNACIONES'!$N$4:$N$451,0)),"")))</f>
        <v/>
      </c>
      <c r="AI572" s="25">
        <f>IF($AG572="","",SUMIFS('ORDENES'!$M$4:$M$1203,'ORDENES'!$AG$4:$AG$1203,$AG572,'ORDENES'!$O$4:$O$1203,$O572,'ORDENES'!$S$4:$S$1203,$S572))</f>
        <v/>
      </c>
      <c r="AJ572" s="25">
        <f>IF($AI572="","",p_factor_productividad*IFERROR(INDEX('ASIGNACIONES'!$M$4:$M$451,MATCH($O572&amp;"|"&amp;$S572&amp;"|"&amp;$AG572,'ASIGNACIONES'!$N$4:$N$451,0)),0)-$AI572)</f>
        <v/>
      </c>
      <c r="AK572" s="18">
        <f>IF($A572="","",IFERROR(INDEX('2_IMPORTAR_EJECUCION'!$F$9:$F$1208,MATCH($AT572,'2_IMPORTAR_EJECUCION'!$J$9:$J$1208,0)),0))</f>
        <v/>
      </c>
      <c r="AL572" s="18">
        <f>IF($A572="","",MAX(0,IFERROR(INDEX('2_IMPORTAR_EJECUCION'!$H$9:$H$1208,MATCH($AT572,'2_IMPORTAR_EJECUCION'!$J$9:$J$1208,0)),0)-$AK572))</f>
        <v/>
      </c>
      <c r="AM572" s="18">
        <f>IF($A572="","",$AK572+$AL572)</f>
        <v/>
      </c>
      <c r="AN572" s="5">
        <f>IF($A572="","",IF(OR((IFERROR(INDEX('CAT_ACTIVIDADES'!$D$4:$D$11,MATCH($H572,'CAT_ACTIVIDADES'!$A$4:$A$11,0)),""))=0,(IFERROR(INDEX('CAT_ACTIVIDADES'!$D$4:$D$11,MATCH($H572,'CAT_ACTIVIDADES'!$A$4:$A$11,0)),""))=""),"SIN CLASIFICAR",IFERROR(INDEX('CAT_ACTIVIDADES'!$D$4:$D$11,MATCH($H572,'CAT_ACTIVIDADES'!$A$4:$A$11,0)),"")))</f>
        <v/>
      </c>
      <c r="AO572" s="4" t="n"/>
      <c r="AP572" s="4" t="n"/>
      <c r="AQ572" s="4" t="n"/>
      <c r="AR572" s="5">
        <f>IF($AQ572="","",HYPERLINK(p_ruta_base_checklists&amp;$AQ572,"abrir"))</f>
        <v/>
      </c>
      <c r="AS572" s="4" t="n"/>
      <c r="AT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2" t="n"/>
      <c r="K573" s="5" t="n"/>
      <c r="L573" s="18" t="n"/>
      <c r="M573" s="5">
        <f>IF($A573="","",IFERROR(INDEX('AJUSTES'!$B$4:$B$303,MATCH($AT573,'AJUSTES'!$A$4:$A$303,0)),IF($K573="","",$K573)))</f>
        <v/>
      </c>
      <c r="N573" s="5">
        <f>IF($A573="","",IFERROR(INDEX('CAT_ESTADOS_ERP'!$B$4:$B$7,MATCH(IFERROR(INDEX('2_IMPORTAR_EJECUCION'!$C$9:$C$1208,MATCH($AT573,'2_IMPORTAR_EJECUCION'!$J$9:$J$1208,0)),""),'CAT_ESTADOS_ERP'!$A$4:$A$7,0)),"Pendiente"))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IF($J573="","",$P573&amp;"-"&amp;TEXT($Q573,"00"))</f>
        <v/>
      </c>
      <c r="S573" s="5">
        <f>IF($J573="","",INDEX(lista_dias,WEEKDAY($J573,2)))</f>
        <v/>
      </c>
      <c r="T573" s="5">
        <f>IF($J573="","",IFERROR(INDEX('CALENDARIO'!$C$15:$C$214,MATCH(TEXT($J573,"yyyy-mm-dd")&amp;"|"&amp;$X573&amp;"|"&amp;$Y573,'CALENDARIO'!$G$15:$G$214,0)),IFERROR(INDEX('CALENDARIO'!$C$15:$C$214,MATCH(TEXT($J573,"yyyy-mm-dd")&amp;"|"&amp;$X573&amp;"|",'CALENDARIO'!$G$15:$G$214,0)),IFERROR(INDEX('CALENDARIO'!$C$15:$C$214,MATCH(TEXT($J573,"yyyy-mm-dd")&amp;"||",'CALENDARIO'!$G$15:$G$214,0)),INDEX(patronHabil,WEEKDAY($J573,2))))))</f>
        <v/>
      </c>
      <c r="U573" s="5">
        <f>IF($I573="","",IFERROR(INDEX('CAT_TIPOS_OT'!$C$4:$C$8,MATCH($I573,'CAT_TIPOS_OT'!$A$4:$A$8,0)),"sin_clasificar"))</f>
        <v/>
      </c>
      <c r="V573" s="5">
        <f>IF($I573="","",IF(IFERROR(INDEX('CAT_TIPOS_OT'!$D$4:$D$8,MATCH($I573,'CAT_TIPOS_OT'!$A$4:$A$8,0)),"SIN CLASIFICAR")="","SIN CLASIFICAR",IFERROR(INDEX('CAT_TIPOS_OT'!$D$4:$D$8,MATCH($I573,'CAT_TIPOS_OT'!$A$4:$A$8,0)),"SIN CLASIFICAR")))</f>
        <v/>
      </c>
      <c r="W573" s="5">
        <f>IF($F573="","",IFERROR(INDEX('CAT_CENTROS_COSTO'!$F$4:$F$13,MATCH($F573,'CAT_CENTROS_COSTO'!$A$4:$A$13,0)),"(sin catálogo)"))</f>
        <v/>
      </c>
      <c r="X573" s="5">
        <f>IF($F573="","",IFERROR(INDEX('CAT_CENTROS_COSTO'!$D$4:$D$13,MATCH($F573,'CAT_CENTROS_COSTO'!$A$4:$A$13,0)),"(sin catálogo)"))</f>
        <v/>
      </c>
      <c r="Y573" s="5">
        <f>IF($F573="","",IF((IFERROR(INDEX('CAT_CENTROS_COSTO'!$E$4:$E$13,MATCH($F573,'CAT_CENTROS_COSTO'!$A$4:$A$13,0)),""))&lt;&gt;"",IFERROR(INDEX('CAT_CENTROS_COSTO'!$E$4:$E$13,MATCH($F573,'CAT_CENTROS_COSTO'!$A$4:$A$13,0)),""),$X573))</f>
        <v/>
      </c>
      <c r="Z573" s="5">
        <f>IF($F573="","",IFERROR(INDEX('CAT_CENTROS_COSTO'!$G$4:$G$13,MATCH($F573,'CAT_CENTROS_COSTO'!$A$4:$A$13,0)),"(sin catálogo)"))</f>
        <v/>
      </c>
      <c r="AA573" s="5">
        <f>IF($G573="","",IFERROR(INDEX('CAT_PUESTOS'!$B$4:$B$8,MATCH($G573,'CAT_PUESTOS'!$A$4:$A$8,0)),"(sin catálogo)"))</f>
        <v/>
      </c>
      <c r="AB573" s="5">
        <f>IF($H573="","",IFERROR(INDEX('CAT_ACTIVIDADES'!$B$4:$B$11,MATCH($H573,'CAT_ACTIVIDADES'!$A$4:$A$11,0)),"(sin catálogo)"))</f>
        <v/>
      </c>
      <c r="AC573" s="20">
        <f>IF($J573="","",TODAY()-$J573)</f>
        <v/>
      </c>
      <c r="AD573" s="20">
        <f>IF($J573="","",IF($J573&lt;=TODAY(),COUNTIFS(cal_fechas,"&gt;="&amp;$J573,cal_fechas,"&lt;"&amp;TODAY(),cal_habil,"sí"),-COUNTIFS(cal_fechas,"&gt;="&amp;TODAY(),cal_fechas,"&lt;"&amp;$J573,cal_habil,"sí")))</f>
        <v/>
      </c>
      <c r="AE573" s="5">
        <f>IF($AD573="","",IF($AD573&lt;0,"FUTURO",IF($AD573&gt;p_dias_backlog_max,"BACKLOG","MES CORRIENTE")))</f>
        <v/>
      </c>
      <c r="AF573" s="5">
        <f>IF($AD573="",FALSE,AND($AD573&gt;p_dias_backlog_min,$AD573&lt;=p_dias_backlog_max))</f>
        <v/>
      </c>
      <c r="AG573" s="4" t="n"/>
      <c r="AH573" s="5">
        <f>IF($AG573="","",IF((IFERROR(INDEX('ASIGNACIONES'!$J$4:$J$451,MATCH($O573&amp;"|"&amp;$S573&amp;"|"&amp;$AG573,'ASIGNACIONES'!$N$4:$N$451,0)),""))=0,"",IFERROR(INDEX('ASIGNACIONES'!$J$4:$J$451,MATCH($O573&amp;"|"&amp;$S573&amp;"|"&amp;$AG573,'ASIGNACIONES'!$N$4:$N$451,0)),"")))</f>
        <v/>
      </c>
      <c r="AI573" s="25">
        <f>IF($AG573="","",SUMIFS('ORDENES'!$M$4:$M$1203,'ORDENES'!$AG$4:$AG$1203,$AG573,'ORDENES'!$O$4:$O$1203,$O573,'ORDENES'!$S$4:$S$1203,$S573))</f>
        <v/>
      </c>
      <c r="AJ573" s="25">
        <f>IF($AI573="","",p_factor_productividad*IFERROR(INDEX('ASIGNACIONES'!$M$4:$M$451,MATCH($O573&amp;"|"&amp;$S573&amp;"|"&amp;$AG573,'ASIGNACIONES'!$N$4:$N$451,0)),0)-$AI573)</f>
        <v/>
      </c>
      <c r="AK573" s="18">
        <f>IF($A573="","",IFERROR(INDEX('2_IMPORTAR_EJECUCION'!$F$9:$F$1208,MATCH($AT573,'2_IMPORTAR_EJECUCION'!$J$9:$J$1208,0)),0))</f>
        <v/>
      </c>
      <c r="AL573" s="18">
        <f>IF($A573="","",MAX(0,IFERROR(INDEX('2_IMPORTAR_EJECUCION'!$H$9:$H$1208,MATCH($AT573,'2_IMPORTAR_EJECUCION'!$J$9:$J$1208,0)),0)-$AK573))</f>
        <v/>
      </c>
      <c r="AM573" s="18">
        <f>IF($A573="","",$AK573+$AL573)</f>
        <v/>
      </c>
      <c r="AN573" s="5">
        <f>IF($A573="","",IF(OR((IFERROR(INDEX('CAT_ACTIVIDADES'!$D$4:$D$11,MATCH($H573,'CAT_ACTIVIDADES'!$A$4:$A$11,0)),""))=0,(IFERROR(INDEX('CAT_ACTIVIDADES'!$D$4:$D$11,MATCH($H573,'CAT_ACTIVIDADES'!$A$4:$A$11,0)),""))=""),"SIN CLASIFICAR",IFERROR(INDEX('CAT_ACTIVIDADES'!$D$4:$D$11,MATCH($H573,'CAT_ACTIVIDADES'!$A$4:$A$11,0)),"")))</f>
        <v/>
      </c>
      <c r="AO573" s="4" t="n"/>
      <c r="AP573" s="4" t="n"/>
      <c r="AQ573" s="4" t="n"/>
      <c r="AR573" s="5">
        <f>IF($AQ573="","",HYPERLINK(p_ruta_base_checklists&amp;$AQ573,"abrir"))</f>
        <v/>
      </c>
      <c r="AS573" s="4" t="n"/>
      <c r="AT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2" t="n"/>
      <c r="K574" s="5" t="n"/>
      <c r="L574" s="18" t="n"/>
      <c r="M574" s="5">
        <f>IF($A574="","",IFERROR(INDEX('AJUSTES'!$B$4:$B$303,MATCH($AT574,'AJUSTES'!$A$4:$A$303,0)),IF($K574="","",$K574)))</f>
        <v/>
      </c>
      <c r="N574" s="5">
        <f>IF($A574="","",IFERROR(INDEX('CAT_ESTADOS_ERP'!$B$4:$B$7,MATCH(IFERROR(INDEX('2_IMPORTAR_EJECUCION'!$C$9:$C$1208,MATCH($AT574,'2_IMPORTAR_EJECUCION'!$J$9:$J$1208,0)),""),'CAT_ESTADOS_ERP'!$A$4:$A$7,0)),"Pendiente"))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IF($J574="","",$P574&amp;"-"&amp;TEXT($Q574,"00"))</f>
        <v/>
      </c>
      <c r="S574" s="5">
        <f>IF($J574="","",INDEX(lista_dias,WEEKDAY($J574,2)))</f>
        <v/>
      </c>
      <c r="T574" s="5">
        <f>IF($J574="","",IFERROR(INDEX('CALENDARIO'!$C$15:$C$214,MATCH(TEXT($J574,"yyyy-mm-dd")&amp;"|"&amp;$X574&amp;"|"&amp;$Y574,'CALENDARIO'!$G$15:$G$214,0)),IFERROR(INDEX('CALENDARIO'!$C$15:$C$214,MATCH(TEXT($J574,"yyyy-mm-dd")&amp;"|"&amp;$X574&amp;"|",'CALENDARIO'!$G$15:$G$214,0)),IFERROR(INDEX('CALENDARIO'!$C$15:$C$214,MATCH(TEXT($J574,"yyyy-mm-dd")&amp;"||",'CALENDARIO'!$G$15:$G$214,0)),INDEX(patronHabil,WEEKDAY($J574,2))))))</f>
        <v/>
      </c>
      <c r="U574" s="5">
        <f>IF($I574="","",IFERROR(INDEX('CAT_TIPOS_OT'!$C$4:$C$8,MATCH($I574,'CAT_TIPOS_OT'!$A$4:$A$8,0)),"sin_clasificar"))</f>
        <v/>
      </c>
      <c r="V574" s="5">
        <f>IF($I574="","",IF(IFERROR(INDEX('CAT_TIPOS_OT'!$D$4:$D$8,MATCH($I574,'CAT_TIPOS_OT'!$A$4:$A$8,0)),"SIN CLASIFICAR")="","SIN CLASIFICAR",IFERROR(INDEX('CAT_TIPOS_OT'!$D$4:$D$8,MATCH($I574,'CAT_TIPOS_OT'!$A$4:$A$8,0)),"SIN CLASIFICAR")))</f>
        <v/>
      </c>
      <c r="W574" s="5">
        <f>IF($F574="","",IFERROR(INDEX('CAT_CENTROS_COSTO'!$F$4:$F$13,MATCH($F574,'CAT_CENTROS_COSTO'!$A$4:$A$13,0)),"(sin catálogo)"))</f>
        <v/>
      </c>
      <c r="X574" s="5">
        <f>IF($F574="","",IFERROR(INDEX('CAT_CENTROS_COSTO'!$D$4:$D$13,MATCH($F574,'CAT_CENTROS_COSTO'!$A$4:$A$13,0)),"(sin catálogo)"))</f>
        <v/>
      </c>
      <c r="Y574" s="5">
        <f>IF($F574="","",IF((IFERROR(INDEX('CAT_CENTROS_COSTO'!$E$4:$E$13,MATCH($F574,'CAT_CENTROS_COSTO'!$A$4:$A$13,0)),""))&lt;&gt;"",IFERROR(INDEX('CAT_CENTROS_COSTO'!$E$4:$E$13,MATCH($F574,'CAT_CENTROS_COSTO'!$A$4:$A$13,0)),""),$X574))</f>
        <v/>
      </c>
      <c r="Z574" s="5">
        <f>IF($F574="","",IFERROR(INDEX('CAT_CENTROS_COSTO'!$G$4:$G$13,MATCH($F574,'CAT_CENTROS_COSTO'!$A$4:$A$13,0)),"(sin catálogo)"))</f>
        <v/>
      </c>
      <c r="AA574" s="5">
        <f>IF($G574="","",IFERROR(INDEX('CAT_PUESTOS'!$B$4:$B$8,MATCH($G574,'CAT_PUESTOS'!$A$4:$A$8,0)),"(sin catálogo)"))</f>
        <v/>
      </c>
      <c r="AB574" s="5">
        <f>IF($H574="","",IFERROR(INDEX('CAT_ACTIVIDADES'!$B$4:$B$11,MATCH($H574,'CAT_ACTIVIDADES'!$A$4:$A$11,0)),"(sin catálogo)"))</f>
        <v/>
      </c>
      <c r="AC574" s="20">
        <f>IF($J574="","",TODAY()-$J574)</f>
        <v/>
      </c>
      <c r="AD574" s="20">
        <f>IF($J574="","",IF($J574&lt;=TODAY(),COUNTIFS(cal_fechas,"&gt;="&amp;$J574,cal_fechas,"&lt;"&amp;TODAY(),cal_habil,"sí"),-COUNTIFS(cal_fechas,"&gt;="&amp;TODAY(),cal_fechas,"&lt;"&amp;$J574,cal_habil,"sí")))</f>
        <v/>
      </c>
      <c r="AE574" s="5">
        <f>IF($AD574="","",IF($AD574&lt;0,"FUTURO",IF($AD574&gt;p_dias_backlog_max,"BACKLOG","MES CORRIENTE")))</f>
        <v/>
      </c>
      <c r="AF574" s="5">
        <f>IF($AD574="",FALSE,AND($AD574&gt;p_dias_backlog_min,$AD574&lt;=p_dias_backlog_max))</f>
        <v/>
      </c>
      <c r="AG574" s="4" t="n"/>
      <c r="AH574" s="5">
        <f>IF($AG574="","",IF((IFERROR(INDEX('ASIGNACIONES'!$J$4:$J$451,MATCH($O574&amp;"|"&amp;$S574&amp;"|"&amp;$AG574,'ASIGNACIONES'!$N$4:$N$451,0)),""))=0,"",IFERROR(INDEX('ASIGNACIONES'!$J$4:$J$451,MATCH($O574&amp;"|"&amp;$S574&amp;"|"&amp;$AG574,'ASIGNACIONES'!$N$4:$N$451,0)),"")))</f>
        <v/>
      </c>
      <c r="AI574" s="25">
        <f>IF($AG574="","",SUMIFS('ORDENES'!$M$4:$M$1203,'ORDENES'!$AG$4:$AG$1203,$AG574,'ORDENES'!$O$4:$O$1203,$O574,'ORDENES'!$S$4:$S$1203,$S574))</f>
        <v/>
      </c>
      <c r="AJ574" s="25">
        <f>IF($AI574="","",p_factor_productividad*IFERROR(INDEX('ASIGNACIONES'!$M$4:$M$451,MATCH($O574&amp;"|"&amp;$S574&amp;"|"&amp;$AG574,'ASIGNACIONES'!$N$4:$N$451,0)),0)-$AI574)</f>
        <v/>
      </c>
      <c r="AK574" s="18">
        <f>IF($A574="","",IFERROR(INDEX('2_IMPORTAR_EJECUCION'!$F$9:$F$1208,MATCH($AT574,'2_IMPORTAR_EJECUCION'!$J$9:$J$1208,0)),0))</f>
        <v/>
      </c>
      <c r="AL574" s="18">
        <f>IF($A574="","",MAX(0,IFERROR(INDEX('2_IMPORTAR_EJECUCION'!$H$9:$H$1208,MATCH($AT574,'2_IMPORTAR_EJECUCION'!$J$9:$J$1208,0)),0)-$AK574))</f>
        <v/>
      </c>
      <c r="AM574" s="18">
        <f>IF($A574="","",$AK574+$AL574)</f>
        <v/>
      </c>
      <c r="AN574" s="5">
        <f>IF($A574="","",IF(OR((IFERROR(INDEX('CAT_ACTIVIDADES'!$D$4:$D$11,MATCH($H574,'CAT_ACTIVIDADES'!$A$4:$A$11,0)),""))=0,(IFERROR(INDEX('CAT_ACTIVIDADES'!$D$4:$D$11,MATCH($H574,'CAT_ACTIVIDADES'!$A$4:$A$11,0)),""))=""),"SIN CLASIFICAR",IFERROR(INDEX('CAT_ACTIVIDADES'!$D$4:$D$11,MATCH($H574,'CAT_ACTIVIDADES'!$A$4:$A$11,0)),"")))</f>
        <v/>
      </c>
      <c r="AO574" s="4" t="n"/>
      <c r="AP574" s="4" t="n"/>
      <c r="AQ574" s="4" t="n"/>
      <c r="AR574" s="5">
        <f>IF($AQ574="","",HYPERLINK(p_ruta_base_checklists&amp;$AQ574,"abrir"))</f>
        <v/>
      </c>
      <c r="AS574" s="4" t="n"/>
      <c r="AT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2" t="n"/>
      <c r="K575" s="5" t="n"/>
      <c r="L575" s="18" t="n"/>
      <c r="M575" s="5">
        <f>IF($A575="","",IFERROR(INDEX('AJUSTES'!$B$4:$B$303,MATCH($AT575,'AJUSTES'!$A$4:$A$303,0)),IF($K575="","",$K575)))</f>
        <v/>
      </c>
      <c r="N575" s="5">
        <f>IF($A575="","",IFERROR(INDEX('CAT_ESTADOS_ERP'!$B$4:$B$7,MATCH(IFERROR(INDEX('2_IMPORTAR_EJECUCION'!$C$9:$C$1208,MATCH($AT575,'2_IMPORTAR_EJECUCION'!$J$9:$J$1208,0)),""),'CAT_ESTADOS_ERP'!$A$4:$A$7,0)),"Pendiente"))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IF($J575="","",$P575&amp;"-"&amp;TEXT($Q575,"00"))</f>
        <v/>
      </c>
      <c r="S575" s="5">
        <f>IF($J575="","",INDEX(lista_dias,WEEKDAY($J575,2)))</f>
        <v/>
      </c>
      <c r="T575" s="5">
        <f>IF($J575="","",IFERROR(INDEX('CALENDARIO'!$C$15:$C$214,MATCH(TEXT($J575,"yyyy-mm-dd")&amp;"|"&amp;$X575&amp;"|"&amp;$Y575,'CALENDARIO'!$G$15:$G$214,0)),IFERROR(INDEX('CALENDARIO'!$C$15:$C$214,MATCH(TEXT($J575,"yyyy-mm-dd")&amp;"|"&amp;$X575&amp;"|",'CALENDARIO'!$G$15:$G$214,0)),IFERROR(INDEX('CALENDARIO'!$C$15:$C$214,MATCH(TEXT($J575,"yyyy-mm-dd")&amp;"||",'CALENDARIO'!$G$15:$G$214,0)),INDEX(patronHabil,WEEKDAY($J575,2))))))</f>
        <v/>
      </c>
      <c r="U575" s="5">
        <f>IF($I575="","",IFERROR(INDEX('CAT_TIPOS_OT'!$C$4:$C$8,MATCH($I575,'CAT_TIPOS_OT'!$A$4:$A$8,0)),"sin_clasificar"))</f>
        <v/>
      </c>
      <c r="V575" s="5">
        <f>IF($I575="","",IF(IFERROR(INDEX('CAT_TIPOS_OT'!$D$4:$D$8,MATCH($I575,'CAT_TIPOS_OT'!$A$4:$A$8,0)),"SIN CLASIFICAR")="","SIN CLASIFICAR",IFERROR(INDEX('CAT_TIPOS_OT'!$D$4:$D$8,MATCH($I575,'CAT_TIPOS_OT'!$A$4:$A$8,0)),"SIN CLASIFICAR")))</f>
        <v/>
      </c>
      <c r="W575" s="5">
        <f>IF($F575="","",IFERROR(INDEX('CAT_CENTROS_COSTO'!$F$4:$F$13,MATCH($F575,'CAT_CENTROS_COSTO'!$A$4:$A$13,0)),"(sin catálogo)"))</f>
        <v/>
      </c>
      <c r="X575" s="5">
        <f>IF($F575="","",IFERROR(INDEX('CAT_CENTROS_COSTO'!$D$4:$D$13,MATCH($F575,'CAT_CENTROS_COSTO'!$A$4:$A$13,0)),"(sin catálogo)"))</f>
        <v/>
      </c>
      <c r="Y575" s="5">
        <f>IF($F575="","",IF((IFERROR(INDEX('CAT_CENTROS_COSTO'!$E$4:$E$13,MATCH($F575,'CAT_CENTROS_COSTO'!$A$4:$A$13,0)),""))&lt;&gt;"",IFERROR(INDEX('CAT_CENTROS_COSTO'!$E$4:$E$13,MATCH($F575,'CAT_CENTROS_COSTO'!$A$4:$A$13,0)),""),$X575))</f>
        <v/>
      </c>
      <c r="Z575" s="5">
        <f>IF($F575="","",IFERROR(INDEX('CAT_CENTROS_COSTO'!$G$4:$G$13,MATCH($F575,'CAT_CENTROS_COSTO'!$A$4:$A$13,0)),"(sin catálogo)"))</f>
        <v/>
      </c>
      <c r="AA575" s="5">
        <f>IF($G575="","",IFERROR(INDEX('CAT_PUESTOS'!$B$4:$B$8,MATCH($G575,'CAT_PUESTOS'!$A$4:$A$8,0)),"(sin catálogo)"))</f>
        <v/>
      </c>
      <c r="AB575" s="5">
        <f>IF($H575="","",IFERROR(INDEX('CAT_ACTIVIDADES'!$B$4:$B$11,MATCH($H575,'CAT_ACTIVIDADES'!$A$4:$A$11,0)),"(sin catálogo)"))</f>
        <v/>
      </c>
      <c r="AC575" s="20">
        <f>IF($J575="","",TODAY()-$J575)</f>
        <v/>
      </c>
      <c r="AD575" s="20">
        <f>IF($J575="","",IF($J575&lt;=TODAY(),COUNTIFS(cal_fechas,"&gt;="&amp;$J575,cal_fechas,"&lt;"&amp;TODAY(),cal_habil,"sí"),-COUNTIFS(cal_fechas,"&gt;="&amp;TODAY(),cal_fechas,"&lt;"&amp;$J575,cal_habil,"sí")))</f>
        <v/>
      </c>
      <c r="AE575" s="5">
        <f>IF($AD575="","",IF($AD575&lt;0,"FUTURO",IF($AD575&gt;p_dias_backlog_max,"BACKLOG","MES CORRIENTE")))</f>
        <v/>
      </c>
      <c r="AF575" s="5">
        <f>IF($AD575="",FALSE,AND($AD575&gt;p_dias_backlog_min,$AD575&lt;=p_dias_backlog_max))</f>
        <v/>
      </c>
      <c r="AG575" s="4" t="n"/>
      <c r="AH575" s="5">
        <f>IF($AG575="","",IF((IFERROR(INDEX('ASIGNACIONES'!$J$4:$J$451,MATCH($O575&amp;"|"&amp;$S575&amp;"|"&amp;$AG575,'ASIGNACIONES'!$N$4:$N$451,0)),""))=0,"",IFERROR(INDEX('ASIGNACIONES'!$J$4:$J$451,MATCH($O575&amp;"|"&amp;$S575&amp;"|"&amp;$AG575,'ASIGNACIONES'!$N$4:$N$451,0)),"")))</f>
        <v/>
      </c>
      <c r="AI575" s="25">
        <f>IF($AG575="","",SUMIFS('ORDENES'!$M$4:$M$1203,'ORDENES'!$AG$4:$AG$1203,$AG575,'ORDENES'!$O$4:$O$1203,$O575,'ORDENES'!$S$4:$S$1203,$S575))</f>
        <v/>
      </c>
      <c r="AJ575" s="25">
        <f>IF($AI575="","",p_factor_productividad*IFERROR(INDEX('ASIGNACIONES'!$M$4:$M$451,MATCH($O575&amp;"|"&amp;$S575&amp;"|"&amp;$AG575,'ASIGNACIONES'!$N$4:$N$451,0)),0)-$AI575)</f>
        <v/>
      </c>
      <c r="AK575" s="18">
        <f>IF($A575="","",IFERROR(INDEX('2_IMPORTAR_EJECUCION'!$F$9:$F$1208,MATCH($AT575,'2_IMPORTAR_EJECUCION'!$J$9:$J$1208,0)),0))</f>
        <v/>
      </c>
      <c r="AL575" s="18">
        <f>IF($A575="","",MAX(0,IFERROR(INDEX('2_IMPORTAR_EJECUCION'!$H$9:$H$1208,MATCH($AT575,'2_IMPORTAR_EJECUCION'!$J$9:$J$1208,0)),0)-$AK575))</f>
        <v/>
      </c>
      <c r="AM575" s="18">
        <f>IF($A575="","",$AK575+$AL575)</f>
        <v/>
      </c>
      <c r="AN575" s="5">
        <f>IF($A575="","",IF(OR((IFERROR(INDEX('CAT_ACTIVIDADES'!$D$4:$D$11,MATCH($H575,'CAT_ACTIVIDADES'!$A$4:$A$11,0)),""))=0,(IFERROR(INDEX('CAT_ACTIVIDADES'!$D$4:$D$11,MATCH($H575,'CAT_ACTIVIDADES'!$A$4:$A$11,0)),""))=""),"SIN CLASIFICAR",IFERROR(INDEX('CAT_ACTIVIDADES'!$D$4:$D$11,MATCH($H575,'CAT_ACTIVIDADES'!$A$4:$A$11,0)),"")))</f>
        <v/>
      </c>
      <c r="AO575" s="4" t="n"/>
      <c r="AP575" s="4" t="n"/>
      <c r="AQ575" s="4" t="n"/>
      <c r="AR575" s="5">
        <f>IF($AQ575="","",HYPERLINK(p_ruta_base_checklists&amp;$AQ575,"abrir"))</f>
        <v/>
      </c>
      <c r="AS575" s="4" t="n"/>
      <c r="AT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2" t="n"/>
      <c r="K576" s="5" t="n"/>
      <c r="L576" s="18" t="n"/>
      <c r="M576" s="5">
        <f>IF($A576="","",IFERROR(INDEX('AJUSTES'!$B$4:$B$303,MATCH($AT576,'AJUSTES'!$A$4:$A$303,0)),IF($K576="","",$K576)))</f>
        <v/>
      </c>
      <c r="N576" s="5">
        <f>IF($A576="","",IFERROR(INDEX('CAT_ESTADOS_ERP'!$B$4:$B$7,MATCH(IFERROR(INDEX('2_IMPORTAR_EJECUCION'!$C$9:$C$1208,MATCH($AT576,'2_IMPORTAR_EJECUCION'!$J$9:$J$1208,0)),""),'CAT_ESTADOS_ERP'!$A$4:$A$7,0)),"Pendiente"))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IF($J576="","",$P576&amp;"-"&amp;TEXT($Q576,"00"))</f>
        <v/>
      </c>
      <c r="S576" s="5">
        <f>IF($J576="","",INDEX(lista_dias,WEEKDAY($J576,2)))</f>
        <v/>
      </c>
      <c r="T576" s="5">
        <f>IF($J576="","",IFERROR(INDEX('CALENDARIO'!$C$15:$C$214,MATCH(TEXT($J576,"yyyy-mm-dd")&amp;"|"&amp;$X576&amp;"|"&amp;$Y576,'CALENDARIO'!$G$15:$G$214,0)),IFERROR(INDEX('CALENDARIO'!$C$15:$C$214,MATCH(TEXT($J576,"yyyy-mm-dd")&amp;"|"&amp;$X576&amp;"|",'CALENDARIO'!$G$15:$G$214,0)),IFERROR(INDEX('CALENDARIO'!$C$15:$C$214,MATCH(TEXT($J576,"yyyy-mm-dd")&amp;"||",'CALENDARIO'!$G$15:$G$214,0)),INDEX(patronHabil,WEEKDAY($J576,2))))))</f>
        <v/>
      </c>
      <c r="U576" s="5">
        <f>IF($I576="","",IFERROR(INDEX('CAT_TIPOS_OT'!$C$4:$C$8,MATCH($I576,'CAT_TIPOS_OT'!$A$4:$A$8,0)),"sin_clasificar"))</f>
        <v/>
      </c>
      <c r="V576" s="5">
        <f>IF($I576="","",IF(IFERROR(INDEX('CAT_TIPOS_OT'!$D$4:$D$8,MATCH($I576,'CAT_TIPOS_OT'!$A$4:$A$8,0)),"SIN CLASIFICAR")="","SIN CLASIFICAR",IFERROR(INDEX('CAT_TIPOS_OT'!$D$4:$D$8,MATCH($I576,'CAT_TIPOS_OT'!$A$4:$A$8,0)),"SIN CLASIFICAR")))</f>
        <v/>
      </c>
      <c r="W576" s="5">
        <f>IF($F576="","",IFERROR(INDEX('CAT_CENTROS_COSTO'!$F$4:$F$13,MATCH($F576,'CAT_CENTROS_COSTO'!$A$4:$A$13,0)),"(sin catálogo)"))</f>
        <v/>
      </c>
      <c r="X576" s="5">
        <f>IF($F576="","",IFERROR(INDEX('CAT_CENTROS_COSTO'!$D$4:$D$13,MATCH($F576,'CAT_CENTROS_COSTO'!$A$4:$A$13,0)),"(sin catálogo)"))</f>
        <v/>
      </c>
      <c r="Y576" s="5">
        <f>IF($F576="","",IF((IFERROR(INDEX('CAT_CENTROS_COSTO'!$E$4:$E$13,MATCH($F576,'CAT_CENTROS_COSTO'!$A$4:$A$13,0)),""))&lt;&gt;"",IFERROR(INDEX('CAT_CENTROS_COSTO'!$E$4:$E$13,MATCH($F576,'CAT_CENTROS_COSTO'!$A$4:$A$13,0)),""),$X576))</f>
        <v/>
      </c>
      <c r="Z576" s="5">
        <f>IF($F576="","",IFERROR(INDEX('CAT_CENTROS_COSTO'!$G$4:$G$13,MATCH($F576,'CAT_CENTROS_COSTO'!$A$4:$A$13,0)),"(sin catálogo)"))</f>
        <v/>
      </c>
      <c r="AA576" s="5">
        <f>IF($G576="","",IFERROR(INDEX('CAT_PUESTOS'!$B$4:$B$8,MATCH($G576,'CAT_PUESTOS'!$A$4:$A$8,0)),"(sin catálogo)"))</f>
        <v/>
      </c>
      <c r="AB576" s="5">
        <f>IF($H576="","",IFERROR(INDEX('CAT_ACTIVIDADES'!$B$4:$B$11,MATCH($H576,'CAT_ACTIVIDADES'!$A$4:$A$11,0)),"(sin catálogo)"))</f>
        <v/>
      </c>
      <c r="AC576" s="20">
        <f>IF($J576="","",TODAY()-$J576)</f>
        <v/>
      </c>
      <c r="AD576" s="20">
        <f>IF($J576="","",IF($J576&lt;=TODAY(),COUNTIFS(cal_fechas,"&gt;="&amp;$J576,cal_fechas,"&lt;"&amp;TODAY(),cal_habil,"sí"),-COUNTIFS(cal_fechas,"&gt;="&amp;TODAY(),cal_fechas,"&lt;"&amp;$J576,cal_habil,"sí")))</f>
        <v/>
      </c>
      <c r="AE576" s="5">
        <f>IF($AD576="","",IF($AD576&lt;0,"FUTURO",IF($AD576&gt;p_dias_backlog_max,"BACKLOG","MES CORRIENTE")))</f>
        <v/>
      </c>
      <c r="AF576" s="5">
        <f>IF($AD576="",FALSE,AND($AD576&gt;p_dias_backlog_min,$AD576&lt;=p_dias_backlog_max))</f>
        <v/>
      </c>
      <c r="AG576" s="4" t="n"/>
      <c r="AH576" s="5">
        <f>IF($AG576="","",IF((IFERROR(INDEX('ASIGNACIONES'!$J$4:$J$451,MATCH($O576&amp;"|"&amp;$S576&amp;"|"&amp;$AG576,'ASIGNACIONES'!$N$4:$N$451,0)),""))=0,"",IFERROR(INDEX('ASIGNACIONES'!$J$4:$J$451,MATCH($O576&amp;"|"&amp;$S576&amp;"|"&amp;$AG576,'ASIGNACIONES'!$N$4:$N$451,0)),"")))</f>
        <v/>
      </c>
      <c r="AI576" s="25">
        <f>IF($AG576="","",SUMIFS('ORDENES'!$M$4:$M$1203,'ORDENES'!$AG$4:$AG$1203,$AG576,'ORDENES'!$O$4:$O$1203,$O576,'ORDENES'!$S$4:$S$1203,$S576))</f>
        <v/>
      </c>
      <c r="AJ576" s="25">
        <f>IF($AI576="","",p_factor_productividad*IFERROR(INDEX('ASIGNACIONES'!$M$4:$M$451,MATCH($O576&amp;"|"&amp;$S576&amp;"|"&amp;$AG576,'ASIGNACIONES'!$N$4:$N$451,0)),0)-$AI576)</f>
        <v/>
      </c>
      <c r="AK576" s="18">
        <f>IF($A576="","",IFERROR(INDEX('2_IMPORTAR_EJECUCION'!$F$9:$F$1208,MATCH($AT576,'2_IMPORTAR_EJECUCION'!$J$9:$J$1208,0)),0))</f>
        <v/>
      </c>
      <c r="AL576" s="18">
        <f>IF($A576="","",MAX(0,IFERROR(INDEX('2_IMPORTAR_EJECUCION'!$H$9:$H$1208,MATCH($AT576,'2_IMPORTAR_EJECUCION'!$J$9:$J$1208,0)),0)-$AK576))</f>
        <v/>
      </c>
      <c r="AM576" s="18">
        <f>IF($A576="","",$AK576+$AL576)</f>
        <v/>
      </c>
      <c r="AN576" s="5">
        <f>IF($A576="","",IF(OR((IFERROR(INDEX('CAT_ACTIVIDADES'!$D$4:$D$11,MATCH($H576,'CAT_ACTIVIDADES'!$A$4:$A$11,0)),""))=0,(IFERROR(INDEX('CAT_ACTIVIDADES'!$D$4:$D$11,MATCH($H576,'CAT_ACTIVIDADES'!$A$4:$A$11,0)),""))=""),"SIN CLASIFICAR",IFERROR(INDEX('CAT_ACTIVIDADES'!$D$4:$D$11,MATCH($H576,'CAT_ACTIVIDADES'!$A$4:$A$11,0)),"")))</f>
        <v/>
      </c>
      <c r="AO576" s="4" t="n"/>
      <c r="AP576" s="4" t="n"/>
      <c r="AQ576" s="4" t="n"/>
      <c r="AR576" s="5">
        <f>IF($AQ576="","",HYPERLINK(p_ruta_base_checklists&amp;$AQ576,"abrir"))</f>
        <v/>
      </c>
      <c r="AS576" s="4" t="n"/>
      <c r="AT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2" t="n"/>
      <c r="K577" s="5" t="n"/>
      <c r="L577" s="18" t="n"/>
      <c r="M577" s="5">
        <f>IF($A577="","",IFERROR(INDEX('AJUSTES'!$B$4:$B$303,MATCH($AT577,'AJUSTES'!$A$4:$A$303,0)),IF($K577="","",$K577)))</f>
        <v/>
      </c>
      <c r="N577" s="5">
        <f>IF($A577="","",IFERROR(INDEX('CAT_ESTADOS_ERP'!$B$4:$B$7,MATCH(IFERROR(INDEX('2_IMPORTAR_EJECUCION'!$C$9:$C$1208,MATCH($AT577,'2_IMPORTAR_EJECUCION'!$J$9:$J$1208,0)),""),'CAT_ESTADOS_ERP'!$A$4:$A$7,0)),"Pendiente"))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IF($J577="","",$P577&amp;"-"&amp;TEXT($Q577,"00"))</f>
        <v/>
      </c>
      <c r="S577" s="5">
        <f>IF($J577="","",INDEX(lista_dias,WEEKDAY($J577,2)))</f>
        <v/>
      </c>
      <c r="T577" s="5">
        <f>IF($J577="","",IFERROR(INDEX('CALENDARIO'!$C$15:$C$214,MATCH(TEXT($J577,"yyyy-mm-dd")&amp;"|"&amp;$X577&amp;"|"&amp;$Y577,'CALENDARIO'!$G$15:$G$214,0)),IFERROR(INDEX('CALENDARIO'!$C$15:$C$214,MATCH(TEXT($J577,"yyyy-mm-dd")&amp;"|"&amp;$X577&amp;"|",'CALENDARIO'!$G$15:$G$214,0)),IFERROR(INDEX('CALENDARIO'!$C$15:$C$214,MATCH(TEXT($J577,"yyyy-mm-dd")&amp;"||",'CALENDARIO'!$G$15:$G$214,0)),INDEX(patronHabil,WEEKDAY($J577,2))))))</f>
        <v/>
      </c>
      <c r="U577" s="5">
        <f>IF($I577="","",IFERROR(INDEX('CAT_TIPOS_OT'!$C$4:$C$8,MATCH($I577,'CAT_TIPOS_OT'!$A$4:$A$8,0)),"sin_clasificar"))</f>
        <v/>
      </c>
      <c r="V577" s="5">
        <f>IF($I577="","",IF(IFERROR(INDEX('CAT_TIPOS_OT'!$D$4:$D$8,MATCH($I577,'CAT_TIPOS_OT'!$A$4:$A$8,0)),"SIN CLASIFICAR")="","SIN CLASIFICAR",IFERROR(INDEX('CAT_TIPOS_OT'!$D$4:$D$8,MATCH($I577,'CAT_TIPOS_OT'!$A$4:$A$8,0)),"SIN CLASIFICAR")))</f>
        <v/>
      </c>
      <c r="W577" s="5">
        <f>IF($F577="","",IFERROR(INDEX('CAT_CENTROS_COSTO'!$F$4:$F$13,MATCH($F577,'CAT_CENTROS_COSTO'!$A$4:$A$13,0)),"(sin catálogo)"))</f>
        <v/>
      </c>
      <c r="X577" s="5">
        <f>IF($F577="","",IFERROR(INDEX('CAT_CENTROS_COSTO'!$D$4:$D$13,MATCH($F577,'CAT_CENTROS_COSTO'!$A$4:$A$13,0)),"(sin catálogo)"))</f>
        <v/>
      </c>
      <c r="Y577" s="5">
        <f>IF($F577="","",IF((IFERROR(INDEX('CAT_CENTROS_COSTO'!$E$4:$E$13,MATCH($F577,'CAT_CENTROS_COSTO'!$A$4:$A$13,0)),""))&lt;&gt;"",IFERROR(INDEX('CAT_CENTROS_COSTO'!$E$4:$E$13,MATCH($F577,'CAT_CENTROS_COSTO'!$A$4:$A$13,0)),""),$X577))</f>
        <v/>
      </c>
      <c r="Z577" s="5">
        <f>IF($F577="","",IFERROR(INDEX('CAT_CENTROS_COSTO'!$G$4:$G$13,MATCH($F577,'CAT_CENTROS_COSTO'!$A$4:$A$13,0)),"(sin catálogo)"))</f>
        <v/>
      </c>
      <c r="AA577" s="5">
        <f>IF($G577="","",IFERROR(INDEX('CAT_PUESTOS'!$B$4:$B$8,MATCH($G577,'CAT_PUESTOS'!$A$4:$A$8,0)),"(sin catálogo)"))</f>
        <v/>
      </c>
      <c r="AB577" s="5">
        <f>IF($H577="","",IFERROR(INDEX('CAT_ACTIVIDADES'!$B$4:$B$11,MATCH($H577,'CAT_ACTIVIDADES'!$A$4:$A$11,0)),"(sin catálogo)"))</f>
        <v/>
      </c>
      <c r="AC577" s="20">
        <f>IF($J577="","",TODAY()-$J577)</f>
        <v/>
      </c>
      <c r="AD577" s="20">
        <f>IF($J577="","",IF($J577&lt;=TODAY(),COUNTIFS(cal_fechas,"&gt;="&amp;$J577,cal_fechas,"&lt;"&amp;TODAY(),cal_habil,"sí"),-COUNTIFS(cal_fechas,"&gt;="&amp;TODAY(),cal_fechas,"&lt;"&amp;$J577,cal_habil,"sí")))</f>
        <v/>
      </c>
      <c r="AE577" s="5">
        <f>IF($AD577="","",IF($AD577&lt;0,"FUTURO",IF($AD577&gt;p_dias_backlog_max,"BACKLOG","MES CORRIENTE")))</f>
        <v/>
      </c>
      <c r="AF577" s="5">
        <f>IF($AD577="",FALSE,AND($AD577&gt;p_dias_backlog_min,$AD577&lt;=p_dias_backlog_max))</f>
        <v/>
      </c>
      <c r="AG577" s="4" t="n"/>
      <c r="AH577" s="5">
        <f>IF($AG577="","",IF((IFERROR(INDEX('ASIGNACIONES'!$J$4:$J$451,MATCH($O577&amp;"|"&amp;$S577&amp;"|"&amp;$AG577,'ASIGNACIONES'!$N$4:$N$451,0)),""))=0,"",IFERROR(INDEX('ASIGNACIONES'!$J$4:$J$451,MATCH($O577&amp;"|"&amp;$S577&amp;"|"&amp;$AG577,'ASIGNACIONES'!$N$4:$N$451,0)),"")))</f>
        <v/>
      </c>
      <c r="AI577" s="25">
        <f>IF($AG577="","",SUMIFS('ORDENES'!$M$4:$M$1203,'ORDENES'!$AG$4:$AG$1203,$AG577,'ORDENES'!$O$4:$O$1203,$O577,'ORDENES'!$S$4:$S$1203,$S577))</f>
        <v/>
      </c>
      <c r="AJ577" s="25">
        <f>IF($AI577="","",p_factor_productividad*IFERROR(INDEX('ASIGNACIONES'!$M$4:$M$451,MATCH($O577&amp;"|"&amp;$S577&amp;"|"&amp;$AG577,'ASIGNACIONES'!$N$4:$N$451,0)),0)-$AI577)</f>
        <v/>
      </c>
      <c r="AK577" s="18">
        <f>IF($A577="","",IFERROR(INDEX('2_IMPORTAR_EJECUCION'!$F$9:$F$1208,MATCH($AT577,'2_IMPORTAR_EJECUCION'!$J$9:$J$1208,0)),0))</f>
        <v/>
      </c>
      <c r="AL577" s="18">
        <f>IF($A577="","",MAX(0,IFERROR(INDEX('2_IMPORTAR_EJECUCION'!$H$9:$H$1208,MATCH($AT577,'2_IMPORTAR_EJECUCION'!$J$9:$J$1208,0)),0)-$AK577))</f>
        <v/>
      </c>
      <c r="AM577" s="18">
        <f>IF($A577="","",$AK577+$AL577)</f>
        <v/>
      </c>
      <c r="AN577" s="5">
        <f>IF($A577="","",IF(OR((IFERROR(INDEX('CAT_ACTIVIDADES'!$D$4:$D$11,MATCH($H577,'CAT_ACTIVIDADES'!$A$4:$A$11,0)),""))=0,(IFERROR(INDEX('CAT_ACTIVIDADES'!$D$4:$D$11,MATCH($H577,'CAT_ACTIVIDADES'!$A$4:$A$11,0)),""))=""),"SIN CLASIFICAR",IFERROR(INDEX('CAT_ACTIVIDADES'!$D$4:$D$11,MATCH($H577,'CAT_ACTIVIDADES'!$A$4:$A$11,0)),"")))</f>
        <v/>
      </c>
      <c r="AO577" s="4" t="n"/>
      <c r="AP577" s="4" t="n"/>
      <c r="AQ577" s="4" t="n"/>
      <c r="AR577" s="5">
        <f>IF($AQ577="","",HYPERLINK(p_ruta_base_checklists&amp;$AQ577,"abrir"))</f>
        <v/>
      </c>
      <c r="AS577" s="4" t="n"/>
      <c r="AT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2" t="n"/>
      <c r="K578" s="5" t="n"/>
      <c r="L578" s="18" t="n"/>
      <c r="M578" s="5">
        <f>IF($A578="","",IFERROR(INDEX('AJUSTES'!$B$4:$B$303,MATCH($AT578,'AJUSTES'!$A$4:$A$303,0)),IF($K578="","",$K578)))</f>
        <v/>
      </c>
      <c r="N578" s="5">
        <f>IF($A578="","",IFERROR(INDEX('CAT_ESTADOS_ERP'!$B$4:$B$7,MATCH(IFERROR(INDEX('2_IMPORTAR_EJECUCION'!$C$9:$C$1208,MATCH($AT578,'2_IMPORTAR_EJECUCION'!$J$9:$J$1208,0)),""),'CAT_ESTADOS_ERP'!$A$4:$A$7,0)),"Pendiente"))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IF($J578="","",$P578&amp;"-"&amp;TEXT($Q578,"00"))</f>
        <v/>
      </c>
      <c r="S578" s="5">
        <f>IF($J578="","",INDEX(lista_dias,WEEKDAY($J578,2)))</f>
        <v/>
      </c>
      <c r="T578" s="5">
        <f>IF($J578="","",IFERROR(INDEX('CALENDARIO'!$C$15:$C$214,MATCH(TEXT($J578,"yyyy-mm-dd")&amp;"|"&amp;$X578&amp;"|"&amp;$Y578,'CALENDARIO'!$G$15:$G$214,0)),IFERROR(INDEX('CALENDARIO'!$C$15:$C$214,MATCH(TEXT($J578,"yyyy-mm-dd")&amp;"|"&amp;$X578&amp;"|",'CALENDARIO'!$G$15:$G$214,0)),IFERROR(INDEX('CALENDARIO'!$C$15:$C$214,MATCH(TEXT($J578,"yyyy-mm-dd")&amp;"||",'CALENDARIO'!$G$15:$G$214,0)),INDEX(patronHabil,WEEKDAY($J578,2))))))</f>
        <v/>
      </c>
      <c r="U578" s="5">
        <f>IF($I578="","",IFERROR(INDEX('CAT_TIPOS_OT'!$C$4:$C$8,MATCH($I578,'CAT_TIPOS_OT'!$A$4:$A$8,0)),"sin_clasificar"))</f>
        <v/>
      </c>
      <c r="V578" s="5">
        <f>IF($I578="","",IF(IFERROR(INDEX('CAT_TIPOS_OT'!$D$4:$D$8,MATCH($I578,'CAT_TIPOS_OT'!$A$4:$A$8,0)),"SIN CLASIFICAR")="","SIN CLASIFICAR",IFERROR(INDEX('CAT_TIPOS_OT'!$D$4:$D$8,MATCH($I578,'CAT_TIPOS_OT'!$A$4:$A$8,0)),"SIN CLASIFICAR")))</f>
        <v/>
      </c>
      <c r="W578" s="5">
        <f>IF($F578="","",IFERROR(INDEX('CAT_CENTROS_COSTO'!$F$4:$F$13,MATCH($F578,'CAT_CENTROS_COSTO'!$A$4:$A$13,0)),"(sin catálogo)"))</f>
        <v/>
      </c>
      <c r="X578" s="5">
        <f>IF($F578="","",IFERROR(INDEX('CAT_CENTROS_COSTO'!$D$4:$D$13,MATCH($F578,'CAT_CENTROS_COSTO'!$A$4:$A$13,0)),"(sin catálogo)"))</f>
        <v/>
      </c>
      <c r="Y578" s="5">
        <f>IF($F578="","",IF((IFERROR(INDEX('CAT_CENTROS_COSTO'!$E$4:$E$13,MATCH($F578,'CAT_CENTROS_COSTO'!$A$4:$A$13,0)),""))&lt;&gt;"",IFERROR(INDEX('CAT_CENTROS_COSTO'!$E$4:$E$13,MATCH($F578,'CAT_CENTROS_COSTO'!$A$4:$A$13,0)),""),$X578))</f>
        <v/>
      </c>
      <c r="Z578" s="5">
        <f>IF($F578="","",IFERROR(INDEX('CAT_CENTROS_COSTO'!$G$4:$G$13,MATCH($F578,'CAT_CENTROS_COSTO'!$A$4:$A$13,0)),"(sin catálogo)"))</f>
        <v/>
      </c>
      <c r="AA578" s="5">
        <f>IF($G578="","",IFERROR(INDEX('CAT_PUESTOS'!$B$4:$B$8,MATCH($G578,'CAT_PUESTOS'!$A$4:$A$8,0)),"(sin catálogo)"))</f>
        <v/>
      </c>
      <c r="AB578" s="5">
        <f>IF($H578="","",IFERROR(INDEX('CAT_ACTIVIDADES'!$B$4:$B$11,MATCH($H578,'CAT_ACTIVIDADES'!$A$4:$A$11,0)),"(sin catálogo)"))</f>
        <v/>
      </c>
      <c r="AC578" s="20">
        <f>IF($J578="","",TODAY()-$J578)</f>
        <v/>
      </c>
      <c r="AD578" s="20">
        <f>IF($J578="","",IF($J578&lt;=TODAY(),COUNTIFS(cal_fechas,"&gt;="&amp;$J578,cal_fechas,"&lt;"&amp;TODAY(),cal_habil,"sí"),-COUNTIFS(cal_fechas,"&gt;="&amp;TODAY(),cal_fechas,"&lt;"&amp;$J578,cal_habil,"sí")))</f>
        <v/>
      </c>
      <c r="AE578" s="5">
        <f>IF($AD578="","",IF($AD578&lt;0,"FUTURO",IF($AD578&gt;p_dias_backlog_max,"BACKLOG","MES CORRIENTE")))</f>
        <v/>
      </c>
      <c r="AF578" s="5">
        <f>IF($AD578="",FALSE,AND($AD578&gt;p_dias_backlog_min,$AD578&lt;=p_dias_backlog_max))</f>
        <v/>
      </c>
      <c r="AG578" s="4" t="n"/>
      <c r="AH578" s="5">
        <f>IF($AG578="","",IF((IFERROR(INDEX('ASIGNACIONES'!$J$4:$J$451,MATCH($O578&amp;"|"&amp;$S578&amp;"|"&amp;$AG578,'ASIGNACIONES'!$N$4:$N$451,0)),""))=0,"",IFERROR(INDEX('ASIGNACIONES'!$J$4:$J$451,MATCH($O578&amp;"|"&amp;$S578&amp;"|"&amp;$AG578,'ASIGNACIONES'!$N$4:$N$451,0)),"")))</f>
        <v/>
      </c>
      <c r="AI578" s="25">
        <f>IF($AG578="","",SUMIFS('ORDENES'!$M$4:$M$1203,'ORDENES'!$AG$4:$AG$1203,$AG578,'ORDENES'!$O$4:$O$1203,$O578,'ORDENES'!$S$4:$S$1203,$S578))</f>
        <v/>
      </c>
      <c r="AJ578" s="25">
        <f>IF($AI578="","",p_factor_productividad*IFERROR(INDEX('ASIGNACIONES'!$M$4:$M$451,MATCH($O578&amp;"|"&amp;$S578&amp;"|"&amp;$AG578,'ASIGNACIONES'!$N$4:$N$451,0)),0)-$AI578)</f>
        <v/>
      </c>
      <c r="AK578" s="18">
        <f>IF($A578="","",IFERROR(INDEX('2_IMPORTAR_EJECUCION'!$F$9:$F$1208,MATCH($AT578,'2_IMPORTAR_EJECUCION'!$J$9:$J$1208,0)),0))</f>
        <v/>
      </c>
      <c r="AL578" s="18">
        <f>IF($A578="","",MAX(0,IFERROR(INDEX('2_IMPORTAR_EJECUCION'!$H$9:$H$1208,MATCH($AT578,'2_IMPORTAR_EJECUCION'!$J$9:$J$1208,0)),0)-$AK578))</f>
        <v/>
      </c>
      <c r="AM578" s="18">
        <f>IF($A578="","",$AK578+$AL578)</f>
        <v/>
      </c>
      <c r="AN578" s="5">
        <f>IF($A578="","",IF(OR((IFERROR(INDEX('CAT_ACTIVIDADES'!$D$4:$D$11,MATCH($H578,'CAT_ACTIVIDADES'!$A$4:$A$11,0)),""))=0,(IFERROR(INDEX('CAT_ACTIVIDADES'!$D$4:$D$11,MATCH($H578,'CAT_ACTIVIDADES'!$A$4:$A$11,0)),""))=""),"SIN CLASIFICAR",IFERROR(INDEX('CAT_ACTIVIDADES'!$D$4:$D$11,MATCH($H578,'CAT_ACTIVIDADES'!$A$4:$A$11,0)),"")))</f>
        <v/>
      </c>
      <c r="AO578" s="4" t="n"/>
      <c r="AP578" s="4" t="n"/>
      <c r="AQ578" s="4" t="n"/>
      <c r="AR578" s="5">
        <f>IF($AQ578="","",HYPERLINK(p_ruta_base_checklists&amp;$AQ578,"abrir"))</f>
        <v/>
      </c>
      <c r="AS578" s="4" t="n"/>
      <c r="AT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2" t="n"/>
      <c r="K579" s="5" t="n"/>
      <c r="L579" s="18" t="n"/>
      <c r="M579" s="5">
        <f>IF($A579="","",IFERROR(INDEX('AJUSTES'!$B$4:$B$303,MATCH($AT579,'AJUSTES'!$A$4:$A$303,0)),IF($K579="","",$K579)))</f>
        <v/>
      </c>
      <c r="N579" s="5">
        <f>IF($A579="","",IFERROR(INDEX('CAT_ESTADOS_ERP'!$B$4:$B$7,MATCH(IFERROR(INDEX('2_IMPORTAR_EJECUCION'!$C$9:$C$1208,MATCH($AT579,'2_IMPORTAR_EJECUCION'!$J$9:$J$1208,0)),""),'CAT_ESTADOS_ERP'!$A$4:$A$7,0)),"Pendiente"))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IF($J579="","",$P579&amp;"-"&amp;TEXT($Q579,"00"))</f>
        <v/>
      </c>
      <c r="S579" s="5">
        <f>IF($J579="","",INDEX(lista_dias,WEEKDAY($J579,2)))</f>
        <v/>
      </c>
      <c r="T579" s="5">
        <f>IF($J579="","",IFERROR(INDEX('CALENDARIO'!$C$15:$C$214,MATCH(TEXT($J579,"yyyy-mm-dd")&amp;"|"&amp;$X579&amp;"|"&amp;$Y579,'CALENDARIO'!$G$15:$G$214,0)),IFERROR(INDEX('CALENDARIO'!$C$15:$C$214,MATCH(TEXT($J579,"yyyy-mm-dd")&amp;"|"&amp;$X579&amp;"|",'CALENDARIO'!$G$15:$G$214,0)),IFERROR(INDEX('CALENDARIO'!$C$15:$C$214,MATCH(TEXT($J579,"yyyy-mm-dd")&amp;"||",'CALENDARIO'!$G$15:$G$214,0)),INDEX(patronHabil,WEEKDAY($J579,2))))))</f>
        <v/>
      </c>
      <c r="U579" s="5">
        <f>IF($I579="","",IFERROR(INDEX('CAT_TIPOS_OT'!$C$4:$C$8,MATCH($I579,'CAT_TIPOS_OT'!$A$4:$A$8,0)),"sin_clasificar"))</f>
        <v/>
      </c>
      <c r="V579" s="5">
        <f>IF($I579="","",IF(IFERROR(INDEX('CAT_TIPOS_OT'!$D$4:$D$8,MATCH($I579,'CAT_TIPOS_OT'!$A$4:$A$8,0)),"SIN CLASIFICAR")="","SIN CLASIFICAR",IFERROR(INDEX('CAT_TIPOS_OT'!$D$4:$D$8,MATCH($I579,'CAT_TIPOS_OT'!$A$4:$A$8,0)),"SIN CLASIFICAR")))</f>
        <v/>
      </c>
      <c r="W579" s="5">
        <f>IF($F579="","",IFERROR(INDEX('CAT_CENTROS_COSTO'!$F$4:$F$13,MATCH($F579,'CAT_CENTROS_COSTO'!$A$4:$A$13,0)),"(sin catálogo)"))</f>
        <v/>
      </c>
      <c r="X579" s="5">
        <f>IF($F579="","",IFERROR(INDEX('CAT_CENTROS_COSTO'!$D$4:$D$13,MATCH($F579,'CAT_CENTROS_COSTO'!$A$4:$A$13,0)),"(sin catálogo)"))</f>
        <v/>
      </c>
      <c r="Y579" s="5">
        <f>IF($F579="","",IF((IFERROR(INDEX('CAT_CENTROS_COSTO'!$E$4:$E$13,MATCH($F579,'CAT_CENTROS_COSTO'!$A$4:$A$13,0)),""))&lt;&gt;"",IFERROR(INDEX('CAT_CENTROS_COSTO'!$E$4:$E$13,MATCH($F579,'CAT_CENTROS_COSTO'!$A$4:$A$13,0)),""),$X579))</f>
        <v/>
      </c>
      <c r="Z579" s="5">
        <f>IF($F579="","",IFERROR(INDEX('CAT_CENTROS_COSTO'!$G$4:$G$13,MATCH($F579,'CAT_CENTROS_COSTO'!$A$4:$A$13,0)),"(sin catálogo)"))</f>
        <v/>
      </c>
      <c r="AA579" s="5">
        <f>IF($G579="","",IFERROR(INDEX('CAT_PUESTOS'!$B$4:$B$8,MATCH($G579,'CAT_PUESTOS'!$A$4:$A$8,0)),"(sin catálogo)"))</f>
        <v/>
      </c>
      <c r="AB579" s="5">
        <f>IF($H579="","",IFERROR(INDEX('CAT_ACTIVIDADES'!$B$4:$B$11,MATCH($H579,'CAT_ACTIVIDADES'!$A$4:$A$11,0)),"(sin catálogo)"))</f>
        <v/>
      </c>
      <c r="AC579" s="20">
        <f>IF($J579="","",TODAY()-$J579)</f>
        <v/>
      </c>
      <c r="AD579" s="20">
        <f>IF($J579="","",IF($J579&lt;=TODAY(),COUNTIFS(cal_fechas,"&gt;="&amp;$J579,cal_fechas,"&lt;"&amp;TODAY(),cal_habil,"sí"),-COUNTIFS(cal_fechas,"&gt;="&amp;TODAY(),cal_fechas,"&lt;"&amp;$J579,cal_habil,"sí")))</f>
        <v/>
      </c>
      <c r="AE579" s="5">
        <f>IF($AD579="","",IF($AD579&lt;0,"FUTURO",IF($AD579&gt;p_dias_backlog_max,"BACKLOG","MES CORRIENTE")))</f>
        <v/>
      </c>
      <c r="AF579" s="5">
        <f>IF($AD579="",FALSE,AND($AD579&gt;p_dias_backlog_min,$AD579&lt;=p_dias_backlog_max))</f>
        <v/>
      </c>
      <c r="AG579" s="4" t="n"/>
      <c r="AH579" s="5">
        <f>IF($AG579="","",IF((IFERROR(INDEX('ASIGNACIONES'!$J$4:$J$451,MATCH($O579&amp;"|"&amp;$S579&amp;"|"&amp;$AG579,'ASIGNACIONES'!$N$4:$N$451,0)),""))=0,"",IFERROR(INDEX('ASIGNACIONES'!$J$4:$J$451,MATCH($O579&amp;"|"&amp;$S579&amp;"|"&amp;$AG579,'ASIGNACIONES'!$N$4:$N$451,0)),"")))</f>
        <v/>
      </c>
      <c r="AI579" s="25">
        <f>IF($AG579="","",SUMIFS('ORDENES'!$M$4:$M$1203,'ORDENES'!$AG$4:$AG$1203,$AG579,'ORDENES'!$O$4:$O$1203,$O579,'ORDENES'!$S$4:$S$1203,$S579))</f>
        <v/>
      </c>
      <c r="AJ579" s="25">
        <f>IF($AI579="","",p_factor_productividad*IFERROR(INDEX('ASIGNACIONES'!$M$4:$M$451,MATCH($O579&amp;"|"&amp;$S579&amp;"|"&amp;$AG579,'ASIGNACIONES'!$N$4:$N$451,0)),0)-$AI579)</f>
        <v/>
      </c>
      <c r="AK579" s="18">
        <f>IF($A579="","",IFERROR(INDEX('2_IMPORTAR_EJECUCION'!$F$9:$F$1208,MATCH($AT579,'2_IMPORTAR_EJECUCION'!$J$9:$J$1208,0)),0))</f>
        <v/>
      </c>
      <c r="AL579" s="18">
        <f>IF($A579="","",MAX(0,IFERROR(INDEX('2_IMPORTAR_EJECUCION'!$H$9:$H$1208,MATCH($AT579,'2_IMPORTAR_EJECUCION'!$J$9:$J$1208,0)),0)-$AK579))</f>
        <v/>
      </c>
      <c r="AM579" s="18">
        <f>IF($A579="","",$AK579+$AL579)</f>
        <v/>
      </c>
      <c r="AN579" s="5">
        <f>IF($A579="","",IF(OR((IFERROR(INDEX('CAT_ACTIVIDADES'!$D$4:$D$11,MATCH($H579,'CAT_ACTIVIDADES'!$A$4:$A$11,0)),""))=0,(IFERROR(INDEX('CAT_ACTIVIDADES'!$D$4:$D$11,MATCH($H579,'CAT_ACTIVIDADES'!$A$4:$A$11,0)),""))=""),"SIN CLASIFICAR",IFERROR(INDEX('CAT_ACTIVIDADES'!$D$4:$D$11,MATCH($H579,'CAT_ACTIVIDADES'!$A$4:$A$11,0)),"")))</f>
        <v/>
      </c>
      <c r="AO579" s="4" t="n"/>
      <c r="AP579" s="4" t="n"/>
      <c r="AQ579" s="4" t="n"/>
      <c r="AR579" s="5">
        <f>IF($AQ579="","",HYPERLINK(p_ruta_base_checklists&amp;$AQ579,"abrir"))</f>
        <v/>
      </c>
      <c r="AS579" s="4" t="n"/>
      <c r="AT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2" t="n"/>
      <c r="K580" s="5" t="n"/>
      <c r="L580" s="18" t="n"/>
      <c r="M580" s="5">
        <f>IF($A580="","",IFERROR(INDEX('AJUSTES'!$B$4:$B$303,MATCH($AT580,'AJUSTES'!$A$4:$A$303,0)),IF($K580="","",$K580)))</f>
        <v/>
      </c>
      <c r="N580" s="5">
        <f>IF($A580="","",IFERROR(INDEX('CAT_ESTADOS_ERP'!$B$4:$B$7,MATCH(IFERROR(INDEX('2_IMPORTAR_EJECUCION'!$C$9:$C$1208,MATCH($AT580,'2_IMPORTAR_EJECUCION'!$J$9:$J$1208,0)),""),'CAT_ESTADOS_ERP'!$A$4:$A$7,0)),"Pendiente"))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IF($J580="","",$P580&amp;"-"&amp;TEXT($Q580,"00"))</f>
        <v/>
      </c>
      <c r="S580" s="5">
        <f>IF($J580="","",INDEX(lista_dias,WEEKDAY($J580,2)))</f>
        <v/>
      </c>
      <c r="T580" s="5">
        <f>IF($J580="","",IFERROR(INDEX('CALENDARIO'!$C$15:$C$214,MATCH(TEXT($J580,"yyyy-mm-dd")&amp;"|"&amp;$X580&amp;"|"&amp;$Y580,'CALENDARIO'!$G$15:$G$214,0)),IFERROR(INDEX('CALENDARIO'!$C$15:$C$214,MATCH(TEXT($J580,"yyyy-mm-dd")&amp;"|"&amp;$X580&amp;"|",'CALENDARIO'!$G$15:$G$214,0)),IFERROR(INDEX('CALENDARIO'!$C$15:$C$214,MATCH(TEXT($J580,"yyyy-mm-dd")&amp;"||",'CALENDARIO'!$G$15:$G$214,0)),INDEX(patronHabil,WEEKDAY($J580,2))))))</f>
        <v/>
      </c>
      <c r="U580" s="5">
        <f>IF($I580="","",IFERROR(INDEX('CAT_TIPOS_OT'!$C$4:$C$8,MATCH($I580,'CAT_TIPOS_OT'!$A$4:$A$8,0)),"sin_clasificar"))</f>
        <v/>
      </c>
      <c r="V580" s="5">
        <f>IF($I580="","",IF(IFERROR(INDEX('CAT_TIPOS_OT'!$D$4:$D$8,MATCH($I580,'CAT_TIPOS_OT'!$A$4:$A$8,0)),"SIN CLASIFICAR")="","SIN CLASIFICAR",IFERROR(INDEX('CAT_TIPOS_OT'!$D$4:$D$8,MATCH($I580,'CAT_TIPOS_OT'!$A$4:$A$8,0)),"SIN CLASIFICAR")))</f>
        <v/>
      </c>
      <c r="W580" s="5">
        <f>IF($F580="","",IFERROR(INDEX('CAT_CENTROS_COSTO'!$F$4:$F$13,MATCH($F580,'CAT_CENTROS_COSTO'!$A$4:$A$13,0)),"(sin catálogo)"))</f>
        <v/>
      </c>
      <c r="X580" s="5">
        <f>IF($F580="","",IFERROR(INDEX('CAT_CENTROS_COSTO'!$D$4:$D$13,MATCH($F580,'CAT_CENTROS_COSTO'!$A$4:$A$13,0)),"(sin catálogo)"))</f>
        <v/>
      </c>
      <c r="Y580" s="5">
        <f>IF($F580="","",IF((IFERROR(INDEX('CAT_CENTROS_COSTO'!$E$4:$E$13,MATCH($F580,'CAT_CENTROS_COSTO'!$A$4:$A$13,0)),""))&lt;&gt;"",IFERROR(INDEX('CAT_CENTROS_COSTO'!$E$4:$E$13,MATCH($F580,'CAT_CENTROS_COSTO'!$A$4:$A$13,0)),""),$X580))</f>
        <v/>
      </c>
      <c r="Z580" s="5">
        <f>IF($F580="","",IFERROR(INDEX('CAT_CENTROS_COSTO'!$G$4:$G$13,MATCH($F580,'CAT_CENTROS_COSTO'!$A$4:$A$13,0)),"(sin catálogo)"))</f>
        <v/>
      </c>
      <c r="AA580" s="5">
        <f>IF($G580="","",IFERROR(INDEX('CAT_PUESTOS'!$B$4:$B$8,MATCH($G580,'CAT_PUESTOS'!$A$4:$A$8,0)),"(sin catálogo)"))</f>
        <v/>
      </c>
      <c r="AB580" s="5">
        <f>IF($H580="","",IFERROR(INDEX('CAT_ACTIVIDADES'!$B$4:$B$11,MATCH($H580,'CAT_ACTIVIDADES'!$A$4:$A$11,0)),"(sin catálogo)"))</f>
        <v/>
      </c>
      <c r="AC580" s="20">
        <f>IF($J580="","",TODAY()-$J580)</f>
        <v/>
      </c>
      <c r="AD580" s="20">
        <f>IF($J580="","",IF($J580&lt;=TODAY(),COUNTIFS(cal_fechas,"&gt;="&amp;$J580,cal_fechas,"&lt;"&amp;TODAY(),cal_habil,"sí"),-COUNTIFS(cal_fechas,"&gt;="&amp;TODAY(),cal_fechas,"&lt;"&amp;$J580,cal_habil,"sí")))</f>
        <v/>
      </c>
      <c r="AE580" s="5">
        <f>IF($AD580="","",IF($AD580&lt;0,"FUTURO",IF($AD580&gt;p_dias_backlog_max,"BACKLOG","MES CORRIENTE")))</f>
        <v/>
      </c>
      <c r="AF580" s="5">
        <f>IF($AD580="",FALSE,AND($AD580&gt;p_dias_backlog_min,$AD580&lt;=p_dias_backlog_max))</f>
        <v/>
      </c>
      <c r="AG580" s="4" t="n"/>
      <c r="AH580" s="5">
        <f>IF($AG580="","",IF((IFERROR(INDEX('ASIGNACIONES'!$J$4:$J$451,MATCH($O580&amp;"|"&amp;$S580&amp;"|"&amp;$AG580,'ASIGNACIONES'!$N$4:$N$451,0)),""))=0,"",IFERROR(INDEX('ASIGNACIONES'!$J$4:$J$451,MATCH($O580&amp;"|"&amp;$S580&amp;"|"&amp;$AG580,'ASIGNACIONES'!$N$4:$N$451,0)),"")))</f>
        <v/>
      </c>
      <c r="AI580" s="25">
        <f>IF($AG580="","",SUMIFS('ORDENES'!$M$4:$M$1203,'ORDENES'!$AG$4:$AG$1203,$AG580,'ORDENES'!$O$4:$O$1203,$O580,'ORDENES'!$S$4:$S$1203,$S580))</f>
        <v/>
      </c>
      <c r="AJ580" s="25">
        <f>IF($AI580="","",p_factor_productividad*IFERROR(INDEX('ASIGNACIONES'!$M$4:$M$451,MATCH($O580&amp;"|"&amp;$S580&amp;"|"&amp;$AG580,'ASIGNACIONES'!$N$4:$N$451,0)),0)-$AI580)</f>
        <v/>
      </c>
      <c r="AK580" s="18">
        <f>IF($A580="","",IFERROR(INDEX('2_IMPORTAR_EJECUCION'!$F$9:$F$1208,MATCH($AT580,'2_IMPORTAR_EJECUCION'!$J$9:$J$1208,0)),0))</f>
        <v/>
      </c>
      <c r="AL580" s="18">
        <f>IF($A580="","",MAX(0,IFERROR(INDEX('2_IMPORTAR_EJECUCION'!$H$9:$H$1208,MATCH($AT580,'2_IMPORTAR_EJECUCION'!$J$9:$J$1208,0)),0)-$AK580))</f>
        <v/>
      </c>
      <c r="AM580" s="18">
        <f>IF($A580="","",$AK580+$AL580)</f>
        <v/>
      </c>
      <c r="AN580" s="5">
        <f>IF($A580="","",IF(OR((IFERROR(INDEX('CAT_ACTIVIDADES'!$D$4:$D$11,MATCH($H580,'CAT_ACTIVIDADES'!$A$4:$A$11,0)),""))=0,(IFERROR(INDEX('CAT_ACTIVIDADES'!$D$4:$D$11,MATCH($H580,'CAT_ACTIVIDADES'!$A$4:$A$11,0)),""))=""),"SIN CLASIFICAR",IFERROR(INDEX('CAT_ACTIVIDADES'!$D$4:$D$11,MATCH($H580,'CAT_ACTIVIDADES'!$A$4:$A$11,0)),"")))</f>
        <v/>
      </c>
      <c r="AO580" s="4" t="n"/>
      <c r="AP580" s="4" t="n"/>
      <c r="AQ580" s="4" t="n"/>
      <c r="AR580" s="5">
        <f>IF($AQ580="","",HYPERLINK(p_ruta_base_checklists&amp;$AQ580,"abrir"))</f>
        <v/>
      </c>
      <c r="AS580" s="4" t="n"/>
      <c r="AT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2" t="n"/>
      <c r="K581" s="5" t="n"/>
      <c r="L581" s="18" t="n"/>
      <c r="M581" s="5">
        <f>IF($A581="","",IFERROR(INDEX('AJUSTES'!$B$4:$B$303,MATCH($AT581,'AJUSTES'!$A$4:$A$303,0)),IF($K581="","",$K581)))</f>
        <v/>
      </c>
      <c r="N581" s="5">
        <f>IF($A581="","",IFERROR(INDEX('CAT_ESTADOS_ERP'!$B$4:$B$7,MATCH(IFERROR(INDEX('2_IMPORTAR_EJECUCION'!$C$9:$C$1208,MATCH($AT581,'2_IMPORTAR_EJECUCION'!$J$9:$J$1208,0)),""),'CAT_ESTADOS_ERP'!$A$4:$A$7,0)),"Pendiente"))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IF($J581="","",$P581&amp;"-"&amp;TEXT($Q581,"00"))</f>
        <v/>
      </c>
      <c r="S581" s="5">
        <f>IF($J581="","",INDEX(lista_dias,WEEKDAY($J581,2)))</f>
        <v/>
      </c>
      <c r="T581" s="5">
        <f>IF($J581="","",IFERROR(INDEX('CALENDARIO'!$C$15:$C$214,MATCH(TEXT($J581,"yyyy-mm-dd")&amp;"|"&amp;$X581&amp;"|"&amp;$Y581,'CALENDARIO'!$G$15:$G$214,0)),IFERROR(INDEX('CALENDARIO'!$C$15:$C$214,MATCH(TEXT($J581,"yyyy-mm-dd")&amp;"|"&amp;$X581&amp;"|",'CALENDARIO'!$G$15:$G$214,0)),IFERROR(INDEX('CALENDARIO'!$C$15:$C$214,MATCH(TEXT($J581,"yyyy-mm-dd")&amp;"||",'CALENDARIO'!$G$15:$G$214,0)),INDEX(patronHabil,WEEKDAY($J581,2))))))</f>
        <v/>
      </c>
      <c r="U581" s="5">
        <f>IF($I581="","",IFERROR(INDEX('CAT_TIPOS_OT'!$C$4:$C$8,MATCH($I581,'CAT_TIPOS_OT'!$A$4:$A$8,0)),"sin_clasificar"))</f>
        <v/>
      </c>
      <c r="V581" s="5">
        <f>IF($I581="","",IF(IFERROR(INDEX('CAT_TIPOS_OT'!$D$4:$D$8,MATCH($I581,'CAT_TIPOS_OT'!$A$4:$A$8,0)),"SIN CLASIFICAR")="","SIN CLASIFICAR",IFERROR(INDEX('CAT_TIPOS_OT'!$D$4:$D$8,MATCH($I581,'CAT_TIPOS_OT'!$A$4:$A$8,0)),"SIN CLASIFICAR")))</f>
        <v/>
      </c>
      <c r="W581" s="5">
        <f>IF($F581="","",IFERROR(INDEX('CAT_CENTROS_COSTO'!$F$4:$F$13,MATCH($F581,'CAT_CENTROS_COSTO'!$A$4:$A$13,0)),"(sin catálogo)"))</f>
        <v/>
      </c>
      <c r="X581" s="5">
        <f>IF($F581="","",IFERROR(INDEX('CAT_CENTROS_COSTO'!$D$4:$D$13,MATCH($F581,'CAT_CENTROS_COSTO'!$A$4:$A$13,0)),"(sin catálogo)"))</f>
        <v/>
      </c>
      <c r="Y581" s="5">
        <f>IF($F581="","",IF((IFERROR(INDEX('CAT_CENTROS_COSTO'!$E$4:$E$13,MATCH($F581,'CAT_CENTROS_COSTO'!$A$4:$A$13,0)),""))&lt;&gt;"",IFERROR(INDEX('CAT_CENTROS_COSTO'!$E$4:$E$13,MATCH($F581,'CAT_CENTROS_COSTO'!$A$4:$A$13,0)),""),$X581))</f>
        <v/>
      </c>
      <c r="Z581" s="5">
        <f>IF($F581="","",IFERROR(INDEX('CAT_CENTROS_COSTO'!$G$4:$G$13,MATCH($F581,'CAT_CENTROS_COSTO'!$A$4:$A$13,0)),"(sin catálogo)"))</f>
        <v/>
      </c>
      <c r="AA581" s="5">
        <f>IF($G581="","",IFERROR(INDEX('CAT_PUESTOS'!$B$4:$B$8,MATCH($G581,'CAT_PUESTOS'!$A$4:$A$8,0)),"(sin catálogo)"))</f>
        <v/>
      </c>
      <c r="AB581" s="5">
        <f>IF($H581="","",IFERROR(INDEX('CAT_ACTIVIDADES'!$B$4:$B$11,MATCH($H581,'CAT_ACTIVIDADES'!$A$4:$A$11,0)),"(sin catálogo)"))</f>
        <v/>
      </c>
      <c r="AC581" s="20">
        <f>IF($J581="","",TODAY()-$J581)</f>
        <v/>
      </c>
      <c r="AD581" s="20">
        <f>IF($J581="","",IF($J581&lt;=TODAY(),COUNTIFS(cal_fechas,"&gt;="&amp;$J581,cal_fechas,"&lt;"&amp;TODAY(),cal_habil,"sí"),-COUNTIFS(cal_fechas,"&gt;="&amp;TODAY(),cal_fechas,"&lt;"&amp;$J581,cal_habil,"sí")))</f>
        <v/>
      </c>
      <c r="AE581" s="5">
        <f>IF($AD581="","",IF($AD581&lt;0,"FUTURO",IF($AD581&gt;p_dias_backlog_max,"BACKLOG","MES CORRIENTE")))</f>
        <v/>
      </c>
      <c r="AF581" s="5">
        <f>IF($AD581="",FALSE,AND($AD581&gt;p_dias_backlog_min,$AD581&lt;=p_dias_backlog_max))</f>
        <v/>
      </c>
      <c r="AG581" s="4" t="n"/>
      <c r="AH581" s="5">
        <f>IF($AG581="","",IF((IFERROR(INDEX('ASIGNACIONES'!$J$4:$J$451,MATCH($O581&amp;"|"&amp;$S581&amp;"|"&amp;$AG581,'ASIGNACIONES'!$N$4:$N$451,0)),""))=0,"",IFERROR(INDEX('ASIGNACIONES'!$J$4:$J$451,MATCH($O581&amp;"|"&amp;$S581&amp;"|"&amp;$AG581,'ASIGNACIONES'!$N$4:$N$451,0)),"")))</f>
        <v/>
      </c>
      <c r="AI581" s="25">
        <f>IF($AG581="","",SUMIFS('ORDENES'!$M$4:$M$1203,'ORDENES'!$AG$4:$AG$1203,$AG581,'ORDENES'!$O$4:$O$1203,$O581,'ORDENES'!$S$4:$S$1203,$S581))</f>
        <v/>
      </c>
      <c r="AJ581" s="25">
        <f>IF($AI581="","",p_factor_productividad*IFERROR(INDEX('ASIGNACIONES'!$M$4:$M$451,MATCH($O581&amp;"|"&amp;$S581&amp;"|"&amp;$AG581,'ASIGNACIONES'!$N$4:$N$451,0)),0)-$AI581)</f>
        <v/>
      </c>
      <c r="AK581" s="18">
        <f>IF($A581="","",IFERROR(INDEX('2_IMPORTAR_EJECUCION'!$F$9:$F$1208,MATCH($AT581,'2_IMPORTAR_EJECUCION'!$J$9:$J$1208,0)),0))</f>
        <v/>
      </c>
      <c r="AL581" s="18">
        <f>IF($A581="","",MAX(0,IFERROR(INDEX('2_IMPORTAR_EJECUCION'!$H$9:$H$1208,MATCH($AT581,'2_IMPORTAR_EJECUCION'!$J$9:$J$1208,0)),0)-$AK581))</f>
        <v/>
      </c>
      <c r="AM581" s="18">
        <f>IF($A581="","",$AK581+$AL581)</f>
        <v/>
      </c>
      <c r="AN581" s="5">
        <f>IF($A581="","",IF(OR((IFERROR(INDEX('CAT_ACTIVIDADES'!$D$4:$D$11,MATCH($H581,'CAT_ACTIVIDADES'!$A$4:$A$11,0)),""))=0,(IFERROR(INDEX('CAT_ACTIVIDADES'!$D$4:$D$11,MATCH($H581,'CAT_ACTIVIDADES'!$A$4:$A$11,0)),""))=""),"SIN CLASIFICAR",IFERROR(INDEX('CAT_ACTIVIDADES'!$D$4:$D$11,MATCH($H581,'CAT_ACTIVIDADES'!$A$4:$A$11,0)),"")))</f>
        <v/>
      </c>
      <c r="AO581" s="4" t="n"/>
      <c r="AP581" s="4" t="n"/>
      <c r="AQ581" s="4" t="n"/>
      <c r="AR581" s="5">
        <f>IF($AQ581="","",HYPERLINK(p_ruta_base_checklists&amp;$AQ581,"abrir"))</f>
        <v/>
      </c>
      <c r="AS581" s="4" t="n"/>
      <c r="AT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2" t="n"/>
      <c r="K582" s="5" t="n"/>
      <c r="L582" s="18" t="n"/>
      <c r="M582" s="5">
        <f>IF($A582="","",IFERROR(INDEX('AJUSTES'!$B$4:$B$303,MATCH($AT582,'AJUSTES'!$A$4:$A$303,0)),IF($K582="","",$K582)))</f>
        <v/>
      </c>
      <c r="N582" s="5">
        <f>IF($A582="","",IFERROR(INDEX('CAT_ESTADOS_ERP'!$B$4:$B$7,MATCH(IFERROR(INDEX('2_IMPORTAR_EJECUCION'!$C$9:$C$1208,MATCH($AT582,'2_IMPORTAR_EJECUCION'!$J$9:$J$1208,0)),""),'CAT_ESTADOS_ERP'!$A$4:$A$7,0)),"Pendiente"))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IF($J582="","",$P582&amp;"-"&amp;TEXT($Q582,"00"))</f>
        <v/>
      </c>
      <c r="S582" s="5">
        <f>IF($J582="","",INDEX(lista_dias,WEEKDAY($J582,2)))</f>
        <v/>
      </c>
      <c r="T582" s="5">
        <f>IF($J582="","",IFERROR(INDEX('CALENDARIO'!$C$15:$C$214,MATCH(TEXT($J582,"yyyy-mm-dd")&amp;"|"&amp;$X582&amp;"|"&amp;$Y582,'CALENDARIO'!$G$15:$G$214,0)),IFERROR(INDEX('CALENDARIO'!$C$15:$C$214,MATCH(TEXT($J582,"yyyy-mm-dd")&amp;"|"&amp;$X582&amp;"|",'CALENDARIO'!$G$15:$G$214,0)),IFERROR(INDEX('CALENDARIO'!$C$15:$C$214,MATCH(TEXT($J582,"yyyy-mm-dd")&amp;"||",'CALENDARIO'!$G$15:$G$214,0)),INDEX(patronHabil,WEEKDAY($J582,2))))))</f>
        <v/>
      </c>
      <c r="U582" s="5">
        <f>IF($I582="","",IFERROR(INDEX('CAT_TIPOS_OT'!$C$4:$C$8,MATCH($I582,'CAT_TIPOS_OT'!$A$4:$A$8,0)),"sin_clasificar"))</f>
        <v/>
      </c>
      <c r="V582" s="5">
        <f>IF($I582="","",IF(IFERROR(INDEX('CAT_TIPOS_OT'!$D$4:$D$8,MATCH($I582,'CAT_TIPOS_OT'!$A$4:$A$8,0)),"SIN CLASIFICAR")="","SIN CLASIFICAR",IFERROR(INDEX('CAT_TIPOS_OT'!$D$4:$D$8,MATCH($I582,'CAT_TIPOS_OT'!$A$4:$A$8,0)),"SIN CLASIFICAR")))</f>
        <v/>
      </c>
      <c r="W582" s="5">
        <f>IF($F582="","",IFERROR(INDEX('CAT_CENTROS_COSTO'!$F$4:$F$13,MATCH($F582,'CAT_CENTROS_COSTO'!$A$4:$A$13,0)),"(sin catálogo)"))</f>
        <v/>
      </c>
      <c r="X582" s="5">
        <f>IF($F582="","",IFERROR(INDEX('CAT_CENTROS_COSTO'!$D$4:$D$13,MATCH($F582,'CAT_CENTROS_COSTO'!$A$4:$A$13,0)),"(sin catálogo)"))</f>
        <v/>
      </c>
      <c r="Y582" s="5">
        <f>IF($F582="","",IF((IFERROR(INDEX('CAT_CENTROS_COSTO'!$E$4:$E$13,MATCH($F582,'CAT_CENTROS_COSTO'!$A$4:$A$13,0)),""))&lt;&gt;"",IFERROR(INDEX('CAT_CENTROS_COSTO'!$E$4:$E$13,MATCH($F582,'CAT_CENTROS_COSTO'!$A$4:$A$13,0)),""),$X582))</f>
        <v/>
      </c>
      <c r="Z582" s="5">
        <f>IF($F582="","",IFERROR(INDEX('CAT_CENTROS_COSTO'!$G$4:$G$13,MATCH($F582,'CAT_CENTROS_COSTO'!$A$4:$A$13,0)),"(sin catálogo)"))</f>
        <v/>
      </c>
      <c r="AA582" s="5">
        <f>IF($G582="","",IFERROR(INDEX('CAT_PUESTOS'!$B$4:$B$8,MATCH($G582,'CAT_PUESTOS'!$A$4:$A$8,0)),"(sin catálogo)"))</f>
        <v/>
      </c>
      <c r="AB582" s="5">
        <f>IF($H582="","",IFERROR(INDEX('CAT_ACTIVIDADES'!$B$4:$B$11,MATCH($H582,'CAT_ACTIVIDADES'!$A$4:$A$11,0)),"(sin catálogo)"))</f>
        <v/>
      </c>
      <c r="AC582" s="20">
        <f>IF($J582="","",TODAY()-$J582)</f>
        <v/>
      </c>
      <c r="AD582" s="20">
        <f>IF($J582="","",IF($J582&lt;=TODAY(),COUNTIFS(cal_fechas,"&gt;="&amp;$J582,cal_fechas,"&lt;"&amp;TODAY(),cal_habil,"sí"),-COUNTIFS(cal_fechas,"&gt;="&amp;TODAY(),cal_fechas,"&lt;"&amp;$J582,cal_habil,"sí")))</f>
        <v/>
      </c>
      <c r="AE582" s="5">
        <f>IF($AD582="","",IF($AD582&lt;0,"FUTURO",IF($AD582&gt;p_dias_backlog_max,"BACKLOG","MES CORRIENTE")))</f>
        <v/>
      </c>
      <c r="AF582" s="5">
        <f>IF($AD582="",FALSE,AND($AD582&gt;p_dias_backlog_min,$AD582&lt;=p_dias_backlog_max))</f>
        <v/>
      </c>
      <c r="AG582" s="4" t="n"/>
      <c r="AH582" s="5">
        <f>IF($AG582="","",IF((IFERROR(INDEX('ASIGNACIONES'!$J$4:$J$451,MATCH($O582&amp;"|"&amp;$S582&amp;"|"&amp;$AG582,'ASIGNACIONES'!$N$4:$N$451,0)),""))=0,"",IFERROR(INDEX('ASIGNACIONES'!$J$4:$J$451,MATCH($O582&amp;"|"&amp;$S582&amp;"|"&amp;$AG582,'ASIGNACIONES'!$N$4:$N$451,0)),"")))</f>
        <v/>
      </c>
      <c r="AI582" s="25">
        <f>IF($AG582="","",SUMIFS('ORDENES'!$M$4:$M$1203,'ORDENES'!$AG$4:$AG$1203,$AG582,'ORDENES'!$O$4:$O$1203,$O582,'ORDENES'!$S$4:$S$1203,$S582))</f>
        <v/>
      </c>
      <c r="AJ582" s="25">
        <f>IF($AI582="","",p_factor_productividad*IFERROR(INDEX('ASIGNACIONES'!$M$4:$M$451,MATCH($O582&amp;"|"&amp;$S582&amp;"|"&amp;$AG582,'ASIGNACIONES'!$N$4:$N$451,0)),0)-$AI582)</f>
        <v/>
      </c>
      <c r="AK582" s="18">
        <f>IF($A582="","",IFERROR(INDEX('2_IMPORTAR_EJECUCION'!$F$9:$F$1208,MATCH($AT582,'2_IMPORTAR_EJECUCION'!$J$9:$J$1208,0)),0))</f>
        <v/>
      </c>
      <c r="AL582" s="18">
        <f>IF($A582="","",MAX(0,IFERROR(INDEX('2_IMPORTAR_EJECUCION'!$H$9:$H$1208,MATCH($AT582,'2_IMPORTAR_EJECUCION'!$J$9:$J$1208,0)),0)-$AK582))</f>
        <v/>
      </c>
      <c r="AM582" s="18">
        <f>IF($A582="","",$AK582+$AL582)</f>
        <v/>
      </c>
      <c r="AN582" s="5">
        <f>IF($A582="","",IF(OR((IFERROR(INDEX('CAT_ACTIVIDADES'!$D$4:$D$11,MATCH($H582,'CAT_ACTIVIDADES'!$A$4:$A$11,0)),""))=0,(IFERROR(INDEX('CAT_ACTIVIDADES'!$D$4:$D$11,MATCH($H582,'CAT_ACTIVIDADES'!$A$4:$A$11,0)),""))=""),"SIN CLASIFICAR",IFERROR(INDEX('CAT_ACTIVIDADES'!$D$4:$D$11,MATCH($H582,'CAT_ACTIVIDADES'!$A$4:$A$11,0)),"")))</f>
        <v/>
      </c>
      <c r="AO582" s="4" t="n"/>
      <c r="AP582" s="4" t="n"/>
      <c r="AQ582" s="4" t="n"/>
      <c r="AR582" s="5">
        <f>IF($AQ582="","",HYPERLINK(p_ruta_base_checklists&amp;$AQ582,"abrir"))</f>
        <v/>
      </c>
      <c r="AS582" s="4" t="n"/>
      <c r="AT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2" t="n"/>
      <c r="K583" s="5" t="n"/>
      <c r="L583" s="18" t="n"/>
      <c r="M583" s="5">
        <f>IF($A583="","",IFERROR(INDEX('AJUSTES'!$B$4:$B$303,MATCH($AT583,'AJUSTES'!$A$4:$A$303,0)),IF($K583="","",$K583)))</f>
        <v/>
      </c>
      <c r="N583" s="5">
        <f>IF($A583="","",IFERROR(INDEX('CAT_ESTADOS_ERP'!$B$4:$B$7,MATCH(IFERROR(INDEX('2_IMPORTAR_EJECUCION'!$C$9:$C$1208,MATCH($AT583,'2_IMPORTAR_EJECUCION'!$J$9:$J$1208,0)),""),'CAT_ESTADOS_ERP'!$A$4:$A$7,0)),"Pendiente"))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IF($J583="","",$P583&amp;"-"&amp;TEXT($Q583,"00"))</f>
        <v/>
      </c>
      <c r="S583" s="5">
        <f>IF($J583="","",INDEX(lista_dias,WEEKDAY($J583,2)))</f>
        <v/>
      </c>
      <c r="T583" s="5">
        <f>IF($J583="","",IFERROR(INDEX('CALENDARIO'!$C$15:$C$214,MATCH(TEXT($J583,"yyyy-mm-dd")&amp;"|"&amp;$X583&amp;"|"&amp;$Y583,'CALENDARIO'!$G$15:$G$214,0)),IFERROR(INDEX('CALENDARIO'!$C$15:$C$214,MATCH(TEXT($J583,"yyyy-mm-dd")&amp;"|"&amp;$X583&amp;"|",'CALENDARIO'!$G$15:$G$214,0)),IFERROR(INDEX('CALENDARIO'!$C$15:$C$214,MATCH(TEXT($J583,"yyyy-mm-dd")&amp;"||",'CALENDARIO'!$G$15:$G$214,0)),INDEX(patronHabil,WEEKDAY($J583,2))))))</f>
        <v/>
      </c>
      <c r="U583" s="5">
        <f>IF($I583="","",IFERROR(INDEX('CAT_TIPOS_OT'!$C$4:$C$8,MATCH($I583,'CAT_TIPOS_OT'!$A$4:$A$8,0)),"sin_clasificar"))</f>
        <v/>
      </c>
      <c r="V583" s="5">
        <f>IF($I583="","",IF(IFERROR(INDEX('CAT_TIPOS_OT'!$D$4:$D$8,MATCH($I583,'CAT_TIPOS_OT'!$A$4:$A$8,0)),"SIN CLASIFICAR")="","SIN CLASIFICAR",IFERROR(INDEX('CAT_TIPOS_OT'!$D$4:$D$8,MATCH($I583,'CAT_TIPOS_OT'!$A$4:$A$8,0)),"SIN CLASIFICAR")))</f>
        <v/>
      </c>
      <c r="W583" s="5">
        <f>IF($F583="","",IFERROR(INDEX('CAT_CENTROS_COSTO'!$F$4:$F$13,MATCH($F583,'CAT_CENTROS_COSTO'!$A$4:$A$13,0)),"(sin catálogo)"))</f>
        <v/>
      </c>
      <c r="X583" s="5">
        <f>IF($F583="","",IFERROR(INDEX('CAT_CENTROS_COSTO'!$D$4:$D$13,MATCH($F583,'CAT_CENTROS_COSTO'!$A$4:$A$13,0)),"(sin catálogo)"))</f>
        <v/>
      </c>
      <c r="Y583" s="5">
        <f>IF($F583="","",IF((IFERROR(INDEX('CAT_CENTROS_COSTO'!$E$4:$E$13,MATCH($F583,'CAT_CENTROS_COSTO'!$A$4:$A$13,0)),""))&lt;&gt;"",IFERROR(INDEX('CAT_CENTROS_COSTO'!$E$4:$E$13,MATCH($F583,'CAT_CENTROS_COSTO'!$A$4:$A$13,0)),""),$X583))</f>
        <v/>
      </c>
      <c r="Z583" s="5">
        <f>IF($F583="","",IFERROR(INDEX('CAT_CENTROS_COSTO'!$G$4:$G$13,MATCH($F583,'CAT_CENTROS_COSTO'!$A$4:$A$13,0)),"(sin catálogo)"))</f>
        <v/>
      </c>
      <c r="AA583" s="5">
        <f>IF($G583="","",IFERROR(INDEX('CAT_PUESTOS'!$B$4:$B$8,MATCH($G583,'CAT_PUESTOS'!$A$4:$A$8,0)),"(sin catálogo)"))</f>
        <v/>
      </c>
      <c r="AB583" s="5">
        <f>IF($H583="","",IFERROR(INDEX('CAT_ACTIVIDADES'!$B$4:$B$11,MATCH($H583,'CAT_ACTIVIDADES'!$A$4:$A$11,0)),"(sin catálogo)"))</f>
        <v/>
      </c>
      <c r="AC583" s="20">
        <f>IF($J583="","",TODAY()-$J583)</f>
        <v/>
      </c>
      <c r="AD583" s="20">
        <f>IF($J583="","",IF($J583&lt;=TODAY(),COUNTIFS(cal_fechas,"&gt;="&amp;$J583,cal_fechas,"&lt;"&amp;TODAY(),cal_habil,"sí"),-COUNTIFS(cal_fechas,"&gt;="&amp;TODAY(),cal_fechas,"&lt;"&amp;$J583,cal_habil,"sí")))</f>
        <v/>
      </c>
      <c r="AE583" s="5">
        <f>IF($AD583="","",IF($AD583&lt;0,"FUTURO",IF($AD583&gt;p_dias_backlog_max,"BACKLOG","MES CORRIENTE")))</f>
        <v/>
      </c>
      <c r="AF583" s="5">
        <f>IF($AD583="",FALSE,AND($AD583&gt;p_dias_backlog_min,$AD583&lt;=p_dias_backlog_max))</f>
        <v/>
      </c>
      <c r="AG583" s="4" t="n"/>
      <c r="AH583" s="5">
        <f>IF($AG583="","",IF((IFERROR(INDEX('ASIGNACIONES'!$J$4:$J$451,MATCH($O583&amp;"|"&amp;$S583&amp;"|"&amp;$AG583,'ASIGNACIONES'!$N$4:$N$451,0)),""))=0,"",IFERROR(INDEX('ASIGNACIONES'!$J$4:$J$451,MATCH($O583&amp;"|"&amp;$S583&amp;"|"&amp;$AG583,'ASIGNACIONES'!$N$4:$N$451,0)),"")))</f>
        <v/>
      </c>
      <c r="AI583" s="25">
        <f>IF($AG583="","",SUMIFS('ORDENES'!$M$4:$M$1203,'ORDENES'!$AG$4:$AG$1203,$AG583,'ORDENES'!$O$4:$O$1203,$O583,'ORDENES'!$S$4:$S$1203,$S583))</f>
        <v/>
      </c>
      <c r="AJ583" s="25">
        <f>IF($AI583="","",p_factor_productividad*IFERROR(INDEX('ASIGNACIONES'!$M$4:$M$451,MATCH($O583&amp;"|"&amp;$S583&amp;"|"&amp;$AG583,'ASIGNACIONES'!$N$4:$N$451,0)),0)-$AI583)</f>
        <v/>
      </c>
      <c r="AK583" s="18">
        <f>IF($A583="","",IFERROR(INDEX('2_IMPORTAR_EJECUCION'!$F$9:$F$1208,MATCH($AT583,'2_IMPORTAR_EJECUCION'!$J$9:$J$1208,0)),0))</f>
        <v/>
      </c>
      <c r="AL583" s="18">
        <f>IF($A583="","",MAX(0,IFERROR(INDEX('2_IMPORTAR_EJECUCION'!$H$9:$H$1208,MATCH($AT583,'2_IMPORTAR_EJECUCION'!$J$9:$J$1208,0)),0)-$AK583))</f>
        <v/>
      </c>
      <c r="AM583" s="18">
        <f>IF($A583="","",$AK583+$AL583)</f>
        <v/>
      </c>
      <c r="AN583" s="5">
        <f>IF($A583="","",IF(OR((IFERROR(INDEX('CAT_ACTIVIDADES'!$D$4:$D$11,MATCH($H583,'CAT_ACTIVIDADES'!$A$4:$A$11,0)),""))=0,(IFERROR(INDEX('CAT_ACTIVIDADES'!$D$4:$D$11,MATCH($H583,'CAT_ACTIVIDADES'!$A$4:$A$11,0)),""))=""),"SIN CLASIFICAR",IFERROR(INDEX('CAT_ACTIVIDADES'!$D$4:$D$11,MATCH($H583,'CAT_ACTIVIDADES'!$A$4:$A$11,0)),"")))</f>
        <v/>
      </c>
      <c r="AO583" s="4" t="n"/>
      <c r="AP583" s="4" t="n"/>
      <c r="AQ583" s="4" t="n"/>
      <c r="AR583" s="5">
        <f>IF($AQ583="","",HYPERLINK(p_ruta_base_checklists&amp;$AQ583,"abrir"))</f>
        <v/>
      </c>
      <c r="AS583" s="4" t="n"/>
      <c r="AT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2" t="n"/>
      <c r="K584" s="5" t="n"/>
      <c r="L584" s="18" t="n"/>
      <c r="M584" s="5">
        <f>IF($A584="","",IFERROR(INDEX('AJUSTES'!$B$4:$B$303,MATCH($AT584,'AJUSTES'!$A$4:$A$303,0)),IF($K584="","",$K584)))</f>
        <v/>
      </c>
      <c r="N584" s="5">
        <f>IF($A584="","",IFERROR(INDEX('CAT_ESTADOS_ERP'!$B$4:$B$7,MATCH(IFERROR(INDEX('2_IMPORTAR_EJECUCION'!$C$9:$C$1208,MATCH($AT584,'2_IMPORTAR_EJECUCION'!$J$9:$J$1208,0)),""),'CAT_ESTADOS_ERP'!$A$4:$A$7,0)),"Pendiente"))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IF($J584="","",$P584&amp;"-"&amp;TEXT($Q584,"00"))</f>
        <v/>
      </c>
      <c r="S584" s="5">
        <f>IF($J584="","",INDEX(lista_dias,WEEKDAY($J584,2)))</f>
        <v/>
      </c>
      <c r="T584" s="5">
        <f>IF($J584="","",IFERROR(INDEX('CALENDARIO'!$C$15:$C$214,MATCH(TEXT($J584,"yyyy-mm-dd")&amp;"|"&amp;$X584&amp;"|"&amp;$Y584,'CALENDARIO'!$G$15:$G$214,0)),IFERROR(INDEX('CALENDARIO'!$C$15:$C$214,MATCH(TEXT($J584,"yyyy-mm-dd")&amp;"|"&amp;$X584&amp;"|",'CALENDARIO'!$G$15:$G$214,0)),IFERROR(INDEX('CALENDARIO'!$C$15:$C$214,MATCH(TEXT($J584,"yyyy-mm-dd")&amp;"||",'CALENDARIO'!$G$15:$G$214,0)),INDEX(patronHabil,WEEKDAY($J584,2))))))</f>
        <v/>
      </c>
      <c r="U584" s="5">
        <f>IF($I584="","",IFERROR(INDEX('CAT_TIPOS_OT'!$C$4:$C$8,MATCH($I584,'CAT_TIPOS_OT'!$A$4:$A$8,0)),"sin_clasificar"))</f>
        <v/>
      </c>
      <c r="V584" s="5">
        <f>IF($I584="","",IF(IFERROR(INDEX('CAT_TIPOS_OT'!$D$4:$D$8,MATCH($I584,'CAT_TIPOS_OT'!$A$4:$A$8,0)),"SIN CLASIFICAR")="","SIN CLASIFICAR",IFERROR(INDEX('CAT_TIPOS_OT'!$D$4:$D$8,MATCH($I584,'CAT_TIPOS_OT'!$A$4:$A$8,0)),"SIN CLASIFICAR")))</f>
        <v/>
      </c>
      <c r="W584" s="5">
        <f>IF($F584="","",IFERROR(INDEX('CAT_CENTROS_COSTO'!$F$4:$F$13,MATCH($F584,'CAT_CENTROS_COSTO'!$A$4:$A$13,0)),"(sin catálogo)"))</f>
        <v/>
      </c>
      <c r="X584" s="5">
        <f>IF($F584="","",IFERROR(INDEX('CAT_CENTROS_COSTO'!$D$4:$D$13,MATCH($F584,'CAT_CENTROS_COSTO'!$A$4:$A$13,0)),"(sin catálogo)"))</f>
        <v/>
      </c>
      <c r="Y584" s="5">
        <f>IF($F584="","",IF((IFERROR(INDEX('CAT_CENTROS_COSTO'!$E$4:$E$13,MATCH($F584,'CAT_CENTROS_COSTO'!$A$4:$A$13,0)),""))&lt;&gt;"",IFERROR(INDEX('CAT_CENTROS_COSTO'!$E$4:$E$13,MATCH($F584,'CAT_CENTROS_COSTO'!$A$4:$A$13,0)),""),$X584))</f>
        <v/>
      </c>
      <c r="Z584" s="5">
        <f>IF($F584="","",IFERROR(INDEX('CAT_CENTROS_COSTO'!$G$4:$G$13,MATCH($F584,'CAT_CENTROS_COSTO'!$A$4:$A$13,0)),"(sin catálogo)"))</f>
        <v/>
      </c>
      <c r="AA584" s="5">
        <f>IF($G584="","",IFERROR(INDEX('CAT_PUESTOS'!$B$4:$B$8,MATCH($G584,'CAT_PUESTOS'!$A$4:$A$8,0)),"(sin catálogo)"))</f>
        <v/>
      </c>
      <c r="AB584" s="5">
        <f>IF($H584="","",IFERROR(INDEX('CAT_ACTIVIDADES'!$B$4:$B$11,MATCH($H584,'CAT_ACTIVIDADES'!$A$4:$A$11,0)),"(sin catálogo)"))</f>
        <v/>
      </c>
      <c r="AC584" s="20">
        <f>IF($J584="","",TODAY()-$J584)</f>
        <v/>
      </c>
      <c r="AD584" s="20">
        <f>IF($J584="","",IF($J584&lt;=TODAY(),COUNTIFS(cal_fechas,"&gt;="&amp;$J584,cal_fechas,"&lt;"&amp;TODAY(),cal_habil,"sí"),-COUNTIFS(cal_fechas,"&gt;="&amp;TODAY(),cal_fechas,"&lt;"&amp;$J584,cal_habil,"sí")))</f>
        <v/>
      </c>
      <c r="AE584" s="5">
        <f>IF($AD584="","",IF($AD584&lt;0,"FUTURO",IF($AD584&gt;p_dias_backlog_max,"BACKLOG","MES CORRIENTE")))</f>
        <v/>
      </c>
      <c r="AF584" s="5">
        <f>IF($AD584="",FALSE,AND($AD584&gt;p_dias_backlog_min,$AD584&lt;=p_dias_backlog_max))</f>
        <v/>
      </c>
      <c r="AG584" s="4" t="n"/>
      <c r="AH584" s="5">
        <f>IF($AG584="","",IF((IFERROR(INDEX('ASIGNACIONES'!$J$4:$J$451,MATCH($O584&amp;"|"&amp;$S584&amp;"|"&amp;$AG584,'ASIGNACIONES'!$N$4:$N$451,0)),""))=0,"",IFERROR(INDEX('ASIGNACIONES'!$J$4:$J$451,MATCH($O584&amp;"|"&amp;$S584&amp;"|"&amp;$AG584,'ASIGNACIONES'!$N$4:$N$451,0)),"")))</f>
        <v/>
      </c>
      <c r="AI584" s="25">
        <f>IF($AG584="","",SUMIFS('ORDENES'!$M$4:$M$1203,'ORDENES'!$AG$4:$AG$1203,$AG584,'ORDENES'!$O$4:$O$1203,$O584,'ORDENES'!$S$4:$S$1203,$S584))</f>
        <v/>
      </c>
      <c r="AJ584" s="25">
        <f>IF($AI584="","",p_factor_productividad*IFERROR(INDEX('ASIGNACIONES'!$M$4:$M$451,MATCH($O584&amp;"|"&amp;$S584&amp;"|"&amp;$AG584,'ASIGNACIONES'!$N$4:$N$451,0)),0)-$AI584)</f>
        <v/>
      </c>
      <c r="AK584" s="18">
        <f>IF($A584="","",IFERROR(INDEX('2_IMPORTAR_EJECUCION'!$F$9:$F$1208,MATCH($AT584,'2_IMPORTAR_EJECUCION'!$J$9:$J$1208,0)),0))</f>
        <v/>
      </c>
      <c r="AL584" s="18">
        <f>IF($A584="","",MAX(0,IFERROR(INDEX('2_IMPORTAR_EJECUCION'!$H$9:$H$1208,MATCH($AT584,'2_IMPORTAR_EJECUCION'!$J$9:$J$1208,0)),0)-$AK584))</f>
        <v/>
      </c>
      <c r="AM584" s="18">
        <f>IF($A584="","",$AK584+$AL584)</f>
        <v/>
      </c>
      <c r="AN584" s="5">
        <f>IF($A584="","",IF(OR((IFERROR(INDEX('CAT_ACTIVIDADES'!$D$4:$D$11,MATCH($H584,'CAT_ACTIVIDADES'!$A$4:$A$11,0)),""))=0,(IFERROR(INDEX('CAT_ACTIVIDADES'!$D$4:$D$11,MATCH($H584,'CAT_ACTIVIDADES'!$A$4:$A$11,0)),""))=""),"SIN CLASIFICAR",IFERROR(INDEX('CAT_ACTIVIDADES'!$D$4:$D$11,MATCH($H584,'CAT_ACTIVIDADES'!$A$4:$A$11,0)),"")))</f>
        <v/>
      </c>
      <c r="AO584" s="4" t="n"/>
      <c r="AP584" s="4" t="n"/>
      <c r="AQ584" s="4" t="n"/>
      <c r="AR584" s="5">
        <f>IF($AQ584="","",HYPERLINK(p_ruta_base_checklists&amp;$AQ584,"abrir"))</f>
        <v/>
      </c>
      <c r="AS584" s="4" t="n"/>
      <c r="AT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2" t="n"/>
      <c r="K585" s="5" t="n"/>
      <c r="L585" s="18" t="n"/>
      <c r="M585" s="5">
        <f>IF($A585="","",IFERROR(INDEX('AJUSTES'!$B$4:$B$303,MATCH($AT585,'AJUSTES'!$A$4:$A$303,0)),IF($K585="","",$K585)))</f>
        <v/>
      </c>
      <c r="N585" s="5">
        <f>IF($A585="","",IFERROR(INDEX('CAT_ESTADOS_ERP'!$B$4:$B$7,MATCH(IFERROR(INDEX('2_IMPORTAR_EJECUCION'!$C$9:$C$1208,MATCH($AT585,'2_IMPORTAR_EJECUCION'!$J$9:$J$1208,0)),""),'CAT_ESTADOS_ERP'!$A$4:$A$7,0)),"Pendiente"))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IF($J585="","",$P585&amp;"-"&amp;TEXT($Q585,"00"))</f>
        <v/>
      </c>
      <c r="S585" s="5">
        <f>IF($J585="","",INDEX(lista_dias,WEEKDAY($J585,2)))</f>
        <v/>
      </c>
      <c r="T585" s="5">
        <f>IF($J585="","",IFERROR(INDEX('CALENDARIO'!$C$15:$C$214,MATCH(TEXT($J585,"yyyy-mm-dd")&amp;"|"&amp;$X585&amp;"|"&amp;$Y585,'CALENDARIO'!$G$15:$G$214,0)),IFERROR(INDEX('CALENDARIO'!$C$15:$C$214,MATCH(TEXT($J585,"yyyy-mm-dd")&amp;"|"&amp;$X585&amp;"|",'CALENDARIO'!$G$15:$G$214,0)),IFERROR(INDEX('CALENDARIO'!$C$15:$C$214,MATCH(TEXT($J585,"yyyy-mm-dd")&amp;"||",'CALENDARIO'!$G$15:$G$214,0)),INDEX(patronHabil,WEEKDAY($J585,2))))))</f>
        <v/>
      </c>
      <c r="U585" s="5">
        <f>IF($I585="","",IFERROR(INDEX('CAT_TIPOS_OT'!$C$4:$C$8,MATCH($I585,'CAT_TIPOS_OT'!$A$4:$A$8,0)),"sin_clasificar"))</f>
        <v/>
      </c>
      <c r="V585" s="5">
        <f>IF($I585="","",IF(IFERROR(INDEX('CAT_TIPOS_OT'!$D$4:$D$8,MATCH($I585,'CAT_TIPOS_OT'!$A$4:$A$8,0)),"SIN CLASIFICAR")="","SIN CLASIFICAR",IFERROR(INDEX('CAT_TIPOS_OT'!$D$4:$D$8,MATCH($I585,'CAT_TIPOS_OT'!$A$4:$A$8,0)),"SIN CLASIFICAR")))</f>
        <v/>
      </c>
      <c r="W585" s="5">
        <f>IF($F585="","",IFERROR(INDEX('CAT_CENTROS_COSTO'!$F$4:$F$13,MATCH($F585,'CAT_CENTROS_COSTO'!$A$4:$A$13,0)),"(sin catálogo)"))</f>
        <v/>
      </c>
      <c r="X585" s="5">
        <f>IF($F585="","",IFERROR(INDEX('CAT_CENTROS_COSTO'!$D$4:$D$13,MATCH($F585,'CAT_CENTROS_COSTO'!$A$4:$A$13,0)),"(sin catálogo)"))</f>
        <v/>
      </c>
      <c r="Y585" s="5">
        <f>IF($F585="","",IF((IFERROR(INDEX('CAT_CENTROS_COSTO'!$E$4:$E$13,MATCH($F585,'CAT_CENTROS_COSTO'!$A$4:$A$13,0)),""))&lt;&gt;"",IFERROR(INDEX('CAT_CENTROS_COSTO'!$E$4:$E$13,MATCH($F585,'CAT_CENTROS_COSTO'!$A$4:$A$13,0)),""),$X585))</f>
        <v/>
      </c>
      <c r="Z585" s="5">
        <f>IF($F585="","",IFERROR(INDEX('CAT_CENTROS_COSTO'!$G$4:$G$13,MATCH($F585,'CAT_CENTROS_COSTO'!$A$4:$A$13,0)),"(sin catálogo)"))</f>
        <v/>
      </c>
      <c r="AA585" s="5">
        <f>IF($G585="","",IFERROR(INDEX('CAT_PUESTOS'!$B$4:$B$8,MATCH($G585,'CAT_PUESTOS'!$A$4:$A$8,0)),"(sin catálogo)"))</f>
        <v/>
      </c>
      <c r="AB585" s="5">
        <f>IF($H585="","",IFERROR(INDEX('CAT_ACTIVIDADES'!$B$4:$B$11,MATCH($H585,'CAT_ACTIVIDADES'!$A$4:$A$11,0)),"(sin catálogo)"))</f>
        <v/>
      </c>
      <c r="AC585" s="20">
        <f>IF($J585="","",TODAY()-$J585)</f>
        <v/>
      </c>
      <c r="AD585" s="20">
        <f>IF($J585="","",IF($J585&lt;=TODAY(),COUNTIFS(cal_fechas,"&gt;="&amp;$J585,cal_fechas,"&lt;"&amp;TODAY(),cal_habil,"sí"),-COUNTIFS(cal_fechas,"&gt;="&amp;TODAY(),cal_fechas,"&lt;"&amp;$J585,cal_habil,"sí")))</f>
        <v/>
      </c>
      <c r="AE585" s="5">
        <f>IF($AD585="","",IF($AD585&lt;0,"FUTURO",IF($AD585&gt;p_dias_backlog_max,"BACKLOG","MES CORRIENTE")))</f>
        <v/>
      </c>
      <c r="AF585" s="5">
        <f>IF($AD585="",FALSE,AND($AD585&gt;p_dias_backlog_min,$AD585&lt;=p_dias_backlog_max))</f>
        <v/>
      </c>
      <c r="AG585" s="4" t="n"/>
      <c r="AH585" s="5">
        <f>IF($AG585="","",IF((IFERROR(INDEX('ASIGNACIONES'!$J$4:$J$451,MATCH($O585&amp;"|"&amp;$S585&amp;"|"&amp;$AG585,'ASIGNACIONES'!$N$4:$N$451,0)),""))=0,"",IFERROR(INDEX('ASIGNACIONES'!$J$4:$J$451,MATCH($O585&amp;"|"&amp;$S585&amp;"|"&amp;$AG585,'ASIGNACIONES'!$N$4:$N$451,0)),"")))</f>
        <v/>
      </c>
      <c r="AI585" s="25">
        <f>IF($AG585="","",SUMIFS('ORDENES'!$M$4:$M$1203,'ORDENES'!$AG$4:$AG$1203,$AG585,'ORDENES'!$O$4:$O$1203,$O585,'ORDENES'!$S$4:$S$1203,$S585))</f>
        <v/>
      </c>
      <c r="AJ585" s="25">
        <f>IF($AI585="","",p_factor_productividad*IFERROR(INDEX('ASIGNACIONES'!$M$4:$M$451,MATCH($O585&amp;"|"&amp;$S585&amp;"|"&amp;$AG585,'ASIGNACIONES'!$N$4:$N$451,0)),0)-$AI585)</f>
        <v/>
      </c>
      <c r="AK585" s="18">
        <f>IF($A585="","",IFERROR(INDEX('2_IMPORTAR_EJECUCION'!$F$9:$F$1208,MATCH($AT585,'2_IMPORTAR_EJECUCION'!$J$9:$J$1208,0)),0))</f>
        <v/>
      </c>
      <c r="AL585" s="18">
        <f>IF($A585="","",MAX(0,IFERROR(INDEX('2_IMPORTAR_EJECUCION'!$H$9:$H$1208,MATCH($AT585,'2_IMPORTAR_EJECUCION'!$J$9:$J$1208,0)),0)-$AK585))</f>
        <v/>
      </c>
      <c r="AM585" s="18">
        <f>IF($A585="","",$AK585+$AL585)</f>
        <v/>
      </c>
      <c r="AN585" s="5">
        <f>IF($A585="","",IF(OR((IFERROR(INDEX('CAT_ACTIVIDADES'!$D$4:$D$11,MATCH($H585,'CAT_ACTIVIDADES'!$A$4:$A$11,0)),""))=0,(IFERROR(INDEX('CAT_ACTIVIDADES'!$D$4:$D$11,MATCH($H585,'CAT_ACTIVIDADES'!$A$4:$A$11,0)),""))=""),"SIN CLASIFICAR",IFERROR(INDEX('CAT_ACTIVIDADES'!$D$4:$D$11,MATCH($H585,'CAT_ACTIVIDADES'!$A$4:$A$11,0)),"")))</f>
        <v/>
      </c>
      <c r="AO585" s="4" t="n"/>
      <c r="AP585" s="4" t="n"/>
      <c r="AQ585" s="4" t="n"/>
      <c r="AR585" s="5">
        <f>IF($AQ585="","",HYPERLINK(p_ruta_base_checklists&amp;$AQ585,"abrir"))</f>
        <v/>
      </c>
      <c r="AS585" s="4" t="n"/>
      <c r="AT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2" t="n"/>
      <c r="K586" s="5" t="n"/>
      <c r="L586" s="18" t="n"/>
      <c r="M586" s="5">
        <f>IF($A586="","",IFERROR(INDEX('AJUSTES'!$B$4:$B$303,MATCH($AT586,'AJUSTES'!$A$4:$A$303,0)),IF($K586="","",$K586)))</f>
        <v/>
      </c>
      <c r="N586" s="5">
        <f>IF($A586="","",IFERROR(INDEX('CAT_ESTADOS_ERP'!$B$4:$B$7,MATCH(IFERROR(INDEX('2_IMPORTAR_EJECUCION'!$C$9:$C$1208,MATCH($AT586,'2_IMPORTAR_EJECUCION'!$J$9:$J$1208,0)),""),'CAT_ESTADOS_ERP'!$A$4:$A$7,0)),"Pendiente"))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IF($J586="","",$P586&amp;"-"&amp;TEXT($Q586,"00"))</f>
        <v/>
      </c>
      <c r="S586" s="5">
        <f>IF($J586="","",INDEX(lista_dias,WEEKDAY($J586,2)))</f>
        <v/>
      </c>
      <c r="T586" s="5">
        <f>IF($J586="","",IFERROR(INDEX('CALENDARIO'!$C$15:$C$214,MATCH(TEXT($J586,"yyyy-mm-dd")&amp;"|"&amp;$X586&amp;"|"&amp;$Y586,'CALENDARIO'!$G$15:$G$214,0)),IFERROR(INDEX('CALENDARIO'!$C$15:$C$214,MATCH(TEXT($J586,"yyyy-mm-dd")&amp;"|"&amp;$X586&amp;"|",'CALENDARIO'!$G$15:$G$214,0)),IFERROR(INDEX('CALENDARIO'!$C$15:$C$214,MATCH(TEXT($J586,"yyyy-mm-dd")&amp;"||",'CALENDARIO'!$G$15:$G$214,0)),INDEX(patronHabil,WEEKDAY($J586,2))))))</f>
        <v/>
      </c>
      <c r="U586" s="5">
        <f>IF($I586="","",IFERROR(INDEX('CAT_TIPOS_OT'!$C$4:$C$8,MATCH($I586,'CAT_TIPOS_OT'!$A$4:$A$8,0)),"sin_clasificar"))</f>
        <v/>
      </c>
      <c r="V586" s="5">
        <f>IF($I586="","",IF(IFERROR(INDEX('CAT_TIPOS_OT'!$D$4:$D$8,MATCH($I586,'CAT_TIPOS_OT'!$A$4:$A$8,0)),"SIN CLASIFICAR")="","SIN CLASIFICAR",IFERROR(INDEX('CAT_TIPOS_OT'!$D$4:$D$8,MATCH($I586,'CAT_TIPOS_OT'!$A$4:$A$8,0)),"SIN CLASIFICAR")))</f>
        <v/>
      </c>
      <c r="W586" s="5">
        <f>IF($F586="","",IFERROR(INDEX('CAT_CENTROS_COSTO'!$F$4:$F$13,MATCH($F586,'CAT_CENTROS_COSTO'!$A$4:$A$13,0)),"(sin catálogo)"))</f>
        <v/>
      </c>
      <c r="X586" s="5">
        <f>IF($F586="","",IFERROR(INDEX('CAT_CENTROS_COSTO'!$D$4:$D$13,MATCH($F586,'CAT_CENTROS_COSTO'!$A$4:$A$13,0)),"(sin catálogo)"))</f>
        <v/>
      </c>
      <c r="Y586" s="5">
        <f>IF($F586="","",IF((IFERROR(INDEX('CAT_CENTROS_COSTO'!$E$4:$E$13,MATCH($F586,'CAT_CENTROS_COSTO'!$A$4:$A$13,0)),""))&lt;&gt;"",IFERROR(INDEX('CAT_CENTROS_COSTO'!$E$4:$E$13,MATCH($F586,'CAT_CENTROS_COSTO'!$A$4:$A$13,0)),""),$X586))</f>
        <v/>
      </c>
      <c r="Z586" s="5">
        <f>IF($F586="","",IFERROR(INDEX('CAT_CENTROS_COSTO'!$G$4:$G$13,MATCH($F586,'CAT_CENTROS_COSTO'!$A$4:$A$13,0)),"(sin catálogo)"))</f>
        <v/>
      </c>
      <c r="AA586" s="5">
        <f>IF($G586="","",IFERROR(INDEX('CAT_PUESTOS'!$B$4:$B$8,MATCH($G586,'CAT_PUESTOS'!$A$4:$A$8,0)),"(sin catálogo)"))</f>
        <v/>
      </c>
      <c r="AB586" s="5">
        <f>IF($H586="","",IFERROR(INDEX('CAT_ACTIVIDADES'!$B$4:$B$11,MATCH($H586,'CAT_ACTIVIDADES'!$A$4:$A$11,0)),"(sin catálogo)"))</f>
        <v/>
      </c>
      <c r="AC586" s="20">
        <f>IF($J586="","",TODAY()-$J586)</f>
        <v/>
      </c>
      <c r="AD586" s="20">
        <f>IF($J586="","",IF($J586&lt;=TODAY(),COUNTIFS(cal_fechas,"&gt;="&amp;$J586,cal_fechas,"&lt;"&amp;TODAY(),cal_habil,"sí"),-COUNTIFS(cal_fechas,"&gt;="&amp;TODAY(),cal_fechas,"&lt;"&amp;$J586,cal_habil,"sí")))</f>
        <v/>
      </c>
      <c r="AE586" s="5">
        <f>IF($AD586="","",IF($AD586&lt;0,"FUTURO",IF($AD586&gt;p_dias_backlog_max,"BACKLOG","MES CORRIENTE")))</f>
        <v/>
      </c>
      <c r="AF586" s="5">
        <f>IF($AD586="",FALSE,AND($AD586&gt;p_dias_backlog_min,$AD586&lt;=p_dias_backlog_max))</f>
        <v/>
      </c>
      <c r="AG586" s="4" t="n"/>
      <c r="AH586" s="5">
        <f>IF($AG586="","",IF((IFERROR(INDEX('ASIGNACIONES'!$J$4:$J$451,MATCH($O586&amp;"|"&amp;$S586&amp;"|"&amp;$AG586,'ASIGNACIONES'!$N$4:$N$451,0)),""))=0,"",IFERROR(INDEX('ASIGNACIONES'!$J$4:$J$451,MATCH($O586&amp;"|"&amp;$S586&amp;"|"&amp;$AG586,'ASIGNACIONES'!$N$4:$N$451,0)),"")))</f>
        <v/>
      </c>
      <c r="AI586" s="25">
        <f>IF($AG586="","",SUMIFS('ORDENES'!$M$4:$M$1203,'ORDENES'!$AG$4:$AG$1203,$AG586,'ORDENES'!$O$4:$O$1203,$O586,'ORDENES'!$S$4:$S$1203,$S586))</f>
        <v/>
      </c>
      <c r="AJ586" s="25">
        <f>IF($AI586="","",p_factor_productividad*IFERROR(INDEX('ASIGNACIONES'!$M$4:$M$451,MATCH($O586&amp;"|"&amp;$S586&amp;"|"&amp;$AG586,'ASIGNACIONES'!$N$4:$N$451,0)),0)-$AI586)</f>
        <v/>
      </c>
      <c r="AK586" s="18">
        <f>IF($A586="","",IFERROR(INDEX('2_IMPORTAR_EJECUCION'!$F$9:$F$1208,MATCH($AT586,'2_IMPORTAR_EJECUCION'!$J$9:$J$1208,0)),0))</f>
        <v/>
      </c>
      <c r="AL586" s="18">
        <f>IF($A586="","",MAX(0,IFERROR(INDEX('2_IMPORTAR_EJECUCION'!$H$9:$H$1208,MATCH($AT586,'2_IMPORTAR_EJECUCION'!$J$9:$J$1208,0)),0)-$AK586))</f>
        <v/>
      </c>
      <c r="AM586" s="18">
        <f>IF($A586="","",$AK586+$AL586)</f>
        <v/>
      </c>
      <c r="AN586" s="5">
        <f>IF($A586="","",IF(OR((IFERROR(INDEX('CAT_ACTIVIDADES'!$D$4:$D$11,MATCH($H586,'CAT_ACTIVIDADES'!$A$4:$A$11,0)),""))=0,(IFERROR(INDEX('CAT_ACTIVIDADES'!$D$4:$D$11,MATCH($H586,'CAT_ACTIVIDADES'!$A$4:$A$11,0)),""))=""),"SIN CLASIFICAR",IFERROR(INDEX('CAT_ACTIVIDADES'!$D$4:$D$11,MATCH($H586,'CAT_ACTIVIDADES'!$A$4:$A$11,0)),"")))</f>
        <v/>
      </c>
      <c r="AO586" s="4" t="n"/>
      <c r="AP586" s="4" t="n"/>
      <c r="AQ586" s="4" t="n"/>
      <c r="AR586" s="5">
        <f>IF($AQ586="","",HYPERLINK(p_ruta_base_checklists&amp;$AQ586,"abrir"))</f>
        <v/>
      </c>
      <c r="AS586" s="4" t="n"/>
      <c r="AT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2" t="n"/>
      <c r="K587" s="5" t="n"/>
      <c r="L587" s="18" t="n"/>
      <c r="M587" s="5">
        <f>IF($A587="","",IFERROR(INDEX('AJUSTES'!$B$4:$B$303,MATCH($AT587,'AJUSTES'!$A$4:$A$303,0)),IF($K587="","",$K587)))</f>
        <v/>
      </c>
      <c r="N587" s="5">
        <f>IF($A587="","",IFERROR(INDEX('CAT_ESTADOS_ERP'!$B$4:$B$7,MATCH(IFERROR(INDEX('2_IMPORTAR_EJECUCION'!$C$9:$C$1208,MATCH($AT587,'2_IMPORTAR_EJECUCION'!$J$9:$J$1208,0)),""),'CAT_ESTADOS_ERP'!$A$4:$A$7,0)),"Pendiente"))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IF($J587="","",$P587&amp;"-"&amp;TEXT($Q587,"00"))</f>
        <v/>
      </c>
      <c r="S587" s="5">
        <f>IF($J587="","",INDEX(lista_dias,WEEKDAY($J587,2)))</f>
        <v/>
      </c>
      <c r="T587" s="5">
        <f>IF($J587="","",IFERROR(INDEX('CALENDARIO'!$C$15:$C$214,MATCH(TEXT($J587,"yyyy-mm-dd")&amp;"|"&amp;$X587&amp;"|"&amp;$Y587,'CALENDARIO'!$G$15:$G$214,0)),IFERROR(INDEX('CALENDARIO'!$C$15:$C$214,MATCH(TEXT($J587,"yyyy-mm-dd")&amp;"|"&amp;$X587&amp;"|",'CALENDARIO'!$G$15:$G$214,0)),IFERROR(INDEX('CALENDARIO'!$C$15:$C$214,MATCH(TEXT($J587,"yyyy-mm-dd")&amp;"||",'CALENDARIO'!$G$15:$G$214,0)),INDEX(patronHabil,WEEKDAY($J587,2))))))</f>
        <v/>
      </c>
      <c r="U587" s="5">
        <f>IF($I587="","",IFERROR(INDEX('CAT_TIPOS_OT'!$C$4:$C$8,MATCH($I587,'CAT_TIPOS_OT'!$A$4:$A$8,0)),"sin_clasificar"))</f>
        <v/>
      </c>
      <c r="V587" s="5">
        <f>IF($I587="","",IF(IFERROR(INDEX('CAT_TIPOS_OT'!$D$4:$D$8,MATCH($I587,'CAT_TIPOS_OT'!$A$4:$A$8,0)),"SIN CLASIFICAR")="","SIN CLASIFICAR",IFERROR(INDEX('CAT_TIPOS_OT'!$D$4:$D$8,MATCH($I587,'CAT_TIPOS_OT'!$A$4:$A$8,0)),"SIN CLASIFICAR")))</f>
        <v/>
      </c>
      <c r="W587" s="5">
        <f>IF($F587="","",IFERROR(INDEX('CAT_CENTROS_COSTO'!$F$4:$F$13,MATCH($F587,'CAT_CENTROS_COSTO'!$A$4:$A$13,0)),"(sin catálogo)"))</f>
        <v/>
      </c>
      <c r="X587" s="5">
        <f>IF($F587="","",IFERROR(INDEX('CAT_CENTROS_COSTO'!$D$4:$D$13,MATCH($F587,'CAT_CENTROS_COSTO'!$A$4:$A$13,0)),"(sin catálogo)"))</f>
        <v/>
      </c>
      <c r="Y587" s="5">
        <f>IF($F587="","",IF((IFERROR(INDEX('CAT_CENTROS_COSTO'!$E$4:$E$13,MATCH($F587,'CAT_CENTROS_COSTO'!$A$4:$A$13,0)),""))&lt;&gt;"",IFERROR(INDEX('CAT_CENTROS_COSTO'!$E$4:$E$13,MATCH($F587,'CAT_CENTROS_COSTO'!$A$4:$A$13,0)),""),$X587))</f>
        <v/>
      </c>
      <c r="Z587" s="5">
        <f>IF($F587="","",IFERROR(INDEX('CAT_CENTROS_COSTO'!$G$4:$G$13,MATCH($F587,'CAT_CENTROS_COSTO'!$A$4:$A$13,0)),"(sin catálogo)"))</f>
        <v/>
      </c>
      <c r="AA587" s="5">
        <f>IF($G587="","",IFERROR(INDEX('CAT_PUESTOS'!$B$4:$B$8,MATCH($G587,'CAT_PUESTOS'!$A$4:$A$8,0)),"(sin catálogo)"))</f>
        <v/>
      </c>
      <c r="AB587" s="5">
        <f>IF($H587="","",IFERROR(INDEX('CAT_ACTIVIDADES'!$B$4:$B$11,MATCH($H587,'CAT_ACTIVIDADES'!$A$4:$A$11,0)),"(sin catálogo)"))</f>
        <v/>
      </c>
      <c r="AC587" s="20">
        <f>IF($J587="","",TODAY()-$J587)</f>
        <v/>
      </c>
      <c r="AD587" s="20">
        <f>IF($J587="","",IF($J587&lt;=TODAY(),COUNTIFS(cal_fechas,"&gt;="&amp;$J587,cal_fechas,"&lt;"&amp;TODAY(),cal_habil,"sí"),-COUNTIFS(cal_fechas,"&gt;="&amp;TODAY(),cal_fechas,"&lt;"&amp;$J587,cal_habil,"sí")))</f>
        <v/>
      </c>
      <c r="AE587" s="5">
        <f>IF($AD587="","",IF($AD587&lt;0,"FUTURO",IF($AD587&gt;p_dias_backlog_max,"BACKLOG","MES CORRIENTE")))</f>
        <v/>
      </c>
      <c r="AF587" s="5">
        <f>IF($AD587="",FALSE,AND($AD587&gt;p_dias_backlog_min,$AD587&lt;=p_dias_backlog_max))</f>
        <v/>
      </c>
      <c r="AG587" s="4" t="n"/>
      <c r="AH587" s="5">
        <f>IF($AG587="","",IF((IFERROR(INDEX('ASIGNACIONES'!$J$4:$J$451,MATCH($O587&amp;"|"&amp;$S587&amp;"|"&amp;$AG587,'ASIGNACIONES'!$N$4:$N$451,0)),""))=0,"",IFERROR(INDEX('ASIGNACIONES'!$J$4:$J$451,MATCH($O587&amp;"|"&amp;$S587&amp;"|"&amp;$AG587,'ASIGNACIONES'!$N$4:$N$451,0)),"")))</f>
        <v/>
      </c>
      <c r="AI587" s="25">
        <f>IF($AG587="","",SUMIFS('ORDENES'!$M$4:$M$1203,'ORDENES'!$AG$4:$AG$1203,$AG587,'ORDENES'!$O$4:$O$1203,$O587,'ORDENES'!$S$4:$S$1203,$S587))</f>
        <v/>
      </c>
      <c r="AJ587" s="25">
        <f>IF($AI587="","",p_factor_productividad*IFERROR(INDEX('ASIGNACIONES'!$M$4:$M$451,MATCH($O587&amp;"|"&amp;$S587&amp;"|"&amp;$AG587,'ASIGNACIONES'!$N$4:$N$451,0)),0)-$AI587)</f>
        <v/>
      </c>
      <c r="AK587" s="18">
        <f>IF($A587="","",IFERROR(INDEX('2_IMPORTAR_EJECUCION'!$F$9:$F$1208,MATCH($AT587,'2_IMPORTAR_EJECUCION'!$J$9:$J$1208,0)),0))</f>
        <v/>
      </c>
      <c r="AL587" s="18">
        <f>IF($A587="","",MAX(0,IFERROR(INDEX('2_IMPORTAR_EJECUCION'!$H$9:$H$1208,MATCH($AT587,'2_IMPORTAR_EJECUCION'!$J$9:$J$1208,0)),0)-$AK587))</f>
        <v/>
      </c>
      <c r="AM587" s="18">
        <f>IF($A587="","",$AK587+$AL587)</f>
        <v/>
      </c>
      <c r="AN587" s="5">
        <f>IF($A587="","",IF(OR((IFERROR(INDEX('CAT_ACTIVIDADES'!$D$4:$D$11,MATCH($H587,'CAT_ACTIVIDADES'!$A$4:$A$11,0)),""))=0,(IFERROR(INDEX('CAT_ACTIVIDADES'!$D$4:$D$11,MATCH($H587,'CAT_ACTIVIDADES'!$A$4:$A$11,0)),""))=""),"SIN CLASIFICAR",IFERROR(INDEX('CAT_ACTIVIDADES'!$D$4:$D$11,MATCH($H587,'CAT_ACTIVIDADES'!$A$4:$A$11,0)),"")))</f>
        <v/>
      </c>
      <c r="AO587" s="4" t="n"/>
      <c r="AP587" s="4" t="n"/>
      <c r="AQ587" s="4" t="n"/>
      <c r="AR587" s="5">
        <f>IF($AQ587="","",HYPERLINK(p_ruta_base_checklists&amp;$AQ587,"abrir"))</f>
        <v/>
      </c>
      <c r="AS587" s="4" t="n"/>
      <c r="AT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2" t="n"/>
      <c r="K588" s="5" t="n"/>
      <c r="L588" s="18" t="n"/>
      <c r="M588" s="5">
        <f>IF($A588="","",IFERROR(INDEX('AJUSTES'!$B$4:$B$303,MATCH($AT588,'AJUSTES'!$A$4:$A$303,0)),IF($K588="","",$K588)))</f>
        <v/>
      </c>
      <c r="N588" s="5">
        <f>IF($A588="","",IFERROR(INDEX('CAT_ESTADOS_ERP'!$B$4:$B$7,MATCH(IFERROR(INDEX('2_IMPORTAR_EJECUCION'!$C$9:$C$1208,MATCH($AT588,'2_IMPORTAR_EJECUCION'!$J$9:$J$1208,0)),""),'CAT_ESTADOS_ERP'!$A$4:$A$7,0)),"Pendiente"))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IF($J588="","",$P588&amp;"-"&amp;TEXT($Q588,"00"))</f>
        <v/>
      </c>
      <c r="S588" s="5">
        <f>IF($J588="","",INDEX(lista_dias,WEEKDAY($J588,2)))</f>
        <v/>
      </c>
      <c r="T588" s="5">
        <f>IF($J588="","",IFERROR(INDEX('CALENDARIO'!$C$15:$C$214,MATCH(TEXT($J588,"yyyy-mm-dd")&amp;"|"&amp;$X588&amp;"|"&amp;$Y588,'CALENDARIO'!$G$15:$G$214,0)),IFERROR(INDEX('CALENDARIO'!$C$15:$C$214,MATCH(TEXT($J588,"yyyy-mm-dd")&amp;"|"&amp;$X588&amp;"|",'CALENDARIO'!$G$15:$G$214,0)),IFERROR(INDEX('CALENDARIO'!$C$15:$C$214,MATCH(TEXT($J588,"yyyy-mm-dd")&amp;"||",'CALENDARIO'!$G$15:$G$214,0)),INDEX(patronHabil,WEEKDAY($J588,2))))))</f>
        <v/>
      </c>
      <c r="U588" s="5">
        <f>IF($I588="","",IFERROR(INDEX('CAT_TIPOS_OT'!$C$4:$C$8,MATCH($I588,'CAT_TIPOS_OT'!$A$4:$A$8,0)),"sin_clasificar"))</f>
        <v/>
      </c>
      <c r="V588" s="5">
        <f>IF($I588="","",IF(IFERROR(INDEX('CAT_TIPOS_OT'!$D$4:$D$8,MATCH($I588,'CAT_TIPOS_OT'!$A$4:$A$8,0)),"SIN CLASIFICAR")="","SIN CLASIFICAR",IFERROR(INDEX('CAT_TIPOS_OT'!$D$4:$D$8,MATCH($I588,'CAT_TIPOS_OT'!$A$4:$A$8,0)),"SIN CLASIFICAR")))</f>
        <v/>
      </c>
      <c r="W588" s="5">
        <f>IF($F588="","",IFERROR(INDEX('CAT_CENTROS_COSTO'!$F$4:$F$13,MATCH($F588,'CAT_CENTROS_COSTO'!$A$4:$A$13,0)),"(sin catálogo)"))</f>
        <v/>
      </c>
      <c r="X588" s="5">
        <f>IF($F588="","",IFERROR(INDEX('CAT_CENTROS_COSTO'!$D$4:$D$13,MATCH($F588,'CAT_CENTROS_COSTO'!$A$4:$A$13,0)),"(sin catálogo)"))</f>
        <v/>
      </c>
      <c r="Y588" s="5">
        <f>IF($F588="","",IF((IFERROR(INDEX('CAT_CENTROS_COSTO'!$E$4:$E$13,MATCH($F588,'CAT_CENTROS_COSTO'!$A$4:$A$13,0)),""))&lt;&gt;"",IFERROR(INDEX('CAT_CENTROS_COSTO'!$E$4:$E$13,MATCH($F588,'CAT_CENTROS_COSTO'!$A$4:$A$13,0)),""),$X588))</f>
        <v/>
      </c>
      <c r="Z588" s="5">
        <f>IF($F588="","",IFERROR(INDEX('CAT_CENTROS_COSTO'!$G$4:$G$13,MATCH($F588,'CAT_CENTROS_COSTO'!$A$4:$A$13,0)),"(sin catálogo)"))</f>
        <v/>
      </c>
      <c r="AA588" s="5">
        <f>IF($G588="","",IFERROR(INDEX('CAT_PUESTOS'!$B$4:$B$8,MATCH($G588,'CAT_PUESTOS'!$A$4:$A$8,0)),"(sin catálogo)"))</f>
        <v/>
      </c>
      <c r="AB588" s="5">
        <f>IF($H588="","",IFERROR(INDEX('CAT_ACTIVIDADES'!$B$4:$B$11,MATCH($H588,'CAT_ACTIVIDADES'!$A$4:$A$11,0)),"(sin catálogo)"))</f>
        <v/>
      </c>
      <c r="AC588" s="20">
        <f>IF($J588="","",TODAY()-$J588)</f>
        <v/>
      </c>
      <c r="AD588" s="20">
        <f>IF($J588="","",IF($J588&lt;=TODAY(),COUNTIFS(cal_fechas,"&gt;="&amp;$J588,cal_fechas,"&lt;"&amp;TODAY(),cal_habil,"sí"),-COUNTIFS(cal_fechas,"&gt;="&amp;TODAY(),cal_fechas,"&lt;"&amp;$J588,cal_habil,"sí")))</f>
        <v/>
      </c>
      <c r="AE588" s="5">
        <f>IF($AD588="","",IF($AD588&lt;0,"FUTURO",IF($AD588&gt;p_dias_backlog_max,"BACKLOG","MES CORRIENTE")))</f>
        <v/>
      </c>
      <c r="AF588" s="5">
        <f>IF($AD588="",FALSE,AND($AD588&gt;p_dias_backlog_min,$AD588&lt;=p_dias_backlog_max))</f>
        <v/>
      </c>
      <c r="AG588" s="4" t="n"/>
      <c r="AH588" s="5">
        <f>IF($AG588="","",IF((IFERROR(INDEX('ASIGNACIONES'!$J$4:$J$451,MATCH($O588&amp;"|"&amp;$S588&amp;"|"&amp;$AG588,'ASIGNACIONES'!$N$4:$N$451,0)),""))=0,"",IFERROR(INDEX('ASIGNACIONES'!$J$4:$J$451,MATCH($O588&amp;"|"&amp;$S588&amp;"|"&amp;$AG588,'ASIGNACIONES'!$N$4:$N$451,0)),"")))</f>
        <v/>
      </c>
      <c r="AI588" s="25">
        <f>IF($AG588="","",SUMIFS('ORDENES'!$M$4:$M$1203,'ORDENES'!$AG$4:$AG$1203,$AG588,'ORDENES'!$O$4:$O$1203,$O588,'ORDENES'!$S$4:$S$1203,$S588))</f>
        <v/>
      </c>
      <c r="AJ588" s="25">
        <f>IF($AI588="","",p_factor_productividad*IFERROR(INDEX('ASIGNACIONES'!$M$4:$M$451,MATCH($O588&amp;"|"&amp;$S588&amp;"|"&amp;$AG588,'ASIGNACIONES'!$N$4:$N$451,0)),0)-$AI588)</f>
        <v/>
      </c>
      <c r="AK588" s="18">
        <f>IF($A588="","",IFERROR(INDEX('2_IMPORTAR_EJECUCION'!$F$9:$F$1208,MATCH($AT588,'2_IMPORTAR_EJECUCION'!$J$9:$J$1208,0)),0))</f>
        <v/>
      </c>
      <c r="AL588" s="18">
        <f>IF($A588="","",MAX(0,IFERROR(INDEX('2_IMPORTAR_EJECUCION'!$H$9:$H$1208,MATCH($AT588,'2_IMPORTAR_EJECUCION'!$J$9:$J$1208,0)),0)-$AK588))</f>
        <v/>
      </c>
      <c r="AM588" s="18">
        <f>IF($A588="","",$AK588+$AL588)</f>
        <v/>
      </c>
      <c r="AN588" s="5">
        <f>IF($A588="","",IF(OR((IFERROR(INDEX('CAT_ACTIVIDADES'!$D$4:$D$11,MATCH($H588,'CAT_ACTIVIDADES'!$A$4:$A$11,0)),""))=0,(IFERROR(INDEX('CAT_ACTIVIDADES'!$D$4:$D$11,MATCH($H588,'CAT_ACTIVIDADES'!$A$4:$A$11,0)),""))=""),"SIN CLASIFICAR",IFERROR(INDEX('CAT_ACTIVIDADES'!$D$4:$D$11,MATCH($H588,'CAT_ACTIVIDADES'!$A$4:$A$11,0)),"")))</f>
        <v/>
      </c>
      <c r="AO588" s="4" t="n"/>
      <c r="AP588" s="4" t="n"/>
      <c r="AQ588" s="4" t="n"/>
      <c r="AR588" s="5">
        <f>IF($AQ588="","",HYPERLINK(p_ruta_base_checklists&amp;$AQ588,"abrir"))</f>
        <v/>
      </c>
      <c r="AS588" s="4" t="n"/>
      <c r="AT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2" t="n"/>
      <c r="K589" s="5" t="n"/>
      <c r="L589" s="18" t="n"/>
      <c r="M589" s="5">
        <f>IF($A589="","",IFERROR(INDEX('AJUSTES'!$B$4:$B$303,MATCH($AT589,'AJUSTES'!$A$4:$A$303,0)),IF($K589="","",$K589)))</f>
        <v/>
      </c>
      <c r="N589" s="5">
        <f>IF($A589="","",IFERROR(INDEX('CAT_ESTADOS_ERP'!$B$4:$B$7,MATCH(IFERROR(INDEX('2_IMPORTAR_EJECUCION'!$C$9:$C$1208,MATCH($AT589,'2_IMPORTAR_EJECUCION'!$J$9:$J$1208,0)),""),'CAT_ESTADOS_ERP'!$A$4:$A$7,0)),"Pendiente"))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IF($J589="","",$P589&amp;"-"&amp;TEXT($Q589,"00"))</f>
        <v/>
      </c>
      <c r="S589" s="5">
        <f>IF($J589="","",INDEX(lista_dias,WEEKDAY($J589,2)))</f>
        <v/>
      </c>
      <c r="T589" s="5">
        <f>IF($J589="","",IFERROR(INDEX('CALENDARIO'!$C$15:$C$214,MATCH(TEXT($J589,"yyyy-mm-dd")&amp;"|"&amp;$X589&amp;"|"&amp;$Y589,'CALENDARIO'!$G$15:$G$214,0)),IFERROR(INDEX('CALENDARIO'!$C$15:$C$214,MATCH(TEXT($J589,"yyyy-mm-dd")&amp;"|"&amp;$X589&amp;"|",'CALENDARIO'!$G$15:$G$214,0)),IFERROR(INDEX('CALENDARIO'!$C$15:$C$214,MATCH(TEXT($J589,"yyyy-mm-dd")&amp;"||",'CALENDARIO'!$G$15:$G$214,0)),INDEX(patronHabil,WEEKDAY($J589,2))))))</f>
        <v/>
      </c>
      <c r="U589" s="5">
        <f>IF($I589="","",IFERROR(INDEX('CAT_TIPOS_OT'!$C$4:$C$8,MATCH($I589,'CAT_TIPOS_OT'!$A$4:$A$8,0)),"sin_clasificar"))</f>
        <v/>
      </c>
      <c r="V589" s="5">
        <f>IF($I589="","",IF(IFERROR(INDEX('CAT_TIPOS_OT'!$D$4:$D$8,MATCH($I589,'CAT_TIPOS_OT'!$A$4:$A$8,0)),"SIN CLASIFICAR")="","SIN CLASIFICAR",IFERROR(INDEX('CAT_TIPOS_OT'!$D$4:$D$8,MATCH($I589,'CAT_TIPOS_OT'!$A$4:$A$8,0)),"SIN CLASIFICAR")))</f>
        <v/>
      </c>
      <c r="W589" s="5">
        <f>IF($F589="","",IFERROR(INDEX('CAT_CENTROS_COSTO'!$F$4:$F$13,MATCH($F589,'CAT_CENTROS_COSTO'!$A$4:$A$13,0)),"(sin catálogo)"))</f>
        <v/>
      </c>
      <c r="X589" s="5">
        <f>IF($F589="","",IFERROR(INDEX('CAT_CENTROS_COSTO'!$D$4:$D$13,MATCH($F589,'CAT_CENTROS_COSTO'!$A$4:$A$13,0)),"(sin catálogo)"))</f>
        <v/>
      </c>
      <c r="Y589" s="5">
        <f>IF($F589="","",IF((IFERROR(INDEX('CAT_CENTROS_COSTO'!$E$4:$E$13,MATCH($F589,'CAT_CENTROS_COSTO'!$A$4:$A$13,0)),""))&lt;&gt;"",IFERROR(INDEX('CAT_CENTROS_COSTO'!$E$4:$E$13,MATCH($F589,'CAT_CENTROS_COSTO'!$A$4:$A$13,0)),""),$X589))</f>
        <v/>
      </c>
      <c r="Z589" s="5">
        <f>IF($F589="","",IFERROR(INDEX('CAT_CENTROS_COSTO'!$G$4:$G$13,MATCH($F589,'CAT_CENTROS_COSTO'!$A$4:$A$13,0)),"(sin catálogo)"))</f>
        <v/>
      </c>
      <c r="AA589" s="5">
        <f>IF($G589="","",IFERROR(INDEX('CAT_PUESTOS'!$B$4:$B$8,MATCH($G589,'CAT_PUESTOS'!$A$4:$A$8,0)),"(sin catálogo)"))</f>
        <v/>
      </c>
      <c r="AB589" s="5">
        <f>IF($H589="","",IFERROR(INDEX('CAT_ACTIVIDADES'!$B$4:$B$11,MATCH($H589,'CAT_ACTIVIDADES'!$A$4:$A$11,0)),"(sin catálogo)"))</f>
        <v/>
      </c>
      <c r="AC589" s="20">
        <f>IF($J589="","",TODAY()-$J589)</f>
        <v/>
      </c>
      <c r="AD589" s="20">
        <f>IF($J589="","",IF($J589&lt;=TODAY(),COUNTIFS(cal_fechas,"&gt;="&amp;$J589,cal_fechas,"&lt;"&amp;TODAY(),cal_habil,"sí"),-COUNTIFS(cal_fechas,"&gt;="&amp;TODAY(),cal_fechas,"&lt;"&amp;$J589,cal_habil,"sí")))</f>
        <v/>
      </c>
      <c r="AE589" s="5">
        <f>IF($AD589="","",IF($AD589&lt;0,"FUTURO",IF($AD589&gt;p_dias_backlog_max,"BACKLOG","MES CORRIENTE")))</f>
        <v/>
      </c>
      <c r="AF589" s="5">
        <f>IF($AD589="",FALSE,AND($AD589&gt;p_dias_backlog_min,$AD589&lt;=p_dias_backlog_max))</f>
        <v/>
      </c>
      <c r="AG589" s="4" t="n"/>
      <c r="AH589" s="5">
        <f>IF($AG589="","",IF((IFERROR(INDEX('ASIGNACIONES'!$J$4:$J$451,MATCH($O589&amp;"|"&amp;$S589&amp;"|"&amp;$AG589,'ASIGNACIONES'!$N$4:$N$451,0)),""))=0,"",IFERROR(INDEX('ASIGNACIONES'!$J$4:$J$451,MATCH($O589&amp;"|"&amp;$S589&amp;"|"&amp;$AG589,'ASIGNACIONES'!$N$4:$N$451,0)),"")))</f>
        <v/>
      </c>
      <c r="AI589" s="25">
        <f>IF($AG589="","",SUMIFS('ORDENES'!$M$4:$M$1203,'ORDENES'!$AG$4:$AG$1203,$AG589,'ORDENES'!$O$4:$O$1203,$O589,'ORDENES'!$S$4:$S$1203,$S589))</f>
        <v/>
      </c>
      <c r="AJ589" s="25">
        <f>IF($AI589="","",p_factor_productividad*IFERROR(INDEX('ASIGNACIONES'!$M$4:$M$451,MATCH($O589&amp;"|"&amp;$S589&amp;"|"&amp;$AG589,'ASIGNACIONES'!$N$4:$N$451,0)),0)-$AI589)</f>
        <v/>
      </c>
      <c r="AK589" s="18">
        <f>IF($A589="","",IFERROR(INDEX('2_IMPORTAR_EJECUCION'!$F$9:$F$1208,MATCH($AT589,'2_IMPORTAR_EJECUCION'!$J$9:$J$1208,0)),0))</f>
        <v/>
      </c>
      <c r="AL589" s="18">
        <f>IF($A589="","",MAX(0,IFERROR(INDEX('2_IMPORTAR_EJECUCION'!$H$9:$H$1208,MATCH($AT589,'2_IMPORTAR_EJECUCION'!$J$9:$J$1208,0)),0)-$AK589))</f>
        <v/>
      </c>
      <c r="AM589" s="18">
        <f>IF($A589="","",$AK589+$AL589)</f>
        <v/>
      </c>
      <c r="AN589" s="5">
        <f>IF($A589="","",IF(OR((IFERROR(INDEX('CAT_ACTIVIDADES'!$D$4:$D$11,MATCH($H589,'CAT_ACTIVIDADES'!$A$4:$A$11,0)),""))=0,(IFERROR(INDEX('CAT_ACTIVIDADES'!$D$4:$D$11,MATCH($H589,'CAT_ACTIVIDADES'!$A$4:$A$11,0)),""))=""),"SIN CLASIFICAR",IFERROR(INDEX('CAT_ACTIVIDADES'!$D$4:$D$11,MATCH($H589,'CAT_ACTIVIDADES'!$A$4:$A$11,0)),"")))</f>
        <v/>
      </c>
      <c r="AO589" s="4" t="n"/>
      <c r="AP589" s="4" t="n"/>
      <c r="AQ589" s="4" t="n"/>
      <c r="AR589" s="5">
        <f>IF($AQ589="","",HYPERLINK(p_ruta_base_checklists&amp;$AQ589,"abrir"))</f>
        <v/>
      </c>
      <c r="AS589" s="4" t="n"/>
      <c r="AT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2" t="n"/>
      <c r="K590" s="5" t="n"/>
      <c r="L590" s="18" t="n"/>
      <c r="M590" s="5">
        <f>IF($A590="","",IFERROR(INDEX('AJUSTES'!$B$4:$B$303,MATCH($AT590,'AJUSTES'!$A$4:$A$303,0)),IF($K590="","",$K590)))</f>
        <v/>
      </c>
      <c r="N590" s="5">
        <f>IF($A590="","",IFERROR(INDEX('CAT_ESTADOS_ERP'!$B$4:$B$7,MATCH(IFERROR(INDEX('2_IMPORTAR_EJECUCION'!$C$9:$C$1208,MATCH($AT590,'2_IMPORTAR_EJECUCION'!$J$9:$J$1208,0)),""),'CAT_ESTADOS_ERP'!$A$4:$A$7,0)),"Pendiente"))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IF($J590="","",$P590&amp;"-"&amp;TEXT($Q590,"00"))</f>
        <v/>
      </c>
      <c r="S590" s="5">
        <f>IF($J590="","",INDEX(lista_dias,WEEKDAY($J590,2)))</f>
        <v/>
      </c>
      <c r="T590" s="5">
        <f>IF($J590="","",IFERROR(INDEX('CALENDARIO'!$C$15:$C$214,MATCH(TEXT($J590,"yyyy-mm-dd")&amp;"|"&amp;$X590&amp;"|"&amp;$Y590,'CALENDARIO'!$G$15:$G$214,0)),IFERROR(INDEX('CALENDARIO'!$C$15:$C$214,MATCH(TEXT($J590,"yyyy-mm-dd")&amp;"|"&amp;$X590&amp;"|",'CALENDARIO'!$G$15:$G$214,0)),IFERROR(INDEX('CALENDARIO'!$C$15:$C$214,MATCH(TEXT($J590,"yyyy-mm-dd")&amp;"||",'CALENDARIO'!$G$15:$G$214,0)),INDEX(patronHabil,WEEKDAY($J590,2))))))</f>
        <v/>
      </c>
      <c r="U590" s="5">
        <f>IF($I590="","",IFERROR(INDEX('CAT_TIPOS_OT'!$C$4:$C$8,MATCH($I590,'CAT_TIPOS_OT'!$A$4:$A$8,0)),"sin_clasificar"))</f>
        <v/>
      </c>
      <c r="V590" s="5">
        <f>IF($I590="","",IF(IFERROR(INDEX('CAT_TIPOS_OT'!$D$4:$D$8,MATCH($I590,'CAT_TIPOS_OT'!$A$4:$A$8,0)),"SIN CLASIFICAR")="","SIN CLASIFICAR",IFERROR(INDEX('CAT_TIPOS_OT'!$D$4:$D$8,MATCH($I590,'CAT_TIPOS_OT'!$A$4:$A$8,0)),"SIN CLASIFICAR")))</f>
        <v/>
      </c>
      <c r="W590" s="5">
        <f>IF($F590="","",IFERROR(INDEX('CAT_CENTROS_COSTO'!$F$4:$F$13,MATCH($F590,'CAT_CENTROS_COSTO'!$A$4:$A$13,0)),"(sin catálogo)"))</f>
        <v/>
      </c>
      <c r="X590" s="5">
        <f>IF($F590="","",IFERROR(INDEX('CAT_CENTROS_COSTO'!$D$4:$D$13,MATCH($F590,'CAT_CENTROS_COSTO'!$A$4:$A$13,0)),"(sin catálogo)"))</f>
        <v/>
      </c>
      <c r="Y590" s="5">
        <f>IF($F590="","",IF((IFERROR(INDEX('CAT_CENTROS_COSTO'!$E$4:$E$13,MATCH($F590,'CAT_CENTROS_COSTO'!$A$4:$A$13,0)),""))&lt;&gt;"",IFERROR(INDEX('CAT_CENTROS_COSTO'!$E$4:$E$13,MATCH($F590,'CAT_CENTROS_COSTO'!$A$4:$A$13,0)),""),$X590))</f>
        <v/>
      </c>
      <c r="Z590" s="5">
        <f>IF($F590="","",IFERROR(INDEX('CAT_CENTROS_COSTO'!$G$4:$G$13,MATCH($F590,'CAT_CENTROS_COSTO'!$A$4:$A$13,0)),"(sin catálogo)"))</f>
        <v/>
      </c>
      <c r="AA590" s="5">
        <f>IF($G590="","",IFERROR(INDEX('CAT_PUESTOS'!$B$4:$B$8,MATCH($G590,'CAT_PUESTOS'!$A$4:$A$8,0)),"(sin catálogo)"))</f>
        <v/>
      </c>
      <c r="AB590" s="5">
        <f>IF($H590="","",IFERROR(INDEX('CAT_ACTIVIDADES'!$B$4:$B$11,MATCH($H590,'CAT_ACTIVIDADES'!$A$4:$A$11,0)),"(sin catálogo)"))</f>
        <v/>
      </c>
      <c r="AC590" s="20">
        <f>IF($J590="","",TODAY()-$J590)</f>
        <v/>
      </c>
      <c r="AD590" s="20">
        <f>IF($J590="","",IF($J590&lt;=TODAY(),COUNTIFS(cal_fechas,"&gt;="&amp;$J590,cal_fechas,"&lt;"&amp;TODAY(),cal_habil,"sí"),-COUNTIFS(cal_fechas,"&gt;="&amp;TODAY(),cal_fechas,"&lt;"&amp;$J590,cal_habil,"sí")))</f>
        <v/>
      </c>
      <c r="AE590" s="5">
        <f>IF($AD590="","",IF($AD590&lt;0,"FUTURO",IF($AD590&gt;p_dias_backlog_max,"BACKLOG","MES CORRIENTE")))</f>
        <v/>
      </c>
      <c r="AF590" s="5">
        <f>IF($AD590="",FALSE,AND($AD590&gt;p_dias_backlog_min,$AD590&lt;=p_dias_backlog_max))</f>
        <v/>
      </c>
      <c r="AG590" s="4" t="n"/>
      <c r="AH590" s="5">
        <f>IF($AG590="","",IF((IFERROR(INDEX('ASIGNACIONES'!$J$4:$J$451,MATCH($O590&amp;"|"&amp;$S590&amp;"|"&amp;$AG590,'ASIGNACIONES'!$N$4:$N$451,0)),""))=0,"",IFERROR(INDEX('ASIGNACIONES'!$J$4:$J$451,MATCH($O590&amp;"|"&amp;$S590&amp;"|"&amp;$AG590,'ASIGNACIONES'!$N$4:$N$451,0)),"")))</f>
        <v/>
      </c>
      <c r="AI590" s="25">
        <f>IF($AG590="","",SUMIFS('ORDENES'!$M$4:$M$1203,'ORDENES'!$AG$4:$AG$1203,$AG590,'ORDENES'!$O$4:$O$1203,$O590,'ORDENES'!$S$4:$S$1203,$S590))</f>
        <v/>
      </c>
      <c r="AJ590" s="25">
        <f>IF($AI590="","",p_factor_productividad*IFERROR(INDEX('ASIGNACIONES'!$M$4:$M$451,MATCH($O590&amp;"|"&amp;$S590&amp;"|"&amp;$AG590,'ASIGNACIONES'!$N$4:$N$451,0)),0)-$AI590)</f>
        <v/>
      </c>
      <c r="AK590" s="18">
        <f>IF($A590="","",IFERROR(INDEX('2_IMPORTAR_EJECUCION'!$F$9:$F$1208,MATCH($AT590,'2_IMPORTAR_EJECUCION'!$J$9:$J$1208,0)),0))</f>
        <v/>
      </c>
      <c r="AL590" s="18">
        <f>IF($A590="","",MAX(0,IFERROR(INDEX('2_IMPORTAR_EJECUCION'!$H$9:$H$1208,MATCH($AT590,'2_IMPORTAR_EJECUCION'!$J$9:$J$1208,0)),0)-$AK590))</f>
        <v/>
      </c>
      <c r="AM590" s="18">
        <f>IF($A590="","",$AK590+$AL590)</f>
        <v/>
      </c>
      <c r="AN590" s="5">
        <f>IF($A590="","",IF(OR((IFERROR(INDEX('CAT_ACTIVIDADES'!$D$4:$D$11,MATCH($H590,'CAT_ACTIVIDADES'!$A$4:$A$11,0)),""))=0,(IFERROR(INDEX('CAT_ACTIVIDADES'!$D$4:$D$11,MATCH($H590,'CAT_ACTIVIDADES'!$A$4:$A$11,0)),""))=""),"SIN CLASIFICAR",IFERROR(INDEX('CAT_ACTIVIDADES'!$D$4:$D$11,MATCH($H590,'CAT_ACTIVIDADES'!$A$4:$A$11,0)),"")))</f>
        <v/>
      </c>
      <c r="AO590" s="4" t="n"/>
      <c r="AP590" s="4" t="n"/>
      <c r="AQ590" s="4" t="n"/>
      <c r="AR590" s="5">
        <f>IF($AQ590="","",HYPERLINK(p_ruta_base_checklists&amp;$AQ590,"abrir"))</f>
        <v/>
      </c>
      <c r="AS590" s="4" t="n"/>
      <c r="AT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2" t="n"/>
      <c r="K591" s="5" t="n"/>
      <c r="L591" s="18" t="n"/>
      <c r="M591" s="5">
        <f>IF($A591="","",IFERROR(INDEX('AJUSTES'!$B$4:$B$303,MATCH($AT591,'AJUSTES'!$A$4:$A$303,0)),IF($K591="","",$K591)))</f>
        <v/>
      </c>
      <c r="N591" s="5">
        <f>IF($A591="","",IFERROR(INDEX('CAT_ESTADOS_ERP'!$B$4:$B$7,MATCH(IFERROR(INDEX('2_IMPORTAR_EJECUCION'!$C$9:$C$1208,MATCH($AT591,'2_IMPORTAR_EJECUCION'!$J$9:$J$1208,0)),""),'CAT_ESTADOS_ERP'!$A$4:$A$7,0)),"Pendiente"))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IF($J591="","",$P591&amp;"-"&amp;TEXT($Q591,"00"))</f>
        <v/>
      </c>
      <c r="S591" s="5">
        <f>IF($J591="","",INDEX(lista_dias,WEEKDAY($J591,2)))</f>
        <v/>
      </c>
      <c r="T591" s="5">
        <f>IF($J591="","",IFERROR(INDEX('CALENDARIO'!$C$15:$C$214,MATCH(TEXT($J591,"yyyy-mm-dd")&amp;"|"&amp;$X591&amp;"|"&amp;$Y591,'CALENDARIO'!$G$15:$G$214,0)),IFERROR(INDEX('CALENDARIO'!$C$15:$C$214,MATCH(TEXT($J591,"yyyy-mm-dd")&amp;"|"&amp;$X591&amp;"|",'CALENDARIO'!$G$15:$G$214,0)),IFERROR(INDEX('CALENDARIO'!$C$15:$C$214,MATCH(TEXT($J591,"yyyy-mm-dd")&amp;"||",'CALENDARIO'!$G$15:$G$214,0)),INDEX(patronHabil,WEEKDAY($J591,2))))))</f>
        <v/>
      </c>
      <c r="U591" s="5">
        <f>IF($I591="","",IFERROR(INDEX('CAT_TIPOS_OT'!$C$4:$C$8,MATCH($I591,'CAT_TIPOS_OT'!$A$4:$A$8,0)),"sin_clasificar"))</f>
        <v/>
      </c>
      <c r="V591" s="5">
        <f>IF($I591="","",IF(IFERROR(INDEX('CAT_TIPOS_OT'!$D$4:$D$8,MATCH($I591,'CAT_TIPOS_OT'!$A$4:$A$8,0)),"SIN CLASIFICAR")="","SIN CLASIFICAR",IFERROR(INDEX('CAT_TIPOS_OT'!$D$4:$D$8,MATCH($I591,'CAT_TIPOS_OT'!$A$4:$A$8,0)),"SIN CLASIFICAR")))</f>
        <v/>
      </c>
      <c r="W591" s="5">
        <f>IF($F591="","",IFERROR(INDEX('CAT_CENTROS_COSTO'!$F$4:$F$13,MATCH($F591,'CAT_CENTROS_COSTO'!$A$4:$A$13,0)),"(sin catálogo)"))</f>
        <v/>
      </c>
      <c r="X591" s="5">
        <f>IF($F591="","",IFERROR(INDEX('CAT_CENTROS_COSTO'!$D$4:$D$13,MATCH($F591,'CAT_CENTROS_COSTO'!$A$4:$A$13,0)),"(sin catálogo)"))</f>
        <v/>
      </c>
      <c r="Y591" s="5">
        <f>IF($F591="","",IF((IFERROR(INDEX('CAT_CENTROS_COSTO'!$E$4:$E$13,MATCH($F591,'CAT_CENTROS_COSTO'!$A$4:$A$13,0)),""))&lt;&gt;"",IFERROR(INDEX('CAT_CENTROS_COSTO'!$E$4:$E$13,MATCH($F591,'CAT_CENTROS_COSTO'!$A$4:$A$13,0)),""),$X591))</f>
        <v/>
      </c>
      <c r="Z591" s="5">
        <f>IF($F591="","",IFERROR(INDEX('CAT_CENTROS_COSTO'!$G$4:$G$13,MATCH($F591,'CAT_CENTROS_COSTO'!$A$4:$A$13,0)),"(sin catálogo)"))</f>
        <v/>
      </c>
      <c r="AA591" s="5">
        <f>IF($G591="","",IFERROR(INDEX('CAT_PUESTOS'!$B$4:$B$8,MATCH($G591,'CAT_PUESTOS'!$A$4:$A$8,0)),"(sin catálogo)"))</f>
        <v/>
      </c>
      <c r="AB591" s="5">
        <f>IF($H591="","",IFERROR(INDEX('CAT_ACTIVIDADES'!$B$4:$B$11,MATCH($H591,'CAT_ACTIVIDADES'!$A$4:$A$11,0)),"(sin catálogo)"))</f>
        <v/>
      </c>
      <c r="AC591" s="20">
        <f>IF($J591="","",TODAY()-$J591)</f>
        <v/>
      </c>
      <c r="AD591" s="20">
        <f>IF($J591="","",IF($J591&lt;=TODAY(),COUNTIFS(cal_fechas,"&gt;="&amp;$J591,cal_fechas,"&lt;"&amp;TODAY(),cal_habil,"sí"),-COUNTIFS(cal_fechas,"&gt;="&amp;TODAY(),cal_fechas,"&lt;"&amp;$J591,cal_habil,"sí")))</f>
        <v/>
      </c>
      <c r="AE591" s="5">
        <f>IF($AD591="","",IF($AD591&lt;0,"FUTURO",IF($AD591&gt;p_dias_backlog_max,"BACKLOG","MES CORRIENTE")))</f>
        <v/>
      </c>
      <c r="AF591" s="5">
        <f>IF($AD591="",FALSE,AND($AD591&gt;p_dias_backlog_min,$AD591&lt;=p_dias_backlog_max))</f>
        <v/>
      </c>
      <c r="AG591" s="4" t="n"/>
      <c r="AH591" s="5">
        <f>IF($AG591="","",IF((IFERROR(INDEX('ASIGNACIONES'!$J$4:$J$451,MATCH($O591&amp;"|"&amp;$S591&amp;"|"&amp;$AG591,'ASIGNACIONES'!$N$4:$N$451,0)),""))=0,"",IFERROR(INDEX('ASIGNACIONES'!$J$4:$J$451,MATCH($O591&amp;"|"&amp;$S591&amp;"|"&amp;$AG591,'ASIGNACIONES'!$N$4:$N$451,0)),"")))</f>
        <v/>
      </c>
      <c r="AI591" s="25">
        <f>IF($AG591="","",SUMIFS('ORDENES'!$M$4:$M$1203,'ORDENES'!$AG$4:$AG$1203,$AG591,'ORDENES'!$O$4:$O$1203,$O591,'ORDENES'!$S$4:$S$1203,$S591))</f>
        <v/>
      </c>
      <c r="AJ591" s="25">
        <f>IF($AI591="","",p_factor_productividad*IFERROR(INDEX('ASIGNACIONES'!$M$4:$M$451,MATCH($O591&amp;"|"&amp;$S591&amp;"|"&amp;$AG591,'ASIGNACIONES'!$N$4:$N$451,0)),0)-$AI591)</f>
        <v/>
      </c>
      <c r="AK591" s="18">
        <f>IF($A591="","",IFERROR(INDEX('2_IMPORTAR_EJECUCION'!$F$9:$F$1208,MATCH($AT591,'2_IMPORTAR_EJECUCION'!$J$9:$J$1208,0)),0))</f>
        <v/>
      </c>
      <c r="AL591" s="18">
        <f>IF($A591="","",MAX(0,IFERROR(INDEX('2_IMPORTAR_EJECUCION'!$H$9:$H$1208,MATCH($AT591,'2_IMPORTAR_EJECUCION'!$J$9:$J$1208,0)),0)-$AK591))</f>
        <v/>
      </c>
      <c r="AM591" s="18">
        <f>IF($A591="","",$AK591+$AL591)</f>
        <v/>
      </c>
      <c r="AN591" s="5">
        <f>IF($A591="","",IF(OR((IFERROR(INDEX('CAT_ACTIVIDADES'!$D$4:$D$11,MATCH($H591,'CAT_ACTIVIDADES'!$A$4:$A$11,0)),""))=0,(IFERROR(INDEX('CAT_ACTIVIDADES'!$D$4:$D$11,MATCH($H591,'CAT_ACTIVIDADES'!$A$4:$A$11,0)),""))=""),"SIN CLASIFICAR",IFERROR(INDEX('CAT_ACTIVIDADES'!$D$4:$D$11,MATCH($H591,'CAT_ACTIVIDADES'!$A$4:$A$11,0)),"")))</f>
        <v/>
      </c>
      <c r="AO591" s="4" t="n"/>
      <c r="AP591" s="4" t="n"/>
      <c r="AQ591" s="4" t="n"/>
      <c r="AR591" s="5">
        <f>IF($AQ591="","",HYPERLINK(p_ruta_base_checklists&amp;$AQ591,"abrir"))</f>
        <v/>
      </c>
      <c r="AS591" s="4" t="n"/>
      <c r="AT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2" t="n"/>
      <c r="K592" s="5" t="n"/>
      <c r="L592" s="18" t="n"/>
      <c r="M592" s="5">
        <f>IF($A592="","",IFERROR(INDEX('AJUSTES'!$B$4:$B$303,MATCH($AT592,'AJUSTES'!$A$4:$A$303,0)),IF($K592="","",$K592)))</f>
        <v/>
      </c>
      <c r="N592" s="5">
        <f>IF($A592="","",IFERROR(INDEX('CAT_ESTADOS_ERP'!$B$4:$B$7,MATCH(IFERROR(INDEX('2_IMPORTAR_EJECUCION'!$C$9:$C$1208,MATCH($AT592,'2_IMPORTAR_EJECUCION'!$J$9:$J$1208,0)),""),'CAT_ESTADOS_ERP'!$A$4:$A$7,0)),"Pendiente"))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IF($J592="","",$P592&amp;"-"&amp;TEXT($Q592,"00"))</f>
        <v/>
      </c>
      <c r="S592" s="5">
        <f>IF($J592="","",INDEX(lista_dias,WEEKDAY($J592,2)))</f>
        <v/>
      </c>
      <c r="T592" s="5">
        <f>IF($J592="","",IFERROR(INDEX('CALENDARIO'!$C$15:$C$214,MATCH(TEXT($J592,"yyyy-mm-dd")&amp;"|"&amp;$X592&amp;"|"&amp;$Y592,'CALENDARIO'!$G$15:$G$214,0)),IFERROR(INDEX('CALENDARIO'!$C$15:$C$214,MATCH(TEXT($J592,"yyyy-mm-dd")&amp;"|"&amp;$X592&amp;"|",'CALENDARIO'!$G$15:$G$214,0)),IFERROR(INDEX('CALENDARIO'!$C$15:$C$214,MATCH(TEXT($J592,"yyyy-mm-dd")&amp;"||",'CALENDARIO'!$G$15:$G$214,0)),INDEX(patronHabil,WEEKDAY($J592,2))))))</f>
        <v/>
      </c>
      <c r="U592" s="5">
        <f>IF($I592="","",IFERROR(INDEX('CAT_TIPOS_OT'!$C$4:$C$8,MATCH($I592,'CAT_TIPOS_OT'!$A$4:$A$8,0)),"sin_clasificar"))</f>
        <v/>
      </c>
      <c r="V592" s="5">
        <f>IF($I592="","",IF(IFERROR(INDEX('CAT_TIPOS_OT'!$D$4:$D$8,MATCH($I592,'CAT_TIPOS_OT'!$A$4:$A$8,0)),"SIN CLASIFICAR")="","SIN CLASIFICAR",IFERROR(INDEX('CAT_TIPOS_OT'!$D$4:$D$8,MATCH($I592,'CAT_TIPOS_OT'!$A$4:$A$8,0)),"SIN CLASIFICAR")))</f>
        <v/>
      </c>
      <c r="W592" s="5">
        <f>IF($F592="","",IFERROR(INDEX('CAT_CENTROS_COSTO'!$F$4:$F$13,MATCH($F592,'CAT_CENTROS_COSTO'!$A$4:$A$13,0)),"(sin catálogo)"))</f>
        <v/>
      </c>
      <c r="X592" s="5">
        <f>IF($F592="","",IFERROR(INDEX('CAT_CENTROS_COSTO'!$D$4:$D$13,MATCH($F592,'CAT_CENTROS_COSTO'!$A$4:$A$13,0)),"(sin catálogo)"))</f>
        <v/>
      </c>
      <c r="Y592" s="5">
        <f>IF($F592="","",IF((IFERROR(INDEX('CAT_CENTROS_COSTO'!$E$4:$E$13,MATCH($F592,'CAT_CENTROS_COSTO'!$A$4:$A$13,0)),""))&lt;&gt;"",IFERROR(INDEX('CAT_CENTROS_COSTO'!$E$4:$E$13,MATCH($F592,'CAT_CENTROS_COSTO'!$A$4:$A$13,0)),""),$X592))</f>
        <v/>
      </c>
      <c r="Z592" s="5">
        <f>IF($F592="","",IFERROR(INDEX('CAT_CENTROS_COSTO'!$G$4:$G$13,MATCH($F592,'CAT_CENTROS_COSTO'!$A$4:$A$13,0)),"(sin catálogo)"))</f>
        <v/>
      </c>
      <c r="AA592" s="5">
        <f>IF($G592="","",IFERROR(INDEX('CAT_PUESTOS'!$B$4:$B$8,MATCH($G592,'CAT_PUESTOS'!$A$4:$A$8,0)),"(sin catálogo)"))</f>
        <v/>
      </c>
      <c r="AB592" s="5">
        <f>IF($H592="","",IFERROR(INDEX('CAT_ACTIVIDADES'!$B$4:$B$11,MATCH($H592,'CAT_ACTIVIDADES'!$A$4:$A$11,0)),"(sin catálogo)"))</f>
        <v/>
      </c>
      <c r="AC592" s="20">
        <f>IF($J592="","",TODAY()-$J592)</f>
        <v/>
      </c>
      <c r="AD592" s="20">
        <f>IF($J592="","",IF($J592&lt;=TODAY(),COUNTIFS(cal_fechas,"&gt;="&amp;$J592,cal_fechas,"&lt;"&amp;TODAY(),cal_habil,"sí"),-COUNTIFS(cal_fechas,"&gt;="&amp;TODAY(),cal_fechas,"&lt;"&amp;$J592,cal_habil,"sí")))</f>
        <v/>
      </c>
      <c r="AE592" s="5">
        <f>IF($AD592="","",IF($AD592&lt;0,"FUTURO",IF($AD592&gt;p_dias_backlog_max,"BACKLOG","MES CORRIENTE")))</f>
        <v/>
      </c>
      <c r="AF592" s="5">
        <f>IF($AD592="",FALSE,AND($AD592&gt;p_dias_backlog_min,$AD592&lt;=p_dias_backlog_max))</f>
        <v/>
      </c>
      <c r="AG592" s="4" t="n"/>
      <c r="AH592" s="5">
        <f>IF($AG592="","",IF((IFERROR(INDEX('ASIGNACIONES'!$J$4:$J$451,MATCH($O592&amp;"|"&amp;$S592&amp;"|"&amp;$AG592,'ASIGNACIONES'!$N$4:$N$451,0)),""))=0,"",IFERROR(INDEX('ASIGNACIONES'!$J$4:$J$451,MATCH($O592&amp;"|"&amp;$S592&amp;"|"&amp;$AG592,'ASIGNACIONES'!$N$4:$N$451,0)),"")))</f>
        <v/>
      </c>
      <c r="AI592" s="25">
        <f>IF($AG592="","",SUMIFS('ORDENES'!$M$4:$M$1203,'ORDENES'!$AG$4:$AG$1203,$AG592,'ORDENES'!$O$4:$O$1203,$O592,'ORDENES'!$S$4:$S$1203,$S592))</f>
        <v/>
      </c>
      <c r="AJ592" s="25">
        <f>IF($AI592="","",p_factor_productividad*IFERROR(INDEX('ASIGNACIONES'!$M$4:$M$451,MATCH($O592&amp;"|"&amp;$S592&amp;"|"&amp;$AG592,'ASIGNACIONES'!$N$4:$N$451,0)),0)-$AI592)</f>
        <v/>
      </c>
      <c r="AK592" s="18">
        <f>IF($A592="","",IFERROR(INDEX('2_IMPORTAR_EJECUCION'!$F$9:$F$1208,MATCH($AT592,'2_IMPORTAR_EJECUCION'!$J$9:$J$1208,0)),0))</f>
        <v/>
      </c>
      <c r="AL592" s="18">
        <f>IF($A592="","",MAX(0,IFERROR(INDEX('2_IMPORTAR_EJECUCION'!$H$9:$H$1208,MATCH($AT592,'2_IMPORTAR_EJECUCION'!$J$9:$J$1208,0)),0)-$AK592))</f>
        <v/>
      </c>
      <c r="AM592" s="18">
        <f>IF($A592="","",$AK592+$AL592)</f>
        <v/>
      </c>
      <c r="AN592" s="5">
        <f>IF($A592="","",IF(OR((IFERROR(INDEX('CAT_ACTIVIDADES'!$D$4:$D$11,MATCH($H592,'CAT_ACTIVIDADES'!$A$4:$A$11,0)),""))=0,(IFERROR(INDEX('CAT_ACTIVIDADES'!$D$4:$D$11,MATCH($H592,'CAT_ACTIVIDADES'!$A$4:$A$11,0)),""))=""),"SIN CLASIFICAR",IFERROR(INDEX('CAT_ACTIVIDADES'!$D$4:$D$11,MATCH($H592,'CAT_ACTIVIDADES'!$A$4:$A$11,0)),"")))</f>
        <v/>
      </c>
      <c r="AO592" s="4" t="n"/>
      <c r="AP592" s="4" t="n"/>
      <c r="AQ592" s="4" t="n"/>
      <c r="AR592" s="5">
        <f>IF($AQ592="","",HYPERLINK(p_ruta_base_checklists&amp;$AQ592,"abrir"))</f>
        <v/>
      </c>
      <c r="AS592" s="4" t="n"/>
      <c r="AT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2" t="n"/>
      <c r="K593" s="5" t="n"/>
      <c r="L593" s="18" t="n"/>
      <c r="M593" s="5">
        <f>IF($A593="","",IFERROR(INDEX('AJUSTES'!$B$4:$B$303,MATCH($AT593,'AJUSTES'!$A$4:$A$303,0)),IF($K593="","",$K593)))</f>
        <v/>
      </c>
      <c r="N593" s="5">
        <f>IF($A593="","",IFERROR(INDEX('CAT_ESTADOS_ERP'!$B$4:$B$7,MATCH(IFERROR(INDEX('2_IMPORTAR_EJECUCION'!$C$9:$C$1208,MATCH($AT593,'2_IMPORTAR_EJECUCION'!$J$9:$J$1208,0)),""),'CAT_ESTADOS_ERP'!$A$4:$A$7,0)),"Pendiente"))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IF($J593="","",$P593&amp;"-"&amp;TEXT($Q593,"00"))</f>
        <v/>
      </c>
      <c r="S593" s="5">
        <f>IF($J593="","",INDEX(lista_dias,WEEKDAY($J593,2)))</f>
        <v/>
      </c>
      <c r="T593" s="5">
        <f>IF($J593="","",IFERROR(INDEX('CALENDARIO'!$C$15:$C$214,MATCH(TEXT($J593,"yyyy-mm-dd")&amp;"|"&amp;$X593&amp;"|"&amp;$Y593,'CALENDARIO'!$G$15:$G$214,0)),IFERROR(INDEX('CALENDARIO'!$C$15:$C$214,MATCH(TEXT($J593,"yyyy-mm-dd")&amp;"|"&amp;$X593&amp;"|",'CALENDARIO'!$G$15:$G$214,0)),IFERROR(INDEX('CALENDARIO'!$C$15:$C$214,MATCH(TEXT($J593,"yyyy-mm-dd")&amp;"||",'CALENDARIO'!$G$15:$G$214,0)),INDEX(patronHabil,WEEKDAY($J593,2))))))</f>
        <v/>
      </c>
      <c r="U593" s="5">
        <f>IF($I593="","",IFERROR(INDEX('CAT_TIPOS_OT'!$C$4:$C$8,MATCH($I593,'CAT_TIPOS_OT'!$A$4:$A$8,0)),"sin_clasificar"))</f>
        <v/>
      </c>
      <c r="V593" s="5">
        <f>IF($I593="","",IF(IFERROR(INDEX('CAT_TIPOS_OT'!$D$4:$D$8,MATCH($I593,'CAT_TIPOS_OT'!$A$4:$A$8,0)),"SIN CLASIFICAR")="","SIN CLASIFICAR",IFERROR(INDEX('CAT_TIPOS_OT'!$D$4:$D$8,MATCH($I593,'CAT_TIPOS_OT'!$A$4:$A$8,0)),"SIN CLASIFICAR")))</f>
        <v/>
      </c>
      <c r="W593" s="5">
        <f>IF($F593="","",IFERROR(INDEX('CAT_CENTROS_COSTO'!$F$4:$F$13,MATCH($F593,'CAT_CENTROS_COSTO'!$A$4:$A$13,0)),"(sin catálogo)"))</f>
        <v/>
      </c>
      <c r="X593" s="5">
        <f>IF($F593="","",IFERROR(INDEX('CAT_CENTROS_COSTO'!$D$4:$D$13,MATCH($F593,'CAT_CENTROS_COSTO'!$A$4:$A$13,0)),"(sin catálogo)"))</f>
        <v/>
      </c>
      <c r="Y593" s="5">
        <f>IF($F593="","",IF((IFERROR(INDEX('CAT_CENTROS_COSTO'!$E$4:$E$13,MATCH($F593,'CAT_CENTROS_COSTO'!$A$4:$A$13,0)),""))&lt;&gt;"",IFERROR(INDEX('CAT_CENTROS_COSTO'!$E$4:$E$13,MATCH($F593,'CAT_CENTROS_COSTO'!$A$4:$A$13,0)),""),$X593))</f>
        <v/>
      </c>
      <c r="Z593" s="5">
        <f>IF($F593="","",IFERROR(INDEX('CAT_CENTROS_COSTO'!$G$4:$G$13,MATCH($F593,'CAT_CENTROS_COSTO'!$A$4:$A$13,0)),"(sin catálogo)"))</f>
        <v/>
      </c>
      <c r="AA593" s="5">
        <f>IF($G593="","",IFERROR(INDEX('CAT_PUESTOS'!$B$4:$B$8,MATCH($G593,'CAT_PUESTOS'!$A$4:$A$8,0)),"(sin catálogo)"))</f>
        <v/>
      </c>
      <c r="AB593" s="5">
        <f>IF($H593="","",IFERROR(INDEX('CAT_ACTIVIDADES'!$B$4:$B$11,MATCH($H593,'CAT_ACTIVIDADES'!$A$4:$A$11,0)),"(sin catálogo)"))</f>
        <v/>
      </c>
      <c r="AC593" s="20">
        <f>IF($J593="","",TODAY()-$J593)</f>
        <v/>
      </c>
      <c r="AD593" s="20">
        <f>IF($J593="","",IF($J593&lt;=TODAY(),COUNTIFS(cal_fechas,"&gt;="&amp;$J593,cal_fechas,"&lt;"&amp;TODAY(),cal_habil,"sí"),-COUNTIFS(cal_fechas,"&gt;="&amp;TODAY(),cal_fechas,"&lt;"&amp;$J593,cal_habil,"sí")))</f>
        <v/>
      </c>
      <c r="AE593" s="5">
        <f>IF($AD593="","",IF($AD593&lt;0,"FUTURO",IF($AD593&gt;p_dias_backlog_max,"BACKLOG","MES CORRIENTE")))</f>
        <v/>
      </c>
      <c r="AF593" s="5">
        <f>IF($AD593="",FALSE,AND($AD593&gt;p_dias_backlog_min,$AD593&lt;=p_dias_backlog_max))</f>
        <v/>
      </c>
      <c r="AG593" s="4" t="n"/>
      <c r="AH593" s="5">
        <f>IF($AG593="","",IF((IFERROR(INDEX('ASIGNACIONES'!$J$4:$J$451,MATCH($O593&amp;"|"&amp;$S593&amp;"|"&amp;$AG593,'ASIGNACIONES'!$N$4:$N$451,0)),""))=0,"",IFERROR(INDEX('ASIGNACIONES'!$J$4:$J$451,MATCH($O593&amp;"|"&amp;$S593&amp;"|"&amp;$AG593,'ASIGNACIONES'!$N$4:$N$451,0)),"")))</f>
        <v/>
      </c>
      <c r="AI593" s="25">
        <f>IF($AG593="","",SUMIFS('ORDENES'!$M$4:$M$1203,'ORDENES'!$AG$4:$AG$1203,$AG593,'ORDENES'!$O$4:$O$1203,$O593,'ORDENES'!$S$4:$S$1203,$S593))</f>
        <v/>
      </c>
      <c r="AJ593" s="25">
        <f>IF($AI593="","",p_factor_productividad*IFERROR(INDEX('ASIGNACIONES'!$M$4:$M$451,MATCH($O593&amp;"|"&amp;$S593&amp;"|"&amp;$AG593,'ASIGNACIONES'!$N$4:$N$451,0)),0)-$AI593)</f>
        <v/>
      </c>
      <c r="AK593" s="18">
        <f>IF($A593="","",IFERROR(INDEX('2_IMPORTAR_EJECUCION'!$F$9:$F$1208,MATCH($AT593,'2_IMPORTAR_EJECUCION'!$J$9:$J$1208,0)),0))</f>
        <v/>
      </c>
      <c r="AL593" s="18">
        <f>IF($A593="","",MAX(0,IFERROR(INDEX('2_IMPORTAR_EJECUCION'!$H$9:$H$1208,MATCH($AT593,'2_IMPORTAR_EJECUCION'!$J$9:$J$1208,0)),0)-$AK593))</f>
        <v/>
      </c>
      <c r="AM593" s="18">
        <f>IF($A593="","",$AK593+$AL593)</f>
        <v/>
      </c>
      <c r="AN593" s="5">
        <f>IF($A593="","",IF(OR((IFERROR(INDEX('CAT_ACTIVIDADES'!$D$4:$D$11,MATCH($H593,'CAT_ACTIVIDADES'!$A$4:$A$11,0)),""))=0,(IFERROR(INDEX('CAT_ACTIVIDADES'!$D$4:$D$11,MATCH($H593,'CAT_ACTIVIDADES'!$A$4:$A$11,0)),""))=""),"SIN CLASIFICAR",IFERROR(INDEX('CAT_ACTIVIDADES'!$D$4:$D$11,MATCH($H593,'CAT_ACTIVIDADES'!$A$4:$A$11,0)),"")))</f>
        <v/>
      </c>
      <c r="AO593" s="4" t="n"/>
      <c r="AP593" s="4" t="n"/>
      <c r="AQ593" s="4" t="n"/>
      <c r="AR593" s="5">
        <f>IF($AQ593="","",HYPERLINK(p_ruta_base_checklists&amp;$AQ593,"abrir"))</f>
        <v/>
      </c>
      <c r="AS593" s="4" t="n"/>
      <c r="AT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2" t="n"/>
      <c r="K594" s="5" t="n"/>
      <c r="L594" s="18" t="n"/>
      <c r="M594" s="5">
        <f>IF($A594="","",IFERROR(INDEX('AJUSTES'!$B$4:$B$303,MATCH($AT594,'AJUSTES'!$A$4:$A$303,0)),IF($K594="","",$K594)))</f>
        <v/>
      </c>
      <c r="N594" s="5">
        <f>IF($A594="","",IFERROR(INDEX('CAT_ESTADOS_ERP'!$B$4:$B$7,MATCH(IFERROR(INDEX('2_IMPORTAR_EJECUCION'!$C$9:$C$1208,MATCH($AT594,'2_IMPORTAR_EJECUCION'!$J$9:$J$1208,0)),""),'CAT_ESTADOS_ERP'!$A$4:$A$7,0)),"Pendiente"))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IF($J594="","",$P594&amp;"-"&amp;TEXT($Q594,"00"))</f>
        <v/>
      </c>
      <c r="S594" s="5">
        <f>IF($J594="","",INDEX(lista_dias,WEEKDAY($J594,2)))</f>
        <v/>
      </c>
      <c r="T594" s="5">
        <f>IF($J594="","",IFERROR(INDEX('CALENDARIO'!$C$15:$C$214,MATCH(TEXT($J594,"yyyy-mm-dd")&amp;"|"&amp;$X594&amp;"|"&amp;$Y594,'CALENDARIO'!$G$15:$G$214,0)),IFERROR(INDEX('CALENDARIO'!$C$15:$C$214,MATCH(TEXT($J594,"yyyy-mm-dd")&amp;"|"&amp;$X594&amp;"|",'CALENDARIO'!$G$15:$G$214,0)),IFERROR(INDEX('CALENDARIO'!$C$15:$C$214,MATCH(TEXT($J594,"yyyy-mm-dd")&amp;"||",'CALENDARIO'!$G$15:$G$214,0)),INDEX(patronHabil,WEEKDAY($J594,2))))))</f>
        <v/>
      </c>
      <c r="U594" s="5">
        <f>IF($I594="","",IFERROR(INDEX('CAT_TIPOS_OT'!$C$4:$C$8,MATCH($I594,'CAT_TIPOS_OT'!$A$4:$A$8,0)),"sin_clasificar"))</f>
        <v/>
      </c>
      <c r="V594" s="5">
        <f>IF($I594="","",IF(IFERROR(INDEX('CAT_TIPOS_OT'!$D$4:$D$8,MATCH($I594,'CAT_TIPOS_OT'!$A$4:$A$8,0)),"SIN CLASIFICAR")="","SIN CLASIFICAR",IFERROR(INDEX('CAT_TIPOS_OT'!$D$4:$D$8,MATCH($I594,'CAT_TIPOS_OT'!$A$4:$A$8,0)),"SIN CLASIFICAR")))</f>
        <v/>
      </c>
      <c r="W594" s="5">
        <f>IF($F594="","",IFERROR(INDEX('CAT_CENTROS_COSTO'!$F$4:$F$13,MATCH($F594,'CAT_CENTROS_COSTO'!$A$4:$A$13,0)),"(sin catálogo)"))</f>
        <v/>
      </c>
      <c r="X594" s="5">
        <f>IF($F594="","",IFERROR(INDEX('CAT_CENTROS_COSTO'!$D$4:$D$13,MATCH($F594,'CAT_CENTROS_COSTO'!$A$4:$A$13,0)),"(sin catálogo)"))</f>
        <v/>
      </c>
      <c r="Y594" s="5">
        <f>IF($F594="","",IF((IFERROR(INDEX('CAT_CENTROS_COSTO'!$E$4:$E$13,MATCH($F594,'CAT_CENTROS_COSTO'!$A$4:$A$13,0)),""))&lt;&gt;"",IFERROR(INDEX('CAT_CENTROS_COSTO'!$E$4:$E$13,MATCH($F594,'CAT_CENTROS_COSTO'!$A$4:$A$13,0)),""),$X594))</f>
        <v/>
      </c>
      <c r="Z594" s="5">
        <f>IF($F594="","",IFERROR(INDEX('CAT_CENTROS_COSTO'!$G$4:$G$13,MATCH($F594,'CAT_CENTROS_COSTO'!$A$4:$A$13,0)),"(sin catálogo)"))</f>
        <v/>
      </c>
      <c r="AA594" s="5">
        <f>IF($G594="","",IFERROR(INDEX('CAT_PUESTOS'!$B$4:$B$8,MATCH($G594,'CAT_PUESTOS'!$A$4:$A$8,0)),"(sin catálogo)"))</f>
        <v/>
      </c>
      <c r="AB594" s="5">
        <f>IF($H594="","",IFERROR(INDEX('CAT_ACTIVIDADES'!$B$4:$B$11,MATCH($H594,'CAT_ACTIVIDADES'!$A$4:$A$11,0)),"(sin catálogo)"))</f>
        <v/>
      </c>
      <c r="AC594" s="20">
        <f>IF($J594="","",TODAY()-$J594)</f>
        <v/>
      </c>
      <c r="AD594" s="20">
        <f>IF($J594="","",IF($J594&lt;=TODAY(),COUNTIFS(cal_fechas,"&gt;="&amp;$J594,cal_fechas,"&lt;"&amp;TODAY(),cal_habil,"sí"),-COUNTIFS(cal_fechas,"&gt;="&amp;TODAY(),cal_fechas,"&lt;"&amp;$J594,cal_habil,"sí")))</f>
        <v/>
      </c>
      <c r="AE594" s="5">
        <f>IF($AD594="","",IF($AD594&lt;0,"FUTURO",IF($AD594&gt;p_dias_backlog_max,"BACKLOG","MES CORRIENTE")))</f>
        <v/>
      </c>
      <c r="AF594" s="5">
        <f>IF($AD594="",FALSE,AND($AD594&gt;p_dias_backlog_min,$AD594&lt;=p_dias_backlog_max))</f>
        <v/>
      </c>
      <c r="AG594" s="4" t="n"/>
      <c r="AH594" s="5">
        <f>IF($AG594="","",IF((IFERROR(INDEX('ASIGNACIONES'!$J$4:$J$451,MATCH($O594&amp;"|"&amp;$S594&amp;"|"&amp;$AG594,'ASIGNACIONES'!$N$4:$N$451,0)),""))=0,"",IFERROR(INDEX('ASIGNACIONES'!$J$4:$J$451,MATCH($O594&amp;"|"&amp;$S594&amp;"|"&amp;$AG594,'ASIGNACIONES'!$N$4:$N$451,0)),"")))</f>
        <v/>
      </c>
      <c r="AI594" s="25">
        <f>IF($AG594="","",SUMIFS('ORDENES'!$M$4:$M$1203,'ORDENES'!$AG$4:$AG$1203,$AG594,'ORDENES'!$O$4:$O$1203,$O594,'ORDENES'!$S$4:$S$1203,$S594))</f>
        <v/>
      </c>
      <c r="AJ594" s="25">
        <f>IF($AI594="","",p_factor_productividad*IFERROR(INDEX('ASIGNACIONES'!$M$4:$M$451,MATCH($O594&amp;"|"&amp;$S594&amp;"|"&amp;$AG594,'ASIGNACIONES'!$N$4:$N$451,0)),0)-$AI594)</f>
        <v/>
      </c>
      <c r="AK594" s="18">
        <f>IF($A594="","",IFERROR(INDEX('2_IMPORTAR_EJECUCION'!$F$9:$F$1208,MATCH($AT594,'2_IMPORTAR_EJECUCION'!$J$9:$J$1208,0)),0))</f>
        <v/>
      </c>
      <c r="AL594" s="18">
        <f>IF($A594="","",MAX(0,IFERROR(INDEX('2_IMPORTAR_EJECUCION'!$H$9:$H$1208,MATCH($AT594,'2_IMPORTAR_EJECUCION'!$J$9:$J$1208,0)),0)-$AK594))</f>
        <v/>
      </c>
      <c r="AM594" s="18">
        <f>IF($A594="","",$AK594+$AL594)</f>
        <v/>
      </c>
      <c r="AN594" s="5">
        <f>IF($A594="","",IF(OR((IFERROR(INDEX('CAT_ACTIVIDADES'!$D$4:$D$11,MATCH($H594,'CAT_ACTIVIDADES'!$A$4:$A$11,0)),""))=0,(IFERROR(INDEX('CAT_ACTIVIDADES'!$D$4:$D$11,MATCH($H594,'CAT_ACTIVIDADES'!$A$4:$A$11,0)),""))=""),"SIN CLASIFICAR",IFERROR(INDEX('CAT_ACTIVIDADES'!$D$4:$D$11,MATCH($H594,'CAT_ACTIVIDADES'!$A$4:$A$11,0)),"")))</f>
        <v/>
      </c>
      <c r="AO594" s="4" t="n"/>
      <c r="AP594" s="4" t="n"/>
      <c r="AQ594" s="4" t="n"/>
      <c r="AR594" s="5">
        <f>IF($AQ594="","",HYPERLINK(p_ruta_base_checklists&amp;$AQ594,"abrir"))</f>
        <v/>
      </c>
      <c r="AS594" s="4" t="n"/>
      <c r="AT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2" t="n"/>
      <c r="K595" s="5" t="n"/>
      <c r="L595" s="18" t="n"/>
      <c r="M595" s="5">
        <f>IF($A595="","",IFERROR(INDEX('AJUSTES'!$B$4:$B$303,MATCH($AT595,'AJUSTES'!$A$4:$A$303,0)),IF($K595="","",$K595)))</f>
        <v/>
      </c>
      <c r="N595" s="5">
        <f>IF($A595="","",IFERROR(INDEX('CAT_ESTADOS_ERP'!$B$4:$B$7,MATCH(IFERROR(INDEX('2_IMPORTAR_EJECUCION'!$C$9:$C$1208,MATCH($AT595,'2_IMPORTAR_EJECUCION'!$J$9:$J$1208,0)),""),'CAT_ESTADOS_ERP'!$A$4:$A$7,0)),"Pendiente"))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IF($J595="","",$P595&amp;"-"&amp;TEXT($Q595,"00"))</f>
        <v/>
      </c>
      <c r="S595" s="5">
        <f>IF($J595="","",INDEX(lista_dias,WEEKDAY($J595,2)))</f>
        <v/>
      </c>
      <c r="T595" s="5">
        <f>IF($J595="","",IFERROR(INDEX('CALENDARIO'!$C$15:$C$214,MATCH(TEXT($J595,"yyyy-mm-dd")&amp;"|"&amp;$X595&amp;"|"&amp;$Y595,'CALENDARIO'!$G$15:$G$214,0)),IFERROR(INDEX('CALENDARIO'!$C$15:$C$214,MATCH(TEXT($J595,"yyyy-mm-dd")&amp;"|"&amp;$X595&amp;"|",'CALENDARIO'!$G$15:$G$214,0)),IFERROR(INDEX('CALENDARIO'!$C$15:$C$214,MATCH(TEXT($J595,"yyyy-mm-dd")&amp;"||",'CALENDARIO'!$G$15:$G$214,0)),INDEX(patronHabil,WEEKDAY($J595,2))))))</f>
        <v/>
      </c>
      <c r="U595" s="5">
        <f>IF($I595="","",IFERROR(INDEX('CAT_TIPOS_OT'!$C$4:$C$8,MATCH($I595,'CAT_TIPOS_OT'!$A$4:$A$8,0)),"sin_clasificar"))</f>
        <v/>
      </c>
      <c r="V595" s="5">
        <f>IF($I595="","",IF(IFERROR(INDEX('CAT_TIPOS_OT'!$D$4:$D$8,MATCH($I595,'CAT_TIPOS_OT'!$A$4:$A$8,0)),"SIN CLASIFICAR")="","SIN CLASIFICAR",IFERROR(INDEX('CAT_TIPOS_OT'!$D$4:$D$8,MATCH($I595,'CAT_TIPOS_OT'!$A$4:$A$8,0)),"SIN CLASIFICAR")))</f>
        <v/>
      </c>
      <c r="W595" s="5">
        <f>IF($F595="","",IFERROR(INDEX('CAT_CENTROS_COSTO'!$F$4:$F$13,MATCH($F595,'CAT_CENTROS_COSTO'!$A$4:$A$13,0)),"(sin catálogo)"))</f>
        <v/>
      </c>
      <c r="X595" s="5">
        <f>IF($F595="","",IFERROR(INDEX('CAT_CENTROS_COSTO'!$D$4:$D$13,MATCH($F595,'CAT_CENTROS_COSTO'!$A$4:$A$13,0)),"(sin catálogo)"))</f>
        <v/>
      </c>
      <c r="Y595" s="5">
        <f>IF($F595="","",IF((IFERROR(INDEX('CAT_CENTROS_COSTO'!$E$4:$E$13,MATCH($F595,'CAT_CENTROS_COSTO'!$A$4:$A$13,0)),""))&lt;&gt;"",IFERROR(INDEX('CAT_CENTROS_COSTO'!$E$4:$E$13,MATCH($F595,'CAT_CENTROS_COSTO'!$A$4:$A$13,0)),""),$X595))</f>
        <v/>
      </c>
      <c r="Z595" s="5">
        <f>IF($F595="","",IFERROR(INDEX('CAT_CENTROS_COSTO'!$G$4:$G$13,MATCH($F595,'CAT_CENTROS_COSTO'!$A$4:$A$13,0)),"(sin catálogo)"))</f>
        <v/>
      </c>
      <c r="AA595" s="5">
        <f>IF($G595="","",IFERROR(INDEX('CAT_PUESTOS'!$B$4:$B$8,MATCH($G595,'CAT_PUESTOS'!$A$4:$A$8,0)),"(sin catálogo)"))</f>
        <v/>
      </c>
      <c r="AB595" s="5">
        <f>IF($H595="","",IFERROR(INDEX('CAT_ACTIVIDADES'!$B$4:$B$11,MATCH($H595,'CAT_ACTIVIDADES'!$A$4:$A$11,0)),"(sin catálogo)"))</f>
        <v/>
      </c>
      <c r="AC595" s="20">
        <f>IF($J595="","",TODAY()-$J595)</f>
        <v/>
      </c>
      <c r="AD595" s="20">
        <f>IF($J595="","",IF($J595&lt;=TODAY(),COUNTIFS(cal_fechas,"&gt;="&amp;$J595,cal_fechas,"&lt;"&amp;TODAY(),cal_habil,"sí"),-COUNTIFS(cal_fechas,"&gt;="&amp;TODAY(),cal_fechas,"&lt;"&amp;$J595,cal_habil,"sí")))</f>
        <v/>
      </c>
      <c r="AE595" s="5">
        <f>IF($AD595="","",IF($AD595&lt;0,"FUTURO",IF($AD595&gt;p_dias_backlog_max,"BACKLOG","MES CORRIENTE")))</f>
        <v/>
      </c>
      <c r="AF595" s="5">
        <f>IF($AD595="",FALSE,AND($AD595&gt;p_dias_backlog_min,$AD595&lt;=p_dias_backlog_max))</f>
        <v/>
      </c>
      <c r="AG595" s="4" t="n"/>
      <c r="AH595" s="5">
        <f>IF($AG595="","",IF((IFERROR(INDEX('ASIGNACIONES'!$J$4:$J$451,MATCH($O595&amp;"|"&amp;$S595&amp;"|"&amp;$AG595,'ASIGNACIONES'!$N$4:$N$451,0)),""))=0,"",IFERROR(INDEX('ASIGNACIONES'!$J$4:$J$451,MATCH($O595&amp;"|"&amp;$S595&amp;"|"&amp;$AG595,'ASIGNACIONES'!$N$4:$N$451,0)),"")))</f>
        <v/>
      </c>
      <c r="AI595" s="25">
        <f>IF($AG595="","",SUMIFS('ORDENES'!$M$4:$M$1203,'ORDENES'!$AG$4:$AG$1203,$AG595,'ORDENES'!$O$4:$O$1203,$O595,'ORDENES'!$S$4:$S$1203,$S595))</f>
        <v/>
      </c>
      <c r="AJ595" s="25">
        <f>IF($AI595="","",p_factor_productividad*IFERROR(INDEX('ASIGNACIONES'!$M$4:$M$451,MATCH($O595&amp;"|"&amp;$S595&amp;"|"&amp;$AG595,'ASIGNACIONES'!$N$4:$N$451,0)),0)-$AI595)</f>
        <v/>
      </c>
      <c r="AK595" s="18">
        <f>IF($A595="","",IFERROR(INDEX('2_IMPORTAR_EJECUCION'!$F$9:$F$1208,MATCH($AT595,'2_IMPORTAR_EJECUCION'!$J$9:$J$1208,0)),0))</f>
        <v/>
      </c>
      <c r="AL595" s="18">
        <f>IF($A595="","",MAX(0,IFERROR(INDEX('2_IMPORTAR_EJECUCION'!$H$9:$H$1208,MATCH($AT595,'2_IMPORTAR_EJECUCION'!$J$9:$J$1208,0)),0)-$AK595))</f>
        <v/>
      </c>
      <c r="AM595" s="18">
        <f>IF($A595="","",$AK595+$AL595)</f>
        <v/>
      </c>
      <c r="AN595" s="5">
        <f>IF($A595="","",IF(OR((IFERROR(INDEX('CAT_ACTIVIDADES'!$D$4:$D$11,MATCH($H595,'CAT_ACTIVIDADES'!$A$4:$A$11,0)),""))=0,(IFERROR(INDEX('CAT_ACTIVIDADES'!$D$4:$D$11,MATCH($H595,'CAT_ACTIVIDADES'!$A$4:$A$11,0)),""))=""),"SIN CLASIFICAR",IFERROR(INDEX('CAT_ACTIVIDADES'!$D$4:$D$11,MATCH($H595,'CAT_ACTIVIDADES'!$A$4:$A$11,0)),"")))</f>
        <v/>
      </c>
      <c r="AO595" s="4" t="n"/>
      <c r="AP595" s="4" t="n"/>
      <c r="AQ595" s="4" t="n"/>
      <c r="AR595" s="5">
        <f>IF($AQ595="","",HYPERLINK(p_ruta_base_checklists&amp;$AQ595,"abrir"))</f>
        <v/>
      </c>
      <c r="AS595" s="4" t="n"/>
      <c r="AT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2" t="n"/>
      <c r="K596" s="5" t="n"/>
      <c r="L596" s="18" t="n"/>
      <c r="M596" s="5">
        <f>IF($A596="","",IFERROR(INDEX('AJUSTES'!$B$4:$B$303,MATCH($AT596,'AJUSTES'!$A$4:$A$303,0)),IF($K596="","",$K596)))</f>
        <v/>
      </c>
      <c r="N596" s="5">
        <f>IF($A596="","",IFERROR(INDEX('CAT_ESTADOS_ERP'!$B$4:$B$7,MATCH(IFERROR(INDEX('2_IMPORTAR_EJECUCION'!$C$9:$C$1208,MATCH($AT596,'2_IMPORTAR_EJECUCION'!$J$9:$J$1208,0)),""),'CAT_ESTADOS_ERP'!$A$4:$A$7,0)),"Pendiente"))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IF($J596="","",$P596&amp;"-"&amp;TEXT($Q596,"00"))</f>
        <v/>
      </c>
      <c r="S596" s="5">
        <f>IF($J596="","",INDEX(lista_dias,WEEKDAY($J596,2)))</f>
        <v/>
      </c>
      <c r="T596" s="5">
        <f>IF($J596="","",IFERROR(INDEX('CALENDARIO'!$C$15:$C$214,MATCH(TEXT($J596,"yyyy-mm-dd")&amp;"|"&amp;$X596&amp;"|"&amp;$Y596,'CALENDARIO'!$G$15:$G$214,0)),IFERROR(INDEX('CALENDARIO'!$C$15:$C$214,MATCH(TEXT($J596,"yyyy-mm-dd")&amp;"|"&amp;$X596&amp;"|",'CALENDARIO'!$G$15:$G$214,0)),IFERROR(INDEX('CALENDARIO'!$C$15:$C$214,MATCH(TEXT($J596,"yyyy-mm-dd")&amp;"||",'CALENDARIO'!$G$15:$G$214,0)),INDEX(patronHabil,WEEKDAY($J596,2))))))</f>
        <v/>
      </c>
      <c r="U596" s="5">
        <f>IF($I596="","",IFERROR(INDEX('CAT_TIPOS_OT'!$C$4:$C$8,MATCH($I596,'CAT_TIPOS_OT'!$A$4:$A$8,0)),"sin_clasificar"))</f>
        <v/>
      </c>
      <c r="V596" s="5">
        <f>IF($I596="","",IF(IFERROR(INDEX('CAT_TIPOS_OT'!$D$4:$D$8,MATCH($I596,'CAT_TIPOS_OT'!$A$4:$A$8,0)),"SIN CLASIFICAR")="","SIN CLASIFICAR",IFERROR(INDEX('CAT_TIPOS_OT'!$D$4:$D$8,MATCH($I596,'CAT_TIPOS_OT'!$A$4:$A$8,0)),"SIN CLASIFICAR")))</f>
        <v/>
      </c>
      <c r="W596" s="5">
        <f>IF($F596="","",IFERROR(INDEX('CAT_CENTROS_COSTO'!$F$4:$F$13,MATCH($F596,'CAT_CENTROS_COSTO'!$A$4:$A$13,0)),"(sin catálogo)"))</f>
        <v/>
      </c>
      <c r="X596" s="5">
        <f>IF($F596="","",IFERROR(INDEX('CAT_CENTROS_COSTO'!$D$4:$D$13,MATCH($F596,'CAT_CENTROS_COSTO'!$A$4:$A$13,0)),"(sin catálogo)"))</f>
        <v/>
      </c>
      <c r="Y596" s="5">
        <f>IF($F596="","",IF((IFERROR(INDEX('CAT_CENTROS_COSTO'!$E$4:$E$13,MATCH($F596,'CAT_CENTROS_COSTO'!$A$4:$A$13,0)),""))&lt;&gt;"",IFERROR(INDEX('CAT_CENTROS_COSTO'!$E$4:$E$13,MATCH($F596,'CAT_CENTROS_COSTO'!$A$4:$A$13,0)),""),$X596))</f>
        <v/>
      </c>
      <c r="Z596" s="5">
        <f>IF($F596="","",IFERROR(INDEX('CAT_CENTROS_COSTO'!$G$4:$G$13,MATCH($F596,'CAT_CENTROS_COSTO'!$A$4:$A$13,0)),"(sin catálogo)"))</f>
        <v/>
      </c>
      <c r="AA596" s="5">
        <f>IF($G596="","",IFERROR(INDEX('CAT_PUESTOS'!$B$4:$B$8,MATCH($G596,'CAT_PUESTOS'!$A$4:$A$8,0)),"(sin catálogo)"))</f>
        <v/>
      </c>
      <c r="AB596" s="5">
        <f>IF($H596="","",IFERROR(INDEX('CAT_ACTIVIDADES'!$B$4:$B$11,MATCH($H596,'CAT_ACTIVIDADES'!$A$4:$A$11,0)),"(sin catálogo)"))</f>
        <v/>
      </c>
      <c r="AC596" s="20">
        <f>IF($J596="","",TODAY()-$J596)</f>
        <v/>
      </c>
      <c r="AD596" s="20">
        <f>IF($J596="","",IF($J596&lt;=TODAY(),COUNTIFS(cal_fechas,"&gt;="&amp;$J596,cal_fechas,"&lt;"&amp;TODAY(),cal_habil,"sí"),-COUNTIFS(cal_fechas,"&gt;="&amp;TODAY(),cal_fechas,"&lt;"&amp;$J596,cal_habil,"sí")))</f>
        <v/>
      </c>
      <c r="AE596" s="5">
        <f>IF($AD596="","",IF($AD596&lt;0,"FUTURO",IF($AD596&gt;p_dias_backlog_max,"BACKLOG","MES CORRIENTE")))</f>
        <v/>
      </c>
      <c r="AF596" s="5">
        <f>IF($AD596="",FALSE,AND($AD596&gt;p_dias_backlog_min,$AD596&lt;=p_dias_backlog_max))</f>
        <v/>
      </c>
      <c r="AG596" s="4" t="n"/>
      <c r="AH596" s="5">
        <f>IF($AG596="","",IF((IFERROR(INDEX('ASIGNACIONES'!$J$4:$J$451,MATCH($O596&amp;"|"&amp;$S596&amp;"|"&amp;$AG596,'ASIGNACIONES'!$N$4:$N$451,0)),""))=0,"",IFERROR(INDEX('ASIGNACIONES'!$J$4:$J$451,MATCH($O596&amp;"|"&amp;$S596&amp;"|"&amp;$AG596,'ASIGNACIONES'!$N$4:$N$451,0)),"")))</f>
        <v/>
      </c>
      <c r="AI596" s="25">
        <f>IF($AG596="","",SUMIFS('ORDENES'!$M$4:$M$1203,'ORDENES'!$AG$4:$AG$1203,$AG596,'ORDENES'!$O$4:$O$1203,$O596,'ORDENES'!$S$4:$S$1203,$S596))</f>
        <v/>
      </c>
      <c r="AJ596" s="25">
        <f>IF($AI596="","",p_factor_productividad*IFERROR(INDEX('ASIGNACIONES'!$M$4:$M$451,MATCH($O596&amp;"|"&amp;$S596&amp;"|"&amp;$AG596,'ASIGNACIONES'!$N$4:$N$451,0)),0)-$AI596)</f>
        <v/>
      </c>
      <c r="AK596" s="18">
        <f>IF($A596="","",IFERROR(INDEX('2_IMPORTAR_EJECUCION'!$F$9:$F$1208,MATCH($AT596,'2_IMPORTAR_EJECUCION'!$J$9:$J$1208,0)),0))</f>
        <v/>
      </c>
      <c r="AL596" s="18">
        <f>IF($A596="","",MAX(0,IFERROR(INDEX('2_IMPORTAR_EJECUCION'!$H$9:$H$1208,MATCH($AT596,'2_IMPORTAR_EJECUCION'!$J$9:$J$1208,0)),0)-$AK596))</f>
        <v/>
      </c>
      <c r="AM596" s="18">
        <f>IF($A596="","",$AK596+$AL596)</f>
        <v/>
      </c>
      <c r="AN596" s="5">
        <f>IF($A596="","",IF(OR((IFERROR(INDEX('CAT_ACTIVIDADES'!$D$4:$D$11,MATCH($H596,'CAT_ACTIVIDADES'!$A$4:$A$11,0)),""))=0,(IFERROR(INDEX('CAT_ACTIVIDADES'!$D$4:$D$11,MATCH($H596,'CAT_ACTIVIDADES'!$A$4:$A$11,0)),""))=""),"SIN CLASIFICAR",IFERROR(INDEX('CAT_ACTIVIDADES'!$D$4:$D$11,MATCH($H596,'CAT_ACTIVIDADES'!$A$4:$A$11,0)),"")))</f>
        <v/>
      </c>
      <c r="AO596" s="4" t="n"/>
      <c r="AP596" s="4" t="n"/>
      <c r="AQ596" s="4" t="n"/>
      <c r="AR596" s="5">
        <f>IF($AQ596="","",HYPERLINK(p_ruta_base_checklists&amp;$AQ596,"abrir"))</f>
        <v/>
      </c>
      <c r="AS596" s="4" t="n"/>
      <c r="AT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2" t="n"/>
      <c r="K597" s="5" t="n"/>
      <c r="L597" s="18" t="n"/>
      <c r="M597" s="5">
        <f>IF($A597="","",IFERROR(INDEX('AJUSTES'!$B$4:$B$303,MATCH($AT597,'AJUSTES'!$A$4:$A$303,0)),IF($K597="","",$K597)))</f>
        <v/>
      </c>
      <c r="N597" s="5">
        <f>IF($A597="","",IFERROR(INDEX('CAT_ESTADOS_ERP'!$B$4:$B$7,MATCH(IFERROR(INDEX('2_IMPORTAR_EJECUCION'!$C$9:$C$1208,MATCH($AT597,'2_IMPORTAR_EJECUCION'!$J$9:$J$1208,0)),""),'CAT_ESTADOS_ERP'!$A$4:$A$7,0)),"Pendiente"))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IF($J597="","",$P597&amp;"-"&amp;TEXT($Q597,"00"))</f>
        <v/>
      </c>
      <c r="S597" s="5">
        <f>IF($J597="","",INDEX(lista_dias,WEEKDAY($J597,2)))</f>
        <v/>
      </c>
      <c r="T597" s="5">
        <f>IF($J597="","",IFERROR(INDEX('CALENDARIO'!$C$15:$C$214,MATCH(TEXT($J597,"yyyy-mm-dd")&amp;"|"&amp;$X597&amp;"|"&amp;$Y597,'CALENDARIO'!$G$15:$G$214,0)),IFERROR(INDEX('CALENDARIO'!$C$15:$C$214,MATCH(TEXT($J597,"yyyy-mm-dd")&amp;"|"&amp;$X597&amp;"|",'CALENDARIO'!$G$15:$G$214,0)),IFERROR(INDEX('CALENDARIO'!$C$15:$C$214,MATCH(TEXT($J597,"yyyy-mm-dd")&amp;"||",'CALENDARIO'!$G$15:$G$214,0)),INDEX(patronHabil,WEEKDAY($J597,2))))))</f>
        <v/>
      </c>
      <c r="U597" s="5">
        <f>IF($I597="","",IFERROR(INDEX('CAT_TIPOS_OT'!$C$4:$C$8,MATCH($I597,'CAT_TIPOS_OT'!$A$4:$A$8,0)),"sin_clasificar"))</f>
        <v/>
      </c>
      <c r="V597" s="5">
        <f>IF($I597="","",IF(IFERROR(INDEX('CAT_TIPOS_OT'!$D$4:$D$8,MATCH($I597,'CAT_TIPOS_OT'!$A$4:$A$8,0)),"SIN CLASIFICAR")="","SIN CLASIFICAR",IFERROR(INDEX('CAT_TIPOS_OT'!$D$4:$D$8,MATCH($I597,'CAT_TIPOS_OT'!$A$4:$A$8,0)),"SIN CLASIFICAR")))</f>
        <v/>
      </c>
      <c r="W597" s="5">
        <f>IF($F597="","",IFERROR(INDEX('CAT_CENTROS_COSTO'!$F$4:$F$13,MATCH($F597,'CAT_CENTROS_COSTO'!$A$4:$A$13,0)),"(sin catálogo)"))</f>
        <v/>
      </c>
      <c r="X597" s="5">
        <f>IF($F597="","",IFERROR(INDEX('CAT_CENTROS_COSTO'!$D$4:$D$13,MATCH($F597,'CAT_CENTROS_COSTO'!$A$4:$A$13,0)),"(sin catálogo)"))</f>
        <v/>
      </c>
      <c r="Y597" s="5">
        <f>IF($F597="","",IF((IFERROR(INDEX('CAT_CENTROS_COSTO'!$E$4:$E$13,MATCH($F597,'CAT_CENTROS_COSTO'!$A$4:$A$13,0)),""))&lt;&gt;"",IFERROR(INDEX('CAT_CENTROS_COSTO'!$E$4:$E$13,MATCH($F597,'CAT_CENTROS_COSTO'!$A$4:$A$13,0)),""),$X597))</f>
        <v/>
      </c>
      <c r="Z597" s="5">
        <f>IF($F597="","",IFERROR(INDEX('CAT_CENTROS_COSTO'!$G$4:$G$13,MATCH($F597,'CAT_CENTROS_COSTO'!$A$4:$A$13,0)),"(sin catálogo)"))</f>
        <v/>
      </c>
      <c r="AA597" s="5">
        <f>IF($G597="","",IFERROR(INDEX('CAT_PUESTOS'!$B$4:$B$8,MATCH($G597,'CAT_PUESTOS'!$A$4:$A$8,0)),"(sin catálogo)"))</f>
        <v/>
      </c>
      <c r="AB597" s="5">
        <f>IF($H597="","",IFERROR(INDEX('CAT_ACTIVIDADES'!$B$4:$B$11,MATCH($H597,'CAT_ACTIVIDADES'!$A$4:$A$11,0)),"(sin catálogo)"))</f>
        <v/>
      </c>
      <c r="AC597" s="20">
        <f>IF($J597="","",TODAY()-$J597)</f>
        <v/>
      </c>
      <c r="AD597" s="20">
        <f>IF($J597="","",IF($J597&lt;=TODAY(),COUNTIFS(cal_fechas,"&gt;="&amp;$J597,cal_fechas,"&lt;"&amp;TODAY(),cal_habil,"sí"),-COUNTIFS(cal_fechas,"&gt;="&amp;TODAY(),cal_fechas,"&lt;"&amp;$J597,cal_habil,"sí")))</f>
        <v/>
      </c>
      <c r="AE597" s="5">
        <f>IF($AD597="","",IF($AD597&lt;0,"FUTURO",IF($AD597&gt;p_dias_backlog_max,"BACKLOG","MES CORRIENTE")))</f>
        <v/>
      </c>
      <c r="AF597" s="5">
        <f>IF($AD597="",FALSE,AND($AD597&gt;p_dias_backlog_min,$AD597&lt;=p_dias_backlog_max))</f>
        <v/>
      </c>
      <c r="AG597" s="4" t="n"/>
      <c r="AH597" s="5">
        <f>IF($AG597="","",IF((IFERROR(INDEX('ASIGNACIONES'!$J$4:$J$451,MATCH($O597&amp;"|"&amp;$S597&amp;"|"&amp;$AG597,'ASIGNACIONES'!$N$4:$N$451,0)),""))=0,"",IFERROR(INDEX('ASIGNACIONES'!$J$4:$J$451,MATCH($O597&amp;"|"&amp;$S597&amp;"|"&amp;$AG597,'ASIGNACIONES'!$N$4:$N$451,0)),"")))</f>
        <v/>
      </c>
      <c r="AI597" s="25">
        <f>IF($AG597="","",SUMIFS('ORDENES'!$M$4:$M$1203,'ORDENES'!$AG$4:$AG$1203,$AG597,'ORDENES'!$O$4:$O$1203,$O597,'ORDENES'!$S$4:$S$1203,$S597))</f>
        <v/>
      </c>
      <c r="AJ597" s="25">
        <f>IF($AI597="","",p_factor_productividad*IFERROR(INDEX('ASIGNACIONES'!$M$4:$M$451,MATCH($O597&amp;"|"&amp;$S597&amp;"|"&amp;$AG597,'ASIGNACIONES'!$N$4:$N$451,0)),0)-$AI597)</f>
        <v/>
      </c>
      <c r="AK597" s="18">
        <f>IF($A597="","",IFERROR(INDEX('2_IMPORTAR_EJECUCION'!$F$9:$F$1208,MATCH($AT597,'2_IMPORTAR_EJECUCION'!$J$9:$J$1208,0)),0))</f>
        <v/>
      </c>
      <c r="AL597" s="18">
        <f>IF($A597="","",MAX(0,IFERROR(INDEX('2_IMPORTAR_EJECUCION'!$H$9:$H$1208,MATCH($AT597,'2_IMPORTAR_EJECUCION'!$J$9:$J$1208,0)),0)-$AK597))</f>
        <v/>
      </c>
      <c r="AM597" s="18">
        <f>IF($A597="","",$AK597+$AL597)</f>
        <v/>
      </c>
      <c r="AN597" s="5">
        <f>IF($A597="","",IF(OR((IFERROR(INDEX('CAT_ACTIVIDADES'!$D$4:$D$11,MATCH($H597,'CAT_ACTIVIDADES'!$A$4:$A$11,0)),""))=0,(IFERROR(INDEX('CAT_ACTIVIDADES'!$D$4:$D$11,MATCH($H597,'CAT_ACTIVIDADES'!$A$4:$A$11,0)),""))=""),"SIN CLASIFICAR",IFERROR(INDEX('CAT_ACTIVIDADES'!$D$4:$D$11,MATCH($H597,'CAT_ACTIVIDADES'!$A$4:$A$11,0)),"")))</f>
        <v/>
      </c>
      <c r="AO597" s="4" t="n"/>
      <c r="AP597" s="4" t="n"/>
      <c r="AQ597" s="4" t="n"/>
      <c r="AR597" s="5">
        <f>IF($AQ597="","",HYPERLINK(p_ruta_base_checklists&amp;$AQ597,"abrir"))</f>
        <v/>
      </c>
      <c r="AS597" s="4" t="n"/>
      <c r="AT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2" t="n"/>
      <c r="K598" s="5" t="n"/>
      <c r="L598" s="18" t="n"/>
      <c r="M598" s="5">
        <f>IF($A598="","",IFERROR(INDEX('AJUSTES'!$B$4:$B$303,MATCH($AT598,'AJUSTES'!$A$4:$A$303,0)),IF($K598="","",$K598)))</f>
        <v/>
      </c>
      <c r="N598" s="5">
        <f>IF($A598="","",IFERROR(INDEX('CAT_ESTADOS_ERP'!$B$4:$B$7,MATCH(IFERROR(INDEX('2_IMPORTAR_EJECUCION'!$C$9:$C$1208,MATCH($AT598,'2_IMPORTAR_EJECUCION'!$J$9:$J$1208,0)),""),'CAT_ESTADOS_ERP'!$A$4:$A$7,0)),"Pendiente"))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IF($J598="","",$P598&amp;"-"&amp;TEXT($Q598,"00"))</f>
        <v/>
      </c>
      <c r="S598" s="5">
        <f>IF($J598="","",INDEX(lista_dias,WEEKDAY($J598,2)))</f>
        <v/>
      </c>
      <c r="T598" s="5">
        <f>IF($J598="","",IFERROR(INDEX('CALENDARIO'!$C$15:$C$214,MATCH(TEXT($J598,"yyyy-mm-dd")&amp;"|"&amp;$X598&amp;"|"&amp;$Y598,'CALENDARIO'!$G$15:$G$214,0)),IFERROR(INDEX('CALENDARIO'!$C$15:$C$214,MATCH(TEXT($J598,"yyyy-mm-dd")&amp;"|"&amp;$X598&amp;"|",'CALENDARIO'!$G$15:$G$214,0)),IFERROR(INDEX('CALENDARIO'!$C$15:$C$214,MATCH(TEXT($J598,"yyyy-mm-dd")&amp;"||",'CALENDARIO'!$G$15:$G$214,0)),INDEX(patronHabil,WEEKDAY($J598,2))))))</f>
        <v/>
      </c>
      <c r="U598" s="5">
        <f>IF($I598="","",IFERROR(INDEX('CAT_TIPOS_OT'!$C$4:$C$8,MATCH($I598,'CAT_TIPOS_OT'!$A$4:$A$8,0)),"sin_clasificar"))</f>
        <v/>
      </c>
      <c r="V598" s="5">
        <f>IF($I598="","",IF(IFERROR(INDEX('CAT_TIPOS_OT'!$D$4:$D$8,MATCH($I598,'CAT_TIPOS_OT'!$A$4:$A$8,0)),"SIN CLASIFICAR")="","SIN CLASIFICAR",IFERROR(INDEX('CAT_TIPOS_OT'!$D$4:$D$8,MATCH($I598,'CAT_TIPOS_OT'!$A$4:$A$8,0)),"SIN CLASIFICAR")))</f>
        <v/>
      </c>
      <c r="W598" s="5">
        <f>IF($F598="","",IFERROR(INDEX('CAT_CENTROS_COSTO'!$F$4:$F$13,MATCH($F598,'CAT_CENTROS_COSTO'!$A$4:$A$13,0)),"(sin catálogo)"))</f>
        <v/>
      </c>
      <c r="X598" s="5">
        <f>IF($F598="","",IFERROR(INDEX('CAT_CENTROS_COSTO'!$D$4:$D$13,MATCH($F598,'CAT_CENTROS_COSTO'!$A$4:$A$13,0)),"(sin catálogo)"))</f>
        <v/>
      </c>
      <c r="Y598" s="5">
        <f>IF($F598="","",IF((IFERROR(INDEX('CAT_CENTROS_COSTO'!$E$4:$E$13,MATCH($F598,'CAT_CENTROS_COSTO'!$A$4:$A$13,0)),""))&lt;&gt;"",IFERROR(INDEX('CAT_CENTROS_COSTO'!$E$4:$E$13,MATCH($F598,'CAT_CENTROS_COSTO'!$A$4:$A$13,0)),""),$X598))</f>
        <v/>
      </c>
      <c r="Z598" s="5">
        <f>IF($F598="","",IFERROR(INDEX('CAT_CENTROS_COSTO'!$G$4:$G$13,MATCH($F598,'CAT_CENTROS_COSTO'!$A$4:$A$13,0)),"(sin catálogo)"))</f>
        <v/>
      </c>
      <c r="AA598" s="5">
        <f>IF($G598="","",IFERROR(INDEX('CAT_PUESTOS'!$B$4:$B$8,MATCH($G598,'CAT_PUESTOS'!$A$4:$A$8,0)),"(sin catálogo)"))</f>
        <v/>
      </c>
      <c r="AB598" s="5">
        <f>IF($H598="","",IFERROR(INDEX('CAT_ACTIVIDADES'!$B$4:$B$11,MATCH($H598,'CAT_ACTIVIDADES'!$A$4:$A$11,0)),"(sin catálogo)"))</f>
        <v/>
      </c>
      <c r="AC598" s="20">
        <f>IF($J598="","",TODAY()-$J598)</f>
        <v/>
      </c>
      <c r="AD598" s="20">
        <f>IF($J598="","",IF($J598&lt;=TODAY(),COUNTIFS(cal_fechas,"&gt;="&amp;$J598,cal_fechas,"&lt;"&amp;TODAY(),cal_habil,"sí"),-COUNTIFS(cal_fechas,"&gt;="&amp;TODAY(),cal_fechas,"&lt;"&amp;$J598,cal_habil,"sí")))</f>
        <v/>
      </c>
      <c r="AE598" s="5">
        <f>IF($AD598="","",IF($AD598&lt;0,"FUTURO",IF($AD598&gt;p_dias_backlog_max,"BACKLOG","MES CORRIENTE")))</f>
        <v/>
      </c>
      <c r="AF598" s="5">
        <f>IF($AD598="",FALSE,AND($AD598&gt;p_dias_backlog_min,$AD598&lt;=p_dias_backlog_max))</f>
        <v/>
      </c>
      <c r="AG598" s="4" t="n"/>
      <c r="AH598" s="5">
        <f>IF($AG598="","",IF((IFERROR(INDEX('ASIGNACIONES'!$J$4:$J$451,MATCH($O598&amp;"|"&amp;$S598&amp;"|"&amp;$AG598,'ASIGNACIONES'!$N$4:$N$451,0)),""))=0,"",IFERROR(INDEX('ASIGNACIONES'!$J$4:$J$451,MATCH($O598&amp;"|"&amp;$S598&amp;"|"&amp;$AG598,'ASIGNACIONES'!$N$4:$N$451,0)),"")))</f>
        <v/>
      </c>
      <c r="AI598" s="25">
        <f>IF($AG598="","",SUMIFS('ORDENES'!$M$4:$M$1203,'ORDENES'!$AG$4:$AG$1203,$AG598,'ORDENES'!$O$4:$O$1203,$O598,'ORDENES'!$S$4:$S$1203,$S598))</f>
        <v/>
      </c>
      <c r="AJ598" s="25">
        <f>IF($AI598="","",p_factor_productividad*IFERROR(INDEX('ASIGNACIONES'!$M$4:$M$451,MATCH($O598&amp;"|"&amp;$S598&amp;"|"&amp;$AG598,'ASIGNACIONES'!$N$4:$N$451,0)),0)-$AI598)</f>
        <v/>
      </c>
      <c r="AK598" s="18">
        <f>IF($A598="","",IFERROR(INDEX('2_IMPORTAR_EJECUCION'!$F$9:$F$1208,MATCH($AT598,'2_IMPORTAR_EJECUCION'!$J$9:$J$1208,0)),0))</f>
        <v/>
      </c>
      <c r="AL598" s="18">
        <f>IF($A598="","",MAX(0,IFERROR(INDEX('2_IMPORTAR_EJECUCION'!$H$9:$H$1208,MATCH($AT598,'2_IMPORTAR_EJECUCION'!$J$9:$J$1208,0)),0)-$AK598))</f>
        <v/>
      </c>
      <c r="AM598" s="18">
        <f>IF($A598="","",$AK598+$AL598)</f>
        <v/>
      </c>
      <c r="AN598" s="5">
        <f>IF($A598="","",IF(OR((IFERROR(INDEX('CAT_ACTIVIDADES'!$D$4:$D$11,MATCH($H598,'CAT_ACTIVIDADES'!$A$4:$A$11,0)),""))=0,(IFERROR(INDEX('CAT_ACTIVIDADES'!$D$4:$D$11,MATCH($H598,'CAT_ACTIVIDADES'!$A$4:$A$11,0)),""))=""),"SIN CLASIFICAR",IFERROR(INDEX('CAT_ACTIVIDADES'!$D$4:$D$11,MATCH($H598,'CAT_ACTIVIDADES'!$A$4:$A$11,0)),"")))</f>
        <v/>
      </c>
      <c r="AO598" s="4" t="n"/>
      <c r="AP598" s="4" t="n"/>
      <c r="AQ598" s="4" t="n"/>
      <c r="AR598" s="5">
        <f>IF($AQ598="","",HYPERLINK(p_ruta_base_checklists&amp;$AQ598,"abrir"))</f>
        <v/>
      </c>
      <c r="AS598" s="4" t="n"/>
      <c r="AT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2" t="n"/>
      <c r="K599" s="5" t="n"/>
      <c r="L599" s="18" t="n"/>
      <c r="M599" s="5">
        <f>IF($A599="","",IFERROR(INDEX('AJUSTES'!$B$4:$B$303,MATCH($AT599,'AJUSTES'!$A$4:$A$303,0)),IF($K599="","",$K599)))</f>
        <v/>
      </c>
      <c r="N599" s="5">
        <f>IF($A599="","",IFERROR(INDEX('CAT_ESTADOS_ERP'!$B$4:$B$7,MATCH(IFERROR(INDEX('2_IMPORTAR_EJECUCION'!$C$9:$C$1208,MATCH($AT599,'2_IMPORTAR_EJECUCION'!$J$9:$J$1208,0)),""),'CAT_ESTADOS_ERP'!$A$4:$A$7,0)),"Pendiente"))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IF($J599="","",$P599&amp;"-"&amp;TEXT($Q599,"00"))</f>
        <v/>
      </c>
      <c r="S599" s="5">
        <f>IF($J599="","",INDEX(lista_dias,WEEKDAY($J599,2)))</f>
        <v/>
      </c>
      <c r="T599" s="5">
        <f>IF($J599="","",IFERROR(INDEX('CALENDARIO'!$C$15:$C$214,MATCH(TEXT($J599,"yyyy-mm-dd")&amp;"|"&amp;$X599&amp;"|"&amp;$Y599,'CALENDARIO'!$G$15:$G$214,0)),IFERROR(INDEX('CALENDARIO'!$C$15:$C$214,MATCH(TEXT($J599,"yyyy-mm-dd")&amp;"|"&amp;$X599&amp;"|",'CALENDARIO'!$G$15:$G$214,0)),IFERROR(INDEX('CALENDARIO'!$C$15:$C$214,MATCH(TEXT($J599,"yyyy-mm-dd")&amp;"||",'CALENDARIO'!$G$15:$G$214,0)),INDEX(patronHabil,WEEKDAY($J599,2))))))</f>
        <v/>
      </c>
      <c r="U599" s="5">
        <f>IF($I599="","",IFERROR(INDEX('CAT_TIPOS_OT'!$C$4:$C$8,MATCH($I599,'CAT_TIPOS_OT'!$A$4:$A$8,0)),"sin_clasificar"))</f>
        <v/>
      </c>
      <c r="V599" s="5">
        <f>IF($I599="","",IF(IFERROR(INDEX('CAT_TIPOS_OT'!$D$4:$D$8,MATCH($I599,'CAT_TIPOS_OT'!$A$4:$A$8,0)),"SIN CLASIFICAR")="","SIN CLASIFICAR",IFERROR(INDEX('CAT_TIPOS_OT'!$D$4:$D$8,MATCH($I599,'CAT_TIPOS_OT'!$A$4:$A$8,0)),"SIN CLASIFICAR")))</f>
        <v/>
      </c>
      <c r="W599" s="5">
        <f>IF($F599="","",IFERROR(INDEX('CAT_CENTROS_COSTO'!$F$4:$F$13,MATCH($F599,'CAT_CENTROS_COSTO'!$A$4:$A$13,0)),"(sin catálogo)"))</f>
        <v/>
      </c>
      <c r="X599" s="5">
        <f>IF($F599="","",IFERROR(INDEX('CAT_CENTROS_COSTO'!$D$4:$D$13,MATCH($F599,'CAT_CENTROS_COSTO'!$A$4:$A$13,0)),"(sin catálogo)"))</f>
        <v/>
      </c>
      <c r="Y599" s="5">
        <f>IF($F599="","",IF((IFERROR(INDEX('CAT_CENTROS_COSTO'!$E$4:$E$13,MATCH($F599,'CAT_CENTROS_COSTO'!$A$4:$A$13,0)),""))&lt;&gt;"",IFERROR(INDEX('CAT_CENTROS_COSTO'!$E$4:$E$13,MATCH($F599,'CAT_CENTROS_COSTO'!$A$4:$A$13,0)),""),$X599))</f>
        <v/>
      </c>
      <c r="Z599" s="5">
        <f>IF($F599="","",IFERROR(INDEX('CAT_CENTROS_COSTO'!$G$4:$G$13,MATCH($F599,'CAT_CENTROS_COSTO'!$A$4:$A$13,0)),"(sin catálogo)"))</f>
        <v/>
      </c>
      <c r="AA599" s="5">
        <f>IF($G599="","",IFERROR(INDEX('CAT_PUESTOS'!$B$4:$B$8,MATCH($G599,'CAT_PUESTOS'!$A$4:$A$8,0)),"(sin catálogo)"))</f>
        <v/>
      </c>
      <c r="AB599" s="5">
        <f>IF($H599="","",IFERROR(INDEX('CAT_ACTIVIDADES'!$B$4:$B$11,MATCH($H599,'CAT_ACTIVIDADES'!$A$4:$A$11,0)),"(sin catálogo)"))</f>
        <v/>
      </c>
      <c r="AC599" s="20">
        <f>IF($J599="","",TODAY()-$J599)</f>
        <v/>
      </c>
      <c r="AD599" s="20">
        <f>IF($J599="","",IF($J599&lt;=TODAY(),COUNTIFS(cal_fechas,"&gt;="&amp;$J599,cal_fechas,"&lt;"&amp;TODAY(),cal_habil,"sí"),-COUNTIFS(cal_fechas,"&gt;="&amp;TODAY(),cal_fechas,"&lt;"&amp;$J599,cal_habil,"sí")))</f>
        <v/>
      </c>
      <c r="AE599" s="5">
        <f>IF($AD599="","",IF($AD599&lt;0,"FUTURO",IF($AD599&gt;p_dias_backlog_max,"BACKLOG","MES CORRIENTE")))</f>
        <v/>
      </c>
      <c r="AF599" s="5">
        <f>IF($AD599="",FALSE,AND($AD599&gt;p_dias_backlog_min,$AD599&lt;=p_dias_backlog_max))</f>
        <v/>
      </c>
      <c r="AG599" s="4" t="n"/>
      <c r="AH599" s="5">
        <f>IF($AG599="","",IF((IFERROR(INDEX('ASIGNACIONES'!$J$4:$J$451,MATCH($O599&amp;"|"&amp;$S599&amp;"|"&amp;$AG599,'ASIGNACIONES'!$N$4:$N$451,0)),""))=0,"",IFERROR(INDEX('ASIGNACIONES'!$J$4:$J$451,MATCH($O599&amp;"|"&amp;$S599&amp;"|"&amp;$AG599,'ASIGNACIONES'!$N$4:$N$451,0)),"")))</f>
        <v/>
      </c>
      <c r="AI599" s="25">
        <f>IF($AG599="","",SUMIFS('ORDENES'!$M$4:$M$1203,'ORDENES'!$AG$4:$AG$1203,$AG599,'ORDENES'!$O$4:$O$1203,$O599,'ORDENES'!$S$4:$S$1203,$S599))</f>
        <v/>
      </c>
      <c r="AJ599" s="25">
        <f>IF($AI599="","",p_factor_productividad*IFERROR(INDEX('ASIGNACIONES'!$M$4:$M$451,MATCH($O599&amp;"|"&amp;$S599&amp;"|"&amp;$AG599,'ASIGNACIONES'!$N$4:$N$451,0)),0)-$AI599)</f>
        <v/>
      </c>
      <c r="AK599" s="18">
        <f>IF($A599="","",IFERROR(INDEX('2_IMPORTAR_EJECUCION'!$F$9:$F$1208,MATCH($AT599,'2_IMPORTAR_EJECUCION'!$J$9:$J$1208,0)),0))</f>
        <v/>
      </c>
      <c r="AL599" s="18">
        <f>IF($A599="","",MAX(0,IFERROR(INDEX('2_IMPORTAR_EJECUCION'!$H$9:$H$1208,MATCH($AT599,'2_IMPORTAR_EJECUCION'!$J$9:$J$1208,0)),0)-$AK599))</f>
        <v/>
      </c>
      <c r="AM599" s="18">
        <f>IF($A599="","",$AK599+$AL599)</f>
        <v/>
      </c>
      <c r="AN599" s="5">
        <f>IF($A599="","",IF(OR((IFERROR(INDEX('CAT_ACTIVIDADES'!$D$4:$D$11,MATCH($H599,'CAT_ACTIVIDADES'!$A$4:$A$11,0)),""))=0,(IFERROR(INDEX('CAT_ACTIVIDADES'!$D$4:$D$11,MATCH($H599,'CAT_ACTIVIDADES'!$A$4:$A$11,0)),""))=""),"SIN CLASIFICAR",IFERROR(INDEX('CAT_ACTIVIDADES'!$D$4:$D$11,MATCH($H599,'CAT_ACTIVIDADES'!$A$4:$A$11,0)),"")))</f>
        <v/>
      </c>
      <c r="AO599" s="4" t="n"/>
      <c r="AP599" s="4" t="n"/>
      <c r="AQ599" s="4" t="n"/>
      <c r="AR599" s="5">
        <f>IF($AQ599="","",HYPERLINK(p_ruta_base_checklists&amp;$AQ599,"abrir"))</f>
        <v/>
      </c>
      <c r="AS599" s="4" t="n"/>
      <c r="AT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2" t="n"/>
      <c r="K600" s="5" t="n"/>
      <c r="L600" s="18" t="n"/>
      <c r="M600" s="5">
        <f>IF($A600="","",IFERROR(INDEX('AJUSTES'!$B$4:$B$303,MATCH($AT600,'AJUSTES'!$A$4:$A$303,0)),IF($K600="","",$K600)))</f>
        <v/>
      </c>
      <c r="N600" s="5">
        <f>IF($A600="","",IFERROR(INDEX('CAT_ESTADOS_ERP'!$B$4:$B$7,MATCH(IFERROR(INDEX('2_IMPORTAR_EJECUCION'!$C$9:$C$1208,MATCH($AT600,'2_IMPORTAR_EJECUCION'!$J$9:$J$1208,0)),""),'CAT_ESTADOS_ERP'!$A$4:$A$7,0)),"Pendiente"))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IF($J600="","",$P600&amp;"-"&amp;TEXT($Q600,"00"))</f>
        <v/>
      </c>
      <c r="S600" s="5">
        <f>IF($J600="","",INDEX(lista_dias,WEEKDAY($J600,2)))</f>
        <v/>
      </c>
      <c r="T600" s="5">
        <f>IF($J600="","",IFERROR(INDEX('CALENDARIO'!$C$15:$C$214,MATCH(TEXT($J600,"yyyy-mm-dd")&amp;"|"&amp;$X600&amp;"|"&amp;$Y600,'CALENDARIO'!$G$15:$G$214,0)),IFERROR(INDEX('CALENDARIO'!$C$15:$C$214,MATCH(TEXT($J600,"yyyy-mm-dd")&amp;"|"&amp;$X600&amp;"|",'CALENDARIO'!$G$15:$G$214,0)),IFERROR(INDEX('CALENDARIO'!$C$15:$C$214,MATCH(TEXT($J600,"yyyy-mm-dd")&amp;"||",'CALENDARIO'!$G$15:$G$214,0)),INDEX(patronHabil,WEEKDAY($J600,2))))))</f>
        <v/>
      </c>
      <c r="U600" s="5">
        <f>IF($I600="","",IFERROR(INDEX('CAT_TIPOS_OT'!$C$4:$C$8,MATCH($I600,'CAT_TIPOS_OT'!$A$4:$A$8,0)),"sin_clasificar"))</f>
        <v/>
      </c>
      <c r="V600" s="5">
        <f>IF($I600="","",IF(IFERROR(INDEX('CAT_TIPOS_OT'!$D$4:$D$8,MATCH($I600,'CAT_TIPOS_OT'!$A$4:$A$8,0)),"SIN CLASIFICAR")="","SIN CLASIFICAR",IFERROR(INDEX('CAT_TIPOS_OT'!$D$4:$D$8,MATCH($I600,'CAT_TIPOS_OT'!$A$4:$A$8,0)),"SIN CLASIFICAR")))</f>
        <v/>
      </c>
      <c r="W600" s="5">
        <f>IF($F600="","",IFERROR(INDEX('CAT_CENTROS_COSTO'!$F$4:$F$13,MATCH($F600,'CAT_CENTROS_COSTO'!$A$4:$A$13,0)),"(sin catálogo)"))</f>
        <v/>
      </c>
      <c r="X600" s="5">
        <f>IF($F600="","",IFERROR(INDEX('CAT_CENTROS_COSTO'!$D$4:$D$13,MATCH($F600,'CAT_CENTROS_COSTO'!$A$4:$A$13,0)),"(sin catálogo)"))</f>
        <v/>
      </c>
      <c r="Y600" s="5">
        <f>IF($F600="","",IF((IFERROR(INDEX('CAT_CENTROS_COSTO'!$E$4:$E$13,MATCH($F600,'CAT_CENTROS_COSTO'!$A$4:$A$13,0)),""))&lt;&gt;"",IFERROR(INDEX('CAT_CENTROS_COSTO'!$E$4:$E$13,MATCH($F600,'CAT_CENTROS_COSTO'!$A$4:$A$13,0)),""),$X600))</f>
        <v/>
      </c>
      <c r="Z600" s="5">
        <f>IF($F600="","",IFERROR(INDEX('CAT_CENTROS_COSTO'!$G$4:$G$13,MATCH($F600,'CAT_CENTROS_COSTO'!$A$4:$A$13,0)),"(sin catálogo)"))</f>
        <v/>
      </c>
      <c r="AA600" s="5">
        <f>IF($G600="","",IFERROR(INDEX('CAT_PUESTOS'!$B$4:$B$8,MATCH($G600,'CAT_PUESTOS'!$A$4:$A$8,0)),"(sin catálogo)"))</f>
        <v/>
      </c>
      <c r="AB600" s="5">
        <f>IF($H600="","",IFERROR(INDEX('CAT_ACTIVIDADES'!$B$4:$B$11,MATCH($H600,'CAT_ACTIVIDADES'!$A$4:$A$11,0)),"(sin catálogo)"))</f>
        <v/>
      </c>
      <c r="AC600" s="20">
        <f>IF($J600="","",TODAY()-$J600)</f>
        <v/>
      </c>
      <c r="AD600" s="20">
        <f>IF($J600="","",IF($J600&lt;=TODAY(),COUNTIFS(cal_fechas,"&gt;="&amp;$J600,cal_fechas,"&lt;"&amp;TODAY(),cal_habil,"sí"),-COUNTIFS(cal_fechas,"&gt;="&amp;TODAY(),cal_fechas,"&lt;"&amp;$J600,cal_habil,"sí")))</f>
        <v/>
      </c>
      <c r="AE600" s="5">
        <f>IF($AD600="","",IF($AD600&lt;0,"FUTURO",IF($AD600&gt;p_dias_backlog_max,"BACKLOG","MES CORRIENTE")))</f>
        <v/>
      </c>
      <c r="AF600" s="5">
        <f>IF($AD600="",FALSE,AND($AD600&gt;p_dias_backlog_min,$AD600&lt;=p_dias_backlog_max))</f>
        <v/>
      </c>
      <c r="AG600" s="4" t="n"/>
      <c r="AH600" s="5">
        <f>IF($AG600="","",IF((IFERROR(INDEX('ASIGNACIONES'!$J$4:$J$451,MATCH($O600&amp;"|"&amp;$S600&amp;"|"&amp;$AG600,'ASIGNACIONES'!$N$4:$N$451,0)),""))=0,"",IFERROR(INDEX('ASIGNACIONES'!$J$4:$J$451,MATCH($O600&amp;"|"&amp;$S600&amp;"|"&amp;$AG600,'ASIGNACIONES'!$N$4:$N$451,0)),"")))</f>
        <v/>
      </c>
      <c r="AI600" s="25">
        <f>IF($AG600="","",SUMIFS('ORDENES'!$M$4:$M$1203,'ORDENES'!$AG$4:$AG$1203,$AG600,'ORDENES'!$O$4:$O$1203,$O600,'ORDENES'!$S$4:$S$1203,$S600))</f>
        <v/>
      </c>
      <c r="AJ600" s="25">
        <f>IF($AI600="","",p_factor_productividad*IFERROR(INDEX('ASIGNACIONES'!$M$4:$M$451,MATCH($O600&amp;"|"&amp;$S600&amp;"|"&amp;$AG600,'ASIGNACIONES'!$N$4:$N$451,0)),0)-$AI600)</f>
        <v/>
      </c>
      <c r="AK600" s="18">
        <f>IF($A600="","",IFERROR(INDEX('2_IMPORTAR_EJECUCION'!$F$9:$F$1208,MATCH($AT600,'2_IMPORTAR_EJECUCION'!$J$9:$J$1208,0)),0))</f>
        <v/>
      </c>
      <c r="AL600" s="18">
        <f>IF($A600="","",MAX(0,IFERROR(INDEX('2_IMPORTAR_EJECUCION'!$H$9:$H$1208,MATCH($AT600,'2_IMPORTAR_EJECUCION'!$J$9:$J$1208,0)),0)-$AK600))</f>
        <v/>
      </c>
      <c r="AM600" s="18">
        <f>IF($A600="","",$AK600+$AL600)</f>
        <v/>
      </c>
      <c r="AN600" s="5">
        <f>IF($A600="","",IF(OR((IFERROR(INDEX('CAT_ACTIVIDADES'!$D$4:$D$11,MATCH($H600,'CAT_ACTIVIDADES'!$A$4:$A$11,0)),""))=0,(IFERROR(INDEX('CAT_ACTIVIDADES'!$D$4:$D$11,MATCH($H600,'CAT_ACTIVIDADES'!$A$4:$A$11,0)),""))=""),"SIN CLASIFICAR",IFERROR(INDEX('CAT_ACTIVIDADES'!$D$4:$D$11,MATCH($H600,'CAT_ACTIVIDADES'!$A$4:$A$11,0)),"")))</f>
        <v/>
      </c>
      <c r="AO600" s="4" t="n"/>
      <c r="AP600" s="4" t="n"/>
      <c r="AQ600" s="4" t="n"/>
      <c r="AR600" s="5">
        <f>IF($AQ600="","",HYPERLINK(p_ruta_base_checklists&amp;$AQ600,"abrir"))</f>
        <v/>
      </c>
      <c r="AS600" s="4" t="n"/>
      <c r="AT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2" t="n"/>
      <c r="K601" s="5" t="n"/>
      <c r="L601" s="18" t="n"/>
      <c r="M601" s="5">
        <f>IF($A601="","",IFERROR(INDEX('AJUSTES'!$B$4:$B$303,MATCH($AT601,'AJUSTES'!$A$4:$A$303,0)),IF($K601="","",$K601)))</f>
        <v/>
      </c>
      <c r="N601" s="5">
        <f>IF($A601="","",IFERROR(INDEX('CAT_ESTADOS_ERP'!$B$4:$B$7,MATCH(IFERROR(INDEX('2_IMPORTAR_EJECUCION'!$C$9:$C$1208,MATCH($AT601,'2_IMPORTAR_EJECUCION'!$J$9:$J$1208,0)),""),'CAT_ESTADOS_ERP'!$A$4:$A$7,0)),"Pendiente"))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IF($J601="","",$P601&amp;"-"&amp;TEXT($Q601,"00"))</f>
        <v/>
      </c>
      <c r="S601" s="5">
        <f>IF($J601="","",INDEX(lista_dias,WEEKDAY($J601,2)))</f>
        <v/>
      </c>
      <c r="T601" s="5">
        <f>IF($J601="","",IFERROR(INDEX('CALENDARIO'!$C$15:$C$214,MATCH(TEXT($J601,"yyyy-mm-dd")&amp;"|"&amp;$X601&amp;"|"&amp;$Y601,'CALENDARIO'!$G$15:$G$214,0)),IFERROR(INDEX('CALENDARIO'!$C$15:$C$214,MATCH(TEXT($J601,"yyyy-mm-dd")&amp;"|"&amp;$X601&amp;"|",'CALENDARIO'!$G$15:$G$214,0)),IFERROR(INDEX('CALENDARIO'!$C$15:$C$214,MATCH(TEXT($J601,"yyyy-mm-dd")&amp;"||",'CALENDARIO'!$G$15:$G$214,0)),INDEX(patronHabil,WEEKDAY($J601,2))))))</f>
        <v/>
      </c>
      <c r="U601" s="5">
        <f>IF($I601="","",IFERROR(INDEX('CAT_TIPOS_OT'!$C$4:$C$8,MATCH($I601,'CAT_TIPOS_OT'!$A$4:$A$8,0)),"sin_clasificar"))</f>
        <v/>
      </c>
      <c r="V601" s="5">
        <f>IF($I601="","",IF(IFERROR(INDEX('CAT_TIPOS_OT'!$D$4:$D$8,MATCH($I601,'CAT_TIPOS_OT'!$A$4:$A$8,0)),"SIN CLASIFICAR")="","SIN CLASIFICAR",IFERROR(INDEX('CAT_TIPOS_OT'!$D$4:$D$8,MATCH($I601,'CAT_TIPOS_OT'!$A$4:$A$8,0)),"SIN CLASIFICAR")))</f>
        <v/>
      </c>
      <c r="W601" s="5">
        <f>IF($F601="","",IFERROR(INDEX('CAT_CENTROS_COSTO'!$F$4:$F$13,MATCH($F601,'CAT_CENTROS_COSTO'!$A$4:$A$13,0)),"(sin catálogo)"))</f>
        <v/>
      </c>
      <c r="X601" s="5">
        <f>IF($F601="","",IFERROR(INDEX('CAT_CENTROS_COSTO'!$D$4:$D$13,MATCH($F601,'CAT_CENTROS_COSTO'!$A$4:$A$13,0)),"(sin catálogo)"))</f>
        <v/>
      </c>
      <c r="Y601" s="5">
        <f>IF($F601="","",IF((IFERROR(INDEX('CAT_CENTROS_COSTO'!$E$4:$E$13,MATCH($F601,'CAT_CENTROS_COSTO'!$A$4:$A$13,0)),""))&lt;&gt;"",IFERROR(INDEX('CAT_CENTROS_COSTO'!$E$4:$E$13,MATCH($F601,'CAT_CENTROS_COSTO'!$A$4:$A$13,0)),""),$X601))</f>
        <v/>
      </c>
      <c r="Z601" s="5">
        <f>IF($F601="","",IFERROR(INDEX('CAT_CENTROS_COSTO'!$G$4:$G$13,MATCH($F601,'CAT_CENTROS_COSTO'!$A$4:$A$13,0)),"(sin catálogo)"))</f>
        <v/>
      </c>
      <c r="AA601" s="5">
        <f>IF($G601="","",IFERROR(INDEX('CAT_PUESTOS'!$B$4:$B$8,MATCH($G601,'CAT_PUESTOS'!$A$4:$A$8,0)),"(sin catálogo)"))</f>
        <v/>
      </c>
      <c r="AB601" s="5">
        <f>IF($H601="","",IFERROR(INDEX('CAT_ACTIVIDADES'!$B$4:$B$11,MATCH($H601,'CAT_ACTIVIDADES'!$A$4:$A$11,0)),"(sin catálogo)"))</f>
        <v/>
      </c>
      <c r="AC601" s="20">
        <f>IF($J601="","",TODAY()-$J601)</f>
        <v/>
      </c>
      <c r="AD601" s="20">
        <f>IF($J601="","",IF($J601&lt;=TODAY(),COUNTIFS(cal_fechas,"&gt;="&amp;$J601,cal_fechas,"&lt;"&amp;TODAY(),cal_habil,"sí"),-COUNTIFS(cal_fechas,"&gt;="&amp;TODAY(),cal_fechas,"&lt;"&amp;$J601,cal_habil,"sí")))</f>
        <v/>
      </c>
      <c r="AE601" s="5">
        <f>IF($AD601="","",IF($AD601&lt;0,"FUTURO",IF($AD601&gt;p_dias_backlog_max,"BACKLOG","MES CORRIENTE")))</f>
        <v/>
      </c>
      <c r="AF601" s="5">
        <f>IF($AD601="",FALSE,AND($AD601&gt;p_dias_backlog_min,$AD601&lt;=p_dias_backlog_max))</f>
        <v/>
      </c>
      <c r="AG601" s="4" t="n"/>
      <c r="AH601" s="5">
        <f>IF($AG601="","",IF((IFERROR(INDEX('ASIGNACIONES'!$J$4:$J$451,MATCH($O601&amp;"|"&amp;$S601&amp;"|"&amp;$AG601,'ASIGNACIONES'!$N$4:$N$451,0)),""))=0,"",IFERROR(INDEX('ASIGNACIONES'!$J$4:$J$451,MATCH($O601&amp;"|"&amp;$S601&amp;"|"&amp;$AG601,'ASIGNACIONES'!$N$4:$N$451,0)),"")))</f>
        <v/>
      </c>
      <c r="AI601" s="25">
        <f>IF($AG601="","",SUMIFS('ORDENES'!$M$4:$M$1203,'ORDENES'!$AG$4:$AG$1203,$AG601,'ORDENES'!$O$4:$O$1203,$O601,'ORDENES'!$S$4:$S$1203,$S601))</f>
        <v/>
      </c>
      <c r="AJ601" s="25">
        <f>IF($AI601="","",p_factor_productividad*IFERROR(INDEX('ASIGNACIONES'!$M$4:$M$451,MATCH($O601&amp;"|"&amp;$S601&amp;"|"&amp;$AG601,'ASIGNACIONES'!$N$4:$N$451,0)),0)-$AI601)</f>
        <v/>
      </c>
      <c r="AK601" s="18">
        <f>IF($A601="","",IFERROR(INDEX('2_IMPORTAR_EJECUCION'!$F$9:$F$1208,MATCH($AT601,'2_IMPORTAR_EJECUCION'!$J$9:$J$1208,0)),0))</f>
        <v/>
      </c>
      <c r="AL601" s="18">
        <f>IF($A601="","",MAX(0,IFERROR(INDEX('2_IMPORTAR_EJECUCION'!$H$9:$H$1208,MATCH($AT601,'2_IMPORTAR_EJECUCION'!$J$9:$J$1208,0)),0)-$AK601))</f>
        <v/>
      </c>
      <c r="AM601" s="18">
        <f>IF($A601="","",$AK601+$AL601)</f>
        <v/>
      </c>
      <c r="AN601" s="5">
        <f>IF($A601="","",IF(OR((IFERROR(INDEX('CAT_ACTIVIDADES'!$D$4:$D$11,MATCH($H601,'CAT_ACTIVIDADES'!$A$4:$A$11,0)),""))=0,(IFERROR(INDEX('CAT_ACTIVIDADES'!$D$4:$D$11,MATCH($H601,'CAT_ACTIVIDADES'!$A$4:$A$11,0)),""))=""),"SIN CLASIFICAR",IFERROR(INDEX('CAT_ACTIVIDADES'!$D$4:$D$11,MATCH($H601,'CAT_ACTIVIDADES'!$A$4:$A$11,0)),"")))</f>
        <v/>
      </c>
      <c r="AO601" s="4" t="n"/>
      <c r="AP601" s="4" t="n"/>
      <c r="AQ601" s="4" t="n"/>
      <c r="AR601" s="5">
        <f>IF($AQ601="","",HYPERLINK(p_ruta_base_checklists&amp;$AQ601,"abrir"))</f>
        <v/>
      </c>
      <c r="AS601" s="4" t="n"/>
      <c r="AT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2" t="n"/>
      <c r="K602" s="5" t="n"/>
      <c r="L602" s="18" t="n"/>
      <c r="M602" s="5">
        <f>IF($A602="","",IFERROR(INDEX('AJUSTES'!$B$4:$B$303,MATCH($AT602,'AJUSTES'!$A$4:$A$303,0)),IF($K602="","",$K602)))</f>
        <v/>
      </c>
      <c r="N602" s="5">
        <f>IF($A602="","",IFERROR(INDEX('CAT_ESTADOS_ERP'!$B$4:$B$7,MATCH(IFERROR(INDEX('2_IMPORTAR_EJECUCION'!$C$9:$C$1208,MATCH($AT602,'2_IMPORTAR_EJECUCION'!$J$9:$J$1208,0)),""),'CAT_ESTADOS_ERP'!$A$4:$A$7,0)),"Pendiente"))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IF($J602="","",$P602&amp;"-"&amp;TEXT($Q602,"00"))</f>
        <v/>
      </c>
      <c r="S602" s="5">
        <f>IF($J602="","",INDEX(lista_dias,WEEKDAY($J602,2)))</f>
        <v/>
      </c>
      <c r="T602" s="5">
        <f>IF($J602="","",IFERROR(INDEX('CALENDARIO'!$C$15:$C$214,MATCH(TEXT($J602,"yyyy-mm-dd")&amp;"|"&amp;$X602&amp;"|"&amp;$Y602,'CALENDARIO'!$G$15:$G$214,0)),IFERROR(INDEX('CALENDARIO'!$C$15:$C$214,MATCH(TEXT($J602,"yyyy-mm-dd")&amp;"|"&amp;$X602&amp;"|",'CALENDARIO'!$G$15:$G$214,0)),IFERROR(INDEX('CALENDARIO'!$C$15:$C$214,MATCH(TEXT($J602,"yyyy-mm-dd")&amp;"||",'CALENDARIO'!$G$15:$G$214,0)),INDEX(patronHabil,WEEKDAY($J602,2))))))</f>
        <v/>
      </c>
      <c r="U602" s="5">
        <f>IF($I602="","",IFERROR(INDEX('CAT_TIPOS_OT'!$C$4:$C$8,MATCH($I602,'CAT_TIPOS_OT'!$A$4:$A$8,0)),"sin_clasificar"))</f>
        <v/>
      </c>
      <c r="V602" s="5">
        <f>IF($I602="","",IF(IFERROR(INDEX('CAT_TIPOS_OT'!$D$4:$D$8,MATCH($I602,'CAT_TIPOS_OT'!$A$4:$A$8,0)),"SIN CLASIFICAR")="","SIN CLASIFICAR",IFERROR(INDEX('CAT_TIPOS_OT'!$D$4:$D$8,MATCH($I602,'CAT_TIPOS_OT'!$A$4:$A$8,0)),"SIN CLASIFICAR")))</f>
        <v/>
      </c>
      <c r="W602" s="5">
        <f>IF($F602="","",IFERROR(INDEX('CAT_CENTROS_COSTO'!$F$4:$F$13,MATCH($F602,'CAT_CENTROS_COSTO'!$A$4:$A$13,0)),"(sin catálogo)"))</f>
        <v/>
      </c>
      <c r="X602" s="5">
        <f>IF($F602="","",IFERROR(INDEX('CAT_CENTROS_COSTO'!$D$4:$D$13,MATCH($F602,'CAT_CENTROS_COSTO'!$A$4:$A$13,0)),"(sin catálogo)"))</f>
        <v/>
      </c>
      <c r="Y602" s="5">
        <f>IF($F602="","",IF((IFERROR(INDEX('CAT_CENTROS_COSTO'!$E$4:$E$13,MATCH($F602,'CAT_CENTROS_COSTO'!$A$4:$A$13,0)),""))&lt;&gt;"",IFERROR(INDEX('CAT_CENTROS_COSTO'!$E$4:$E$13,MATCH($F602,'CAT_CENTROS_COSTO'!$A$4:$A$13,0)),""),$X602))</f>
        <v/>
      </c>
      <c r="Z602" s="5">
        <f>IF($F602="","",IFERROR(INDEX('CAT_CENTROS_COSTO'!$G$4:$G$13,MATCH($F602,'CAT_CENTROS_COSTO'!$A$4:$A$13,0)),"(sin catálogo)"))</f>
        <v/>
      </c>
      <c r="AA602" s="5">
        <f>IF($G602="","",IFERROR(INDEX('CAT_PUESTOS'!$B$4:$B$8,MATCH($G602,'CAT_PUESTOS'!$A$4:$A$8,0)),"(sin catálogo)"))</f>
        <v/>
      </c>
      <c r="AB602" s="5">
        <f>IF($H602="","",IFERROR(INDEX('CAT_ACTIVIDADES'!$B$4:$B$11,MATCH($H602,'CAT_ACTIVIDADES'!$A$4:$A$11,0)),"(sin catálogo)"))</f>
        <v/>
      </c>
      <c r="AC602" s="20">
        <f>IF($J602="","",TODAY()-$J602)</f>
        <v/>
      </c>
      <c r="AD602" s="20">
        <f>IF($J602="","",IF($J602&lt;=TODAY(),COUNTIFS(cal_fechas,"&gt;="&amp;$J602,cal_fechas,"&lt;"&amp;TODAY(),cal_habil,"sí"),-COUNTIFS(cal_fechas,"&gt;="&amp;TODAY(),cal_fechas,"&lt;"&amp;$J602,cal_habil,"sí")))</f>
        <v/>
      </c>
      <c r="AE602" s="5">
        <f>IF($AD602="","",IF($AD602&lt;0,"FUTURO",IF($AD602&gt;p_dias_backlog_max,"BACKLOG","MES CORRIENTE")))</f>
        <v/>
      </c>
      <c r="AF602" s="5">
        <f>IF($AD602="",FALSE,AND($AD602&gt;p_dias_backlog_min,$AD602&lt;=p_dias_backlog_max))</f>
        <v/>
      </c>
      <c r="AG602" s="4" t="n"/>
      <c r="AH602" s="5">
        <f>IF($AG602="","",IF((IFERROR(INDEX('ASIGNACIONES'!$J$4:$J$451,MATCH($O602&amp;"|"&amp;$S602&amp;"|"&amp;$AG602,'ASIGNACIONES'!$N$4:$N$451,0)),""))=0,"",IFERROR(INDEX('ASIGNACIONES'!$J$4:$J$451,MATCH($O602&amp;"|"&amp;$S602&amp;"|"&amp;$AG602,'ASIGNACIONES'!$N$4:$N$451,0)),"")))</f>
        <v/>
      </c>
      <c r="AI602" s="25">
        <f>IF($AG602="","",SUMIFS('ORDENES'!$M$4:$M$1203,'ORDENES'!$AG$4:$AG$1203,$AG602,'ORDENES'!$O$4:$O$1203,$O602,'ORDENES'!$S$4:$S$1203,$S602))</f>
        <v/>
      </c>
      <c r="AJ602" s="25">
        <f>IF($AI602="","",p_factor_productividad*IFERROR(INDEX('ASIGNACIONES'!$M$4:$M$451,MATCH($O602&amp;"|"&amp;$S602&amp;"|"&amp;$AG602,'ASIGNACIONES'!$N$4:$N$451,0)),0)-$AI602)</f>
        <v/>
      </c>
      <c r="AK602" s="18">
        <f>IF($A602="","",IFERROR(INDEX('2_IMPORTAR_EJECUCION'!$F$9:$F$1208,MATCH($AT602,'2_IMPORTAR_EJECUCION'!$J$9:$J$1208,0)),0))</f>
        <v/>
      </c>
      <c r="AL602" s="18">
        <f>IF($A602="","",MAX(0,IFERROR(INDEX('2_IMPORTAR_EJECUCION'!$H$9:$H$1208,MATCH($AT602,'2_IMPORTAR_EJECUCION'!$J$9:$J$1208,0)),0)-$AK602))</f>
        <v/>
      </c>
      <c r="AM602" s="18">
        <f>IF($A602="","",$AK602+$AL602)</f>
        <v/>
      </c>
      <c r="AN602" s="5">
        <f>IF($A602="","",IF(OR((IFERROR(INDEX('CAT_ACTIVIDADES'!$D$4:$D$11,MATCH($H602,'CAT_ACTIVIDADES'!$A$4:$A$11,0)),""))=0,(IFERROR(INDEX('CAT_ACTIVIDADES'!$D$4:$D$11,MATCH($H602,'CAT_ACTIVIDADES'!$A$4:$A$11,0)),""))=""),"SIN CLASIFICAR",IFERROR(INDEX('CAT_ACTIVIDADES'!$D$4:$D$11,MATCH($H602,'CAT_ACTIVIDADES'!$A$4:$A$11,0)),"")))</f>
        <v/>
      </c>
      <c r="AO602" s="4" t="n"/>
      <c r="AP602" s="4" t="n"/>
      <c r="AQ602" s="4" t="n"/>
      <c r="AR602" s="5">
        <f>IF($AQ602="","",HYPERLINK(p_ruta_base_checklists&amp;$AQ602,"abrir"))</f>
        <v/>
      </c>
      <c r="AS602" s="4" t="n"/>
      <c r="AT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2" t="n"/>
      <c r="K603" s="5" t="n"/>
      <c r="L603" s="18" t="n"/>
      <c r="M603" s="5">
        <f>IF($A603="","",IFERROR(INDEX('AJUSTES'!$B$4:$B$303,MATCH($AT603,'AJUSTES'!$A$4:$A$303,0)),IF($K603="","",$K603)))</f>
        <v/>
      </c>
      <c r="N603" s="5">
        <f>IF($A603="","",IFERROR(INDEX('CAT_ESTADOS_ERP'!$B$4:$B$7,MATCH(IFERROR(INDEX('2_IMPORTAR_EJECUCION'!$C$9:$C$1208,MATCH($AT603,'2_IMPORTAR_EJECUCION'!$J$9:$J$1208,0)),""),'CAT_ESTADOS_ERP'!$A$4:$A$7,0)),"Pendiente"))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IF($J603="","",$P603&amp;"-"&amp;TEXT($Q603,"00"))</f>
        <v/>
      </c>
      <c r="S603" s="5">
        <f>IF($J603="","",INDEX(lista_dias,WEEKDAY($J603,2)))</f>
        <v/>
      </c>
      <c r="T603" s="5">
        <f>IF($J603="","",IFERROR(INDEX('CALENDARIO'!$C$15:$C$214,MATCH(TEXT($J603,"yyyy-mm-dd")&amp;"|"&amp;$X603&amp;"|"&amp;$Y603,'CALENDARIO'!$G$15:$G$214,0)),IFERROR(INDEX('CALENDARIO'!$C$15:$C$214,MATCH(TEXT($J603,"yyyy-mm-dd")&amp;"|"&amp;$X603&amp;"|",'CALENDARIO'!$G$15:$G$214,0)),IFERROR(INDEX('CALENDARIO'!$C$15:$C$214,MATCH(TEXT($J603,"yyyy-mm-dd")&amp;"||",'CALENDARIO'!$G$15:$G$214,0)),INDEX(patronHabil,WEEKDAY($J603,2))))))</f>
        <v/>
      </c>
      <c r="U603" s="5">
        <f>IF($I603="","",IFERROR(INDEX('CAT_TIPOS_OT'!$C$4:$C$8,MATCH($I603,'CAT_TIPOS_OT'!$A$4:$A$8,0)),"sin_clasificar"))</f>
        <v/>
      </c>
      <c r="V603" s="5">
        <f>IF($I603="","",IF(IFERROR(INDEX('CAT_TIPOS_OT'!$D$4:$D$8,MATCH($I603,'CAT_TIPOS_OT'!$A$4:$A$8,0)),"SIN CLASIFICAR")="","SIN CLASIFICAR",IFERROR(INDEX('CAT_TIPOS_OT'!$D$4:$D$8,MATCH($I603,'CAT_TIPOS_OT'!$A$4:$A$8,0)),"SIN CLASIFICAR")))</f>
        <v/>
      </c>
      <c r="W603" s="5">
        <f>IF($F603="","",IFERROR(INDEX('CAT_CENTROS_COSTO'!$F$4:$F$13,MATCH($F603,'CAT_CENTROS_COSTO'!$A$4:$A$13,0)),"(sin catálogo)"))</f>
        <v/>
      </c>
      <c r="X603" s="5">
        <f>IF($F603="","",IFERROR(INDEX('CAT_CENTROS_COSTO'!$D$4:$D$13,MATCH($F603,'CAT_CENTROS_COSTO'!$A$4:$A$13,0)),"(sin catálogo)"))</f>
        <v/>
      </c>
      <c r="Y603" s="5">
        <f>IF($F603="","",IF((IFERROR(INDEX('CAT_CENTROS_COSTO'!$E$4:$E$13,MATCH($F603,'CAT_CENTROS_COSTO'!$A$4:$A$13,0)),""))&lt;&gt;"",IFERROR(INDEX('CAT_CENTROS_COSTO'!$E$4:$E$13,MATCH($F603,'CAT_CENTROS_COSTO'!$A$4:$A$13,0)),""),$X603))</f>
        <v/>
      </c>
      <c r="Z603" s="5">
        <f>IF($F603="","",IFERROR(INDEX('CAT_CENTROS_COSTO'!$G$4:$G$13,MATCH($F603,'CAT_CENTROS_COSTO'!$A$4:$A$13,0)),"(sin catálogo)"))</f>
        <v/>
      </c>
      <c r="AA603" s="5">
        <f>IF($G603="","",IFERROR(INDEX('CAT_PUESTOS'!$B$4:$B$8,MATCH($G603,'CAT_PUESTOS'!$A$4:$A$8,0)),"(sin catálogo)"))</f>
        <v/>
      </c>
      <c r="AB603" s="5">
        <f>IF($H603="","",IFERROR(INDEX('CAT_ACTIVIDADES'!$B$4:$B$11,MATCH($H603,'CAT_ACTIVIDADES'!$A$4:$A$11,0)),"(sin catálogo)"))</f>
        <v/>
      </c>
      <c r="AC603" s="20">
        <f>IF($J603="","",TODAY()-$J603)</f>
        <v/>
      </c>
      <c r="AD603" s="20">
        <f>IF($J603="","",IF($J603&lt;=TODAY(),COUNTIFS(cal_fechas,"&gt;="&amp;$J603,cal_fechas,"&lt;"&amp;TODAY(),cal_habil,"sí"),-COUNTIFS(cal_fechas,"&gt;="&amp;TODAY(),cal_fechas,"&lt;"&amp;$J603,cal_habil,"sí")))</f>
        <v/>
      </c>
      <c r="AE603" s="5">
        <f>IF($AD603="","",IF($AD603&lt;0,"FUTURO",IF($AD603&gt;p_dias_backlog_max,"BACKLOG","MES CORRIENTE")))</f>
        <v/>
      </c>
      <c r="AF603" s="5">
        <f>IF($AD603="",FALSE,AND($AD603&gt;p_dias_backlog_min,$AD603&lt;=p_dias_backlog_max))</f>
        <v/>
      </c>
      <c r="AG603" s="4" t="n"/>
      <c r="AH603" s="5">
        <f>IF($AG603="","",IF((IFERROR(INDEX('ASIGNACIONES'!$J$4:$J$451,MATCH($O603&amp;"|"&amp;$S603&amp;"|"&amp;$AG603,'ASIGNACIONES'!$N$4:$N$451,0)),""))=0,"",IFERROR(INDEX('ASIGNACIONES'!$J$4:$J$451,MATCH($O603&amp;"|"&amp;$S603&amp;"|"&amp;$AG603,'ASIGNACIONES'!$N$4:$N$451,0)),"")))</f>
        <v/>
      </c>
      <c r="AI603" s="25">
        <f>IF($AG603="","",SUMIFS('ORDENES'!$M$4:$M$1203,'ORDENES'!$AG$4:$AG$1203,$AG603,'ORDENES'!$O$4:$O$1203,$O603,'ORDENES'!$S$4:$S$1203,$S603))</f>
        <v/>
      </c>
      <c r="AJ603" s="25">
        <f>IF($AI603="","",p_factor_productividad*IFERROR(INDEX('ASIGNACIONES'!$M$4:$M$451,MATCH($O603&amp;"|"&amp;$S603&amp;"|"&amp;$AG603,'ASIGNACIONES'!$N$4:$N$451,0)),0)-$AI603)</f>
        <v/>
      </c>
      <c r="AK603" s="18">
        <f>IF($A603="","",IFERROR(INDEX('2_IMPORTAR_EJECUCION'!$F$9:$F$1208,MATCH($AT603,'2_IMPORTAR_EJECUCION'!$J$9:$J$1208,0)),0))</f>
        <v/>
      </c>
      <c r="AL603" s="18">
        <f>IF($A603="","",MAX(0,IFERROR(INDEX('2_IMPORTAR_EJECUCION'!$H$9:$H$1208,MATCH($AT603,'2_IMPORTAR_EJECUCION'!$J$9:$J$1208,0)),0)-$AK603))</f>
        <v/>
      </c>
      <c r="AM603" s="18">
        <f>IF($A603="","",$AK603+$AL603)</f>
        <v/>
      </c>
      <c r="AN603" s="5">
        <f>IF($A603="","",IF(OR((IFERROR(INDEX('CAT_ACTIVIDADES'!$D$4:$D$11,MATCH($H603,'CAT_ACTIVIDADES'!$A$4:$A$11,0)),""))=0,(IFERROR(INDEX('CAT_ACTIVIDADES'!$D$4:$D$11,MATCH($H603,'CAT_ACTIVIDADES'!$A$4:$A$11,0)),""))=""),"SIN CLASIFICAR",IFERROR(INDEX('CAT_ACTIVIDADES'!$D$4:$D$11,MATCH($H603,'CAT_ACTIVIDADES'!$A$4:$A$11,0)),"")))</f>
        <v/>
      </c>
      <c r="AO603" s="4" t="n"/>
      <c r="AP603" s="4" t="n"/>
      <c r="AQ603" s="4" t="n"/>
      <c r="AR603" s="5">
        <f>IF($AQ603="","",HYPERLINK(p_ruta_base_checklists&amp;$AQ603,"abrir"))</f>
        <v/>
      </c>
      <c r="AS603" s="4" t="n"/>
      <c r="AT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2" t="n"/>
      <c r="K604" s="5" t="n"/>
      <c r="L604" s="18" t="n"/>
      <c r="M604" s="5">
        <f>IF($A604="","",IFERROR(INDEX('AJUSTES'!$B$4:$B$303,MATCH($AT604,'AJUSTES'!$A$4:$A$303,0)),IF($K604="","",$K604)))</f>
        <v/>
      </c>
      <c r="N604" s="5">
        <f>IF($A604="","",IFERROR(INDEX('CAT_ESTADOS_ERP'!$B$4:$B$7,MATCH(IFERROR(INDEX('2_IMPORTAR_EJECUCION'!$C$9:$C$1208,MATCH($AT604,'2_IMPORTAR_EJECUCION'!$J$9:$J$1208,0)),""),'CAT_ESTADOS_ERP'!$A$4:$A$7,0)),"Pendiente"))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IF($J604="","",$P604&amp;"-"&amp;TEXT($Q604,"00"))</f>
        <v/>
      </c>
      <c r="S604" s="5">
        <f>IF($J604="","",INDEX(lista_dias,WEEKDAY($J604,2)))</f>
        <v/>
      </c>
      <c r="T604" s="5">
        <f>IF($J604="","",IFERROR(INDEX('CALENDARIO'!$C$15:$C$214,MATCH(TEXT($J604,"yyyy-mm-dd")&amp;"|"&amp;$X604&amp;"|"&amp;$Y604,'CALENDARIO'!$G$15:$G$214,0)),IFERROR(INDEX('CALENDARIO'!$C$15:$C$214,MATCH(TEXT($J604,"yyyy-mm-dd")&amp;"|"&amp;$X604&amp;"|",'CALENDARIO'!$G$15:$G$214,0)),IFERROR(INDEX('CALENDARIO'!$C$15:$C$214,MATCH(TEXT($J604,"yyyy-mm-dd")&amp;"||",'CALENDARIO'!$G$15:$G$214,0)),INDEX(patronHabil,WEEKDAY($J604,2))))))</f>
        <v/>
      </c>
      <c r="U604" s="5">
        <f>IF($I604="","",IFERROR(INDEX('CAT_TIPOS_OT'!$C$4:$C$8,MATCH($I604,'CAT_TIPOS_OT'!$A$4:$A$8,0)),"sin_clasificar"))</f>
        <v/>
      </c>
      <c r="V604" s="5">
        <f>IF($I604="","",IF(IFERROR(INDEX('CAT_TIPOS_OT'!$D$4:$D$8,MATCH($I604,'CAT_TIPOS_OT'!$A$4:$A$8,0)),"SIN CLASIFICAR")="","SIN CLASIFICAR",IFERROR(INDEX('CAT_TIPOS_OT'!$D$4:$D$8,MATCH($I604,'CAT_TIPOS_OT'!$A$4:$A$8,0)),"SIN CLASIFICAR")))</f>
        <v/>
      </c>
      <c r="W604" s="5">
        <f>IF($F604="","",IFERROR(INDEX('CAT_CENTROS_COSTO'!$F$4:$F$13,MATCH($F604,'CAT_CENTROS_COSTO'!$A$4:$A$13,0)),"(sin catálogo)"))</f>
        <v/>
      </c>
      <c r="X604" s="5">
        <f>IF($F604="","",IFERROR(INDEX('CAT_CENTROS_COSTO'!$D$4:$D$13,MATCH($F604,'CAT_CENTROS_COSTO'!$A$4:$A$13,0)),"(sin catálogo)"))</f>
        <v/>
      </c>
      <c r="Y604" s="5">
        <f>IF($F604="","",IF((IFERROR(INDEX('CAT_CENTROS_COSTO'!$E$4:$E$13,MATCH($F604,'CAT_CENTROS_COSTO'!$A$4:$A$13,0)),""))&lt;&gt;"",IFERROR(INDEX('CAT_CENTROS_COSTO'!$E$4:$E$13,MATCH($F604,'CAT_CENTROS_COSTO'!$A$4:$A$13,0)),""),$X604))</f>
        <v/>
      </c>
      <c r="Z604" s="5">
        <f>IF($F604="","",IFERROR(INDEX('CAT_CENTROS_COSTO'!$G$4:$G$13,MATCH($F604,'CAT_CENTROS_COSTO'!$A$4:$A$13,0)),"(sin catálogo)"))</f>
        <v/>
      </c>
      <c r="AA604" s="5">
        <f>IF($G604="","",IFERROR(INDEX('CAT_PUESTOS'!$B$4:$B$8,MATCH($G604,'CAT_PUESTOS'!$A$4:$A$8,0)),"(sin catálogo)"))</f>
        <v/>
      </c>
      <c r="AB604" s="5">
        <f>IF($H604="","",IFERROR(INDEX('CAT_ACTIVIDADES'!$B$4:$B$11,MATCH($H604,'CAT_ACTIVIDADES'!$A$4:$A$11,0)),"(sin catálogo)"))</f>
        <v/>
      </c>
      <c r="AC604" s="20">
        <f>IF($J604="","",TODAY()-$J604)</f>
        <v/>
      </c>
      <c r="AD604" s="20">
        <f>IF($J604="","",IF($J604&lt;=TODAY(),COUNTIFS(cal_fechas,"&gt;="&amp;$J604,cal_fechas,"&lt;"&amp;TODAY(),cal_habil,"sí"),-COUNTIFS(cal_fechas,"&gt;="&amp;TODAY(),cal_fechas,"&lt;"&amp;$J604,cal_habil,"sí")))</f>
        <v/>
      </c>
      <c r="AE604" s="5">
        <f>IF($AD604="","",IF($AD604&lt;0,"FUTURO",IF($AD604&gt;p_dias_backlog_max,"BACKLOG","MES CORRIENTE")))</f>
        <v/>
      </c>
      <c r="AF604" s="5">
        <f>IF($AD604="",FALSE,AND($AD604&gt;p_dias_backlog_min,$AD604&lt;=p_dias_backlog_max))</f>
        <v/>
      </c>
      <c r="AG604" s="4" t="n"/>
      <c r="AH604" s="5">
        <f>IF($AG604="","",IF((IFERROR(INDEX('ASIGNACIONES'!$J$4:$J$451,MATCH($O604&amp;"|"&amp;$S604&amp;"|"&amp;$AG604,'ASIGNACIONES'!$N$4:$N$451,0)),""))=0,"",IFERROR(INDEX('ASIGNACIONES'!$J$4:$J$451,MATCH($O604&amp;"|"&amp;$S604&amp;"|"&amp;$AG604,'ASIGNACIONES'!$N$4:$N$451,0)),"")))</f>
        <v/>
      </c>
      <c r="AI604" s="25">
        <f>IF($AG604="","",SUMIFS('ORDENES'!$M$4:$M$1203,'ORDENES'!$AG$4:$AG$1203,$AG604,'ORDENES'!$O$4:$O$1203,$O604,'ORDENES'!$S$4:$S$1203,$S604))</f>
        <v/>
      </c>
      <c r="AJ604" s="25">
        <f>IF($AI604="","",p_factor_productividad*IFERROR(INDEX('ASIGNACIONES'!$M$4:$M$451,MATCH($O604&amp;"|"&amp;$S604&amp;"|"&amp;$AG604,'ASIGNACIONES'!$N$4:$N$451,0)),0)-$AI604)</f>
        <v/>
      </c>
      <c r="AK604" s="18">
        <f>IF($A604="","",IFERROR(INDEX('2_IMPORTAR_EJECUCION'!$F$9:$F$1208,MATCH($AT604,'2_IMPORTAR_EJECUCION'!$J$9:$J$1208,0)),0))</f>
        <v/>
      </c>
      <c r="AL604" s="18">
        <f>IF($A604="","",MAX(0,IFERROR(INDEX('2_IMPORTAR_EJECUCION'!$H$9:$H$1208,MATCH($AT604,'2_IMPORTAR_EJECUCION'!$J$9:$J$1208,0)),0)-$AK604))</f>
        <v/>
      </c>
      <c r="AM604" s="18">
        <f>IF($A604="","",$AK604+$AL604)</f>
        <v/>
      </c>
      <c r="AN604" s="5">
        <f>IF($A604="","",IF(OR((IFERROR(INDEX('CAT_ACTIVIDADES'!$D$4:$D$11,MATCH($H604,'CAT_ACTIVIDADES'!$A$4:$A$11,0)),""))=0,(IFERROR(INDEX('CAT_ACTIVIDADES'!$D$4:$D$11,MATCH($H604,'CAT_ACTIVIDADES'!$A$4:$A$11,0)),""))=""),"SIN CLASIFICAR",IFERROR(INDEX('CAT_ACTIVIDADES'!$D$4:$D$11,MATCH($H604,'CAT_ACTIVIDADES'!$A$4:$A$11,0)),"")))</f>
        <v/>
      </c>
      <c r="AO604" s="4" t="n"/>
      <c r="AP604" s="4" t="n"/>
      <c r="AQ604" s="4" t="n"/>
      <c r="AR604" s="5">
        <f>IF($AQ604="","",HYPERLINK(p_ruta_base_checklists&amp;$AQ604,"abrir"))</f>
        <v/>
      </c>
      <c r="AS604" s="4" t="n"/>
      <c r="AT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2" t="n"/>
      <c r="K605" s="5" t="n"/>
      <c r="L605" s="18" t="n"/>
      <c r="M605" s="5">
        <f>IF($A605="","",IFERROR(INDEX('AJUSTES'!$B$4:$B$303,MATCH($AT605,'AJUSTES'!$A$4:$A$303,0)),IF($K605="","",$K605)))</f>
        <v/>
      </c>
      <c r="N605" s="5">
        <f>IF($A605="","",IFERROR(INDEX('CAT_ESTADOS_ERP'!$B$4:$B$7,MATCH(IFERROR(INDEX('2_IMPORTAR_EJECUCION'!$C$9:$C$1208,MATCH($AT605,'2_IMPORTAR_EJECUCION'!$J$9:$J$1208,0)),""),'CAT_ESTADOS_ERP'!$A$4:$A$7,0)),"Pendiente"))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IF($J605="","",$P605&amp;"-"&amp;TEXT($Q605,"00"))</f>
        <v/>
      </c>
      <c r="S605" s="5">
        <f>IF($J605="","",INDEX(lista_dias,WEEKDAY($J605,2)))</f>
        <v/>
      </c>
      <c r="T605" s="5">
        <f>IF($J605="","",IFERROR(INDEX('CALENDARIO'!$C$15:$C$214,MATCH(TEXT($J605,"yyyy-mm-dd")&amp;"|"&amp;$X605&amp;"|"&amp;$Y605,'CALENDARIO'!$G$15:$G$214,0)),IFERROR(INDEX('CALENDARIO'!$C$15:$C$214,MATCH(TEXT($J605,"yyyy-mm-dd")&amp;"|"&amp;$X605&amp;"|",'CALENDARIO'!$G$15:$G$214,0)),IFERROR(INDEX('CALENDARIO'!$C$15:$C$214,MATCH(TEXT($J605,"yyyy-mm-dd")&amp;"||",'CALENDARIO'!$G$15:$G$214,0)),INDEX(patronHabil,WEEKDAY($J605,2))))))</f>
        <v/>
      </c>
      <c r="U605" s="5">
        <f>IF($I605="","",IFERROR(INDEX('CAT_TIPOS_OT'!$C$4:$C$8,MATCH($I605,'CAT_TIPOS_OT'!$A$4:$A$8,0)),"sin_clasificar"))</f>
        <v/>
      </c>
      <c r="V605" s="5">
        <f>IF($I605="","",IF(IFERROR(INDEX('CAT_TIPOS_OT'!$D$4:$D$8,MATCH($I605,'CAT_TIPOS_OT'!$A$4:$A$8,0)),"SIN CLASIFICAR")="","SIN CLASIFICAR",IFERROR(INDEX('CAT_TIPOS_OT'!$D$4:$D$8,MATCH($I605,'CAT_TIPOS_OT'!$A$4:$A$8,0)),"SIN CLASIFICAR")))</f>
        <v/>
      </c>
      <c r="W605" s="5">
        <f>IF($F605="","",IFERROR(INDEX('CAT_CENTROS_COSTO'!$F$4:$F$13,MATCH($F605,'CAT_CENTROS_COSTO'!$A$4:$A$13,0)),"(sin catálogo)"))</f>
        <v/>
      </c>
      <c r="X605" s="5">
        <f>IF($F605="","",IFERROR(INDEX('CAT_CENTROS_COSTO'!$D$4:$D$13,MATCH($F605,'CAT_CENTROS_COSTO'!$A$4:$A$13,0)),"(sin catálogo)"))</f>
        <v/>
      </c>
      <c r="Y605" s="5">
        <f>IF($F605="","",IF((IFERROR(INDEX('CAT_CENTROS_COSTO'!$E$4:$E$13,MATCH($F605,'CAT_CENTROS_COSTO'!$A$4:$A$13,0)),""))&lt;&gt;"",IFERROR(INDEX('CAT_CENTROS_COSTO'!$E$4:$E$13,MATCH($F605,'CAT_CENTROS_COSTO'!$A$4:$A$13,0)),""),$X605))</f>
        <v/>
      </c>
      <c r="Z605" s="5">
        <f>IF($F605="","",IFERROR(INDEX('CAT_CENTROS_COSTO'!$G$4:$G$13,MATCH($F605,'CAT_CENTROS_COSTO'!$A$4:$A$13,0)),"(sin catálogo)"))</f>
        <v/>
      </c>
      <c r="AA605" s="5">
        <f>IF($G605="","",IFERROR(INDEX('CAT_PUESTOS'!$B$4:$B$8,MATCH($G605,'CAT_PUESTOS'!$A$4:$A$8,0)),"(sin catálogo)"))</f>
        <v/>
      </c>
      <c r="AB605" s="5">
        <f>IF($H605="","",IFERROR(INDEX('CAT_ACTIVIDADES'!$B$4:$B$11,MATCH($H605,'CAT_ACTIVIDADES'!$A$4:$A$11,0)),"(sin catálogo)"))</f>
        <v/>
      </c>
      <c r="AC605" s="20">
        <f>IF($J605="","",TODAY()-$J605)</f>
        <v/>
      </c>
      <c r="AD605" s="20">
        <f>IF($J605="","",IF($J605&lt;=TODAY(),COUNTIFS(cal_fechas,"&gt;="&amp;$J605,cal_fechas,"&lt;"&amp;TODAY(),cal_habil,"sí"),-COUNTIFS(cal_fechas,"&gt;="&amp;TODAY(),cal_fechas,"&lt;"&amp;$J605,cal_habil,"sí")))</f>
        <v/>
      </c>
      <c r="AE605" s="5">
        <f>IF($AD605="","",IF($AD605&lt;0,"FUTURO",IF($AD605&gt;p_dias_backlog_max,"BACKLOG","MES CORRIENTE")))</f>
        <v/>
      </c>
      <c r="AF605" s="5">
        <f>IF($AD605="",FALSE,AND($AD605&gt;p_dias_backlog_min,$AD605&lt;=p_dias_backlog_max))</f>
        <v/>
      </c>
      <c r="AG605" s="4" t="n"/>
      <c r="AH605" s="5">
        <f>IF($AG605="","",IF((IFERROR(INDEX('ASIGNACIONES'!$J$4:$J$451,MATCH($O605&amp;"|"&amp;$S605&amp;"|"&amp;$AG605,'ASIGNACIONES'!$N$4:$N$451,0)),""))=0,"",IFERROR(INDEX('ASIGNACIONES'!$J$4:$J$451,MATCH($O605&amp;"|"&amp;$S605&amp;"|"&amp;$AG605,'ASIGNACIONES'!$N$4:$N$451,0)),"")))</f>
        <v/>
      </c>
      <c r="AI605" s="25">
        <f>IF($AG605="","",SUMIFS('ORDENES'!$M$4:$M$1203,'ORDENES'!$AG$4:$AG$1203,$AG605,'ORDENES'!$O$4:$O$1203,$O605,'ORDENES'!$S$4:$S$1203,$S605))</f>
        <v/>
      </c>
      <c r="AJ605" s="25">
        <f>IF($AI605="","",p_factor_productividad*IFERROR(INDEX('ASIGNACIONES'!$M$4:$M$451,MATCH($O605&amp;"|"&amp;$S605&amp;"|"&amp;$AG605,'ASIGNACIONES'!$N$4:$N$451,0)),0)-$AI605)</f>
        <v/>
      </c>
      <c r="AK605" s="18">
        <f>IF($A605="","",IFERROR(INDEX('2_IMPORTAR_EJECUCION'!$F$9:$F$1208,MATCH($AT605,'2_IMPORTAR_EJECUCION'!$J$9:$J$1208,0)),0))</f>
        <v/>
      </c>
      <c r="AL605" s="18">
        <f>IF($A605="","",MAX(0,IFERROR(INDEX('2_IMPORTAR_EJECUCION'!$H$9:$H$1208,MATCH($AT605,'2_IMPORTAR_EJECUCION'!$J$9:$J$1208,0)),0)-$AK605))</f>
        <v/>
      </c>
      <c r="AM605" s="18">
        <f>IF($A605="","",$AK605+$AL605)</f>
        <v/>
      </c>
      <c r="AN605" s="5">
        <f>IF($A605="","",IF(OR((IFERROR(INDEX('CAT_ACTIVIDADES'!$D$4:$D$11,MATCH($H605,'CAT_ACTIVIDADES'!$A$4:$A$11,0)),""))=0,(IFERROR(INDEX('CAT_ACTIVIDADES'!$D$4:$D$11,MATCH($H605,'CAT_ACTIVIDADES'!$A$4:$A$11,0)),""))=""),"SIN CLASIFICAR",IFERROR(INDEX('CAT_ACTIVIDADES'!$D$4:$D$11,MATCH($H605,'CAT_ACTIVIDADES'!$A$4:$A$11,0)),"")))</f>
        <v/>
      </c>
      <c r="AO605" s="4" t="n"/>
      <c r="AP605" s="4" t="n"/>
      <c r="AQ605" s="4" t="n"/>
      <c r="AR605" s="5">
        <f>IF($AQ605="","",HYPERLINK(p_ruta_base_checklists&amp;$AQ605,"abrir"))</f>
        <v/>
      </c>
      <c r="AS605" s="4" t="n"/>
      <c r="AT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2" t="n"/>
      <c r="K606" s="5" t="n"/>
      <c r="L606" s="18" t="n"/>
      <c r="M606" s="5">
        <f>IF($A606="","",IFERROR(INDEX('AJUSTES'!$B$4:$B$303,MATCH($AT606,'AJUSTES'!$A$4:$A$303,0)),IF($K606="","",$K606)))</f>
        <v/>
      </c>
      <c r="N606" s="5">
        <f>IF($A606="","",IFERROR(INDEX('CAT_ESTADOS_ERP'!$B$4:$B$7,MATCH(IFERROR(INDEX('2_IMPORTAR_EJECUCION'!$C$9:$C$1208,MATCH($AT606,'2_IMPORTAR_EJECUCION'!$J$9:$J$1208,0)),""),'CAT_ESTADOS_ERP'!$A$4:$A$7,0)),"Pendiente"))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IF($J606="","",$P606&amp;"-"&amp;TEXT($Q606,"00"))</f>
        <v/>
      </c>
      <c r="S606" s="5">
        <f>IF($J606="","",INDEX(lista_dias,WEEKDAY($J606,2)))</f>
        <v/>
      </c>
      <c r="T606" s="5">
        <f>IF($J606="","",IFERROR(INDEX('CALENDARIO'!$C$15:$C$214,MATCH(TEXT($J606,"yyyy-mm-dd")&amp;"|"&amp;$X606&amp;"|"&amp;$Y606,'CALENDARIO'!$G$15:$G$214,0)),IFERROR(INDEX('CALENDARIO'!$C$15:$C$214,MATCH(TEXT($J606,"yyyy-mm-dd")&amp;"|"&amp;$X606&amp;"|",'CALENDARIO'!$G$15:$G$214,0)),IFERROR(INDEX('CALENDARIO'!$C$15:$C$214,MATCH(TEXT($J606,"yyyy-mm-dd")&amp;"||",'CALENDARIO'!$G$15:$G$214,0)),INDEX(patronHabil,WEEKDAY($J606,2))))))</f>
        <v/>
      </c>
      <c r="U606" s="5">
        <f>IF($I606="","",IFERROR(INDEX('CAT_TIPOS_OT'!$C$4:$C$8,MATCH($I606,'CAT_TIPOS_OT'!$A$4:$A$8,0)),"sin_clasificar"))</f>
        <v/>
      </c>
      <c r="V606" s="5">
        <f>IF($I606="","",IF(IFERROR(INDEX('CAT_TIPOS_OT'!$D$4:$D$8,MATCH($I606,'CAT_TIPOS_OT'!$A$4:$A$8,0)),"SIN CLASIFICAR")="","SIN CLASIFICAR",IFERROR(INDEX('CAT_TIPOS_OT'!$D$4:$D$8,MATCH($I606,'CAT_TIPOS_OT'!$A$4:$A$8,0)),"SIN CLASIFICAR")))</f>
        <v/>
      </c>
      <c r="W606" s="5">
        <f>IF($F606="","",IFERROR(INDEX('CAT_CENTROS_COSTO'!$F$4:$F$13,MATCH($F606,'CAT_CENTROS_COSTO'!$A$4:$A$13,0)),"(sin catálogo)"))</f>
        <v/>
      </c>
      <c r="X606" s="5">
        <f>IF($F606="","",IFERROR(INDEX('CAT_CENTROS_COSTO'!$D$4:$D$13,MATCH($F606,'CAT_CENTROS_COSTO'!$A$4:$A$13,0)),"(sin catálogo)"))</f>
        <v/>
      </c>
      <c r="Y606" s="5">
        <f>IF($F606="","",IF((IFERROR(INDEX('CAT_CENTROS_COSTO'!$E$4:$E$13,MATCH($F606,'CAT_CENTROS_COSTO'!$A$4:$A$13,0)),""))&lt;&gt;"",IFERROR(INDEX('CAT_CENTROS_COSTO'!$E$4:$E$13,MATCH($F606,'CAT_CENTROS_COSTO'!$A$4:$A$13,0)),""),$X606))</f>
        <v/>
      </c>
      <c r="Z606" s="5">
        <f>IF($F606="","",IFERROR(INDEX('CAT_CENTROS_COSTO'!$G$4:$G$13,MATCH($F606,'CAT_CENTROS_COSTO'!$A$4:$A$13,0)),"(sin catálogo)"))</f>
        <v/>
      </c>
      <c r="AA606" s="5">
        <f>IF($G606="","",IFERROR(INDEX('CAT_PUESTOS'!$B$4:$B$8,MATCH($G606,'CAT_PUESTOS'!$A$4:$A$8,0)),"(sin catálogo)"))</f>
        <v/>
      </c>
      <c r="AB606" s="5">
        <f>IF($H606="","",IFERROR(INDEX('CAT_ACTIVIDADES'!$B$4:$B$11,MATCH($H606,'CAT_ACTIVIDADES'!$A$4:$A$11,0)),"(sin catálogo)"))</f>
        <v/>
      </c>
      <c r="AC606" s="20">
        <f>IF($J606="","",TODAY()-$J606)</f>
        <v/>
      </c>
      <c r="AD606" s="20">
        <f>IF($J606="","",IF($J606&lt;=TODAY(),COUNTIFS(cal_fechas,"&gt;="&amp;$J606,cal_fechas,"&lt;"&amp;TODAY(),cal_habil,"sí"),-COUNTIFS(cal_fechas,"&gt;="&amp;TODAY(),cal_fechas,"&lt;"&amp;$J606,cal_habil,"sí")))</f>
        <v/>
      </c>
      <c r="AE606" s="5">
        <f>IF($AD606="","",IF($AD606&lt;0,"FUTURO",IF($AD606&gt;p_dias_backlog_max,"BACKLOG","MES CORRIENTE")))</f>
        <v/>
      </c>
      <c r="AF606" s="5">
        <f>IF($AD606="",FALSE,AND($AD606&gt;p_dias_backlog_min,$AD606&lt;=p_dias_backlog_max))</f>
        <v/>
      </c>
      <c r="AG606" s="4" t="n"/>
      <c r="AH606" s="5">
        <f>IF($AG606="","",IF((IFERROR(INDEX('ASIGNACIONES'!$J$4:$J$451,MATCH($O606&amp;"|"&amp;$S606&amp;"|"&amp;$AG606,'ASIGNACIONES'!$N$4:$N$451,0)),""))=0,"",IFERROR(INDEX('ASIGNACIONES'!$J$4:$J$451,MATCH($O606&amp;"|"&amp;$S606&amp;"|"&amp;$AG606,'ASIGNACIONES'!$N$4:$N$451,0)),"")))</f>
        <v/>
      </c>
      <c r="AI606" s="25">
        <f>IF($AG606="","",SUMIFS('ORDENES'!$M$4:$M$1203,'ORDENES'!$AG$4:$AG$1203,$AG606,'ORDENES'!$O$4:$O$1203,$O606,'ORDENES'!$S$4:$S$1203,$S606))</f>
        <v/>
      </c>
      <c r="AJ606" s="25">
        <f>IF($AI606="","",p_factor_productividad*IFERROR(INDEX('ASIGNACIONES'!$M$4:$M$451,MATCH($O606&amp;"|"&amp;$S606&amp;"|"&amp;$AG606,'ASIGNACIONES'!$N$4:$N$451,0)),0)-$AI606)</f>
        <v/>
      </c>
      <c r="AK606" s="18">
        <f>IF($A606="","",IFERROR(INDEX('2_IMPORTAR_EJECUCION'!$F$9:$F$1208,MATCH($AT606,'2_IMPORTAR_EJECUCION'!$J$9:$J$1208,0)),0))</f>
        <v/>
      </c>
      <c r="AL606" s="18">
        <f>IF($A606="","",MAX(0,IFERROR(INDEX('2_IMPORTAR_EJECUCION'!$H$9:$H$1208,MATCH($AT606,'2_IMPORTAR_EJECUCION'!$J$9:$J$1208,0)),0)-$AK606))</f>
        <v/>
      </c>
      <c r="AM606" s="18">
        <f>IF($A606="","",$AK606+$AL606)</f>
        <v/>
      </c>
      <c r="AN606" s="5">
        <f>IF($A606="","",IF(OR((IFERROR(INDEX('CAT_ACTIVIDADES'!$D$4:$D$11,MATCH($H606,'CAT_ACTIVIDADES'!$A$4:$A$11,0)),""))=0,(IFERROR(INDEX('CAT_ACTIVIDADES'!$D$4:$D$11,MATCH($H606,'CAT_ACTIVIDADES'!$A$4:$A$11,0)),""))=""),"SIN CLASIFICAR",IFERROR(INDEX('CAT_ACTIVIDADES'!$D$4:$D$11,MATCH($H606,'CAT_ACTIVIDADES'!$A$4:$A$11,0)),"")))</f>
        <v/>
      </c>
      <c r="AO606" s="4" t="n"/>
      <c r="AP606" s="4" t="n"/>
      <c r="AQ606" s="4" t="n"/>
      <c r="AR606" s="5">
        <f>IF($AQ606="","",HYPERLINK(p_ruta_base_checklists&amp;$AQ606,"abrir"))</f>
        <v/>
      </c>
      <c r="AS606" s="4" t="n"/>
      <c r="AT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2" t="n"/>
      <c r="K607" s="5" t="n"/>
      <c r="L607" s="18" t="n"/>
      <c r="M607" s="5">
        <f>IF($A607="","",IFERROR(INDEX('AJUSTES'!$B$4:$B$303,MATCH($AT607,'AJUSTES'!$A$4:$A$303,0)),IF($K607="","",$K607)))</f>
        <v/>
      </c>
      <c r="N607" s="5">
        <f>IF($A607="","",IFERROR(INDEX('CAT_ESTADOS_ERP'!$B$4:$B$7,MATCH(IFERROR(INDEX('2_IMPORTAR_EJECUCION'!$C$9:$C$1208,MATCH($AT607,'2_IMPORTAR_EJECUCION'!$J$9:$J$1208,0)),""),'CAT_ESTADOS_ERP'!$A$4:$A$7,0)),"Pendiente"))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IF($J607="","",$P607&amp;"-"&amp;TEXT($Q607,"00"))</f>
        <v/>
      </c>
      <c r="S607" s="5">
        <f>IF($J607="","",INDEX(lista_dias,WEEKDAY($J607,2)))</f>
        <v/>
      </c>
      <c r="T607" s="5">
        <f>IF($J607="","",IFERROR(INDEX('CALENDARIO'!$C$15:$C$214,MATCH(TEXT($J607,"yyyy-mm-dd")&amp;"|"&amp;$X607&amp;"|"&amp;$Y607,'CALENDARIO'!$G$15:$G$214,0)),IFERROR(INDEX('CALENDARIO'!$C$15:$C$214,MATCH(TEXT($J607,"yyyy-mm-dd")&amp;"|"&amp;$X607&amp;"|",'CALENDARIO'!$G$15:$G$214,0)),IFERROR(INDEX('CALENDARIO'!$C$15:$C$214,MATCH(TEXT($J607,"yyyy-mm-dd")&amp;"||",'CALENDARIO'!$G$15:$G$214,0)),INDEX(patronHabil,WEEKDAY($J607,2))))))</f>
        <v/>
      </c>
      <c r="U607" s="5">
        <f>IF($I607="","",IFERROR(INDEX('CAT_TIPOS_OT'!$C$4:$C$8,MATCH($I607,'CAT_TIPOS_OT'!$A$4:$A$8,0)),"sin_clasificar"))</f>
        <v/>
      </c>
      <c r="V607" s="5">
        <f>IF($I607="","",IF(IFERROR(INDEX('CAT_TIPOS_OT'!$D$4:$D$8,MATCH($I607,'CAT_TIPOS_OT'!$A$4:$A$8,0)),"SIN CLASIFICAR")="","SIN CLASIFICAR",IFERROR(INDEX('CAT_TIPOS_OT'!$D$4:$D$8,MATCH($I607,'CAT_TIPOS_OT'!$A$4:$A$8,0)),"SIN CLASIFICAR")))</f>
        <v/>
      </c>
      <c r="W607" s="5">
        <f>IF($F607="","",IFERROR(INDEX('CAT_CENTROS_COSTO'!$F$4:$F$13,MATCH($F607,'CAT_CENTROS_COSTO'!$A$4:$A$13,0)),"(sin catálogo)"))</f>
        <v/>
      </c>
      <c r="X607" s="5">
        <f>IF($F607="","",IFERROR(INDEX('CAT_CENTROS_COSTO'!$D$4:$D$13,MATCH($F607,'CAT_CENTROS_COSTO'!$A$4:$A$13,0)),"(sin catálogo)"))</f>
        <v/>
      </c>
      <c r="Y607" s="5">
        <f>IF($F607="","",IF((IFERROR(INDEX('CAT_CENTROS_COSTO'!$E$4:$E$13,MATCH($F607,'CAT_CENTROS_COSTO'!$A$4:$A$13,0)),""))&lt;&gt;"",IFERROR(INDEX('CAT_CENTROS_COSTO'!$E$4:$E$13,MATCH($F607,'CAT_CENTROS_COSTO'!$A$4:$A$13,0)),""),$X607))</f>
        <v/>
      </c>
      <c r="Z607" s="5">
        <f>IF($F607="","",IFERROR(INDEX('CAT_CENTROS_COSTO'!$G$4:$G$13,MATCH($F607,'CAT_CENTROS_COSTO'!$A$4:$A$13,0)),"(sin catálogo)"))</f>
        <v/>
      </c>
      <c r="AA607" s="5">
        <f>IF($G607="","",IFERROR(INDEX('CAT_PUESTOS'!$B$4:$B$8,MATCH($G607,'CAT_PUESTOS'!$A$4:$A$8,0)),"(sin catálogo)"))</f>
        <v/>
      </c>
      <c r="AB607" s="5">
        <f>IF($H607="","",IFERROR(INDEX('CAT_ACTIVIDADES'!$B$4:$B$11,MATCH($H607,'CAT_ACTIVIDADES'!$A$4:$A$11,0)),"(sin catálogo)"))</f>
        <v/>
      </c>
      <c r="AC607" s="20">
        <f>IF($J607="","",TODAY()-$J607)</f>
        <v/>
      </c>
      <c r="AD607" s="20">
        <f>IF($J607="","",IF($J607&lt;=TODAY(),COUNTIFS(cal_fechas,"&gt;="&amp;$J607,cal_fechas,"&lt;"&amp;TODAY(),cal_habil,"sí"),-COUNTIFS(cal_fechas,"&gt;="&amp;TODAY(),cal_fechas,"&lt;"&amp;$J607,cal_habil,"sí")))</f>
        <v/>
      </c>
      <c r="AE607" s="5">
        <f>IF($AD607="","",IF($AD607&lt;0,"FUTURO",IF($AD607&gt;p_dias_backlog_max,"BACKLOG","MES CORRIENTE")))</f>
        <v/>
      </c>
      <c r="AF607" s="5">
        <f>IF($AD607="",FALSE,AND($AD607&gt;p_dias_backlog_min,$AD607&lt;=p_dias_backlog_max))</f>
        <v/>
      </c>
      <c r="AG607" s="4" t="n"/>
      <c r="AH607" s="5">
        <f>IF($AG607="","",IF((IFERROR(INDEX('ASIGNACIONES'!$J$4:$J$451,MATCH($O607&amp;"|"&amp;$S607&amp;"|"&amp;$AG607,'ASIGNACIONES'!$N$4:$N$451,0)),""))=0,"",IFERROR(INDEX('ASIGNACIONES'!$J$4:$J$451,MATCH($O607&amp;"|"&amp;$S607&amp;"|"&amp;$AG607,'ASIGNACIONES'!$N$4:$N$451,0)),"")))</f>
        <v/>
      </c>
      <c r="AI607" s="25">
        <f>IF($AG607="","",SUMIFS('ORDENES'!$M$4:$M$1203,'ORDENES'!$AG$4:$AG$1203,$AG607,'ORDENES'!$O$4:$O$1203,$O607,'ORDENES'!$S$4:$S$1203,$S607))</f>
        <v/>
      </c>
      <c r="AJ607" s="25">
        <f>IF($AI607="","",p_factor_productividad*IFERROR(INDEX('ASIGNACIONES'!$M$4:$M$451,MATCH($O607&amp;"|"&amp;$S607&amp;"|"&amp;$AG607,'ASIGNACIONES'!$N$4:$N$451,0)),0)-$AI607)</f>
        <v/>
      </c>
      <c r="AK607" s="18">
        <f>IF($A607="","",IFERROR(INDEX('2_IMPORTAR_EJECUCION'!$F$9:$F$1208,MATCH($AT607,'2_IMPORTAR_EJECUCION'!$J$9:$J$1208,0)),0))</f>
        <v/>
      </c>
      <c r="AL607" s="18">
        <f>IF($A607="","",MAX(0,IFERROR(INDEX('2_IMPORTAR_EJECUCION'!$H$9:$H$1208,MATCH($AT607,'2_IMPORTAR_EJECUCION'!$J$9:$J$1208,0)),0)-$AK607))</f>
        <v/>
      </c>
      <c r="AM607" s="18">
        <f>IF($A607="","",$AK607+$AL607)</f>
        <v/>
      </c>
      <c r="AN607" s="5">
        <f>IF($A607="","",IF(OR((IFERROR(INDEX('CAT_ACTIVIDADES'!$D$4:$D$11,MATCH($H607,'CAT_ACTIVIDADES'!$A$4:$A$11,0)),""))=0,(IFERROR(INDEX('CAT_ACTIVIDADES'!$D$4:$D$11,MATCH($H607,'CAT_ACTIVIDADES'!$A$4:$A$11,0)),""))=""),"SIN CLASIFICAR",IFERROR(INDEX('CAT_ACTIVIDADES'!$D$4:$D$11,MATCH($H607,'CAT_ACTIVIDADES'!$A$4:$A$11,0)),"")))</f>
        <v/>
      </c>
      <c r="AO607" s="4" t="n"/>
      <c r="AP607" s="4" t="n"/>
      <c r="AQ607" s="4" t="n"/>
      <c r="AR607" s="5">
        <f>IF($AQ607="","",HYPERLINK(p_ruta_base_checklists&amp;$AQ607,"abrir"))</f>
        <v/>
      </c>
      <c r="AS607" s="4" t="n"/>
      <c r="AT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2" t="n"/>
      <c r="K608" s="5" t="n"/>
      <c r="L608" s="18" t="n"/>
      <c r="M608" s="5">
        <f>IF($A608="","",IFERROR(INDEX('AJUSTES'!$B$4:$B$303,MATCH($AT608,'AJUSTES'!$A$4:$A$303,0)),IF($K608="","",$K608)))</f>
        <v/>
      </c>
      <c r="N608" s="5">
        <f>IF($A608="","",IFERROR(INDEX('CAT_ESTADOS_ERP'!$B$4:$B$7,MATCH(IFERROR(INDEX('2_IMPORTAR_EJECUCION'!$C$9:$C$1208,MATCH($AT608,'2_IMPORTAR_EJECUCION'!$J$9:$J$1208,0)),""),'CAT_ESTADOS_ERP'!$A$4:$A$7,0)),"Pendiente"))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IF($J608="","",$P608&amp;"-"&amp;TEXT($Q608,"00"))</f>
        <v/>
      </c>
      <c r="S608" s="5">
        <f>IF($J608="","",INDEX(lista_dias,WEEKDAY($J608,2)))</f>
        <v/>
      </c>
      <c r="T608" s="5">
        <f>IF($J608="","",IFERROR(INDEX('CALENDARIO'!$C$15:$C$214,MATCH(TEXT($J608,"yyyy-mm-dd")&amp;"|"&amp;$X608&amp;"|"&amp;$Y608,'CALENDARIO'!$G$15:$G$214,0)),IFERROR(INDEX('CALENDARIO'!$C$15:$C$214,MATCH(TEXT($J608,"yyyy-mm-dd")&amp;"|"&amp;$X608&amp;"|",'CALENDARIO'!$G$15:$G$214,0)),IFERROR(INDEX('CALENDARIO'!$C$15:$C$214,MATCH(TEXT($J608,"yyyy-mm-dd")&amp;"||",'CALENDARIO'!$G$15:$G$214,0)),INDEX(patronHabil,WEEKDAY($J608,2))))))</f>
        <v/>
      </c>
      <c r="U608" s="5">
        <f>IF($I608="","",IFERROR(INDEX('CAT_TIPOS_OT'!$C$4:$C$8,MATCH($I608,'CAT_TIPOS_OT'!$A$4:$A$8,0)),"sin_clasificar"))</f>
        <v/>
      </c>
      <c r="V608" s="5">
        <f>IF($I608="","",IF(IFERROR(INDEX('CAT_TIPOS_OT'!$D$4:$D$8,MATCH($I608,'CAT_TIPOS_OT'!$A$4:$A$8,0)),"SIN CLASIFICAR")="","SIN CLASIFICAR",IFERROR(INDEX('CAT_TIPOS_OT'!$D$4:$D$8,MATCH($I608,'CAT_TIPOS_OT'!$A$4:$A$8,0)),"SIN CLASIFICAR")))</f>
        <v/>
      </c>
      <c r="W608" s="5">
        <f>IF($F608="","",IFERROR(INDEX('CAT_CENTROS_COSTO'!$F$4:$F$13,MATCH($F608,'CAT_CENTROS_COSTO'!$A$4:$A$13,0)),"(sin catálogo)"))</f>
        <v/>
      </c>
      <c r="X608" s="5">
        <f>IF($F608="","",IFERROR(INDEX('CAT_CENTROS_COSTO'!$D$4:$D$13,MATCH($F608,'CAT_CENTROS_COSTO'!$A$4:$A$13,0)),"(sin catálogo)"))</f>
        <v/>
      </c>
      <c r="Y608" s="5">
        <f>IF($F608="","",IF((IFERROR(INDEX('CAT_CENTROS_COSTO'!$E$4:$E$13,MATCH($F608,'CAT_CENTROS_COSTO'!$A$4:$A$13,0)),""))&lt;&gt;"",IFERROR(INDEX('CAT_CENTROS_COSTO'!$E$4:$E$13,MATCH($F608,'CAT_CENTROS_COSTO'!$A$4:$A$13,0)),""),$X608))</f>
        <v/>
      </c>
      <c r="Z608" s="5">
        <f>IF($F608="","",IFERROR(INDEX('CAT_CENTROS_COSTO'!$G$4:$G$13,MATCH($F608,'CAT_CENTROS_COSTO'!$A$4:$A$13,0)),"(sin catálogo)"))</f>
        <v/>
      </c>
      <c r="AA608" s="5">
        <f>IF($G608="","",IFERROR(INDEX('CAT_PUESTOS'!$B$4:$B$8,MATCH($G608,'CAT_PUESTOS'!$A$4:$A$8,0)),"(sin catálogo)"))</f>
        <v/>
      </c>
      <c r="AB608" s="5">
        <f>IF($H608="","",IFERROR(INDEX('CAT_ACTIVIDADES'!$B$4:$B$11,MATCH($H608,'CAT_ACTIVIDADES'!$A$4:$A$11,0)),"(sin catálogo)"))</f>
        <v/>
      </c>
      <c r="AC608" s="20">
        <f>IF($J608="","",TODAY()-$J608)</f>
        <v/>
      </c>
      <c r="AD608" s="20">
        <f>IF($J608="","",IF($J608&lt;=TODAY(),COUNTIFS(cal_fechas,"&gt;="&amp;$J608,cal_fechas,"&lt;"&amp;TODAY(),cal_habil,"sí"),-COUNTIFS(cal_fechas,"&gt;="&amp;TODAY(),cal_fechas,"&lt;"&amp;$J608,cal_habil,"sí")))</f>
        <v/>
      </c>
      <c r="AE608" s="5">
        <f>IF($AD608="","",IF($AD608&lt;0,"FUTURO",IF($AD608&gt;p_dias_backlog_max,"BACKLOG","MES CORRIENTE")))</f>
        <v/>
      </c>
      <c r="AF608" s="5">
        <f>IF($AD608="",FALSE,AND($AD608&gt;p_dias_backlog_min,$AD608&lt;=p_dias_backlog_max))</f>
        <v/>
      </c>
      <c r="AG608" s="4" t="n"/>
      <c r="AH608" s="5">
        <f>IF($AG608="","",IF((IFERROR(INDEX('ASIGNACIONES'!$J$4:$J$451,MATCH($O608&amp;"|"&amp;$S608&amp;"|"&amp;$AG608,'ASIGNACIONES'!$N$4:$N$451,0)),""))=0,"",IFERROR(INDEX('ASIGNACIONES'!$J$4:$J$451,MATCH($O608&amp;"|"&amp;$S608&amp;"|"&amp;$AG608,'ASIGNACIONES'!$N$4:$N$451,0)),"")))</f>
        <v/>
      </c>
      <c r="AI608" s="25">
        <f>IF($AG608="","",SUMIFS('ORDENES'!$M$4:$M$1203,'ORDENES'!$AG$4:$AG$1203,$AG608,'ORDENES'!$O$4:$O$1203,$O608,'ORDENES'!$S$4:$S$1203,$S608))</f>
        <v/>
      </c>
      <c r="AJ608" s="25">
        <f>IF($AI608="","",p_factor_productividad*IFERROR(INDEX('ASIGNACIONES'!$M$4:$M$451,MATCH($O608&amp;"|"&amp;$S608&amp;"|"&amp;$AG608,'ASIGNACIONES'!$N$4:$N$451,0)),0)-$AI608)</f>
        <v/>
      </c>
      <c r="AK608" s="18">
        <f>IF($A608="","",IFERROR(INDEX('2_IMPORTAR_EJECUCION'!$F$9:$F$1208,MATCH($AT608,'2_IMPORTAR_EJECUCION'!$J$9:$J$1208,0)),0))</f>
        <v/>
      </c>
      <c r="AL608" s="18">
        <f>IF($A608="","",MAX(0,IFERROR(INDEX('2_IMPORTAR_EJECUCION'!$H$9:$H$1208,MATCH($AT608,'2_IMPORTAR_EJECUCION'!$J$9:$J$1208,0)),0)-$AK608))</f>
        <v/>
      </c>
      <c r="AM608" s="18">
        <f>IF($A608="","",$AK608+$AL608)</f>
        <v/>
      </c>
      <c r="AN608" s="5">
        <f>IF($A608="","",IF(OR((IFERROR(INDEX('CAT_ACTIVIDADES'!$D$4:$D$11,MATCH($H608,'CAT_ACTIVIDADES'!$A$4:$A$11,0)),""))=0,(IFERROR(INDEX('CAT_ACTIVIDADES'!$D$4:$D$11,MATCH($H608,'CAT_ACTIVIDADES'!$A$4:$A$11,0)),""))=""),"SIN CLASIFICAR",IFERROR(INDEX('CAT_ACTIVIDADES'!$D$4:$D$11,MATCH($H608,'CAT_ACTIVIDADES'!$A$4:$A$11,0)),"")))</f>
        <v/>
      </c>
      <c r="AO608" s="4" t="n"/>
      <c r="AP608" s="4" t="n"/>
      <c r="AQ608" s="4" t="n"/>
      <c r="AR608" s="5">
        <f>IF($AQ608="","",HYPERLINK(p_ruta_base_checklists&amp;$AQ608,"abrir"))</f>
        <v/>
      </c>
      <c r="AS608" s="4" t="n"/>
      <c r="AT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2" t="n"/>
      <c r="K609" s="5" t="n"/>
      <c r="L609" s="18" t="n"/>
      <c r="M609" s="5">
        <f>IF($A609="","",IFERROR(INDEX('AJUSTES'!$B$4:$B$303,MATCH($AT609,'AJUSTES'!$A$4:$A$303,0)),IF($K609="","",$K609)))</f>
        <v/>
      </c>
      <c r="N609" s="5">
        <f>IF($A609="","",IFERROR(INDEX('CAT_ESTADOS_ERP'!$B$4:$B$7,MATCH(IFERROR(INDEX('2_IMPORTAR_EJECUCION'!$C$9:$C$1208,MATCH($AT609,'2_IMPORTAR_EJECUCION'!$J$9:$J$1208,0)),""),'CAT_ESTADOS_ERP'!$A$4:$A$7,0)),"Pendiente"))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IF($J609="","",$P609&amp;"-"&amp;TEXT($Q609,"00"))</f>
        <v/>
      </c>
      <c r="S609" s="5">
        <f>IF($J609="","",INDEX(lista_dias,WEEKDAY($J609,2)))</f>
        <v/>
      </c>
      <c r="T609" s="5">
        <f>IF($J609="","",IFERROR(INDEX('CALENDARIO'!$C$15:$C$214,MATCH(TEXT($J609,"yyyy-mm-dd")&amp;"|"&amp;$X609&amp;"|"&amp;$Y609,'CALENDARIO'!$G$15:$G$214,0)),IFERROR(INDEX('CALENDARIO'!$C$15:$C$214,MATCH(TEXT($J609,"yyyy-mm-dd")&amp;"|"&amp;$X609&amp;"|",'CALENDARIO'!$G$15:$G$214,0)),IFERROR(INDEX('CALENDARIO'!$C$15:$C$214,MATCH(TEXT($J609,"yyyy-mm-dd")&amp;"||",'CALENDARIO'!$G$15:$G$214,0)),INDEX(patronHabil,WEEKDAY($J609,2))))))</f>
        <v/>
      </c>
      <c r="U609" s="5">
        <f>IF($I609="","",IFERROR(INDEX('CAT_TIPOS_OT'!$C$4:$C$8,MATCH($I609,'CAT_TIPOS_OT'!$A$4:$A$8,0)),"sin_clasificar"))</f>
        <v/>
      </c>
      <c r="V609" s="5">
        <f>IF($I609="","",IF(IFERROR(INDEX('CAT_TIPOS_OT'!$D$4:$D$8,MATCH($I609,'CAT_TIPOS_OT'!$A$4:$A$8,0)),"SIN CLASIFICAR")="","SIN CLASIFICAR",IFERROR(INDEX('CAT_TIPOS_OT'!$D$4:$D$8,MATCH($I609,'CAT_TIPOS_OT'!$A$4:$A$8,0)),"SIN CLASIFICAR")))</f>
        <v/>
      </c>
      <c r="W609" s="5">
        <f>IF($F609="","",IFERROR(INDEX('CAT_CENTROS_COSTO'!$F$4:$F$13,MATCH($F609,'CAT_CENTROS_COSTO'!$A$4:$A$13,0)),"(sin catálogo)"))</f>
        <v/>
      </c>
      <c r="X609" s="5">
        <f>IF($F609="","",IFERROR(INDEX('CAT_CENTROS_COSTO'!$D$4:$D$13,MATCH($F609,'CAT_CENTROS_COSTO'!$A$4:$A$13,0)),"(sin catálogo)"))</f>
        <v/>
      </c>
      <c r="Y609" s="5">
        <f>IF($F609="","",IF((IFERROR(INDEX('CAT_CENTROS_COSTO'!$E$4:$E$13,MATCH($F609,'CAT_CENTROS_COSTO'!$A$4:$A$13,0)),""))&lt;&gt;"",IFERROR(INDEX('CAT_CENTROS_COSTO'!$E$4:$E$13,MATCH($F609,'CAT_CENTROS_COSTO'!$A$4:$A$13,0)),""),$X609))</f>
        <v/>
      </c>
      <c r="Z609" s="5">
        <f>IF($F609="","",IFERROR(INDEX('CAT_CENTROS_COSTO'!$G$4:$G$13,MATCH($F609,'CAT_CENTROS_COSTO'!$A$4:$A$13,0)),"(sin catálogo)"))</f>
        <v/>
      </c>
      <c r="AA609" s="5">
        <f>IF($G609="","",IFERROR(INDEX('CAT_PUESTOS'!$B$4:$B$8,MATCH($G609,'CAT_PUESTOS'!$A$4:$A$8,0)),"(sin catálogo)"))</f>
        <v/>
      </c>
      <c r="AB609" s="5">
        <f>IF($H609="","",IFERROR(INDEX('CAT_ACTIVIDADES'!$B$4:$B$11,MATCH($H609,'CAT_ACTIVIDADES'!$A$4:$A$11,0)),"(sin catálogo)"))</f>
        <v/>
      </c>
      <c r="AC609" s="20">
        <f>IF($J609="","",TODAY()-$J609)</f>
        <v/>
      </c>
      <c r="AD609" s="20">
        <f>IF($J609="","",IF($J609&lt;=TODAY(),COUNTIFS(cal_fechas,"&gt;="&amp;$J609,cal_fechas,"&lt;"&amp;TODAY(),cal_habil,"sí"),-COUNTIFS(cal_fechas,"&gt;="&amp;TODAY(),cal_fechas,"&lt;"&amp;$J609,cal_habil,"sí")))</f>
        <v/>
      </c>
      <c r="AE609" s="5">
        <f>IF($AD609="","",IF($AD609&lt;0,"FUTURO",IF($AD609&gt;p_dias_backlog_max,"BACKLOG","MES CORRIENTE")))</f>
        <v/>
      </c>
      <c r="AF609" s="5">
        <f>IF($AD609="",FALSE,AND($AD609&gt;p_dias_backlog_min,$AD609&lt;=p_dias_backlog_max))</f>
        <v/>
      </c>
      <c r="AG609" s="4" t="n"/>
      <c r="AH609" s="5">
        <f>IF($AG609="","",IF((IFERROR(INDEX('ASIGNACIONES'!$J$4:$J$451,MATCH($O609&amp;"|"&amp;$S609&amp;"|"&amp;$AG609,'ASIGNACIONES'!$N$4:$N$451,0)),""))=0,"",IFERROR(INDEX('ASIGNACIONES'!$J$4:$J$451,MATCH($O609&amp;"|"&amp;$S609&amp;"|"&amp;$AG609,'ASIGNACIONES'!$N$4:$N$451,0)),"")))</f>
        <v/>
      </c>
      <c r="AI609" s="25">
        <f>IF($AG609="","",SUMIFS('ORDENES'!$M$4:$M$1203,'ORDENES'!$AG$4:$AG$1203,$AG609,'ORDENES'!$O$4:$O$1203,$O609,'ORDENES'!$S$4:$S$1203,$S609))</f>
        <v/>
      </c>
      <c r="AJ609" s="25">
        <f>IF($AI609="","",p_factor_productividad*IFERROR(INDEX('ASIGNACIONES'!$M$4:$M$451,MATCH($O609&amp;"|"&amp;$S609&amp;"|"&amp;$AG609,'ASIGNACIONES'!$N$4:$N$451,0)),0)-$AI609)</f>
        <v/>
      </c>
      <c r="AK609" s="18">
        <f>IF($A609="","",IFERROR(INDEX('2_IMPORTAR_EJECUCION'!$F$9:$F$1208,MATCH($AT609,'2_IMPORTAR_EJECUCION'!$J$9:$J$1208,0)),0))</f>
        <v/>
      </c>
      <c r="AL609" s="18">
        <f>IF($A609="","",MAX(0,IFERROR(INDEX('2_IMPORTAR_EJECUCION'!$H$9:$H$1208,MATCH($AT609,'2_IMPORTAR_EJECUCION'!$J$9:$J$1208,0)),0)-$AK609))</f>
        <v/>
      </c>
      <c r="AM609" s="18">
        <f>IF($A609="","",$AK609+$AL609)</f>
        <v/>
      </c>
      <c r="AN609" s="5">
        <f>IF($A609="","",IF(OR((IFERROR(INDEX('CAT_ACTIVIDADES'!$D$4:$D$11,MATCH($H609,'CAT_ACTIVIDADES'!$A$4:$A$11,0)),""))=0,(IFERROR(INDEX('CAT_ACTIVIDADES'!$D$4:$D$11,MATCH($H609,'CAT_ACTIVIDADES'!$A$4:$A$11,0)),""))=""),"SIN CLASIFICAR",IFERROR(INDEX('CAT_ACTIVIDADES'!$D$4:$D$11,MATCH($H609,'CAT_ACTIVIDADES'!$A$4:$A$11,0)),"")))</f>
        <v/>
      </c>
      <c r="AO609" s="4" t="n"/>
      <c r="AP609" s="4" t="n"/>
      <c r="AQ609" s="4" t="n"/>
      <c r="AR609" s="5">
        <f>IF($AQ609="","",HYPERLINK(p_ruta_base_checklists&amp;$AQ609,"abrir"))</f>
        <v/>
      </c>
      <c r="AS609" s="4" t="n"/>
      <c r="AT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2" t="n"/>
      <c r="K610" s="5" t="n"/>
      <c r="L610" s="18" t="n"/>
      <c r="M610" s="5">
        <f>IF($A610="","",IFERROR(INDEX('AJUSTES'!$B$4:$B$303,MATCH($AT610,'AJUSTES'!$A$4:$A$303,0)),IF($K610="","",$K610)))</f>
        <v/>
      </c>
      <c r="N610" s="5">
        <f>IF($A610="","",IFERROR(INDEX('CAT_ESTADOS_ERP'!$B$4:$B$7,MATCH(IFERROR(INDEX('2_IMPORTAR_EJECUCION'!$C$9:$C$1208,MATCH($AT610,'2_IMPORTAR_EJECUCION'!$J$9:$J$1208,0)),""),'CAT_ESTADOS_ERP'!$A$4:$A$7,0)),"Pendiente"))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IF($J610="","",$P610&amp;"-"&amp;TEXT($Q610,"00"))</f>
        <v/>
      </c>
      <c r="S610" s="5">
        <f>IF($J610="","",INDEX(lista_dias,WEEKDAY($J610,2)))</f>
        <v/>
      </c>
      <c r="T610" s="5">
        <f>IF($J610="","",IFERROR(INDEX('CALENDARIO'!$C$15:$C$214,MATCH(TEXT($J610,"yyyy-mm-dd")&amp;"|"&amp;$X610&amp;"|"&amp;$Y610,'CALENDARIO'!$G$15:$G$214,0)),IFERROR(INDEX('CALENDARIO'!$C$15:$C$214,MATCH(TEXT($J610,"yyyy-mm-dd")&amp;"|"&amp;$X610&amp;"|",'CALENDARIO'!$G$15:$G$214,0)),IFERROR(INDEX('CALENDARIO'!$C$15:$C$214,MATCH(TEXT($J610,"yyyy-mm-dd")&amp;"||",'CALENDARIO'!$G$15:$G$214,0)),INDEX(patronHabil,WEEKDAY($J610,2))))))</f>
        <v/>
      </c>
      <c r="U610" s="5">
        <f>IF($I610="","",IFERROR(INDEX('CAT_TIPOS_OT'!$C$4:$C$8,MATCH($I610,'CAT_TIPOS_OT'!$A$4:$A$8,0)),"sin_clasificar"))</f>
        <v/>
      </c>
      <c r="V610" s="5">
        <f>IF($I610="","",IF(IFERROR(INDEX('CAT_TIPOS_OT'!$D$4:$D$8,MATCH($I610,'CAT_TIPOS_OT'!$A$4:$A$8,0)),"SIN CLASIFICAR")="","SIN CLASIFICAR",IFERROR(INDEX('CAT_TIPOS_OT'!$D$4:$D$8,MATCH($I610,'CAT_TIPOS_OT'!$A$4:$A$8,0)),"SIN CLASIFICAR")))</f>
        <v/>
      </c>
      <c r="W610" s="5">
        <f>IF($F610="","",IFERROR(INDEX('CAT_CENTROS_COSTO'!$F$4:$F$13,MATCH($F610,'CAT_CENTROS_COSTO'!$A$4:$A$13,0)),"(sin catálogo)"))</f>
        <v/>
      </c>
      <c r="X610" s="5">
        <f>IF($F610="","",IFERROR(INDEX('CAT_CENTROS_COSTO'!$D$4:$D$13,MATCH($F610,'CAT_CENTROS_COSTO'!$A$4:$A$13,0)),"(sin catálogo)"))</f>
        <v/>
      </c>
      <c r="Y610" s="5">
        <f>IF($F610="","",IF((IFERROR(INDEX('CAT_CENTROS_COSTO'!$E$4:$E$13,MATCH($F610,'CAT_CENTROS_COSTO'!$A$4:$A$13,0)),""))&lt;&gt;"",IFERROR(INDEX('CAT_CENTROS_COSTO'!$E$4:$E$13,MATCH($F610,'CAT_CENTROS_COSTO'!$A$4:$A$13,0)),""),$X610))</f>
        <v/>
      </c>
      <c r="Z610" s="5">
        <f>IF($F610="","",IFERROR(INDEX('CAT_CENTROS_COSTO'!$G$4:$G$13,MATCH($F610,'CAT_CENTROS_COSTO'!$A$4:$A$13,0)),"(sin catálogo)"))</f>
        <v/>
      </c>
      <c r="AA610" s="5">
        <f>IF($G610="","",IFERROR(INDEX('CAT_PUESTOS'!$B$4:$B$8,MATCH($G610,'CAT_PUESTOS'!$A$4:$A$8,0)),"(sin catálogo)"))</f>
        <v/>
      </c>
      <c r="AB610" s="5">
        <f>IF($H610="","",IFERROR(INDEX('CAT_ACTIVIDADES'!$B$4:$B$11,MATCH($H610,'CAT_ACTIVIDADES'!$A$4:$A$11,0)),"(sin catálogo)"))</f>
        <v/>
      </c>
      <c r="AC610" s="20">
        <f>IF($J610="","",TODAY()-$J610)</f>
        <v/>
      </c>
      <c r="AD610" s="20">
        <f>IF($J610="","",IF($J610&lt;=TODAY(),COUNTIFS(cal_fechas,"&gt;="&amp;$J610,cal_fechas,"&lt;"&amp;TODAY(),cal_habil,"sí"),-COUNTIFS(cal_fechas,"&gt;="&amp;TODAY(),cal_fechas,"&lt;"&amp;$J610,cal_habil,"sí")))</f>
        <v/>
      </c>
      <c r="AE610" s="5">
        <f>IF($AD610="","",IF($AD610&lt;0,"FUTURO",IF($AD610&gt;p_dias_backlog_max,"BACKLOG","MES CORRIENTE")))</f>
        <v/>
      </c>
      <c r="AF610" s="5">
        <f>IF($AD610="",FALSE,AND($AD610&gt;p_dias_backlog_min,$AD610&lt;=p_dias_backlog_max))</f>
        <v/>
      </c>
      <c r="AG610" s="4" t="n"/>
      <c r="AH610" s="5">
        <f>IF($AG610="","",IF((IFERROR(INDEX('ASIGNACIONES'!$J$4:$J$451,MATCH($O610&amp;"|"&amp;$S610&amp;"|"&amp;$AG610,'ASIGNACIONES'!$N$4:$N$451,0)),""))=0,"",IFERROR(INDEX('ASIGNACIONES'!$J$4:$J$451,MATCH($O610&amp;"|"&amp;$S610&amp;"|"&amp;$AG610,'ASIGNACIONES'!$N$4:$N$451,0)),"")))</f>
        <v/>
      </c>
      <c r="AI610" s="25">
        <f>IF($AG610="","",SUMIFS('ORDENES'!$M$4:$M$1203,'ORDENES'!$AG$4:$AG$1203,$AG610,'ORDENES'!$O$4:$O$1203,$O610,'ORDENES'!$S$4:$S$1203,$S610))</f>
        <v/>
      </c>
      <c r="AJ610" s="25">
        <f>IF($AI610="","",p_factor_productividad*IFERROR(INDEX('ASIGNACIONES'!$M$4:$M$451,MATCH($O610&amp;"|"&amp;$S610&amp;"|"&amp;$AG610,'ASIGNACIONES'!$N$4:$N$451,0)),0)-$AI610)</f>
        <v/>
      </c>
      <c r="AK610" s="18">
        <f>IF($A610="","",IFERROR(INDEX('2_IMPORTAR_EJECUCION'!$F$9:$F$1208,MATCH($AT610,'2_IMPORTAR_EJECUCION'!$J$9:$J$1208,0)),0))</f>
        <v/>
      </c>
      <c r="AL610" s="18">
        <f>IF($A610="","",MAX(0,IFERROR(INDEX('2_IMPORTAR_EJECUCION'!$H$9:$H$1208,MATCH($AT610,'2_IMPORTAR_EJECUCION'!$J$9:$J$1208,0)),0)-$AK610))</f>
        <v/>
      </c>
      <c r="AM610" s="18">
        <f>IF($A610="","",$AK610+$AL610)</f>
        <v/>
      </c>
      <c r="AN610" s="5">
        <f>IF($A610="","",IF(OR((IFERROR(INDEX('CAT_ACTIVIDADES'!$D$4:$D$11,MATCH($H610,'CAT_ACTIVIDADES'!$A$4:$A$11,0)),""))=0,(IFERROR(INDEX('CAT_ACTIVIDADES'!$D$4:$D$11,MATCH($H610,'CAT_ACTIVIDADES'!$A$4:$A$11,0)),""))=""),"SIN CLASIFICAR",IFERROR(INDEX('CAT_ACTIVIDADES'!$D$4:$D$11,MATCH($H610,'CAT_ACTIVIDADES'!$A$4:$A$11,0)),"")))</f>
        <v/>
      </c>
      <c r="AO610" s="4" t="n"/>
      <c r="AP610" s="4" t="n"/>
      <c r="AQ610" s="4" t="n"/>
      <c r="AR610" s="5">
        <f>IF($AQ610="","",HYPERLINK(p_ruta_base_checklists&amp;$AQ610,"abrir"))</f>
        <v/>
      </c>
      <c r="AS610" s="4" t="n"/>
      <c r="AT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2" t="n"/>
      <c r="K611" s="5" t="n"/>
      <c r="L611" s="18" t="n"/>
      <c r="M611" s="5">
        <f>IF($A611="","",IFERROR(INDEX('AJUSTES'!$B$4:$B$303,MATCH($AT611,'AJUSTES'!$A$4:$A$303,0)),IF($K611="","",$K611)))</f>
        <v/>
      </c>
      <c r="N611" s="5">
        <f>IF($A611="","",IFERROR(INDEX('CAT_ESTADOS_ERP'!$B$4:$B$7,MATCH(IFERROR(INDEX('2_IMPORTAR_EJECUCION'!$C$9:$C$1208,MATCH($AT611,'2_IMPORTAR_EJECUCION'!$J$9:$J$1208,0)),""),'CAT_ESTADOS_ERP'!$A$4:$A$7,0)),"Pendiente"))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IF($J611="","",$P611&amp;"-"&amp;TEXT($Q611,"00"))</f>
        <v/>
      </c>
      <c r="S611" s="5">
        <f>IF($J611="","",INDEX(lista_dias,WEEKDAY($J611,2)))</f>
        <v/>
      </c>
      <c r="T611" s="5">
        <f>IF($J611="","",IFERROR(INDEX('CALENDARIO'!$C$15:$C$214,MATCH(TEXT($J611,"yyyy-mm-dd")&amp;"|"&amp;$X611&amp;"|"&amp;$Y611,'CALENDARIO'!$G$15:$G$214,0)),IFERROR(INDEX('CALENDARIO'!$C$15:$C$214,MATCH(TEXT($J611,"yyyy-mm-dd")&amp;"|"&amp;$X611&amp;"|",'CALENDARIO'!$G$15:$G$214,0)),IFERROR(INDEX('CALENDARIO'!$C$15:$C$214,MATCH(TEXT($J611,"yyyy-mm-dd")&amp;"||",'CALENDARIO'!$G$15:$G$214,0)),INDEX(patronHabil,WEEKDAY($J611,2))))))</f>
        <v/>
      </c>
      <c r="U611" s="5">
        <f>IF($I611="","",IFERROR(INDEX('CAT_TIPOS_OT'!$C$4:$C$8,MATCH($I611,'CAT_TIPOS_OT'!$A$4:$A$8,0)),"sin_clasificar"))</f>
        <v/>
      </c>
      <c r="V611" s="5">
        <f>IF($I611="","",IF(IFERROR(INDEX('CAT_TIPOS_OT'!$D$4:$D$8,MATCH($I611,'CAT_TIPOS_OT'!$A$4:$A$8,0)),"SIN CLASIFICAR")="","SIN CLASIFICAR",IFERROR(INDEX('CAT_TIPOS_OT'!$D$4:$D$8,MATCH($I611,'CAT_TIPOS_OT'!$A$4:$A$8,0)),"SIN CLASIFICAR")))</f>
        <v/>
      </c>
      <c r="W611" s="5">
        <f>IF($F611="","",IFERROR(INDEX('CAT_CENTROS_COSTO'!$F$4:$F$13,MATCH($F611,'CAT_CENTROS_COSTO'!$A$4:$A$13,0)),"(sin catálogo)"))</f>
        <v/>
      </c>
      <c r="X611" s="5">
        <f>IF($F611="","",IFERROR(INDEX('CAT_CENTROS_COSTO'!$D$4:$D$13,MATCH($F611,'CAT_CENTROS_COSTO'!$A$4:$A$13,0)),"(sin catálogo)"))</f>
        <v/>
      </c>
      <c r="Y611" s="5">
        <f>IF($F611="","",IF((IFERROR(INDEX('CAT_CENTROS_COSTO'!$E$4:$E$13,MATCH($F611,'CAT_CENTROS_COSTO'!$A$4:$A$13,0)),""))&lt;&gt;"",IFERROR(INDEX('CAT_CENTROS_COSTO'!$E$4:$E$13,MATCH($F611,'CAT_CENTROS_COSTO'!$A$4:$A$13,0)),""),$X611))</f>
        <v/>
      </c>
      <c r="Z611" s="5">
        <f>IF($F611="","",IFERROR(INDEX('CAT_CENTROS_COSTO'!$G$4:$G$13,MATCH($F611,'CAT_CENTROS_COSTO'!$A$4:$A$13,0)),"(sin catálogo)"))</f>
        <v/>
      </c>
      <c r="AA611" s="5">
        <f>IF($G611="","",IFERROR(INDEX('CAT_PUESTOS'!$B$4:$B$8,MATCH($G611,'CAT_PUESTOS'!$A$4:$A$8,0)),"(sin catálogo)"))</f>
        <v/>
      </c>
      <c r="AB611" s="5">
        <f>IF($H611="","",IFERROR(INDEX('CAT_ACTIVIDADES'!$B$4:$B$11,MATCH($H611,'CAT_ACTIVIDADES'!$A$4:$A$11,0)),"(sin catálogo)"))</f>
        <v/>
      </c>
      <c r="AC611" s="20">
        <f>IF($J611="","",TODAY()-$J611)</f>
        <v/>
      </c>
      <c r="AD611" s="20">
        <f>IF($J611="","",IF($J611&lt;=TODAY(),COUNTIFS(cal_fechas,"&gt;="&amp;$J611,cal_fechas,"&lt;"&amp;TODAY(),cal_habil,"sí"),-COUNTIFS(cal_fechas,"&gt;="&amp;TODAY(),cal_fechas,"&lt;"&amp;$J611,cal_habil,"sí")))</f>
        <v/>
      </c>
      <c r="AE611" s="5">
        <f>IF($AD611="","",IF($AD611&lt;0,"FUTURO",IF($AD611&gt;p_dias_backlog_max,"BACKLOG","MES CORRIENTE")))</f>
        <v/>
      </c>
      <c r="AF611" s="5">
        <f>IF($AD611="",FALSE,AND($AD611&gt;p_dias_backlog_min,$AD611&lt;=p_dias_backlog_max))</f>
        <v/>
      </c>
      <c r="AG611" s="4" t="n"/>
      <c r="AH611" s="5">
        <f>IF($AG611="","",IF((IFERROR(INDEX('ASIGNACIONES'!$J$4:$J$451,MATCH($O611&amp;"|"&amp;$S611&amp;"|"&amp;$AG611,'ASIGNACIONES'!$N$4:$N$451,0)),""))=0,"",IFERROR(INDEX('ASIGNACIONES'!$J$4:$J$451,MATCH($O611&amp;"|"&amp;$S611&amp;"|"&amp;$AG611,'ASIGNACIONES'!$N$4:$N$451,0)),"")))</f>
        <v/>
      </c>
      <c r="AI611" s="25">
        <f>IF($AG611="","",SUMIFS('ORDENES'!$M$4:$M$1203,'ORDENES'!$AG$4:$AG$1203,$AG611,'ORDENES'!$O$4:$O$1203,$O611,'ORDENES'!$S$4:$S$1203,$S611))</f>
        <v/>
      </c>
      <c r="AJ611" s="25">
        <f>IF($AI611="","",p_factor_productividad*IFERROR(INDEX('ASIGNACIONES'!$M$4:$M$451,MATCH($O611&amp;"|"&amp;$S611&amp;"|"&amp;$AG611,'ASIGNACIONES'!$N$4:$N$451,0)),0)-$AI611)</f>
        <v/>
      </c>
      <c r="AK611" s="18">
        <f>IF($A611="","",IFERROR(INDEX('2_IMPORTAR_EJECUCION'!$F$9:$F$1208,MATCH($AT611,'2_IMPORTAR_EJECUCION'!$J$9:$J$1208,0)),0))</f>
        <v/>
      </c>
      <c r="AL611" s="18">
        <f>IF($A611="","",MAX(0,IFERROR(INDEX('2_IMPORTAR_EJECUCION'!$H$9:$H$1208,MATCH($AT611,'2_IMPORTAR_EJECUCION'!$J$9:$J$1208,0)),0)-$AK611))</f>
        <v/>
      </c>
      <c r="AM611" s="18">
        <f>IF($A611="","",$AK611+$AL611)</f>
        <v/>
      </c>
      <c r="AN611" s="5">
        <f>IF($A611="","",IF(OR((IFERROR(INDEX('CAT_ACTIVIDADES'!$D$4:$D$11,MATCH($H611,'CAT_ACTIVIDADES'!$A$4:$A$11,0)),""))=0,(IFERROR(INDEX('CAT_ACTIVIDADES'!$D$4:$D$11,MATCH($H611,'CAT_ACTIVIDADES'!$A$4:$A$11,0)),""))=""),"SIN CLASIFICAR",IFERROR(INDEX('CAT_ACTIVIDADES'!$D$4:$D$11,MATCH($H611,'CAT_ACTIVIDADES'!$A$4:$A$11,0)),"")))</f>
        <v/>
      </c>
      <c r="AO611" s="4" t="n"/>
      <c r="AP611" s="4" t="n"/>
      <c r="AQ611" s="4" t="n"/>
      <c r="AR611" s="5">
        <f>IF($AQ611="","",HYPERLINK(p_ruta_base_checklists&amp;$AQ611,"abrir"))</f>
        <v/>
      </c>
      <c r="AS611" s="4" t="n"/>
      <c r="AT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2" t="n"/>
      <c r="K612" s="5" t="n"/>
      <c r="L612" s="18" t="n"/>
      <c r="M612" s="5">
        <f>IF($A612="","",IFERROR(INDEX('AJUSTES'!$B$4:$B$303,MATCH($AT612,'AJUSTES'!$A$4:$A$303,0)),IF($K612="","",$K612)))</f>
        <v/>
      </c>
      <c r="N612" s="5">
        <f>IF($A612="","",IFERROR(INDEX('CAT_ESTADOS_ERP'!$B$4:$B$7,MATCH(IFERROR(INDEX('2_IMPORTAR_EJECUCION'!$C$9:$C$1208,MATCH($AT612,'2_IMPORTAR_EJECUCION'!$J$9:$J$1208,0)),""),'CAT_ESTADOS_ERP'!$A$4:$A$7,0)),"Pendiente"))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IF($J612="","",$P612&amp;"-"&amp;TEXT($Q612,"00"))</f>
        <v/>
      </c>
      <c r="S612" s="5">
        <f>IF($J612="","",INDEX(lista_dias,WEEKDAY($J612,2)))</f>
        <v/>
      </c>
      <c r="T612" s="5">
        <f>IF($J612="","",IFERROR(INDEX('CALENDARIO'!$C$15:$C$214,MATCH(TEXT($J612,"yyyy-mm-dd")&amp;"|"&amp;$X612&amp;"|"&amp;$Y612,'CALENDARIO'!$G$15:$G$214,0)),IFERROR(INDEX('CALENDARIO'!$C$15:$C$214,MATCH(TEXT($J612,"yyyy-mm-dd")&amp;"|"&amp;$X612&amp;"|",'CALENDARIO'!$G$15:$G$214,0)),IFERROR(INDEX('CALENDARIO'!$C$15:$C$214,MATCH(TEXT($J612,"yyyy-mm-dd")&amp;"||",'CALENDARIO'!$G$15:$G$214,0)),INDEX(patronHabil,WEEKDAY($J612,2))))))</f>
        <v/>
      </c>
      <c r="U612" s="5">
        <f>IF($I612="","",IFERROR(INDEX('CAT_TIPOS_OT'!$C$4:$C$8,MATCH($I612,'CAT_TIPOS_OT'!$A$4:$A$8,0)),"sin_clasificar"))</f>
        <v/>
      </c>
      <c r="V612" s="5">
        <f>IF($I612="","",IF(IFERROR(INDEX('CAT_TIPOS_OT'!$D$4:$D$8,MATCH($I612,'CAT_TIPOS_OT'!$A$4:$A$8,0)),"SIN CLASIFICAR")="","SIN CLASIFICAR",IFERROR(INDEX('CAT_TIPOS_OT'!$D$4:$D$8,MATCH($I612,'CAT_TIPOS_OT'!$A$4:$A$8,0)),"SIN CLASIFICAR")))</f>
        <v/>
      </c>
      <c r="W612" s="5">
        <f>IF($F612="","",IFERROR(INDEX('CAT_CENTROS_COSTO'!$F$4:$F$13,MATCH($F612,'CAT_CENTROS_COSTO'!$A$4:$A$13,0)),"(sin catálogo)"))</f>
        <v/>
      </c>
      <c r="X612" s="5">
        <f>IF($F612="","",IFERROR(INDEX('CAT_CENTROS_COSTO'!$D$4:$D$13,MATCH($F612,'CAT_CENTROS_COSTO'!$A$4:$A$13,0)),"(sin catálogo)"))</f>
        <v/>
      </c>
      <c r="Y612" s="5">
        <f>IF($F612="","",IF((IFERROR(INDEX('CAT_CENTROS_COSTO'!$E$4:$E$13,MATCH($F612,'CAT_CENTROS_COSTO'!$A$4:$A$13,0)),""))&lt;&gt;"",IFERROR(INDEX('CAT_CENTROS_COSTO'!$E$4:$E$13,MATCH($F612,'CAT_CENTROS_COSTO'!$A$4:$A$13,0)),""),$X612))</f>
        <v/>
      </c>
      <c r="Z612" s="5">
        <f>IF($F612="","",IFERROR(INDEX('CAT_CENTROS_COSTO'!$G$4:$G$13,MATCH($F612,'CAT_CENTROS_COSTO'!$A$4:$A$13,0)),"(sin catálogo)"))</f>
        <v/>
      </c>
      <c r="AA612" s="5">
        <f>IF($G612="","",IFERROR(INDEX('CAT_PUESTOS'!$B$4:$B$8,MATCH($G612,'CAT_PUESTOS'!$A$4:$A$8,0)),"(sin catálogo)"))</f>
        <v/>
      </c>
      <c r="AB612" s="5">
        <f>IF($H612="","",IFERROR(INDEX('CAT_ACTIVIDADES'!$B$4:$B$11,MATCH($H612,'CAT_ACTIVIDADES'!$A$4:$A$11,0)),"(sin catálogo)"))</f>
        <v/>
      </c>
      <c r="AC612" s="20">
        <f>IF($J612="","",TODAY()-$J612)</f>
        <v/>
      </c>
      <c r="AD612" s="20">
        <f>IF($J612="","",IF($J612&lt;=TODAY(),COUNTIFS(cal_fechas,"&gt;="&amp;$J612,cal_fechas,"&lt;"&amp;TODAY(),cal_habil,"sí"),-COUNTIFS(cal_fechas,"&gt;="&amp;TODAY(),cal_fechas,"&lt;"&amp;$J612,cal_habil,"sí")))</f>
        <v/>
      </c>
      <c r="AE612" s="5">
        <f>IF($AD612="","",IF($AD612&lt;0,"FUTURO",IF($AD612&gt;p_dias_backlog_max,"BACKLOG","MES CORRIENTE")))</f>
        <v/>
      </c>
      <c r="AF612" s="5">
        <f>IF($AD612="",FALSE,AND($AD612&gt;p_dias_backlog_min,$AD612&lt;=p_dias_backlog_max))</f>
        <v/>
      </c>
      <c r="AG612" s="4" t="n"/>
      <c r="AH612" s="5">
        <f>IF($AG612="","",IF((IFERROR(INDEX('ASIGNACIONES'!$J$4:$J$451,MATCH($O612&amp;"|"&amp;$S612&amp;"|"&amp;$AG612,'ASIGNACIONES'!$N$4:$N$451,0)),""))=0,"",IFERROR(INDEX('ASIGNACIONES'!$J$4:$J$451,MATCH($O612&amp;"|"&amp;$S612&amp;"|"&amp;$AG612,'ASIGNACIONES'!$N$4:$N$451,0)),"")))</f>
        <v/>
      </c>
      <c r="AI612" s="25">
        <f>IF($AG612="","",SUMIFS('ORDENES'!$M$4:$M$1203,'ORDENES'!$AG$4:$AG$1203,$AG612,'ORDENES'!$O$4:$O$1203,$O612,'ORDENES'!$S$4:$S$1203,$S612))</f>
        <v/>
      </c>
      <c r="AJ612" s="25">
        <f>IF($AI612="","",p_factor_productividad*IFERROR(INDEX('ASIGNACIONES'!$M$4:$M$451,MATCH($O612&amp;"|"&amp;$S612&amp;"|"&amp;$AG612,'ASIGNACIONES'!$N$4:$N$451,0)),0)-$AI612)</f>
        <v/>
      </c>
      <c r="AK612" s="18">
        <f>IF($A612="","",IFERROR(INDEX('2_IMPORTAR_EJECUCION'!$F$9:$F$1208,MATCH($AT612,'2_IMPORTAR_EJECUCION'!$J$9:$J$1208,0)),0))</f>
        <v/>
      </c>
      <c r="AL612" s="18">
        <f>IF($A612="","",MAX(0,IFERROR(INDEX('2_IMPORTAR_EJECUCION'!$H$9:$H$1208,MATCH($AT612,'2_IMPORTAR_EJECUCION'!$J$9:$J$1208,0)),0)-$AK612))</f>
        <v/>
      </c>
      <c r="AM612" s="18">
        <f>IF($A612="","",$AK612+$AL612)</f>
        <v/>
      </c>
      <c r="AN612" s="5">
        <f>IF($A612="","",IF(OR((IFERROR(INDEX('CAT_ACTIVIDADES'!$D$4:$D$11,MATCH($H612,'CAT_ACTIVIDADES'!$A$4:$A$11,0)),""))=0,(IFERROR(INDEX('CAT_ACTIVIDADES'!$D$4:$D$11,MATCH($H612,'CAT_ACTIVIDADES'!$A$4:$A$11,0)),""))=""),"SIN CLASIFICAR",IFERROR(INDEX('CAT_ACTIVIDADES'!$D$4:$D$11,MATCH($H612,'CAT_ACTIVIDADES'!$A$4:$A$11,0)),"")))</f>
        <v/>
      </c>
      <c r="AO612" s="4" t="n"/>
      <c r="AP612" s="4" t="n"/>
      <c r="AQ612" s="4" t="n"/>
      <c r="AR612" s="5">
        <f>IF($AQ612="","",HYPERLINK(p_ruta_base_checklists&amp;$AQ612,"abrir"))</f>
        <v/>
      </c>
      <c r="AS612" s="4" t="n"/>
      <c r="AT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2" t="n"/>
      <c r="K613" s="5" t="n"/>
      <c r="L613" s="18" t="n"/>
      <c r="M613" s="5">
        <f>IF($A613="","",IFERROR(INDEX('AJUSTES'!$B$4:$B$303,MATCH($AT613,'AJUSTES'!$A$4:$A$303,0)),IF($K613="","",$K613)))</f>
        <v/>
      </c>
      <c r="N613" s="5">
        <f>IF($A613="","",IFERROR(INDEX('CAT_ESTADOS_ERP'!$B$4:$B$7,MATCH(IFERROR(INDEX('2_IMPORTAR_EJECUCION'!$C$9:$C$1208,MATCH($AT613,'2_IMPORTAR_EJECUCION'!$J$9:$J$1208,0)),""),'CAT_ESTADOS_ERP'!$A$4:$A$7,0)),"Pendiente"))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IF($J613="","",$P613&amp;"-"&amp;TEXT($Q613,"00"))</f>
        <v/>
      </c>
      <c r="S613" s="5">
        <f>IF($J613="","",INDEX(lista_dias,WEEKDAY($J613,2)))</f>
        <v/>
      </c>
      <c r="T613" s="5">
        <f>IF($J613="","",IFERROR(INDEX('CALENDARIO'!$C$15:$C$214,MATCH(TEXT($J613,"yyyy-mm-dd")&amp;"|"&amp;$X613&amp;"|"&amp;$Y613,'CALENDARIO'!$G$15:$G$214,0)),IFERROR(INDEX('CALENDARIO'!$C$15:$C$214,MATCH(TEXT($J613,"yyyy-mm-dd")&amp;"|"&amp;$X613&amp;"|",'CALENDARIO'!$G$15:$G$214,0)),IFERROR(INDEX('CALENDARIO'!$C$15:$C$214,MATCH(TEXT($J613,"yyyy-mm-dd")&amp;"||",'CALENDARIO'!$G$15:$G$214,0)),INDEX(patronHabil,WEEKDAY($J613,2))))))</f>
        <v/>
      </c>
      <c r="U613" s="5">
        <f>IF($I613="","",IFERROR(INDEX('CAT_TIPOS_OT'!$C$4:$C$8,MATCH($I613,'CAT_TIPOS_OT'!$A$4:$A$8,0)),"sin_clasificar"))</f>
        <v/>
      </c>
      <c r="V613" s="5">
        <f>IF($I613="","",IF(IFERROR(INDEX('CAT_TIPOS_OT'!$D$4:$D$8,MATCH($I613,'CAT_TIPOS_OT'!$A$4:$A$8,0)),"SIN CLASIFICAR")="","SIN CLASIFICAR",IFERROR(INDEX('CAT_TIPOS_OT'!$D$4:$D$8,MATCH($I613,'CAT_TIPOS_OT'!$A$4:$A$8,0)),"SIN CLASIFICAR")))</f>
        <v/>
      </c>
      <c r="W613" s="5">
        <f>IF($F613="","",IFERROR(INDEX('CAT_CENTROS_COSTO'!$F$4:$F$13,MATCH($F613,'CAT_CENTROS_COSTO'!$A$4:$A$13,0)),"(sin catálogo)"))</f>
        <v/>
      </c>
      <c r="X613" s="5">
        <f>IF($F613="","",IFERROR(INDEX('CAT_CENTROS_COSTO'!$D$4:$D$13,MATCH($F613,'CAT_CENTROS_COSTO'!$A$4:$A$13,0)),"(sin catálogo)"))</f>
        <v/>
      </c>
      <c r="Y613" s="5">
        <f>IF($F613="","",IF((IFERROR(INDEX('CAT_CENTROS_COSTO'!$E$4:$E$13,MATCH($F613,'CAT_CENTROS_COSTO'!$A$4:$A$13,0)),""))&lt;&gt;"",IFERROR(INDEX('CAT_CENTROS_COSTO'!$E$4:$E$13,MATCH($F613,'CAT_CENTROS_COSTO'!$A$4:$A$13,0)),""),$X613))</f>
        <v/>
      </c>
      <c r="Z613" s="5">
        <f>IF($F613="","",IFERROR(INDEX('CAT_CENTROS_COSTO'!$G$4:$G$13,MATCH($F613,'CAT_CENTROS_COSTO'!$A$4:$A$13,0)),"(sin catálogo)"))</f>
        <v/>
      </c>
      <c r="AA613" s="5">
        <f>IF($G613="","",IFERROR(INDEX('CAT_PUESTOS'!$B$4:$B$8,MATCH($G613,'CAT_PUESTOS'!$A$4:$A$8,0)),"(sin catálogo)"))</f>
        <v/>
      </c>
      <c r="AB613" s="5">
        <f>IF($H613="","",IFERROR(INDEX('CAT_ACTIVIDADES'!$B$4:$B$11,MATCH($H613,'CAT_ACTIVIDADES'!$A$4:$A$11,0)),"(sin catálogo)"))</f>
        <v/>
      </c>
      <c r="AC613" s="20">
        <f>IF($J613="","",TODAY()-$J613)</f>
        <v/>
      </c>
      <c r="AD613" s="20">
        <f>IF($J613="","",IF($J613&lt;=TODAY(),COUNTIFS(cal_fechas,"&gt;="&amp;$J613,cal_fechas,"&lt;"&amp;TODAY(),cal_habil,"sí"),-COUNTIFS(cal_fechas,"&gt;="&amp;TODAY(),cal_fechas,"&lt;"&amp;$J613,cal_habil,"sí")))</f>
        <v/>
      </c>
      <c r="AE613" s="5">
        <f>IF($AD613="","",IF($AD613&lt;0,"FUTURO",IF($AD613&gt;p_dias_backlog_max,"BACKLOG","MES CORRIENTE")))</f>
        <v/>
      </c>
      <c r="AF613" s="5">
        <f>IF($AD613="",FALSE,AND($AD613&gt;p_dias_backlog_min,$AD613&lt;=p_dias_backlog_max))</f>
        <v/>
      </c>
      <c r="AG613" s="4" t="n"/>
      <c r="AH613" s="5">
        <f>IF($AG613="","",IF((IFERROR(INDEX('ASIGNACIONES'!$J$4:$J$451,MATCH($O613&amp;"|"&amp;$S613&amp;"|"&amp;$AG613,'ASIGNACIONES'!$N$4:$N$451,0)),""))=0,"",IFERROR(INDEX('ASIGNACIONES'!$J$4:$J$451,MATCH($O613&amp;"|"&amp;$S613&amp;"|"&amp;$AG613,'ASIGNACIONES'!$N$4:$N$451,0)),"")))</f>
        <v/>
      </c>
      <c r="AI613" s="25">
        <f>IF($AG613="","",SUMIFS('ORDENES'!$M$4:$M$1203,'ORDENES'!$AG$4:$AG$1203,$AG613,'ORDENES'!$O$4:$O$1203,$O613,'ORDENES'!$S$4:$S$1203,$S613))</f>
        <v/>
      </c>
      <c r="AJ613" s="25">
        <f>IF($AI613="","",p_factor_productividad*IFERROR(INDEX('ASIGNACIONES'!$M$4:$M$451,MATCH($O613&amp;"|"&amp;$S613&amp;"|"&amp;$AG613,'ASIGNACIONES'!$N$4:$N$451,0)),0)-$AI613)</f>
        <v/>
      </c>
      <c r="AK613" s="18">
        <f>IF($A613="","",IFERROR(INDEX('2_IMPORTAR_EJECUCION'!$F$9:$F$1208,MATCH($AT613,'2_IMPORTAR_EJECUCION'!$J$9:$J$1208,0)),0))</f>
        <v/>
      </c>
      <c r="AL613" s="18">
        <f>IF($A613="","",MAX(0,IFERROR(INDEX('2_IMPORTAR_EJECUCION'!$H$9:$H$1208,MATCH($AT613,'2_IMPORTAR_EJECUCION'!$J$9:$J$1208,0)),0)-$AK613))</f>
        <v/>
      </c>
      <c r="AM613" s="18">
        <f>IF($A613="","",$AK613+$AL613)</f>
        <v/>
      </c>
      <c r="AN613" s="5">
        <f>IF($A613="","",IF(OR((IFERROR(INDEX('CAT_ACTIVIDADES'!$D$4:$D$11,MATCH($H613,'CAT_ACTIVIDADES'!$A$4:$A$11,0)),""))=0,(IFERROR(INDEX('CAT_ACTIVIDADES'!$D$4:$D$11,MATCH($H613,'CAT_ACTIVIDADES'!$A$4:$A$11,0)),""))=""),"SIN CLASIFICAR",IFERROR(INDEX('CAT_ACTIVIDADES'!$D$4:$D$11,MATCH($H613,'CAT_ACTIVIDADES'!$A$4:$A$11,0)),"")))</f>
        <v/>
      </c>
      <c r="AO613" s="4" t="n"/>
      <c r="AP613" s="4" t="n"/>
      <c r="AQ613" s="4" t="n"/>
      <c r="AR613" s="5">
        <f>IF($AQ613="","",HYPERLINK(p_ruta_base_checklists&amp;$AQ613,"abrir"))</f>
        <v/>
      </c>
      <c r="AS613" s="4" t="n"/>
      <c r="AT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2" t="n"/>
      <c r="K614" s="5" t="n"/>
      <c r="L614" s="18" t="n"/>
      <c r="M614" s="5">
        <f>IF($A614="","",IFERROR(INDEX('AJUSTES'!$B$4:$B$303,MATCH($AT614,'AJUSTES'!$A$4:$A$303,0)),IF($K614="","",$K614)))</f>
        <v/>
      </c>
      <c r="N614" s="5">
        <f>IF($A614="","",IFERROR(INDEX('CAT_ESTADOS_ERP'!$B$4:$B$7,MATCH(IFERROR(INDEX('2_IMPORTAR_EJECUCION'!$C$9:$C$1208,MATCH($AT614,'2_IMPORTAR_EJECUCION'!$J$9:$J$1208,0)),""),'CAT_ESTADOS_ERP'!$A$4:$A$7,0)),"Pendiente"))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IF($J614="","",$P614&amp;"-"&amp;TEXT($Q614,"00"))</f>
        <v/>
      </c>
      <c r="S614" s="5">
        <f>IF($J614="","",INDEX(lista_dias,WEEKDAY($J614,2)))</f>
        <v/>
      </c>
      <c r="T614" s="5">
        <f>IF($J614="","",IFERROR(INDEX('CALENDARIO'!$C$15:$C$214,MATCH(TEXT($J614,"yyyy-mm-dd")&amp;"|"&amp;$X614&amp;"|"&amp;$Y614,'CALENDARIO'!$G$15:$G$214,0)),IFERROR(INDEX('CALENDARIO'!$C$15:$C$214,MATCH(TEXT($J614,"yyyy-mm-dd")&amp;"|"&amp;$X614&amp;"|",'CALENDARIO'!$G$15:$G$214,0)),IFERROR(INDEX('CALENDARIO'!$C$15:$C$214,MATCH(TEXT($J614,"yyyy-mm-dd")&amp;"||",'CALENDARIO'!$G$15:$G$214,0)),INDEX(patronHabil,WEEKDAY($J614,2))))))</f>
        <v/>
      </c>
      <c r="U614" s="5">
        <f>IF($I614="","",IFERROR(INDEX('CAT_TIPOS_OT'!$C$4:$C$8,MATCH($I614,'CAT_TIPOS_OT'!$A$4:$A$8,0)),"sin_clasificar"))</f>
        <v/>
      </c>
      <c r="V614" s="5">
        <f>IF($I614="","",IF(IFERROR(INDEX('CAT_TIPOS_OT'!$D$4:$D$8,MATCH($I614,'CAT_TIPOS_OT'!$A$4:$A$8,0)),"SIN CLASIFICAR")="","SIN CLASIFICAR",IFERROR(INDEX('CAT_TIPOS_OT'!$D$4:$D$8,MATCH($I614,'CAT_TIPOS_OT'!$A$4:$A$8,0)),"SIN CLASIFICAR")))</f>
        <v/>
      </c>
      <c r="W614" s="5">
        <f>IF($F614="","",IFERROR(INDEX('CAT_CENTROS_COSTO'!$F$4:$F$13,MATCH($F614,'CAT_CENTROS_COSTO'!$A$4:$A$13,0)),"(sin catálogo)"))</f>
        <v/>
      </c>
      <c r="X614" s="5">
        <f>IF($F614="","",IFERROR(INDEX('CAT_CENTROS_COSTO'!$D$4:$D$13,MATCH($F614,'CAT_CENTROS_COSTO'!$A$4:$A$13,0)),"(sin catálogo)"))</f>
        <v/>
      </c>
      <c r="Y614" s="5">
        <f>IF($F614="","",IF((IFERROR(INDEX('CAT_CENTROS_COSTO'!$E$4:$E$13,MATCH($F614,'CAT_CENTROS_COSTO'!$A$4:$A$13,0)),""))&lt;&gt;"",IFERROR(INDEX('CAT_CENTROS_COSTO'!$E$4:$E$13,MATCH($F614,'CAT_CENTROS_COSTO'!$A$4:$A$13,0)),""),$X614))</f>
        <v/>
      </c>
      <c r="Z614" s="5">
        <f>IF($F614="","",IFERROR(INDEX('CAT_CENTROS_COSTO'!$G$4:$G$13,MATCH($F614,'CAT_CENTROS_COSTO'!$A$4:$A$13,0)),"(sin catálogo)"))</f>
        <v/>
      </c>
      <c r="AA614" s="5">
        <f>IF($G614="","",IFERROR(INDEX('CAT_PUESTOS'!$B$4:$B$8,MATCH($G614,'CAT_PUESTOS'!$A$4:$A$8,0)),"(sin catálogo)"))</f>
        <v/>
      </c>
      <c r="AB614" s="5">
        <f>IF($H614="","",IFERROR(INDEX('CAT_ACTIVIDADES'!$B$4:$B$11,MATCH($H614,'CAT_ACTIVIDADES'!$A$4:$A$11,0)),"(sin catálogo)"))</f>
        <v/>
      </c>
      <c r="AC614" s="20">
        <f>IF($J614="","",TODAY()-$J614)</f>
        <v/>
      </c>
      <c r="AD614" s="20">
        <f>IF($J614="","",IF($J614&lt;=TODAY(),COUNTIFS(cal_fechas,"&gt;="&amp;$J614,cal_fechas,"&lt;"&amp;TODAY(),cal_habil,"sí"),-COUNTIFS(cal_fechas,"&gt;="&amp;TODAY(),cal_fechas,"&lt;"&amp;$J614,cal_habil,"sí")))</f>
        <v/>
      </c>
      <c r="AE614" s="5">
        <f>IF($AD614="","",IF($AD614&lt;0,"FUTURO",IF($AD614&gt;p_dias_backlog_max,"BACKLOG","MES CORRIENTE")))</f>
        <v/>
      </c>
      <c r="AF614" s="5">
        <f>IF($AD614="",FALSE,AND($AD614&gt;p_dias_backlog_min,$AD614&lt;=p_dias_backlog_max))</f>
        <v/>
      </c>
      <c r="AG614" s="4" t="n"/>
      <c r="AH614" s="5">
        <f>IF($AG614="","",IF((IFERROR(INDEX('ASIGNACIONES'!$J$4:$J$451,MATCH($O614&amp;"|"&amp;$S614&amp;"|"&amp;$AG614,'ASIGNACIONES'!$N$4:$N$451,0)),""))=0,"",IFERROR(INDEX('ASIGNACIONES'!$J$4:$J$451,MATCH($O614&amp;"|"&amp;$S614&amp;"|"&amp;$AG614,'ASIGNACIONES'!$N$4:$N$451,0)),"")))</f>
        <v/>
      </c>
      <c r="AI614" s="25">
        <f>IF($AG614="","",SUMIFS('ORDENES'!$M$4:$M$1203,'ORDENES'!$AG$4:$AG$1203,$AG614,'ORDENES'!$O$4:$O$1203,$O614,'ORDENES'!$S$4:$S$1203,$S614))</f>
        <v/>
      </c>
      <c r="AJ614" s="25">
        <f>IF($AI614="","",p_factor_productividad*IFERROR(INDEX('ASIGNACIONES'!$M$4:$M$451,MATCH($O614&amp;"|"&amp;$S614&amp;"|"&amp;$AG614,'ASIGNACIONES'!$N$4:$N$451,0)),0)-$AI614)</f>
        <v/>
      </c>
      <c r="AK614" s="18">
        <f>IF($A614="","",IFERROR(INDEX('2_IMPORTAR_EJECUCION'!$F$9:$F$1208,MATCH($AT614,'2_IMPORTAR_EJECUCION'!$J$9:$J$1208,0)),0))</f>
        <v/>
      </c>
      <c r="AL614" s="18">
        <f>IF($A614="","",MAX(0,IFERROR(INDEX('2_IMPORTAR_EJECUCION'!$H$9:$H$1208,MATCH($AT614,'2_IMPORTAR_EJECUCION'!$J$9:$J$1208,0)),0)-$AK614))</f>
        <v/>
      </c>
      <c r="AM614" s="18">
        <f>IF($A614="","",$AK614+$AL614)</f>
        <v/>
      </c>
      <c r="AN614" s="5">
        <f>IF($A614="","",IF(OR((IFERROR(INDEX('CAT_ACTIVIDADES'!$D$4:$D$11,MATCH($H614,'CAT_ACTIVIDADES'!$A$4:$A$11,0)),""))=0,(IFERROR(INDEX('CAT_ACTIVIDADES'!$D$4:$D$11,MATCH($H614,'CAT_ACTIVIDADES'!$A$4:$A$11,0)),""))=""),"SIN CLASIFICAR",IFERROR(INDEX('CAT_ACTIVIDADES'!$D$4:$D$11,MATCH($H614,'CAT_ACTIVIDADES'!$A$4:$A$11,0)),"")))</f>
        <v/>
      </c>
      <c r="AO614" s="4" t="n"/>
      <c r="AP614" s="4" t="n"/>
      <c r="AQ614" s="4" t="n"/>
      <c r="AR614" s="5">
        <f>IF($AQ614="","",HYPERLINK(p_ruta_base_checklists&amp;$AQ614,"abrir"))</f>
        <v/>
      </c>
      <c r="AS614" s="4" t="n"/>
      <c r="AT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2" t="n"/>
      <c r="K615" s="5" t="n"/>
      <c r="L615" s="18" t="n"/>
      <c r="M615" s="5">
        <f>IF($A615="","",IFERROR(INDEX('AJUSTES'!$B$4:$B$303,MATCH($AT615,'AJUSTES'!$A$4:$A$303,0)),IF($K615="","",$K615)))</f>
        <v/>
      </c>
      <c r="N615" s="5">
        <f>IF($A615="","",IFERROR(INDEX('CAT_ESTADOS_ERP'!$B$4:$B$7,MATCH(IFERROR(INDEX('2_IMPORTAR_EJECUCION'!$C$9:$C$1208,MATCH($AT615,'2_IMPORTAR_EJECUCION'!$J$9:$J$1208,0)),""),'CAT_ESTADOS_ERP'!$A$4:$A$7,0)),"Pendiente"))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IF($J615="","",$P615&amp;"-"&amp;TEXT($Q615,"00"))</f>
        <v/>
      </c>
      <c r="S615" s="5">
        <f>IF($J615="","",INDEX(lista_dias,WEEKDAY($J615,2)))</f>
        <v/>
      </c>
      <c r="T615" s="5">
        <f>IF($J615="","",IFERROR(INDEX('CALENDARIO'!$C$15:$C$214,MATCH(TEXT($J615,"yyyy-mm-dd")&amp;"|"&amp;$X615&amp;"|"&amp;$Y615,'CALENDARIO'!$G$15:$G$214,0)),IFERROR(INDEX('CALENDARIO'!$C$15:$C$214,MATCH(TEXT($J615,"yyyy-mm-dd")&amp;"|"&amp;$X615&amp;"|",'CALENDARIO'!$G$15:$G$214,0)),IFERROR(INDEX('CALENDARIO'!$C$15:$C$214,MATCH(TEXT($J615,"yyyy-mm-dd")&amp;"||",'CALENDARIO'!$G$15:$G$214,0)),INDEX(patronHabil,WEEKDAY($J615,2))))))</f>
        <v/>
      </c>
      <c r="U615" s="5">
        <f>IF($I615="","",IFERROR(INDEX('CAT_TIPOS_OT'!$C$4:$C$8,MATCH($I615,'CAT_TIPOS_OT'!$A$4:$A$8,0)),"sin_clasificar"))</f>
        <v/>
      </c>
      <c r="V615" s="5">
        <f>IF($I615="","",IF(IFERROR(INDEX('CAT_TIPOS_OT'!$D$4:$D$8,MATCH($I615,'CAT_TIPOS_OT'!$A$4:$A$8,0)),"SIN CLASIFICAR")="","SIN CLASIFICAR",IFERROR(INDEX('CAT_TIPOS_OT'!$D$4:$D$8,MATCH($I615,'CAT_TIPOS_OT'!$A$4:$A$8,0)),"SIN CLASIFICAR")))</f>
        <v/>
      </c>
      <c r="W615" s="5">
        <f>IF($F615="","",IFERROR(INDEX('CAT_CENTROS_COSTO'!$F$4:$F$13,MATCH($F615,'CAT_CENTROS_COSTO'!$A$4:$A$13,0)),"(sin catálogo)"))</f>
        <v/>
      </c>
      <c r="X615" s="5">
        <f>IF($F615="","",IFERROR(INDEX('CAT_CENTROS_COSTO'!$D$4:$D$13,MATCH($F615,'CAT_CENTROS_COSTO'!$A$4:$A$13,0)),"(sin catálogo)"))</f>
        <v/>
      </c>
      <c r="Y615" s="5">
        <f>IF($F615="","",IF((IFERROR(INDEX('CAT_CENTROS_COSTO'!$E$4:$E$13,MATCH($F615,'CAT_CENTROS_COSTO'!$A$4:$A$13,0)),""))&lt;&gt;"",IFERROR(INDEX('CAT_CENTROS_COSTO'!$E$4:$E$13,MATCH($F615,'CAT_CENTROS_COSTO'!$A$4:$A$13,0)),""),$X615))</f>
        <v/>
      </c>
      <c r="Z615" s="5">
        <f>IF($F615="","",IFERROR(INDEX('CAT_CENTROS_COSTO'!$G$4:$G$13,MATCH($F615,'CAT_CENTROS_COSTO'!$A$4:$A$13,0)),"(sin catálogo)"))</f>
        <v/>
      </c>
      <c r="AA615" s="5">
        <f>IF($G615="","",IFERROR(INDEX('CAT_PUESTOS'!$B$4:$B$8,MATCH($G615,'CAT_PUESTOS'!$A$4:$A$8,0)),"(sin catálogo)"))</f>
        <v/>
      </c>
      <c r="AB615" s="5">
        <f>IF($H615="","",IFERROR(INDEX('CAT_ACTIVIDADES'!$B$4:$B$11,MATCH($H615,'CAT_ACTIVIDADES'!$A$4:$A$11,0)),"(sin catálogo)"))</f>
        <v/>
      </c>
      <c r="AC615" s="20">
        <f>IF($J615="","",TODAY()-$J615)</f>
        <v/>
      </c>
      <c r="AD615" s="20">
        <f>IF($J615="","",IF($J615&lt;=TODAY(),COUNTIFS(cal_fechas,"&gt;="&amp;$J615,cal_fechas,"&lt;"&amp;TODAY(),cal_habil,"sí"),-COUNTIFS(cal_fechas,"&gt;="&amp;TODAY(),cal_fechas,"&lt;"&amp;$J615,cal_habil,"sí")))</f>
        <v/>
      </c>
      <c r="AE615" s="5">
        <f>IF($AD615="","",IF($AD615&lt;0,"FUTURO",IF($AD615&gt;p_dias_backlog_max,"BACKLOG","MES CORRIENTE")))</f>
        <v/>
      </c>
      <c r="AF615" s="5">
        <f>IF($AD615="",FALSE,AND($AD615&gt;p_dias_backlog_min,$AD615&lt;=p_dias_backlog_max))</f>
        <v/>
      </c>
      <c r="AG615" s="4" t="n"/>
      <c r="AH615" s="5">
        <f>IF($AG615="","",IF((IFERROR(INDEX('ASIGNACIONES'!$J$4:$J$451,MATCH($O615&amp;"|"&amp;$S615&amp;"|"&amp;$AG615,'ASIGNACIONES'!$N$4:$N$451,0)),""))=0,"",IFERROR(INDEX('ASIGNACIONES'!$J$4:$J$451,MATCH($O615&amp;"|"&amp;$S615&amp;"|"&amp;$AG615,'ASIGNACIONES'!$N$4:$N$451,0)),"")))</f>
        <v/>
      </c>
      <c r="AI615" s="25">
        <f>IF($AG615="","",SUMIFS('ORDENES'!$M$4:$M$1203,'ORDENES'!$AG$4:$AG$1203,$AG615,'ORDENES'!$O$4:$O$1203,$O615,'ORDENES'!$S$4:$S$1203,$S615))</f>
        <v/>
      </c>
      <c r="AJ615" s="25">
        <f>IF($AI615="","",p_factor_productividad*IFERROR(INDEX('ASIGNACIONES'!$M$4:$M$451,MATCH($O615&amp;"|"&amp;$S615&amp;"|"&amp;$AG615,'ASIGNACIONES'!$N$4:$N$451,0)),0)-$AI615)</f>
        <v/>
      </c>
      <c r="AK615" s="18">
        <f>IF($A615="","",IFERROR(INDEX('2_IMPORTAR_EJECUCION'!$F$9:$F$1208,MATCH($AT615,'2_IMPORTAR_EJECUCION'!$J$9:$J$1208,0)),0))</f>
        <v/>
      </c>
      <c r="AL615" s="18">
        <f>IF($A615="","",MAX(0,IFERROR(INDEX('2_IMPORTAR_EJECUCION'!$H$9:$H$1208,MATCH($AT615,'2_IMPORTAR_EJECUCION'!$J$9:$J$1208,0)),0)-$AK615))</f>
        <v/>
      </c>
      <c r="AM615" s="18">
        <f>IF($A615="","",$AK615+$AL615)</f>
        <v/>
      </c>
      <c r="AN615" s="5">
        <f>IF($A615="","",IF(OR((IFERROR(INDEX('CAT_ACTIVIDADES'!$D$4:$D$11,MATCH($H615,'CAT_ACTIVIDADES'!$A$4:$A$11,0)),""))=0,(IFERROR(INDEX('CAT_ACTIVIDADES'!$D$4:$D$11,MATCH($H615,'CAT_ACTIVIDADES'!$A$4:$A$11,0)),""))=""),"SIN CLASIFICAR",IFERROR(INDEX('CAT_ACTIVIDADES'!$D$4:$D$11,MATCH($H615,'CAT_ACTIVIDADES'!$A$4:$A$11,0)),"")))</f>
        <v/>
      </c>
      <c r="AO615" s="4" t="n"/>
      <c r="AP615" s="4" t="n"/>
      <c r="AQ615" s="4" t="n"/>
      <c r="AR615" s="5">
        <f>IF($AQ615="","",HYPERLINK(p_ruta_base_checklists&amp;$AQ615,"abrir"))</f>
        <v/>
      </c>
      <c r="AS615" s="4" t="n"/>
      <c r="AT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2" t="n"/>
      <c r="K616" s="5" t="n"/>
      <c r="L616" s="18" t="n"/>
      <c r="M616" s="5">
        <f>IF($A616="","",IFERROR(INDEX('AJUSTES'!$B$4:$B$303,MATCH($AT616,'AJUSTES'!$A$4:$A$303,0)),IF($K616="","",$K616)))</f>
        <v/>
      </c>
      <c r="N616" s="5">
        <f>IF($A616="","",IFERROR(INDEX('CAT_ESTADOS_ERP'!$B$4:$B$7,MATCH(IFERROR(INDEX('2_IMPORTAR_EJECUCION'!$C$9:$C$1208,MATCH($AT616,'2_IMPORTAR_EJECUCION'!$J$9:$J$1208,0)),""),'CAT_ESTADOS_ERP'!$A$4:$A$7,0)),"Pendiente"))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IF($J616="","",$P616&amp;"-"&amp;TEXT($Q616,"00"))</f>
        <v/>
      </c>
      <c r="S616" s="5">
        <f>IF($J616="","",INDEX(lista_dias,WEEKDAY($J616,2)))</f>
        <v/>
      </c>
      <c r="T616" s="5">
        <f>IF($J616="","",IFERROR(INDEX('CALENDARIO'!$C$15:$C$214,MATCH(TEXT($J616,"yyyy-mm-dd")&amp;"|"&amp;$X616&amp;"|"&amp;$Y616,'CALENDARIO'!$G$15:$G$214,0)),IFERROR(INDEX('CALENDARIO'!$C$15:$C$214,MATCH(TEXT($J616,"yyyy-mm-dd")&amp;"|"&amp;$X616&amp;"|",'CALENDARIO'!$G$15:$G$214,0)),IFERROR(INDEX('CALENDARIO'!$C$15:$C$214,MATCH(TEXT($J616,"yyyy-mm-dd")&amp;"||",'CALENDARIO'!$G$15:$G$214,0)),INDEX(patronHabil,WEEKDAY($J616,2))))))</f>
        <v/>
      </c>
      <c r="U616" s="5">
        <f>IF($I616="","",IFERROR(INDEX('CAT_TIPOS_OT'!$C$4:$C$8,MATCH($I616,'CAT_TIPOS_OT'!$A$4:$A$8,0)),"sin_clasificar"))</f>
        <v/>
      </c>
      <c r="V616" s="5">
        <f>IF($I616="","",IF(IFERROR(INDEX('CAT_TIPOS_OT'!$D$4:$D$8,MATCH($I616,'CAT_TIPOS_OT'!$A$4:$A$8,0)),"SIN CLASIFICAR")="","SIN CLASIFICAR",IFERROR(INDEX('CAT_TIPOS_OT'!$D$4:$D$8,MATCH($I616,'CAT_TIPOS_OT'!$A$4:$A$8,0)),"SIN CLASIFICAR")))</f>
        <v/>
      </c>
      <c r="W616" s="5">
        <f>IF($F616="","",IFERROR(INDEX('CAT_CENTROS_COSTO'!$F$4:$F$13,MATCH($F616,'CAT_CENTROS_COSTO'!$A$4:$A$13,0)),"(sin catálogo)"))</f>
        <v/>
      </c>
      <c r="X616" s="5">
        <f>IF($F616="","",IFERROR(INDEX('CAT_CENTROS_COSTO'!$D$4:$D$13,MATCH($F616,'CAT_CENTROS_COSTO'!$A$4:$A$13,0)),"(sin catálogo)"))</f>
        <v/>
      </c>
      <c r="Y616" s="5">
        <f>IF($F616="","",IF((IFERROR(INDEX('CAT_CENTROS_COSTO'!$E$4:$E$13,MATCH($F616,'CAT_CENTROS_COSTO'!$A$4:$A$13,0)),""))&lt;&gt;"",IFERROR(INDEX('CAT_CENTROS_COSTO'!$E$4:$E$13,MATCH($F616,'CAT_CENTROS_COSTO'!$A$4:$A$13,0)),""),$X616))</f>
        <v/>
      </c>
      <c r="Z616" s="5">
        <f>IF($F616="","",IFERROR(INDEX('CAT_CENTROS_COSTO'!$G$4:$G$13,MATCH($F616,'CAT_CENTROS_COSTO'!$A$4:$A$13,0)),"(sin catálogo)"))</f>
        <v/>
      </c>
      <c r="AA616" s="5">
        <f>IF($G616="","",IFERROR(INDEX('CAT_PUESTOS'!$B$4:$B$8,MATCH($G616,'CAT_PUESTOS'!$A$4:$A$8,0)),"(sin catálogo)"))</f>
        <v/>
      </c>
      <c r="AB616" s="5">
        <f>IF($H616="","",IFERROR(INDEX('CAT_ACTIVIDADES'!$B$4:$B$11,MATCH($H616,'CAT_ACTIVIDADES'!$A$4:$A$11,0)),"(sin catálogo)"))</f>
        <v/>
      </c>
      <c r="AC616" s="20">
        <f>IF($J616="","",TODAY()-$J616)</f>
        <v/>
      </c>
      <c r="AD616" s="20">
        <f>IF($J616="","",IF($J616&lt;=TODAY(),COUNTIFS(cal_fechas,"&gt;="&amp;$J616,cal_fechas,"&lt;"&amp;TODAY(),cal_habil,"sí"),-COUNTIFS(cal_fechas,"&gt;="&amp;TODAY(),cal_fechas,"&lt;"&amp;$J616,cal_habil,"sí")))</f>
        <v/>
      </c>
      <c r="AE616" s="5">
        <f>IF($AD616="","",IF($AD616&lt;0,"FUTURO",IF($AD616&gt;p_dias_backlog_max,"BACKLOG","MES CORRIENTE")))</f>
        <v/>
      </c>
      <c r="AF616" s="5">
        <f>IF($AD616="",FALSE,AND($AD616&gt;p_dias_backlog_min,$AD616&lt;=p_dias_backlog_max))</f>
        <v/>
      </c>
      <c r="AG616" s="4" t="n"/>
      <c r="AH616" s="5">
        <f>IF($AG616="","",IF((IFERROR(INDEX('ASIGNACIONES'!$J$4:$J$451,MATCH($O616&amp;"|"&amp;$S616&amp;"|"&amp;$AG616,'ASIGNACIONES'!$N$4:$N$451,0)),""))=0,"",IFERROR(INDEX('ASIGNACIONES'!$J$4:$J$451,MATCH($O616&amp;"|"&amp;$S616&amp;"|"&amp;$AG616,'ASIGNACIONES'!$N$4:$N$451,0)),"")))</f>
        <v/>
      </c>
      <c r="AI616" s="25">
        <f>IF($AG616="","",SUMIFS('ORDENES'!$M$4:$M$1203,'ORDENES'!$AG$4:$AG$1203,$AG616,'ORDENES'!$O$4:$O$1203,$O616,'ORDENES'!$S$4:$S$1203,$S616))</f>
        <v/>
      </c>
      <c r="AJ616" s="25">
        <f>IF($AI616="","",p_factor_productividad*IFERROR(INDEX('ASIGNACIONES'!$M$4:$M$451,MATCH($O616&amp;"|"&amp;$S616&amp;"|"&amp;$AG616,'ASIGNACIONES'!$N$4:$N$451,0)),0)-$AI616)</f>
        <v/>
      </c>
      <c r="AK616" s="18">
        <f>IF($A616="","",IFERROR(INDEX('2_IMPORTAR_EJECUCION'!$F$9:$F$1208,MATCH($AT616,'2_IMPORTAR_EJECUCION'!$J$9:$J$1208,0)),0))</f>
        <v/>
      </c>
      <c r="AL616" s="18">
        <f>IF($A616="","",MAX(0,IFERROR(INDEX('2_IMPORTAR_EJECUCION'!$H$9:$H$1208,MATCH($AT616,'2_IMPORTAR_EJECUCION'!$J$9:$J$1208,0)),0)-$AK616))</f>
        <v/>
      </c>
      <c r="AM616" s="18">
        <f>IF($A616="","",$AK616+$AL616)</f>
        <v/>
      </c>
      <c r="AN616" s="5">
        <f>IF($A616="","",IF(OR((IFERROR(INDEX('CAT_ACTIVIDADES'!$D$4:$D$11,MATCH($H616,'CAT_ACTIVIDADES'!$A$4:$A$11,0)),""))=0,(IFERROR(INDEX('CAT_ACTIVIDADES'!$D$4:$D$11,MATCH($H616,'CAT_ACTIVIDADES'!$A$4:$A$11,0)),""))=""),"SIN CLASIFICAR",IFERROR(INDEX('CAT_ACTIVIDADES'!$D$4:$D$11,MATCH($H616,'CAT_ACTIVIDADES'!$A$4:$A$11,0)),"")))</f>
        <v/>
      </c>
      <c r="AO616" s="4" t="n"/>
      <c r="AP616" s="4" t="n"/>
      <c r="AQ616" s="4" t="n"/>
      <c r="AR616" s="5">
        <f>IF($AQ616="","",HYPERLINK(p_ruta_base_checklists&amp;$AQ616,"abrir"))</f>
        <v/>
      </c>
      <c r="AS616" s="4" t="n"/>
      <c r="AT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2" t="n"/>
      <c r="K617" s="5" t="n"/>
      <c r="L617" s="18" t="n"/>
      <c r="M617" s="5">
        <f>IF($A617="","",IFERROR(INDEX('AJUSTES'!$B$4:$B$303,MATCH($AT617,'AJUSTES'!$A$4:$A$303,0)),IF($K617="","",$K617)))</f>
        <v/>
      </c>
      <c r="N617" s="5">
        <f>IF($A617="","",IFERROR(INDEX('CAT_ESTADOS_ERP'!$B$4:$B$7,MATCH(IFERROR(INDEX('2_IMPORTAR_EJECUCION'!$C$9:$C$1208,MATCH($AT617,'2_IMPORTAR_EJECUCION'!$J$9:$J$1208,0)),""),'CAT_ESTADOS_ERP'!$A$4:$A$7,0)),"Pendiente"))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IF($J617="","",$P617&amp;"-"&amp;TEXT($Q617,"00"))</f>
        <v/>
      </c>
      <c r="S617" s="5">
        <f>IF($J617="","",INDEX(lista_dias,WEEKDAY($J617,2)))</f>
        <v/>
      </c>
      <c r="T617" s="5">
        <f>IF($J617="","",IFERROR(INDEX('CALENDARIO'!$C$15:$C$214,MATCH(TEXT($J617,"yyyy-mm-dd")&amp;"|"&amp;$X617&amp;"|"&amp;$Y617,'CALENDARIO'!$G$15:$G$214,0)),IFERROR(INDEX('CALENDARIO'!$C$15:$C$214,MATCH(TEXT($J617,"yyyy-mm-dd")&amp;"|"&amp;$X617&amp;"|",'CALENDARIO'!$G$15:$G$214,0)),IFERROR(INDEX('CALENDARIO'!$C$15:$C$214,MATCH(TEXT($J617,"yyyy-mm-dd")&amp;"||",'CALENDARIO'!$G$15:$G$214,0)),INDEX(patronHabil,WEEKDAY($J617,2))))))</f>
        <v/>
      </c>
      <c r="U617" s="5">
        <f>IF($I617="","",IFERROR(INDEX('CAT_TIPOS_OT'!$C$4:$C$8,MATCH($I617,'CAT_TIPOS_OT'!$A$4:$A$8,0)),"sin_clasificar"))</f>
        <v/>
      </c>
      <c r="V617" s="5">
        <f>IF($I617="","",IF(IFERROR(INDEX('CAT_TIPOS_OT'!$D$4:$D$8,MATCH($I617,'CAT_TIPOS_OT'!$A$4:$A$8,0)),"SIN CLASIFICAR")="","SIN CLASIFICAR",IFERROR(INDEX('CAT_TIPOS_OT'!$D$4:$D$8,MATCH($I617,'CAT_TIPOS_OT'!$A$4:$A$8,0)),"SIN CLASIFICAR")))</f>
        <v/>
      </c>
      <c r="W617" s="5">
        <f>IF($F617="","",IFERROR(INDEX('CAT_CENTROS_COSTO'!$F$4:$F$13,MATCH($F617,'CAT_CENTROS_COSTO'!$A$4:$A$13,0)),"(sin catálogo)"))</f>
        <v/>
      </c>
      <c r="X617" s="5">
        <f>IF($F617="","",IFERROR(INDEX('CAT_CENTROS_COSTO'!$D$4:$D$13,MATCH($F617,'CAT_CENTROS_COSTO'!$A$4:$A$13,0)),"(sin catálogo)"))</f>
        <v/>
      </c>
      <c r="Y617" s="5">
        <f>IF($F617="","",IF((IFERROR(INDEX('CAT_CENTROS_COSTO'!$E$4:$E$13,MATCH($F617,'CAT_CENTROS_COSTO'!$A$4:$A$13,0)),""))&lt;&gt;"",IFERROR(INDEX('CAT_CENTROS_COSTO'!$E$4:$E$13,MATCH($F617,'CAT_CENTROS_COSTO'!$A$4:$A$13,0)),""),$X617))</f>
        <v/>
      </c>
      <c r="Z617" s="5">
        <f>IF($F617="","",IFERROR(INDEX('CAT_CENTROS_COSTO'!$G$4:$G$13,MATCH($F617,'CAT_CENTROS_COSTO'!$A$4:$A$13,0)),"(sin catálogo)"))</f>
        <v/>
      </c>
      <c r="AA617" s="5">
        <f>IF($G617="","",IFERROR(INDEX('CAT_PUESTOS'!$B$4:$B$8,MATCH($G617,'CAT_PUESTOS'!$A$4:$A$8,0)),"(sin catálogo)"))</f>
        <v/>
      </c>
      <c r="AB617" s="5">
        <f>IF($H617="","",IFERROR(INDEX('CAT_ACTIVIDADES'!$B$4:$B$11,MATCH($H617,'CAT_ACTIVIDADES'!$A$4:$A$11,0)),"(sin catálogo)"))</f>
        <v/>
      </c>
      <c r="AC617" s="20">
        <f>IF($J617="","",TODAY()-$J617)</f>
        <v/>
      </c>
      <c r="AD617" s="20">
        <f>IF($J617="","",IF($J617&lt;=TODAY(),COUNTIFS(cal_fechas,"&gt;="&amp;$J617,cal_fechas,"&lt;"&amp;TODAY(),cal_habil,"sí"),-COUNTIFS(cal_fechas,"&gt;="&amp;TODAY(),cal_fechas,"&lt;"&amp;$J617,cal_habil,"sí")))</f>
        <v/>
      </c>
      <c r="AE617" s="5">
        <f>IF($AD617="","",IF($AD617&lt;0,"FUTURO",IF($AD617&gt;p_dias_backlog_max,"BACKLOG","MES CORRIENTE")))</f>
        <v/>
      </c>
      <c r="AF617" s="5">
        <f>IF($AD617="",FALSE,AND($AD617&gt;p_dias_backlog_min,$AD617&lt;=p_dias_backlog_max))</f>
        <v/>
      </c>
      <c r="AG617" s="4" t="n"/>
      <c r="AH617" s="5">
        <f>IF($AG617="","",IF((IFERROR(INDEX('ASIGNACIONES'!$J$4:$J$451,MATCH($O617&amp;"|"&amp;$S617&amp;"|"&amp;$AG617,'ASIGNACIONES'!$N$4:$N$451,0)),""))=0,"",IFERROR(INDEX('ASIGNACIONES'!$J$4:$J$451,MATCH($O617&amp;"|"&amp;$S617&amp;"|"&amp;$AG617,'ASIGNACIONES'!$N$4:$N$451,0)),"")))</f>
        <v/>
      </c>
      <c r="AI617" s="25">
        <f>IF($AG617="","",SUMIFS('ORDENES'!$M$4:$M$1203,'ORDENES'!$AG$4:$AG$1203,$AG617,'ORDENES'!$O$4:$O$1203,$O617,'ORDENES'!$S$4:$S$1203,$S617))</f>
        <v/>
      </c>
      <c r="AJ617" s="25">
        <f>IF($AI617="","",p_factor_productividad*IFERROR(INDEX('ASIGNACIONES'!$M$4:$M$451,MATCH($O617&amp;"|"&amp;$S617&amp;"|"&amp;$AG617,'ASIGNACIONES'!$N$4:$N$451,0)),0)-$AI617)</f>
        <v/>
      </c>
      <c r="AK617" s="18">
        <f>IF($A617="","",IFERROR(INDEX('2_IMPORTAR_EJECUCION'!$F$9:$F$1208,MATCH($AT617,'2_IMPORTAR_EJECUCION'!$J$9:$J$1208,0)),0))</f>
        <v/>
      </c>
      <c r="AL617" s="18">
        <f>IF($A617="","",MAX(0,IFERROR(INDEX('2_IMPORTAR_EJECUCION'!$H$9:$H$1208,MATCH($AT617,'2_IMPORTAR_EJECUCION'!$J$9:$J$1208,0)),0)-$AK617))</f>
        <v/>
      </c>
      <c r="AM617" s="18">
        <f>IF($A617="","",$AK617+$AL617)</f>
        <v/>
      </c>
      <c r="AN617" s="5">
        <f>IF($A617="","",IF(OR((IFERROR(INDEX('CAT_ACTIVIDADES'!$D$4:$D$11,MATCH($H617,'CAT_ACTIVIDADES'!$A$4:$A$11,0)),""))=0,(IFERROR(INDEX('CAT_ACTIVIDADES'!$D$4:$D$11,MATCH($H617,'CAT_ACTIVIDADES'!$A$4:$A$11,0)),""))=""),"SIN CLASIFICAR",IFERROR(INDEX('CAT_ACTIVIDADES'!$D$4:$D$11,MATCH($H617,'CAT_ACTIVIDADES'!$A$4:$A$11,0)),"")))</f>
        <v/>
      </c>
      <c r="AO617" s="4" t="n"/>
      <c r="AP617" s="4" t="n"/>
      <c r="AQ617" s="4" t="n"/>
      <c r="AR617" s="5">
        <f>IF($AQ617="","",HYPERLINK(p_ruta_base_checklists&amp;$AQ617,"abrir"))</f>
        <v/>
      </c>
      <c r="AS617" s="4" t="n"/>
      <c r="AT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2" t="n"/>
      <c r="K618" s="5" t="n"/>
      <c r="L618" s="18" t="n"/>
      <c r="M618" s="5">
        <f>IF($A618="","",IFERROR(INDEX('AJUSTES'!$B$4:$B$303,MATCH($AT618,'AJUSTES'!$A$4:$A$303,0)),IF($K618="","",$K618)))</f>
        <v/>
      </c>
      <c r="N618" s="5">
        <f>IF($A618="","",IFERROR(INDEX('CAT_ESTADOS_ERP'!$B$4:$B$7,MATCH(IFERROR(INDEX('2_IMPORTAR_EJECUCION'!$C$9:$C$1208,MATCH($AT618,'2_IMPORTAR_EJECUCION'!$J$9:$J$1208,0)),""),'CAT_ESTADOS_ERP'!$A$4:$A$7,0)),"Pendiente"))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IF($J618="","",$P618&amp;"-"&amp;TEXT($Q618,"00"))</f>
        <v/>
      </c>
      <c r="S618" s="5">
        <f>IF($J618="","",INDEX(lista_dias,WEEKDAY($J618,2)))</f>
        <v/>
      </c>
      <c r="T618" s="5">
        <f>IF($J618="","",IFERROR(INDEX('CALENDARIO'!$C$15:$C$214,MATCH(TEXT($J618,"yyyy-mm-dd")&amp;"|"&amp;$X618&amp;"|"&amp;$Y618,'CALENDARIO'!$G$15:$G$214,0)),IFERROR(INDEX('CALENDARIO'!$C$15:$C$214,MATCH(TEXT($J618,"yyyy-mm-dd")&amp;"|"&amp;$X618&amp;"|",'CALENDARIO'!$G$15:$G$214,0)),IFERROR(INDEX('CALENDARIO'!$C$15:$C$214,MATCH(TEXT($J618,"yyyy-mm-dd")&amp;"||",'CALENDARIO'!$G$15:$G$214,0)),INDEX(patronHabil,WEEKDAY($J618,2))))))</f>
        <v/>
      </c>
      <c r="U618" s="5">
        <f>IF($I618="","",IFERROR(INDEX('CAT_TIPOS_OT'!$C$4:$C$8,MATCH($I618,'CAT_TIPOS_OT'!$A$4:$A$8,0)),"sin_clasificar"))</f>
        <v/>
      </c>
      <c r="V618" s="5">
        <f>IF($I618="","",IF(IFERROR(INDEX('CAT_TIPOS_OT'!$D$4:$D$8,MATCH($I618,'CAT_TIPOS_OT'!$A$4:$A$8,0)),"SIN CLASIFICAR")="","SIN CLASIFICAR",IFERROR(INDEX('CAT_TIPOS_OT'!$D$4:$D$8,MATCH($I618,'CAT_TIPOS_OT'!$A$4:$A$8,0)),"SIN CLASIFICAR")))</f>
        <v/>
      </c>
      <c r="W618" s="5">
        <f>IF($F618="","",IFERROR(INDEX('CAT_CENTROS_COSTO'!$F$4:$F$13,MATCH($F618,'CAT_CENTROS_COSTO'!$A$4:$A$13,0)),"(sin catálogo)"))</f>
        <v/>
      </c>
      <c r="X618" s="5">
        <f>IF($F618="","",IFERROR(INDEX('CAT_CENTROS_COSTO'!$D$4:$D$13,MATCH($F618,'CAT_CENTROS_COSTO'!$A$4:$A$13,0)),"(sin catálogo)"))</f>
        <v/>
      </c>
      <c r="Y618" s="5">
        <f>IF($F618="","",IF((IFERROR(INDEX('CAT_CENTROS_COSTO'!$E$4:$E$13,MATCH($F618,'CAT_CENTROS_COSTO'!$A$4:$A$13,0)),""))&lt;&gt;"",IFERROR(INDEX('CAT_CENTROS_COSTO'!$E$4:$E$13,MATCH($F618,'CAT_CENTROS_COSTO'!$A$4:$A$13,0)),""),$X618))</f>
        <v/>
      </c>
      <c r="Z618" s="5">
        <f>IF($F618="","",IFERROR(INDEX('CAT_CENTROS_COSTO'!$G$4:$G$13,MATCH($F618,'CAT_CENTROS_COSTO'!$A$4:$A$13,0)),"(sin catálogo)"))</f>
        <v/>
      </c>
      <c r="AA618" s="5">
        <f>IF($G618="","",IFERROR(INDEX('CAT_PUESTOS'!$B$4:$B$8,MATCH($G618,'CAT_PUESTOS'!$A$4:$A$8,0)),"(sin catálogo)"))</f>
        <v/>
      </c>
      <c r="AB618" s="5">
        <f>IF($H618="","",IFERROR(INDEX('CAT_ACTIVIDADES'!$B$4:$B$11,MATCH($H618,'CAT_ACTIVIDADES'!$A$4:$A$11,0)),"(sin catálogo)"))</f>
        <v/>
      </c>
      <c r="AC618" s="20">
        <f>IF($J618="","",TODAY()-$J618)</f>
        <v/>
      </c>
      <c r="AD618" s="20">
        <f>IF($J618="","",IF($J618&lt;=TODAY(),COUNTIFS(cal_fechas,"&gt;="&amp;$J618,cal_fechas,"&lt;"&amp;TODAY(),cal_habil,"sí"),-COUNTIFS(cal_fechas,"&gt;="&amp;TODAY(),cal_fechas,"&lt;"&amp;$J618,cal_habil,"sí")))</f>
        <v/>
      </c>
      <c r="AE618" s="5">
        <f>IF($AD618="","",IF($AD618&lt;0,"FUTURO",IF($AD618&gt;p_dias_backlog_max,"BACKLOG","MES CORRIENTE")))</f>
        <v/>
      </c>
      <c r="AF618" s="5">
        <f>IF($AD618="",FALSE,AND($AD618&gt;p_dias_backlog_min,$AD618&lt;=p_dias_backlog_max))</f>
        <v/>
      </c>
      <c r="AG618" s="4" t="n"/>
      <c r="AH618" s="5">
        <f>IF($AG618="","",IF((IFERROR(INDEX('ASIGNACIONES'!$J$4:$J$451,MATCH($O618&amp;"|"&amp;$S618&amp;"|"&amp;$AG618,'ASIGNACIONES'!$N$4:$N$451,0)),""))=0,"",IFERROR(INDEX('ASIGNACIONES'!$J$4:$J$451,MATCH($O618&amp;"|"&amp;$S618&amp;"|"&amp;$AG618,'ASIGNACIONES'!$N$4:$N$451,0)),"")))</f>
        <v/>
      </c>
      <c r="AI618" s="25">
        <f>IF($AG618="","",SUMIFS('ORDENES'!$M$4:$M$1203,'ORDENES'!$AG$4:$AG$1203,$AG618,'ORDENES'!$O$4:$O$1203,$O618,'ORDENES'!$S$4:$S$1203,$S618))</f>
        <v/>
      </c>
      <c r="AJ618" s="25">
        <f>IF($AI618="","",p_factor_productividad*IFERROR(INDEX('ASIGNACIONES'!$M$4:$M$451,MATCH($O618&amp;"|"&amp;$S618&amp;"|"&amp;$AG618,'ASIGNACIONES'!$N$4:$N$451,0)),0)-$AI618)</f>
        <v/>
      </c>
      <c r="AK618" s="18">
        <f>IF($A618="","",IFERROR(INDEX('2_IMPORTAR_EJECUCION'!$F$9:$F$1208,MATCH($AT618,'2_IMPORTAR_EJECUCION'!$J$9:$J$1208,0)),0))</f>
        <v/>
      </c>
      <c r="AL618" s="18">
        <f>IF($A618="","",MAX(0,IFERROR(INDEX('2_IMPORTAR_EJECUCION'!$H$9:$H$1208,MATCH($AT618,'2_IMPORTAR_EJECUCION'!$J$9:$J$1208,0)),0)-$AK618))</f>
        <v/>
      </c>
      <c r="AM618" s="18">
        <f>IF($A618="","",$AK618+$AL618)</f>
        <v/>
      </c>
      <c r="AN618" s="5">
        <f>IF($A618="","",IF(OR((IFERROR(INDEX('CAT_ACTIVIDADES'!$D$4:$D$11,MATCH($H618,'CAT_ACTIVIDADES'!$A$4:$A$11,0)),""))=0,(IFERROR(INDEX('CAT_ACTIVIDADES'!$D$4:$D$11,MATCH($H618,'CAT_ACTIVIDADES'!$A$4:$A$11,0)),""))=""),"SIN CLASIFICAR",IFERROR(INDEX('CAT_ACTIVIDADES'!$D$4:$D$11,MATCH($H618,'CAT_ACTIVIDADES'!$A$4:$A$11,0)),"")))</f>
        <v/>
      </c>
      <c r="AO618" s="4" t="n"/>
      <c r="AP618" s="4" t="n"/>
      <c r="AQ618" s="4" t="n"/>
      <c r="AR618" s="5">
        <f>IF($AQ618="","",HYPERLINK(p_ruta_base_checklists&amp;$AQ618,"abrir"))</f>
        <v/>
      </c>
      <c r="AS618" s="4" t="n"/>
      <c r="AT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2" t="n"/>
      <c r="K619" s="5" t="n"/>
      <c r="L619" s="18" t="n"/>
      <c r="M619" s="5">
        <f>IF($A619="","",IFERROR(INDEX('AJUSTES'!$B$4:$B$303,MATCH($AT619,'AJUSTES'!$A$4:$A$303,0)),IF($K619="","",$K619)))</f>
        <v/>
      </c>
      <c r="N619" s="5">
        <f>IF($A619="","",IFERROR(INDEX('CAT_ESTADOS_ERP'!$B$4:$B$7,MATCH(IFERROR(INDEX('2_IMPORTAR_EJECUCION'!$C$9:$C$1208,MATCH($AT619,'2_IMPORTAR_EJECUCION'!$J$9:$J$1208,0)),""),'CAT_ESTADOS_ERP'!$A$4:$A$7,0)),"Pendiente"))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IF($J619="","",$P619&amp;"-"&amp;TEXT($Q619,"00"))</f>
        <v/>
      </c>
      <c r="S619" s="5">
        <f>IF($J619="","",INDEX(lista_dias,WEEKDAY($J619,2)))</f>
        <v/>
      </c>
      <c r="T619" s="5">
        <f>IF($J619="","",IFERROR(INDEX('CALENDARIO'!$C$15:$C$214,MATCH(TEXT($J619,"yyyy-mm-dd")&amp;"|"&amp;$X619&amp;"|"&amp;$Y619,'CALENDARIO'!$G$15:$G$214,0)),IFERROR(INDEX('CALENDARIO'!$C$15:$C$214,MATCH(TEXT($J619,"yyyy-mm-dd")&amp;"|"&amp;$X619&amp;"|",'CALENDARIO'!$G$15:$G$214,0)),IFERROR(INDEX('CALENDARIO'!$C$15:$C$214,MATCH(TEXT($J619,"yyyy-mm-dd")&amp;"||",'CALENDARIO'!$G$15:$G$214,0)),INDEX(patronHabil,WEEKDAY($J619,2))))))</f>
        <v/>
      </c>
      <c r="U619" s="5">
        <f>IF($I619="","",IFERROR(INDEX('CAT_TIPOS_OT'!$C$4:$C$8,MATCH($I619,'CAT_TIPOS_OT'!$A$4:$A$8,0)),"sin_clasificar"))</f>
        <v/>
      </c>
      <c r="V619" s="5">
        <f>IF($I619="","",IF(IFERROR(INDEX('CAT_TIPOS_OT'!$D$4:$D$8,MATCH($I619,'CAT_TIPOS_OT'!$A$4:$A$8,0)),"SIN CLASIFICAR")="","SIN CLASIFICAR",IFERROR(INDEX('CAT_TIPOS_OT'!$D$4:$D$8,MATCH($I619,'CAT_TIPOS_OT'!$A$4:$A$8,0)),"SIN CLASIFICAR")))</f>
        <v/>
      </c>
      <c r="W619" s="5">
        <f>IF($F619="","",IFERROR(INDEX('CAT_CENTROS_COSTO'!$F$4:$F$13,MATCH($F619,'CAT_CENTROS_COSTO'!$A$4:$A$13,0)),"(sin catálogo)"))</f>
        <v/>
      </c>
      <c r="X619" s="5">
        <f>IF($F619="","",IFERROR(INDEX('CAT_CENTROS_COSTO'!$D$4:$D$13,MATCH($F619,'CAT_CENTROS_COSTO'!$A$4:$A$13,0)),"(sin catálogo)"))</f>
        <v/>
      </c>
      <c r="Y619" s="5">
        <f>IF($F619="","",IF((IFERROR(INDEX('CAT_CENTROS_COSTO'!$E$4:$E$13,MATCH($F619,'CAT_CENTROS_COSTO'!$A$4:$A$13,0)),""))&lt;&gt;"",IFERROR(INDEX('CAT_CENTROS_COSTO'!$E$4:$E$13,MATCH($F619,'CAT_CENTROS_COSTO'!$A$4:$A$13,0)),""),$X619))</f>
        <v/>
      </c>
      <c r="Z619" s="5">
        <f>IF($F619="","",IFERROR(INDEX('CAT_CENTROS_COSTO'!$G$4:$G$13,MATCH($F619,'CAT_CENTROS_COSTO'!$A$4:$A$13,0)),"(sin catálogo)"))</f>
        <v/>
      </c>
      <c r="AA619" s="5">
        <f>IF($G619="","",IFERROR(INDEX('CAT_PUESTOS'!$B$4:$B$8,MATCH($G619,'CAT_PUESTOS'!$A$4:$A$8,0)),"(sin catálogo)"))</f>
        <v/>
      </c>
      <c r="AB619" s="5">
        <f>IF($H619="","",IFERROR(INDEX('CAT_ACTIVIDADES'!$B$4:$B$11,MATCH($H619,'CAT_ACTIVIDADES'!$A$4:$A$11,0)),"(sin catálogo)"))</f>
        <v/>
      </c>
      <c r="AC619" s="20">
        <f>IF($J619="","",TODAY()-$J619)</f>
        <v/>
      </c>
      <c r="AD619" s="20">
        <f>IF($J619="","",IF($J619&lt;=TODAY(),COUNTIFS(cal_fechas,"&gt;="&amp;$J619,cal_fechas,"&lt;"&amp;TODAY(),cal_habil,"sí"),-COUNTIFS(cal_fechas,"&gt;="&amp;TODAY(),cal_fechas,"&lt;"&amp;$J619,cal_habil,"sí")))</f>
        <v/>
      </c>
      <c r="AE619" s="5">
        <f>IF($AD619="","",IF($AD619&lt;0,"FUTURO",IF($AD619&gt;p_dias_backlog_max,"BACKLOG","MES CORRIENTE")))</f>
        <v/>
      </c>
      <c r="AF619" s="5">
        <f>IF($AD619="",FALSE,AND($AD619&gt;p_dias_backlog_min,$AD619&lt;=p_dias_backlog_max))</f>
        <v/>
      </c>
      <c r="AG619" s="4" t="n"/>
      <c r="AH619" s="5">
        <f>IF($AG619="","",IF((IFERROR(INDEX('ASIGNACIONES'!$J$4:$J$451,MATCH($O619&amp;"|"&amp;$S619&amp;"|"&amp;$AG619,'ASIGNACIONES'!$N$4:$N$451,0)),""))=0,"",IFERROR(INDEX('ASIGNACIONES'!$J$4:$J$451,MATCH($O619&amp;"|"&amp;$S619&amp;"|"&amp;$AG619,'ASIGNACIONES'!$N$4:$N$451,0)),"")))</f>
        <v/>
      </c>
      <c r="AI619" s="25">
        <f>IF($AG619="","",SUMIFS('ORDENES'!$M$4:$M$1203,'ORDENES'!$AG$4:$AG$1203,$AG619,'ORDENES'!$O$4:$O$1203,$O619,'ORDENES'!$S$4:$S$1203,$S619))</f>
        <v/>
      </c>
      <c r="AJ619" s="25">
        <f>IF($AI619="","",p_factor_productividad*IFERROR(INDEX('ASIGNACIONES'!$M$4:$M$451,MATCH($O619&amp;"|"&amp;$S619&amp;"|"&amp;$AG619,'ASIGNACIONES'!$N$4:$N$451,0)),0)-$AI619)</f>
        <v/>
      </c>
      <c r="AK619" s="18">
        <f>IF($A619="","",IFERROR(INDEX('2_IMPORTAR_EJECUCION'!$F$9:$F$1208,MATCH($AT619,'2_IMPORTAR_EJECUCION'!$J$9:$J$1208,0)),0))</f>
        <v/>
      </c>
      <c r="AL619" s="18">
        <f>IF($A619="","",MAX(0,IFERROR(INDEX('2_IMPORTAR_EJECUCION'!$H$9:$H$1208,MATCH($AT619,'2_IMPORTAR_EJECUCION'!$J$9:$J$1208,0)),0)-$AK619))</f>
        <v/>
      </c>
      <c r="AM619" s="18">
        <f>IF($A619="","",$AK619+$AL619)</f>
        <v/>
      </c>
      <c r="AN619" s="5">
        <f>IF($A619="","",IF(OR((IFERROR(INDEX('CAT_ACTIVIDADES'!$D$4:$D$11,MATCH($H619,'CAT_ACTIVIDADES'!$A$4:$A$11,0)),""))=0,(IFERROR(INDEX('CAT_ACTIVIDADES'!$D$4:$D$11,MATCH($H619,'CAT_ACTIVIDADES'!$A$4:$A$11,0)),""))=""),"SIN CLASIFICAR",IFERROR(INDEX('CAT_ACTIVIDADES'!$D$4:$D$11,MATCH($H619,'CAT_ACTIVIDADES'!$A$4:$A$11,0)),"")))</f>
        <v/>
      </c>
      <c r="AO619" s="4" t="n"/>
      <c r="AP619" s="4" t="n"/>
      <c r="AQ619" s="4" t="n"/>
      <c r="AR619" s="5">
        <f>IF($AQ619="","",HYPERLINK(p_ruta_base_checklists&amp;$AQ619,"abrir"))</f>
        <v/>
      </c>
      <c r="AS619" s="4" t="n"/>
      <c r="AT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2" t="n"/>
      <c r="K620" s="5" t="n"/>
      <c r="L620" s="18" t="n"/>
      <c r="M620" s="5">
        <f>IF($A620="","",IFERROR(INDEX('AJUSTES'!$B$4:$B$303,MATCH($AT620,'AJUSTES'!$A$4:$A$303,0)),IF($K620="","",$K620)))</f>
        <v/>
      </c>
      <c r="N620" s="5">
        <f>IF($A620="","",IFERROR(INDEX('CAT_ESTADOS_ERP'!$B$4:$B$7,MATCH(IFERROR(INDEX('2_IMPORTAR_EJECUCION'!$C$9:$C$1208,MATCH($AT620,'2_IMPORTAR_EJECUCION'!$J$9:$J$1208,0)),""),'CAT_ESTADOS_ERP'!$A$4:$A$7,0)),"Pendiente"))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IF($J620="","",$P620&amp;"-"&amp;TEXT($Q620,"00"))</f>
        <v/>
      </c>
      <c r="S620" s="5">
        <f>IF($J620="","",INDEX(lista_dias,WEEKDAY($J620,2)))</f>
        <v/>
      </c>
      <c r="T620" s="5">
        <f>IF($J620="","",IFERROR(INDEX('CALENDARIO'!$C$15:$C$214,MATCH(TEXT($J620,"yyyy-mm-dd")&amp;"|"&amp;$X620&amp;"|"&amp;$Y620,'CALENDARIO'!$G$15:$G$214,0)),IFERROR(INDEX('CALENDARIO'!$C$15:$C$214,MATCH(TEXT($J620,"yyyy-mm-dd")&amp;"|"&amp;$X620&amp;"|",'CALENDARIO'!$G$15:$G$214,0)),IFERROR(INDEX('CALENDARIO'!$C$15:$C$214,MATCH(TEXT($J620,"yyyy-mm-dd")&amp;"||",'CALENDARIO'!$G$15:$G$214,0)),INDEX(patronHabil,WEEKDAY($J620,2))))))</f>
        <v/>
      </c>
      <c r="U620" s="5">
        <f>IF($I620="","",IFERROR(INDEX('CAT_TIPOS_OT'!$C$4:$C$8,MATCH($I620,'CAT_TIPOS_OT'!$A$4:$A$8,0)),"sin_clasificar"))</f>
        <v/>
      </c>
      <c r="V620" s="5">
        <f>IF($I620="","",IF(IFERROR(INDEX('CAT_TIPOS_OT'!$D$4:$D$8,MATCH($I620,'CAT_TIPOS_OT'!$A$4:$A$8,0)),"SIN CLASIFICAR")="","SIN CLASIFICAR",IFERROR(INDEX('CAT_TIPOS_OT'!$D$4:$D$8,MATCH($I620,'CAT_TIPOS_OT'!$A$4:$A$8,0)),"SIN CLASIFICAR")))</f>
        <v/>
      </c>
      <c r="W620" s="5">
        <f>IF($F620="","",IFERROR(INDEX('CAT_CENTROS_COSTO'!$F$4:$F$13,MATCH($F620,'CAT_CENTROS_COSTO'!$A$4:$A$13,0)),"(sin catálogo)"))</f>
        <v/>
      </c>
      <c r="X620" s="5">
        <f>IF($F620="","",IFERROR(INDEX('CAT_CENTROS_COSTO'!$D$4:$D$13,MATCH($F620,'CAT_CENTROS_COSTO'!$A$4:$A$13,0)),"(sin catálogo)"))</f>
        <v/>
      </c>
      <c r="Y620" s="5">
        <f>IF($F620="","",IF((IFERROR(INDEX('CAT_CENTROS_COSTO'!$E$4:$E$13,MATCH($F620,'CAT_CENTROS_COSTO'!$A$4:$A$13,0)),""))&lt;&gt;"",IFERROR(INDEX('CAT_CENTROS_COSTO'!$E$4:$E$13,MATCH($F620,'CAT_CENTROS_COSTO'!$A$4:$A$13,0)),""),$X620))</f>
        <v/>
      </c>
      <c r="Z620" s="5">
        <f>IF($F620="","",IFERROR(INDEX('CAT_CENTROS_COSTO'!$G$4:$G$13,MATCH($F620,'CAT_CENTROS_COSTO'!$A$4:$A$13,0)),"(sin catálogo)"))</f>
        <v/>
      </c>
      <c r="AA620" s="5">
        <f>IF($G620="","",IFERROR(INDEX('CAT_PUESTOS'!$B$4:$B$8,MATCH($G620,'CAT_PUESTOS'!$A$4:$A$8,0)),"(sin catálogo)"))</f>
        <v/>
      </c>
      <c r="AB620" s="5">
        <f>IF($H620="","",IFERROR(INDEX('CAT_ACTIVIDADES'!$B$4:$B$11,MATCH($H620,'CAT_ACTIVIDADES'!$A$4:$A$11,0)),"(sin catálogo)"))</f>
        <v/>
      </c>
      <c r="AC620" s="20">
        <f>IF($J620="","",TODAY()-$J620)</f>
        <v/>
      </c>
      <c r="AD620" s="20">
        <f>IF($J620="","",IF($J620&lt;=TODAY(),COUNTIFS(cal_fechas,"&gt;="&amp;$J620,cal_fechas,"&lt;"&amp;TODAY(),cal_habil,"sí"),-COUNTIFS(cal_fechas,"&gt;="&amp;TODAY(),cal_fechas,"&lt;"&amp;$J620,cal_habil,"sí")))</f>
        <v/>
      </c>
      <c r="AE620" s="5">
        <f>IF($AD620="","",IF($AD620&lt;0,"FUTURO",IF($AD620&gt;p_dias_backlog_max,"BACKLOG","MES CORRIENTE")))</f>
        <v/>
      </c>
      <c r="AF620" s="5">
        <f>IF($AD620="",FALSE,AND($AD620&gt;p_dias_backlog_min,$AD620&lt;=p_dias_backlog_max))</f>
        <v/>
      </c>
      <c r="AG620" s="4" t="n"/>
      <c r="AH620" s="5">
        <f>IF($AG620="","",IF((IFERROR(INDEX('ASIGNACIONES'!$J$4:$J$451,MATCH($O620&amp;"|"&amp;$S620&amp;"|"&amp;$AG620,'ASIGNACIONES'!$N$4:$N$451,0)),""))=0,"",IFERROR(INDEX('ASIGNACIONES'!$J$4:$J$451,MATCH($O620&amp;"|"&amp;$S620&amp;"|"&amp;$AG620,'ASIGNACIONES'!$N$4:$N$451,0)),"")))</f>
        <v/>
      </c>
      <c r="AI620" s="25">
        <f>IF($AG620="","",SUMIFS('ORDENES'!$M$4:$M$1203,'ORDENES'!$AG$4:$AG$1203,$AG620,'ORDENES'!$O$4:$O$1203,$O620,'ORDENES'!$S$4:$S$1203,$S620))</f>
        <v/>
      </c>
      <c r="AJ620" s="25">
        <f>IF($AI620="","",p_factor_productividad*IFERROR(INDEX('ASIGNACIONES'!$M$4:$M$451,MATCH($O620&amp;"|"&amp;$S620&amp;"|"&amp;$AG620,'ASIGNACIONES'!$N$4:$N$451,0)),0)-$AI620)</f>
        <v/>
      </c>
      <c r="AK620" s="18">
        <f>IF($A620="","",IFERROR(INDEX('2_IMPORTAR_EJECUCION'!$F$9:$F$1208,MATCH($AT620,'2_IMPORTAR_EJECUCION'!$J$9:$J$1208,0)),0))</f>
        <v/>
      </c>
      <c r="AL620" s="18">
        <f>IF($A620="","",MAX(0,IFERROR(INDEX('2_IMPORTAR_EJECUCION'!$H$9:$H$1208,MATCH($AT620,'2_IMPORTAR_EJECUCION'!$J$9:$J$1208,0)),0)-$AK620))</f>
        <v/>
      </c>
      <c r="AM620" s="18">
        <f>IF($A620="","",$AK620+$AL620)</f>
        <v/>
      </c>
      <c r="AN620" s="5">
        <f>IF($A620="","",IF(OR((IFERROR(INDEX('CAT_ACTIVIDADES'!$D$4:$D$11,MATCH($H620,'CAT_ACTIVIDADES'!$A$4:$A$11,0)),""))=0,(IFERROR(INDEX('CAT_ACTIVIDADES'!$D$4:$D$11,MATCH($H620,'CAT_ACTIVIDADES'!$A$4:$A$11,0)),""))=""),"SIN CLASIFICAR",IFERROR(INDEX('CAT_ACTIVIDADES'!$D$4:$D$11,MATCH($H620,'CAT_ACTIVIDADES'!$A$4:$A$11,0)),"")))</f>
        <v/>
      </c>
      <c r="AO620" s="4" t="n"/>
      <c r="AP620" s="4" t="n"/>
      <c r="AQ620" s="4" t="n"/>
      <c r="AR620" s="5">
        <f>IF($AQ620="","",HYPERLINK(p_ruta_base_checklists&amp;$AQ620,"abrir"))</f>
        <v/>
      </c>
      <c r="AS620" s="4" t="n"/>
      <c r="AT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2" t="n"/>
      <c r="K621" s="5" t="n"/>
      <c r="L621" s="18" t="n"/>
      <c r="M621" s="5">
        <f>IF($A621="","",IFERROR(INDEX('AJUSTES'!$B$4:$B$303,MATCH($AT621,'AJUSTES'!$A$4:$A$303,0)),IF($K621="","",$K621)))</f>
        <v/>
      </c>
      <c r="N621" s="5">
        <f>IF($A621="","",IFERROR(INDEX('CAT_ESTADOS_ERP'!$B$4:$B$7,MATCH(IFERROR(INDEX('2_IMPORTAR_EJECUCION'!$C$9:$C$1208,MATCH($AT621,'2_IMPORTAR_EJECUCION'!$J$9:$J$1208,0)),""),'CAT_ESTADOS_ERP'!$A$4:$A$7,0)),"Pendiente"))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IF($J621="","",$P621&amp;"-"&amp;TEXT($Q621,"00"))</f>
        <v/>
      </c>
      <c r="S621" s="5">
        <f>IF($J621="","",INDEX(lista_dias,WEEKDAY($J621,2)))</f>
        <v/>
      </c>
      <c r="T621" s="5">
        <f>IF($J621="","",IFERROR(INDEX('CALENDARIO'!$C$15:$C$214,MATCH(TEXT($J621,"yyyy-mm-dd")&amp;"|"&amp;$X621&amp;"|"&amp;$Y621,'CALENDARIO'!$G$15:$G$214,0)),IFERROR(INDEX('CALENDARIO'!$C$15:$C$214,MATCH(TEXT($J621,"yyyy-mm-dd")&amp;"|"&amp;$X621&amp;"|",'CALENDARIO'!$G$15:$G$214,0)),IFERROR(INDEX('CALENDARIO'!$C$15:$C$214,MATCH(TEXT($J621,"yyyy-mm-dd")&amp;"||",'CALENDARIO'!$G$15:$G$214,0)),INDEX(patronHabil,WEEKDAY($J621,2))))))</f>
        <v/>
      </c>
      <c r="U621" s="5">
        <f>IF($I621="","",IFERROR(INDEX('CAT_TIPOS_OT'!$C$4:$C$8,MATCH($I621,'CAT_TIPOS_OT'!$A$4:$A$8,0)),"sin_clasificar"))</f>
        <v/>
      </c>
      <c r="V621" s="5">
        <f>IF($I621="","",IF(IFERROR(INDEX('CAT_TIPOS_OT'!$D$4:$D$8,MATCH($I621,'CAT_TIPOS_OT'!$A$4:$A$8,0)),"SIN CLASIFICAR")="","SIN CLASIFICAR",IFERROR(INDEX('CAT_TIPOS_OT'!$D$4:$D$8,MATCH($I621,'CAT_TIPOS_OT'!$A$4:$A$8,0)),"SIN CLASIFICAR")))</f>
        <v/>
      </c>
      <c r="W621" s="5">
        <f>IF($F621="","",IFERROR(INDEX('CAT_CENTROS_COSTO'!$F$4:$F$13,MATCH($F621,'CAT_CENTROS_COSTO'!$A$4:$A$13,0)),"(sin catálogo)"))</f>
        <v/>
      </c>
      <c r="X621" s="5">
        <f>IF($F621="","",IFERROR(INDEX('CAT_CENTROS_COSTO'!$D$4:$D$13,MATCH($F621,'CAT_CENTROS_COSTO'!$A$4:$A$13,0)),"(sin catálogo)"))</f>
        <v/>
      </c>
      <c r="Y621" s="5">
        <f>IF($F621="","",IF((IFERROR(INDEX('CAT_CENTROS_COSTO'!$E$4:$E$13,MATCH($F621,'CAT_CENTROS_COSTO'!$A$4:$A$13,0)),""))&lt;&gt;"",IFERROR(INDEX('CAT_CENTROS_COSTO'!$E$4:$E$13,MATCH($F621,'CAT_CENTROS_COSTO'!$A$4:$A$13,0)),""),$X621))</f>
        <v/>
      </c>
      <c r="Z621" s="5">
        <f>IF($F621="","",IFERROR(INDEX('CAT_CENTROS_COSTO'!$G$4:$G$13,MATCH($F621,'CAT_CENTROS_COSTO'!$A$4:$A$13,0)),"(sin catálogo)"))</f>
        <v/>
      </c>
      <c r="AA621" s="5">
        <f>IF($G621="","",IFERROR(INDEX('CAT_PUESTOS'!$B$4:$B$8,MATCH($G621,'CAT_PUESTOS'!$A$4:$A$8,0)),"(sin catálogo)"))</f>
        <v/>
      </c>
      <c r="AB621" s="5">
        <f>IF($H621="","",IFERROR(INDEX('CAT_ACTIVIDADES'!$B$4:$B$11,MATCH($H621,'CAT_ACTIVIDADES'!$A$4:$A$11,0)),"(sin catálogo)"))</f>
        <v/>
      </c>
      <c r="AC621" s="20">
        <f>IF($J621="","",TODAY()-$J621)</f>
        <v/>
      </c>
      <c r="AD621" s="20">
        <f>IF($J621="","",IF($J621&lt;=TODAY(),COUNTIFS(cal_fechas,"&gt;="&amp;$J621,cal_fechas,"&lt;"&amp;TODAY(),cal_habil,"sí"),-COUNTIFS(cal_fechas,"&gt;="&amp;TODAY(),cal_fechas,"&lt;"&amp;$J621,cal_habil,"sí")))</f>
        <v/>
      </c>
      <c r="AE621" s="5">
        <f>IF($AD621="","",IF($AD621&lt;0,"FUTURO",IF($AD621&gt;p_dias_backlog_max,"BACKLOG","MES CORRIENTE")))</f>
        <v/>
      </c>
      <c r="AF621" s="5">
        <f>IF($AD621="",FALSE,AND($AD621&gt;p_dias_backlog_min,$AD621&lt;=p_dias_backlog_max))</f>
        <v/>
      </c>
      <c r="AG621" s="4" t="n"/>
      <c r="AH621" s="5">
        <f>IF($AG621="","",IF((IFERROR(INDEX('ASIGNACIONES'!$J$4:$J$451,MATCH($O621&amp;"|"&amp;$S621&amp;"|"&amp;$AG621,'ASIGNACIONES'!$N$4:$N$451,0)),""))=0,"",IFERROR(INDEX('ASIGNACIONES'!$J$4:$J$451,MATCH($O621&amp;"|"&amp;$S621&amp;"|"&amp;$AG621,'ASIGNACIONES'!$N$4:$N$451,0)),"")))</f>
        <v/>
      </c>
      <c r="AI621" s="25">
        <f>IF($AG621="","",SUMIFS('ORDENES'!$M$4:$M$1203,'ORDENES'!$AG$4:$AG$1203,$AG621,'ORDENES'!$O$4:$O$1203,$O621,'ORDENES'!$S$4:$S$1203,$S621))</f>
        <v/>
      </c>
      <c r="AJ621" s="25">
        <f>IF($AI621="","",p_factor_productividad*IFERROR(INDEX('ASIGNACIONES'!$M$4:$M$451,MATCH($O621&amp;"|"&amp;$S621&amp;"|"&amp;$AG621,'ASIGNACIONES'!$N$4:$N$451,0)),0)-$AI621)</f>
        <v/>
      </c>
      <c r="AK621" s="18">
        <f>IF($A621="","",IFERROR(INDEX('2_IMPORTAR_EJECUCION'!$F$9:$F$1208,MATCH($AT621,'2_IMPORTAR_EJECUCION'!$J$9:$J$1208,0)),0))</f>
        <v/>
      </c>
      <c r="AL621" s="18">
        <f>IF($A621="","",MAX(0,IFERROR(INDEX('2_IMPORTAR_EJECUCION'!$H$9:$H$1208,MATCH($AT621,'2_IMPORTAR_EJECUCION'!$J$9:$J$1208,0)),0)-$AK621))</f>
        <v/>
      </c>
      <c r="AM621" s="18">
        <f>IF($A621="","",$AK621+$AL621)</f>
        <v/>
      </c>
      <c r="AN621" s="5">
        <f>IF($A621="","",IF(OR((IFERROR(INDEX('CAT_ACTIVIDADES'!$D$4:$D$11,MATCH($H621,'CAT_ACTIVIDADES'!$A$4:$A$11,0)),""))=0,(IFERROR(INDEX('CAT_ACTIVIDADES'!$D$4:$D$11,MATCH($H621,'CAT_ACTIVIDADES'!$A$4:$A$11,0)),""))=""),"SIN CLASIFICAR",IFERROR(INDEX('CAT_ACTIVIDADES'!$D$4:$D$11,MATCH($H621,'CAT_ACTIVIDADES'!$A$4:$A$11,0)),"")))</f>
        <v/>
      </c>
      <c r="AO621" s="4" t="n"/>
      <c r="AP621" s="4" t="n"/>
      <c r="AQ621" s="4" t="n"/>
      <c r="AR621" s="5">
        <f>IF($AQ621="","",HYPERLINK(p_ruta_base_checklists&amp;$AQ621,"abrir"))</f>
        <v/>
      </c>
      <c r="AS621" s="4" t="n"/>
      <c r="AT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2" t="n"/>
      <c r="K622" s="5" t="n"/>
      <c r="L622" s="18" t="n"/>
      <c r="M622" s="5">
        <f>IF($A622="","",IFERROR(INDEX('AJUSTES'!$B$4:$B$303,MATCH($AT622,'AJUSTES'!$A$4:$A$303,0)),IF($K622="","",$K622)))</f>
        <v/>
      </c>
      <c r="N622" s="5">
        <f>IF($A622="","",IFERROR(INDEX('CAT_ESTADOS_ERP'!$B$4:$B$7,MATCH(IFERROR(INDEX('2_IMPORTAR_EJECUCION'!$C$9:$C$1208,MATCH($AT622,'2_IMPORTAR_EJECUCION'!$J$9:$J$1208,0)),""),'CAT_ESTADOS_ERP'!$A$4:$A$7,0)),"Pendiente"))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IF($J622="","",$P622&amp;"-"&amp;TEXT($Q622,"00"))</f>
        <v/>
      </c>
      <c r="S622" s="5">
        <f>IF($J622="","",INDEX(lista_dias,WEEKDAY($J622,2)))</f>
        <v/>
      </c>
      <c r="T622" s="5">
        <f>IF($J622="","",IFERROR(INDEX('CALENDARIO'!$C$15:$C$214,MATCH(TEXT($J622,"yyyy-mm-dd")&amp;"|"&amp;$X622&amp;"|"&amp;$Y622,'CALENDARIO'!$G$15:$G$214,0)),IFERROR(INDEX('CALENDARIO'!$C$15:$C$214,MATCH(TEXT($J622,"yyyy-mm-dd")&amp;"|"&amp;$X622&amp;"|",'CALENDARIO'!$G$15:$G$214,0)),IFERROR(INDEX('CALENDARIO'!$C$15:$C$214,MATCH(TEXT($J622,"yyyy-mm-dd")&amp;"||",'CALENDARIO'!$G$15:$G$214,0)),INDEX(patronHabil,WEEKDAY($J622,2))))))</f>
        <v/>
      </c>
      <c r="U622" s="5">
        <f>IF($I622="","",IFERROR(INDEX('CAT_TIPOS_OT'!$C$4:$C$8,MATCH($I622,'CAT_TIPOS_OT'!$A$4:$A$8,0)),"sin_clasificar"))</f>
        <v/>
      </c>
      <c r="V622" s="5">
        <f>IF($I622="","",IF(IFERROR(INDEX('CAT_TIPOS_OT'!$D$4:$D$8,MATCH($I622,'CAT_TIPOS_OT'!$A$4:$A$8,0)),"SIN CLASIFICAR")="","SIN CLASIFICAR",IFERROR(INDEX('CAT_TIPOS_OT'!$D$4:$D$8,MATCH($I622,'CAT_TIPOS_OT'!$A$4:$A$8,0)),"SIN CLASIFICAR")))</f>
        <v/>
      </c>
      <c r="W622" s="5">
        <f>IF($F622="","",IFERROR(INDEX('CAT_CENTROS_COSTO'!$F$4:$F$13,MATCH($F622,'CAT_CENTROS_COSTO'!$A$4:$A$13,0)),"(sin catálogo)"))</f>
        <v/>
      </c>
      <c r="X622" s="5">
        <f>IF($F622="","",IFERROR(INDEX('CAT_CENTROS_COSTO'!$D$4:$D$13,MATCH($F622,'CAT_CENTROS_COSTO'!$A$4:$A$13,0)),"(sin catálogo)"))</f>
        <v/>
      </c>
      <c r="Y622" s="5">
        <f>IF($F622="","",IF((IFERROR(INDEX('CAT_CENTROS_COSTO'!$E$4:$E$13,MATCH($F622,'CAT_CENTROS_COSTO'!$A$4:$A$13,0)),""))&lt;&gt;"",IFERROR(INDEX('CAT_CENTROS_COSTO'!$E$4:$E$13,MATCH($F622,'CAT_CENTROS_COSTO'!$A$4:$A$13,0)),""),$X622))</f>
        <v/>
      </c>
      <c r="Z622" s="5">
        <f>IF($F622="","",IFERROR(INDEX('CAT_CENTROS_COSTO'!$G$4:$G$13,MATCH($F622,'CAT_CENTROS_COSTO'!$A$4:$A$13,0)),"(sin catálogo)"))</f>
        <v/>
      </c>
      <c r="AA622" s="5">
        <f>IF($G622="","",IFERROR(INDEX('CAT_PUESTOS'!$B$4:$B$8,MATCH($G622,'CAT_PUESTOS'!$A$4:$A$8,0)),"(sin catálogo)"))</f>
        <v/>
      </c>
      <c r="AB622" s="5">
        <f>IF($H622="","",IFERROR(INDEX('CAT_ACTIVIDADES'!$B$4:$B$11,MATCH($H622,'CAT_ACTIVIDADES'!$A$4:$A$11,0)),"(sin catálogo)"))</f>
        <v/>
      </c>
      <c r="AC622" s="20">
        <f>IF($J622="","",TODAY()-$J622)</f>
        <v/>
      </c>
      <c r="AD622" s="20">
        <f>IF($J622="","",IF($J622&lt;=TODAY(),COUNTIFS(cal_fechas,"&gt;="&amp;$J622,cal_fechas,"&lt;"&amp;TODAY(),cal_habil,"sí"),-COUNTIFS(cal_fechas,"&gt;="&amp;TODAY(),cal_fechas,"&lt;"&amp;$J622,cal_habil,"sí")))</f>
        <v/>
      </c>
      <c r="AE622" s="5">
        <f>IF($AD622="","",IF($AD622&lt;0,"FUTURO",IF($AD622&gt;p_dias_backlog_max,"BACKLOG","MES CORRIENTE")))</f>
        <v/>
      </c>
      <c r="AF622" s="5">
        <f>IF($AD622="",FALSE,AND($AD622&gt;p_dias_backlog_min,$AD622&lt;=p_dias_backlog_max))</f>
        <v/>
      </c>
      <c r="AG622" s="4" t="n"/>
      <c r="AH622" s="5">
        <f>IF($AG622="","",IF((IFERROR(INDEX('ASIGNACIONES'!$J$4:$J$451,MATCH($O622&amp;"|"&amp;$S622&amp;"|"&amp;$AG622,'ASIGNACIONES'!$N$4:$N$451,0)),""))=0,"",IFERROR(INDEX('ASIGNACIONES'!$J$4:$J$451,MATCH($O622&amp;"|"&amp;$S622&amp;"|"&amp;$AG622,'ASIGNACIONES'!$N$4:$N$451,0)),"")))</f>
        <v/>
      </c>
      <c r="AI622" s="25">
        <f>IF($AG622="","",SUMIFS('ORDENES'!$M$4:$M$1203,'ORDENES'!$AG$4:$AG$1203,$AG622,'ORDENES'!$O$4:$O$1203,$O622,'ORDENES'!$S$4:$S$1203,$S622))</f>
        <v/>
      </c>
      <c r="AJ622" s="25">
        <f>IF($AI622="","",p_factor_productividad*IFERROR(INDEX('ASIGNACIONES'!$M$4:$M$451,MATCH($O622&amp;"|"&amp;$S622&amp;"|"&amp;$AG622,'ASIGNACIONES'!$N$4:$N$451,0)),0)-$AI622)</f>
        <v/>
      </c>
      <c r="AK622" s="18">
        <f>IF($A622="","",IFERROR(INDEX('2_IMPORTAR_EJECUCION'!$F$9:$F$1208,MATCH($AT622,'2_IMPORTAR_EJECUCION'!$J$9:$J$1208,0)),0))</f>
        <v/>
      </c>
      <c r="AL622" s="18">
        <f>IF($A622="","",MAX(0,IFERROR(INDEX('2_IMPORTAR_EJECUCION'!$H$9:$H$1208,MATCH($AT622,'2_IMPORTAR_EJECUCION'!$J$9:$J$1208,0)),0)-$AK622))</f>
        <v/>
      </c>
      <c r="AM622" s="18">
        <f>IF($A622="","",$AK622+$AL622)</f>
        <v/>
      </c>
      <c r="AN622" s="5">
        <f>IF($A622="","",IF(OR((IFERROR(INDEX('CAT_ACTIVIDADES'!$D$4:$D$11,MATCH($H622,'CAT_ACTIVIDADES'!$A$4:$A$11,0)),""))=0,(IFERROR(INDEX('CAT_ACTIVIDADES'!$D$4:$D$11,MATCH($H622,'CAT_ACTIVIDADES'!$A$4:$A$11,0)),""))=""),"SIN CLASIFICAR",IFERROR(INDEX('CAT_ACTIVIDADES'!$D$4:$D$11,MATCH($H622,'CAT_ACTIVIDADES'!$A$4:$A$11,0)),"")))</f>
        <v/>
      </c>
      <c r="AO622" s="4" t="n"/>
      <c r="AP622" s="4" t="n"/>
      <c r="AQ622" s="4" t="n"/>
      <c r="AR622" s="5">
        <f>IF($AQ622="","",HYPERLINK(p_ruta_base_checklists&amp;$AQ622,"abrir"))</f>
        <v/>
      </c>
      <c r="AS622" s="4" t="n"/>
      <c r="AT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2" t="n"/>
      <c r="K623" s="5" t="n"/>
      <c r="L623" s="18" t="n"/>
      <c r="M623" s="5">
        <f>IF($A623="","",IFERROR(INDEX('AJUSTES'!$B$4:$B$303,MATCH($AT623,'AJUSTES'!$A$4:$A$303,0)),IF($K623="","",$K623)))</f>
        <v/>
      </c>
      <c r="N623" s="5">
        <f>IF($A623="","",IFERROR(INDEX('CAT_ESTADOS_ERP'!$B$4:$B$7,MATCH(IFERROR(INDEX('2_IMPORTAR_EJECUCION'!$C$9:$C$1208,MATCH($AT623,'2_IMPORTAR_EJECUCION'!$J$9:$J$1208,0)),""),'CAT_ESTADOS_ERP'!$A$4:$A$7,0)),"Pendiente"))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IF($J623="","",$P623&amp;"-"&amp;TEXT($Q623,"00"))</f>
        <v/>
      </c>
      <c r="S623" s="5">
        <f>IF($J623="","",INDEX(lista_dias,WEEKDAY($J623,2)))</f>
        <v/>
      </c>
      <c r="T623" s="5">
        <f>IF($J623="","",IFERROR(INDEX('CALENDARIO'!$C$15:$C$214,MATCH(TEXT($J623,"yyyy-mm-dd")&amp;"|"&amp;$X623&amp;"|"&amp;$Y623,'CALENDARIO'!$G$15:$G$214,0)),IFERROR(INDEX('CALENDARIO'!$C$15:$C$214,MATCH(TEXT($J623,"yyyy-mm-dd")&amp;"|"&amp;$X623&amp;"|",'CALENDARIO'!$G$15:$G$214,0)),IFERROR(INDEX('CALENDARIO'!$C$15:$C$214,MATCH(TEXT($J623,"yyyy-mm-dd")&amp;"||",'CALENDARIO'!$G$15:$G$214,0)),INDEX(patronHabil,WEEKDAY($J623,2))))))</f>
        <v/>
      </c>
      <c r="U623" s="5">
        <f>IF($I623="","",IFERROR(INDEX('CAT_TIPOS_OT'!$C$4:$C$8,MATCH($I623,'CAT_TIPOS_OT'!$A$4:$A$8,0)),"sin_clasificar"))</f>
        <v/>
      </c>
      <c r="V623" s="5">
        <f>IF($I623="","",IF(IFERROR(INDEX('CAT_TIPOS_OT'!$D$4:$D$8,MATCH($I623,'CAT_TIPOS_OT'!$A$4:$A$8,0)),"SIN CLASIFICAR")="","SIN CLASIFICAR",IFERROR(INDEX('CAT_TIPOS_OT'!$D$4:$D$8,MATCH($I623,'CAT_TIPOS_OT'!$A$4:$A$8,0)),"SIN CLASIFICAR")))</f>
        <v/>
      </c>
      <c r="W623" s="5">
        <f>IF($F623="","",IFERROR(INDEX('CAT_CENTROS_COSTO'!$F$4:$F$13,MATCH($F623,'CAT_CENTROS_COSTO'!$A$4:$A$13,0)),"(sin catálogo)"))</f>
        <v/>
      </c>
      <c r="X623" s="5">
        <f>IF($F623="","",IFERROR(INDEX('CAT_CENTROS_COSTO'!$D$4:$D$13,MATCH($F623,'CAT_CENTROS_COSTO'!$A$4:$A$13,0)),"(sin catálogo)"))</f>
        <v/>
      </c>
      <c r="Y623" s="5">
        <f>IF($F623="","",IF((IFERROR(INDEX('CAT_CENTROS_COSTO'!$E$4:$E$13,MATCH($F623,'CAT_CENTROS_COSTO'!$A$4:$A$13,0)),""))&lt;&gt;"",IFERROR(INDEX('CAT_CENTROS_COSTO'!$E$4:$E$13,MATCH($F623,'CAT_CENTROS_COSTO'!$A$4:$A$13,0)),""),$X623))</f>
        <v/>
      </c>
      <c r="Z623" s="5">
        <f>IF($F623="","",IFERROR(INDEX('CAT_CENTROS_COSTO'!$G$4:$G$13,MATCH($F623,'CAT_CENTROS_COSTO'!$A$4:$A$13,0)),"(sin catálogo)"))</f>
        <v/>
      </c>
      <c r="AA623" s="5">
        <f>IF($G623="","",IFERROR(INDEX('CAT_PUESTOS'!$B$4:$B$8,MATCH($G623,'CAT_PUESTOS'!$A$4:$A$8,0)),"(sin catálogo)"))</f>
        <v/>
      </c>
      <c r="AB623" s="5">
        <f>IF($H623="","",IFERROR(INDEX('CAT_ACTIVIDADES'!$B$4:$B$11,MATCH($H623,'CAT_ACTIVIDADES'!$A$4:$A$11,0)),"(sin catálogo)"))</f>
        <v/>
      </c>
      <c r="AC623" s="20">
        <f>IF($J623="","",TODAY()-$J623)</f>
        <v/>
      </c>
      <c r="AD623" s="20">
        <f>IF($J623="","",IF($J623&lt;=TODAY(),COUNTIFS(cal_fechas,"&gt;="&amp;$J623,cal_fechas,"&lt;"&amp;TODAY(),cal_habil,"sí"),-COUNTIFS(cal_fechas,"&gt;="&amp;TODAY(),cal_fechas,"&lt;"&amp;$J623,cal_habil,"sí")))</f>
        <v/>
      </c>
      <c r="AE623" s="5">
        <f>IF($AD623="","",IF($AD623&lt;0,"FUTURO",IF($AD623&gt;p_dias_backlog_max,"BACKLOG","MES CORRIENTE")))</f>
        <v/>
      </c>
      <c r="AF623" s="5">
        <f>IF($AD623="",FALSE,AND($AD623&gt;p_dias_backlog_min,$AD623&lt;=p_dias_backlog_max))</f>
        <v/>
      </c>
      <c r="AG623" s="4" t="n"/>
      <c r="AH623" s="5">
        <f>IF($AG623="","",IF((IFERROR(INDEX('ASIGNACIONES'!$J$4:$J$451,MATCH($O623&amp;"|"&amp;$S623&amp;"|"&amp;$AG623,'ASIGNACIONES'!$N$4:$N$451,0)),""))=0,"",IFERROR(INDEX('ASIGNACIONES'!$J$4:$J$451,MATCH($O623&amp;"|"&amp;$S623&amp;"|"&amp;$AG623,'ASIGNACIONES'!$N$4:$N$451,0)),"")))</f>
        <v/>
      </c>
      <c r="AI623" s="25">
        <f>IF($AG623="","",SUMIFS('ORDENES'!$M$4:$M$1203,'ORDENES'!$AG$4:$AG$1203,$AG623,'ORDENES'!$O$4:$O$1203,$O623,'ORDENES'!$S$4:$S$1203,$S623))</f>
        <v/>
      </c>
      <c r="AJ623" s="25">
        <f>IF($AI623="","",p_factor_productividad*IFERROR(INDEX('ASIGNACIONES'!$M$4:$M$451,MATCH($O623&amp;"|"&amp;$S623&amp;"|"&amp;$AG623,'ASIGNACIONES'!$N$4:$N$451,0)),0)-$AI623)</f>
        <v/>
      </c>
      <c r="AK623" s="18">
        <f>IF($A623="","",IFERROR(INDEX('2_IMPORTAR_EJECUCION'!$F$9:$F$1208,MATCH($AT623,'2_IMPORTAR_EJECUCION'!$J$9:$J$1208,0)),0))</f>
        <v/>
      </c>
      <c r="AL623" s="18">
        <f>IF($A623="","",MAX(0,IFERROR(INDEX('2_IMPORTAR_EJECUCION'!$H$9:$H$1208,MATCH($AT623,'2_IMPORTAR_EJECUCION'!$J$9:$J$1208,0)),0)-$AK623))</f>
        <v/>
      </c>
      <c r="AM623" s="18">
        <f>IF($A623="","",$AK623+$AL623)</f>
        <v/>
      </c>
      <c r="AN623" s="5">
        <f>IF($A623="","",IF(OR((IFERROR(INDEX('CAT_ACTIVIDADES'!$D$4:$D$11,MATCH($H623,'CAT_ACTIVIDADES'!$A$4:$A$11,0)),""))=0,(IFERROR(INDEX('CAT_ACTIVIDADES'!$D$4:$D$11,MATCH($H623,'CAT_ACTIVIDADES'!$A$4:$A$11,0)),""))=""),"SIN CLASIFICAR",IFERROR(INDEX('CAT_ACTIVIDADES'!$D$4:$D$11,MATCH($H623,'CAT_ACTIVIDADES'!$A$4:$A$11,0)),"")))</f>
        <v/>
      </c>
      <c r="AO623" s="4" t="n"/>
      <c r="AP623" s="4" t="n"/>
      <c r="AQ623" s="4" t="n"/>
      <c r="AR623" s="5">
        <f>IF($AQ623="","",HYPERLINK(p_ruta_base_checklists&amp;$AQ623,"abrir"))</f>
        <v/>
      </c>
      <c r="AS623" s="4" t="n"/>
      <c r="AT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2" t="n"/>
      <c r="K624" s="5" t="n"/>
      <c r="L624" s="18" t="n"/>
      <c r="M624" s="5">
        <f>IF($A624="","",IFERROR(INDEX('AJUSTES'!$B$4:$B$303,MATCH($AT624,'AJUSTES'!$A$4:$A$303,0)),IF($K624="","",$K624)))</f>
        <v/>
      </c>
      <c r="N624" s="5">
        <f>IF($A624="","",IFERROR(INDEX('CAT_ESTADOS_ERP'!$B$4:$B$7,MATCH(IFERROR(INDEX('2_IMPORTAR_EJECUCION'!$C$9:$C$1208,MATCH($AT624,'2_IMPORTAR_EJECUCION'!$J$9:$J$1208,0)),""),'CAT_ESTADOS_ERP'!$A$4:$A$7,0)),"Pendiente"))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IF($J624="","",$P624&amp;"-"&amp;TEXT($Q624,"00"))</f>
        <v/>
      </c>
      <c r="S624" s="5">
        <f>IF($J624="","",INDEX(lista_dias,WEEKDAY($J624,2)))</f>
        <v/>
      </c>
      <c r="T624" s="5">
        <f>IF($J624="","",IFERROR(INDEX('CALENDARIO'!$C$15:$C$214,MATCH(TEXT($J624,"yyyy-mm-dd")&amp;"|"&amp;$X624&amp;"|"&amp;$Y624,'CALENDARIO'!$G$15:$G$214,0)),IFERROR(INDEX('CALENDARIO'!$C$15:$C$214,MATCH(TEXT($J624,"yyyy-mm-dd")&amp;"|"&amp;$X624&amp;"|",'CALENDARIO'!$G$15:$G$214,0)),IFERROR(INDEX('CALENDARIO'!$C$15:$C$214,MATCH(TEXT($J624,"yyyy-mm-dd")&amp;"||",'CALENDARIO'!$G$15:$G$214,0)),INDEX(patronHabil,WEEKDAY($J624,2))))))</f>
        <v/>
      </c>
      <c r="U624" s="5">
        <f>IF($I624="","",IFERROR(INDEX('CAT_TIPOS_OT'!$C$4:$C$8,MATCH($I624,'CAT_TIPOS_OT'!$A$4:$A$8,0)),"sin_clasificar"))</f>
        <v/>
      </c>
      <c r="V624" s="5">
        <f>IF($I624="","",IF(IFERROR(INDEX('CAT_TIPOS_OT'!$D$4:$D$8,MATCH($I624,'CAT_TIPOS_OT'!$A$4:$A$8,0)),"SIN CLASIFICAR")="","SIN CLASIFICAR",IFERROR(INDEX('CAT_TIPOS_OT'!$D$4:$D$8,MATCH($I624,'CAT_TIPOS_OT'!$A$4:$A$8,0)),"SIN CLASIFICAR")))</f>
        <v/>
      </c>
      <c r="W624" s="5">
        <f>IF($F624="","",IFERROR(INDEX('CAT_CENTROS_COSTO'!$F$4:$F$13,MATCH($F624,'CAT_CENTROS_COSTO'!$A$4:$A$13,0)),"(sin catálogo)"))</f>
        <v/>
      </c>
      <c r="X624" s="5">
        <f>IF($F624="","",IFERROR(INDEX('CAT_CENTROS_COSTO'!$D$4:$D$13,MATCH($F624,'CAT_CENTROS_COSTO'!$A$4:$A$13,0)),"(sin catálogo)"))</f>
        <v/>
      </c>
      <c r="Y624" s="5">
        <f>IF($F624="","",IF((IFERROR(INDEX('CAT_CENTROS_COSTO'!$E$4:$E$13,MATCH($F624,'CAT_CENTROS_COSTO'!$A$4:$A$13,0)),""))&lt;&gt;"",IFERROR(INDEX('CAT_CENTROS_COSTO'!$E$4:$E$13,MATCH($F624,'CAT_CENTROS_COSTO'!$A$4:$A$13,0)),""),$X624))</f>
        <v/>
      </c>
      <c r="Z624" s="5">
        <f>IF($F624="","",IFERROR(INDEX('CAT_CENTROS_COSTO'!$G$4:$G$13,MATCH($F624,'CAT_CENTROS_COSTO'!$A$4:$A$13,0)),"(sin catálogo)"))</f>
        <v/>
      </c>
      <c r="AA624" s="5">
        <f>IF($G624="","",IFERROR(INDEX('CAT_PUESTOS'!$B$4:$B$8,MATCH($G624,'CAT_PUESTOS'!$A$4:$A$8,0)),"(sin catálogo)"))</f>
        <v/>
      </c>
      <c r="AB624" s="5">
        <f>IF($H624="","",IFERROR(INDEX('CAT_ACTIVIDADES'!$B$4:$B$11,MATCH($H624,'CAT_ACTIVIDADES'!$A$4:$A$11,0)),"(sin catálogo)"))</f>
        <v/>
      </c>
      <c r="AC624" s="20">
        <f>IF($J624="","",TODAY()-$J624)</f>
        <v/>
      </c>
      <c r="AD624" s="20">
        <f>IF($J624="","",IF($J624&lt;=TODAY(),COUNTIFS(cal_fechas,"&gt;="&amp;$J624,cal_fechas,"&lt;"&amp;TODAY(),cal_habil,"sí"),-COUNTIFS(cal_fechas,"&gt;="&amp;TODAY(),cal_fechas,"&lt;"&amp;$J624,cal_habil,"sí")))</f>
        <v/>
      </c>
      <c r="AE624" s="5">
        <f>IF($AD624="","",IF($AD624&lt;0,"FUTURO",IF($AD624&gt;p_dias_backlog_max,"BACKLOG","MES CORRIENTE")))</f>
        <v/>
      </c>
      <c r="AF624" s="5">
        <f>IF($AD624="",FALSE,AND($AD624&gt;p_dias_backlog_min,$AD624&lt;=p_dias_backlog_max))</f>
        <v/>
      </c>
      <c r="AG624" s="4" t="n"/>
      <c r="AH624" s="5">
        <f>IF($AG624="","",IF((IFERROR(INDEX('ASIGNACIONES'!$J$4:$J$451,MATCH($O624&amp;"|"&amp;$S624&amp;"|"&amp;$AG624,'ASIGNACIONES'!$N$4:$N$451,0)),""))=0,"",IFERROR(INDEX('ASIGNACIONES'!$J$4:$J$451,MATCH($O624&amp;"|"&amp;$S624&amp;"|"&amp;$AG624,'ASIGNACIONES'!$N$4:$N$451,0)),"")))</f>
        <v/>
      </c>
      <c r="AI624" s="25">
        <f>IF($AG624="","",SUMIFS('ORDENES'!$M$4:$M$1203,'ORDENES'!$AG$4:$AG$1203,$AG624,'ORDENES'!$O$4:$O$1203,$O624,'ORDENES'!$S$4:$S$1203,$S624))</f>
        <v/>
      </c>
      <c r="AJ624" s="25">
        <f>IF($AI624="","",p_factor_productividad*IFERROR(INDEX('ASIGNACIONES'!$M$4:$M$451,MATCH($O624&amp;"|"&amp;$S624&amp;"|"&amp;$AG624,'ASIGNACIONES'!$N$4:$N$451,0)),0)-$AI624)</f>
        <v/>
      </c>
      <c r="AK624" s="18">
        <f>IF($A624="","",IFERROR(INDEX('2_IMPORTAR_EJECUCION'!$F$9:$F$1208,MATCH($AT624,'2_IMPORTAR_EJECUCION'!$J$9:$J$1208,0)),0))</f>
        <v/>
      </c>
      <c r="AL624" s="18">
        <f>IF($A624="","",MAX(0,IFERROR(INDEX('2_IMPORTAR_EJECUCION'!$H$9:$H$1208,MATCH($AT624,'2_IMPORTAR_EJECUCION'!$J$9:$J$1208,0)),0)-$AK624))</f>
        <v/>
      </c>
      <c r="AM624" s="18">
        <f>IF($A624="","",$AK624+$AL624)</f>
        <v/>
      </c>
      <c r="AN624" s="5">
        <f>IF($A624="","",IF(OR((IFERROR(INDEX('CAT_ACTIVIDADES'!$D$4:$D$11,MATCH($H624,'CAT_ACTIVIDADES'!$A$4:$A$11,0)),""))=0,(IFERROR(INDEX('CAT_ACTIVIDADES'!$D$4:$D$11,MATCH($H624,'CAT_ACTIVIDADES'!$A$4:$A$11,0)),""))=""),"SIN CLASIFICAR",IFERROR(INDEX('CAT_ACTIVIDADES'!$D$4:$D$11,MATCH($H624,'CAT_ACTIVIDADES'!$A$4:$A$11,0)),"")))</f>
        <v/>
      </c>
      <c r="AO624" s="4" t="n"/>
      <c r="AP624" s="4" t="n"/>
      <c r="AQ624" s="4" t="n"/>
      <c r="AR624" s="5">
        <f>IF($AQ624="","",HYPERLINK(p_ruta_base_checklists&amp;$AQ624,"abrir"))</f>
        <v/>
      </c>
      <c r="AS624" s="4" t="n"/>
      <c r="AT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2" t="n"/>
      <c r="K625" s="5" t="n"/>
      <c r="L625" s="18" t="n"/>
      <c r="M625" s="5">
        <f>IF($A625="","",IFERROR(INDEX('AJUSTES'!$B$4:$B$303,MATCH($AT625,'AJUSTES'!$A$4:$A$303,0)),IF($K625="","",$K625)))</f>
        <v/>
      </c>
      <c r="N625" s="5">
        <f>IF($A625="","",IFERROR(INDEX('CAT_ESTADOS_ERP'!$B$4:$B$7,MATCH(IFERROR(INDEX('2_IMPORTAR_EJECUCION'!$C$9:$C$1208,MATCH($AT625,'2_IMPORTAR_EJECUCION'!$J$9:$J$1208,0)),""),'CAT_ESTADOS_ERP'!$A$4:$A$7,0)),"Pendiente"))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IF($J625="","",$P625&amp;"-"&amp;TEXT($Q625,"00"))</f>
        <v/>
      </c>
      <c r="S625" s="5">
        <f>IF($J625="","",INDEX(lista_dias,WEEKDAY($J625,2)))</f>
        <v/>
      </c>
      <c r="T625" s="5">
        <f>IF($J625="","",IFERROR(INDEX('CALENDARIO'!$C$15:$C$214,MATCH(TEXT($J625,"yyyy-mm-dd")&amp;"|"&amp;$X625&amp;"|"&amp;$Y625,'CALENDARIO'!$G$15:$G$214,0)),IFERROR(INDEX('CALENDARIO'!$C$15:$C$214,MATCH(TEXT($J625,"yyyy-mm-dd")&amp;"|"&amp;$X625&amp;"|",'CALENDARIO'!$G$15:$G$214,0)),IFERROR(INDEX('CALENDARIO'!$C$15:$C$214,MATCH(TEXT($J625,"yyyy-mm-dd")&amp;"||",'CALENDARIO'!$G$15:$G$214,0)),INDEX(patronHabil,WEEKDAY($J625,2))))))</f>
        <v/>
      </c>
      <c r="U625" s="5">
        <f>IF($I625="","",IFERROR(INDEX('CAT_TIPOS_OT'!$C$4:$C$8,MATCH($I625,'CAT_TIPOS_OT'!$A$4:$A$8,0)),"sin_clasificar"))</f>
        <v/>
      </c>
      <c r="V625" s="5">
        <f>IF($I625="","",IF(IFERROR(INDEX('CAT_TIPOS_OT'!$D$4:$D$8,MATCH($I625,'CAT_TIPOS_OT'!$A$4:$A$8,0)),"SIN CLASIFICAR")="","SIN CLASIFICAR",IFERROR(INDEX('CAT_TIPOS_OT'!$D$4:$D$8,MATCH($I625,'CAT_TIPOS_OT'!$A$4:$A$8,0)),"SIN CLASIFICAR")))</f>
        <v/>
      </c>
      <c r="W625" s="5">
        <f>IF($F625="","",IFERROR(INDEX('CAT_CENTROS_COSTO'!$F$4:$F$13,MATCH($F625,'CAT_CENTROS_COSTO'!$A$4:$A$13,0)),"(sin catálogo)"))</f>
        <v/>
      </c>
      <c r="X625" s="5">
        <f>IF($F625="","",IFERROR(INDEX('CAT_CENTROS_COSTO'!$D$4:$D$13,MATCH($F625,'CAT_CENTROS_COSTO'!$A$4:$A$13,0)),"(sin catálogo)"))</f>
        <v/>
      </c>
      <c r="Y625" s="5">
        <f>IF($F625="","",IF((IFERROR(INDEX('CAT_CENTROS_COSTO'!$E$4:$E$13,MATCH($F625,'CAT_CENTROS_COSTO'!$A$4:$A$13,0)),""))&lt;&gt;"",IFERROR(INDEX('CAT_CENTROS_COSTO'!$E$4:$E$13,MATCH($F625,'CAT_CENTROS_COSTO'!$A$4:$A$13,0)),""),$X625))</f>
        <v/>
      </c>
      <c r="Z625" s="5">
        <f>IF($F625="","",IFERROR(INDEX('CAT_CENTROS_COSTO'!$G$4:$G$13,MATCH($F625,'CAT_CENTROS_COSTO'!$A$4:$A$13,0)),"(sin catálogo)"))</f>
        <v/>
      </c>
      <c r="AA625" s="5">
        <f>IF($G625="","",IFERROR(INDEX('CAT_PUESTOS'!$B$4:$B$8,MATCH($G625,'CAT_PUESTOS'!$A$4:$A$8,0)),"(sin catálogo)"))</f>
        <v/>
      </c>
      <c r="AB625" s="5">
        <f>IF($H625="","",IFERROR(INDEX('CAT_ACTIVIDADES'!$B$4:$B$11,MATCH($H625,'CAT_ACTIVIDADES'!$A$4:$A$11,0)),"(sin catálogo)"))</f>
        <v/>
      </c>
      <c r="AC625" s="20">
        <f>IF($J625="","",TODAY()-$J625)</f>
        <v/>
      </c>
      <c r="AD625" s="20">
        <f>IF($J625="","",IF($J625&lt;=TODAY(),COUNTIFS(cal_fechas,"&gt;="&amp;$J625,cal_fechas,"&lt;"&amp;TODAY(),cal_habil,"sí"),-COUNTIFS(cal_fechas,"&gt;="&amp;TODAY(),cal_fechas,"&lt;"&amp;$J625,cal_habil,"sí")))</f>
        <v/>
      </c>
      <c r="AE625" s="5">
        <f>IF($AD625="","",IF($AD625&lt;0,"FUTURO",IF($AD625&gt;p_dias_backlog_max,"BACKLOG","MES CORRIENTE")))</f>
        <v/>
      </c>
      <c r="AF625" s="5">
        <f>IF($AD625="",FALSE,AND($AD625&gt;p_dias_backlog_min,$AD625&lt;=p_dias_backlog_max))</f>
        <v/>
      </c>
      <c r="AG625" s="4" t="n"/>
      <c r="AH625" s="5">
        <f>IF($AG625="","",IF((IFERROR(INDEX('ASIGNACIONES'!$J$4:$J$451,MATCH($O625&amp;"|"&amp;$S625&amp;"|"&amp;$AG625,'ASIGNACIONES'!$N$4:$N$451,0)),""))=0,"",IFERROR(INDEX('ASIGNACIONES'!$J$4:$J$451,MATCH($O625&amp;"|"&amp;$S625&amp;"|"&amp;$AG625,'ASIGNACIONES'!$N$4:$N$451,0)),"")))</f>
        <v/>
      </c>
      <c r="AI625" s="25">
        <f>IF($AG625="","",SUMIFS('ORDENES'!$M$4:$M$1203,'ORDENES'!$AG$4:$AG$1203,$AG625,'ORDENES'!$O$4:$O$1203,$O625,'ORDENES'!$S$4:$S$1203,$S625))</f>
        <v/>
      </c>
      <c r="AJ625" s="25">
        <f>IF($AI625="","",p_factor_productividad*IFERROR(INDEX('ASIGNACIONES'!$M$4:$M$451,MATCH($O625&amp;"|"&amp;$S625&amp;"|"&amp;$AG625,'ASIGNACIONES'!$N$4:$N$451,0)),0)-$AI625)</f>
        <v/>
      </c>
      <c r="AK625" s="18">
        <f>IF($A625="","",IFERROR(INDEX('2_IMPORTAR_EJECUCION'!$F$9:$F$1208,MATCH($AT625,'2_IMPORTAR_EJECUCION'!$J$9:$J$1208,0)),0))</f>
        <v/>
      </c>
      <c r="AL625" s="18">
        <f>IF($A625="","",MAX(0,IFERROR(INDEX('2_IMPORTAR_EJECUCION'!$H$9:$H$1208,MATCH($AT625,'2_IMPORTAR_EJECUCION'!$J$9:$J$1208,0)),0)-$AK625))</f>
        <v/>
      </c>
      <c r="AM625" s="18">
        <f>IF($A625="","",$AK625+$AL625)</f>
        <v/>
      </c>
      <c r="AN625" s="5">
        <f>IF($A625="","",IF(OR((IFERROR(INDEX('CAT_ACTIVIDADES'!$D$4:$D$11,MATCH($H625,'CAT_ACTIVIDADES'!$A$4:$A$11,0)),""))=0,(IFERROR(INDEX('CAT_ACTIVIDADES'!$D$4:$D$11,MATCH($H625,'CAT_ACTIVIDADES'!$A$4:$A$11,0)),""))=""),"SIN CLASIFICAR",IFERROR(INDEX('CAT_ACTIVIDADES'!$D$4:$D$11,MATCH($H625,'CAT_ACTIVIDADES'!$A$4:$A$11,0)),"")))</f>
        <v/>
      </c>
      <c r="AO625" s="4" t="n"/>
      <c r="AP625" s="4" t="n"/>
      <c r="AQ625" s="4" t="n"/>
      <c r="AR625" s="5">
        <f>IF($AQ625="","",HYPERLINK(p_ruta_base_checklists&amp;$AQ625,"abrir"))</f>
        <v/>
      </c>
      <c r="AS625" s="4" t="n"/>
      <c r="AT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2" t="n"/>
      <c r="K626" s="5" t="n"/>
      <c r="L626" s="18" t="n"/>
      <c r="M626" s="5">
        <f>IF($A626="","",IFERROR(INDEX('AJUSTES'!$B$4:$B$303,MATCH($AT626,'AJUSTES'!$A$4:$A$303,0)),IF($K626="","",$K626)))</f>
        <v/>
      </c>
      <c r="N626" s="5">
        <f>IF($A626="","",IFERROR(INDEX('CAT_ESTADOS_ERP'!$B$4:$B$7,MATCH(IFERROR(INDEX('2_IMPORTAR_EJECUCION'!$C$9:$C$1208,MATCH($AT626,'2_IMPORTAR_EJECUCION'!$J$9:$J$1208,0)),""),'CAT_ESTADOS_ERP'!$A$4:$A$7,0)),"Pendiente"))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IF($J626="","",$P626&amp;"-"&amp;TEXT($Q626,"00"))</f>
        <v/>
      </c>
      <c r="S626" s="5">
        <f>IF($J626="","",INDEX(lista_dias,WEEKDAY($J626,2)))</f>
        <v/>
      </c>
      <c r="T626" s="5">
        <f>IF($J626="","",IFERROR(INDEX('CALENDARIO'!$C$15:$C$214,MATCH(TEXT($J626,"yyyy-mm-dd")&amp;"|"&amp;$X626&amp;"|"&amp;$Y626,'CALENDARIO'!$G$15:$G$214,0)),IFERROR(INDEX('CALENDARIO'!$C$15:$C$214,MATCH(TEXT($J626,"yyyy-mm-dd")&amp;"|"&amp;$X626&amp;"|",'CALENDARIO'!$G$15:$G$214,0)),IFERROR(INDEX('CALENDARIO'!$C$15:$C$214,MATCH(TEXT($J626,"yyyy-mm-dd")&amp;"||",'CALENDARIO'!$G$15:$G$214,0)),INDEX(patronHabil,WEEKDAY($J626,2))))))</f>
        <v/>
      </c>
      <c r="U626" s="5">
        <f>IF($I626="","",IFERROR(INDEX('CAT_TIPOS_OT'!$C$4:$C$8,MATCH($I626,'CAT_TIPOS_OT'!$A$4:$A$8,0)),"sin_clasificar"))</f>
        <v/>
      </c>
      <c r="V626" s="5">
        <f>IF($I626="","",IF(IFERROR(INDEX('CAT_TIPOS_OT'!$D$4:$D$8,MATCH($I626,'CAT_TIPOS_OT'!$A$4:$A$8,0)),"SIN CLASIFICAR")="","SIN CLASIFICAR",IFERROR(INDEX('CAT_TIPOS_OT'!$D$4:$D$8,MATCH($I626,'CAT_TIPOS_OT'!$A$4:$A$8,0)),"SIN CLASIFICAR")))</f>
        <v/>
      </c>
      <c r="W626" s="5">
        <f>IF($F626="","",IFERROR(INDEX('CAT_CENTROS_COSTO'!$F$4:$F$13,MATCH($F626,'CAT_CENTROS_COSTO'!$A$4:$A$13,0)),"(sin catálogo)"))</f>
        <v/>
      </c>
      <c r="X626" s="5">
        <f>IF($F626="","",IFERROR(INDEX('CAT_CENTROS_COSTO'!$D$4:$D$13,MATCH($F626,'CAT_CENTROS_COSTO'!$A$4:$A$13,0)),"(sin catálogo)"))</f>
        <v/>
      </c>
      <c r="Y626" s="5">
        <f>IF($F626="","",IF((IFERROR(INDEX('CAT_CENTROS_COSTO'!$E$4:$E$13,MATCH($F626,'CAT_CENTROS_COSTO'!$A$4:$A$13,0)),""))&lt;&gt;"",IFERROR(INDEX('CAT_CENTROS_COSTO'!$E$4:$E$13,MATCH($F626,'CAT_CENTROS_COSTO'!$A$4:$A$13,0)),""),$X626))</f>
        <v/>
      </c>
      <c r="Z626" s="5">
        <f>IF($F626="","",IFERROR(INDEX('CAT_CENTROS_COSTO'!$G$4:$G$13,MATCH($F626,'CAT_CENTROS_COSTO'!$A$4:$A$13,0)),"(sin catálogo)"))</f>
        <v/>
      </c>
      <c r="AA626" s="5">
        <f>IF($G626="","",IFERROR(INDEX('CAT_PUESTOS'!$B$4:$B$8,MATCH($G626,'CAT_PUESTOS'!$A$4:$A$8,0)),"(sin catálogo)"))</f>
        <v/>
      </c>
      <c r="AB626" s="5">
        <f>IF($H626="","",IFERROR(INDEX('CAT_ACTIVIDADES'!$B$4:$B$11,MATCH($H626,'CAT_ACTIVIDADES'!$A$4:$A$11,0)),"(sin catálogo)"))</f>
        <v/>
      </c>
      <c r="AC626" s="20">
        <f>IF($J626="","",TODAY()-$J626)</f>
        <v/>
      </c>
      <c r="AD626" s="20">
        <f>IF($J626="","",IF($J626&lt;=TODAY(),COUNTIFS(cal_fechas,"&gt;="&amp;$J626,cal_fechas,"&lt;"&amp;TODAY(),cal_habil,"sí"),-COUNTIFS(cal_fechas,"&gt;="&amp;TODAY(),cal_fechas,"&lt;"&amp;$J626,cal_habil,"sí")))</f>
        <v/>
      </c>
      <c r="AE626" s="5">
        <f>IF($AD626="","",IF($AD626&lt;0,"FUTURO",IF($AD626&gt;p_dias_backlog_max,"BACKLOG","MES CORRIENTE")))</f>
        <v/>
      </c>
      <c r="AF626" s="5">
        <f>IF($AD626="",FALSE,AND($AD626&gt;p_dias_backlog_min,$AD626&lt;=p_dias_backlog_max))</f>
        <v/>
      </c>
      <c r="AG626" s="4" t="n"/>
      <c r="AH626" s="5">
        <f>IF($AG626="","",IF((IFERROR(INDEX('ASIGNACIONES'!$J$4:$J$451,MATCH($O626&amp;"|"&amp;$S626&amp;"|"&amp;$AG626,'ASIGNACIONES'!$N$4:$N$451,0)),""))=0,"",IFERROR(INDEX('ASIGNACIONES'!$J$4:$J$451,MATCH($O626&amp;"|"&amp;$S626&amp;"|"&amp;$AG626,'ASIGNACIONES'!$N$4:$N$451,0)),"")))</f>
        <v/>
      </c>
      <c r="AI626" s="25">
        <f>IF($AG626="","",SUMIFS('ORDENES'!$M$4:$M$1203,'ORDENES'!$AG$4:$AG$1203,$AG626,'ORDENES'!$O$4:$O$1203,$O626,'ORDENES'!$S$4:$S$1203,$S626))</f>
        <v/>
      </c>
      <c r="AJ626" s="25">
        <f>IF($AI626="","",p_factor_productividad*IFERROR(INDEX('ASIGNACIONES'!$M$4:$M$451,MATCH($O626&amp;"|"&amp;$S626&amp;"|"&amp;$AG626,'ASIGNACIONES'!$N$4:$N$451,0)),0)-$AI626)</f>
        <v/>
      </c>
      <c r="AK626" s="18">
        <f>IF($A626="","",IFERROR(INDEX('2_IMPORTAR_EJECUCION'!$F$9:$F$1208,MATCH($AT626,'2_IMPORTAR_EJECUCION'!$J$9:$J$1208,0)),0))</f>
        <v/>
      </c>
      <c r="AL626" s="18">
        <f>IF($A626="","",MAX(0,IFERROR(INDEX('2_IMPORTAR_EJECUCION'!$H$9:$H$1208,MATCH($AT626,'2_IMPORTAR_EJECUCION'!$J$9:$J$1208,0)),0)-$AK626))</f>
        <v/>
      </c>
      <c r="AM626" s="18">
        <f>IF($A626="","",$AK626+$AL626)</f>
        <v/>
      </c>
      <c r="AN626" s="5">
        <f>IF($A626="","",IF(OR((IFERROR(INDEX('CAT_ACTIVIDADES'!$D$4:$D$11,MATCH($H626,'CAT_ACTIVIDADES'!$A$4:$A$11,0)),""))=0,(IFERROR(INDEX('CAT_ACTIVIDADES'!$D$4:$D$11,MATCH($H626,'CAT_ACTIVIDADES'!$A$4:$A$11,0)),""))=""),"SIN CLASIFICAR",IFERROR(INDEX('CAT_ACTIVIDADES'!$D$4:$D$11,MATCH($H626,'CAT_ACTIVIDADES'!$A$4:$A$11,0)),"")))</f>
        <v/>
      </c>
      <c r="AO626" s="4" t="n"/>
      <c r="AP626" s="4" t="n"/>
      <c r="AQ626" s="4" t="n"/>
      <c r="AR626" s="5">
        <f>IF($AQ626="","",HYPERLINK(p_ruta_base_checklists&amp;$AQ626,"abrir"))</f>
        <v/>
      </c>
      <c r="AS626" s="4" t="n"/>
      <c r="AT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2" t="n"/>
      <c r="K627" s="5" t="n"/>
      <c r="L627" s="18" t="n"/>
      <c r="M627" s="5">
        <f>IF($A627="","",IFERROR(INDEX('AJUSTES'!$B$4:$B$303,MATCH($AT627,'AJUSTES'!$A$4:$A$303,0)),IF($K627="","",$K627)))</f>
        <v/>
      </c>
      <c r="N627" s="5">
        <f>IF($A627="","",IFERROR(INDEX('CAT_ESTADOS_ERP'!$B$4:$B$7,MATCH(IFERROR(INDEX('2_IMPORTAR_EJECUCION'!$C$9:$C$1208,MATCH($AT627,'2_IMPORTAR_EJECUCION'!$J$9:$J$1208,0)),""),'CAT_ESTADOS_ERP'!$A$4:$A$7,0)),"Pendiente"))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IF($J627="","",$P627&amp;"-"&amp;TEXT($Q627,"00"))</f>
        <v/>
      </c>
      <c r="S627" s="5">
        <f>IF($J627="","",INDEX(lista_dias,WEEKDAY($J627,2)))</f>
        <v/>
      </c>
      <c r="T627" s="5">
        <f>IF($J627="","",IFERROR(INDEX('CALENDARIO'!$C$15:$C$214,MATCH(TEXT($J627,"yyyy-mm-dd")&amp;"|"&amp;$X627&amp;"|"&amp;$Y627,'CALENDARIO'!$G$15:$G$214,0)),IFERROR(INDEX('CALENDARIO'!$C$15:$C$214,MATCH(TEXT($J627,"yyyy-mm-dd")&amp;"|"&amp;$X627&amp;"|",'CALENDARIO'!$G$15:$G$214,0)),IFERROR(INDEX('CALENDARIO'!$C$15:$C$214,MATCH(TEXT($J627,"yyyy-mm-dd")&amp;"||",'CALENDARIO'!$G$15:$G$214,0)),INDEX(patronHabil,WEEKDAY($J627,2))))))</f>
        <v/>
      </c>
      <c r="U627" s="5">
        <f>IF($I627="","",IFERROR(INDEX('CAT_TIPOS_OT'!$C$4:$C$8,MATCH($I627,'CAT_TIPOS_OT'!$A$4:$A$8,0)),"sin_clasificar"))</f>
        <v/>
      </c>
      <c r="V627" s="5">
        <f>IF($I627="","",IF(IFERROR(INDEX('CAT_TIPOS_OT'!$D$4:$D$8,MATCH($I627,'CAT_TIPOS_OT'!$A$4:$A$8,0)),"SIN CLASIFICAR")="","SIN CLASIFICAR",IFERROR(INDEX('CAT_TIPOS_OT'!$D$4:$D$8,MATCH($I627,'CAT_TIPOS_OT'!$A$4:$A$8,0)),"SIN CLASIFICAR")))</f>
        <v/>
      </c>
      <c r="W627" s="5">
        <f>IF($F627="","",IFERROR(INDEX('CAT_CENTROS_COSTO'!$F$4:$F$13,MATCH($F627,'CAT_CENTROS_COSTO'!$A$4:$A$13,0)),"(sin catálogo)"))</f>
        <v/>
      </c>
      <c r="X627" s="5">
        <f>IF($F627="","",IFERROR(INDEX('CAT_CENTROS_COSTO'!$D$4:$D$13,MATCH($F627,'CAT_CENTROS_COSTO'!$A$4:$A$13,0)),"(sin catálogo)"))</f>
        <v/>
      </c>
      <c r="Y627" s="5">
        <f>IF($F627="","",IF((IFERROR(INDEX('CAT_CENTROS_COSTO'!$E$4:$E$13,MATCH($F627,'CAT_CENTROS_COSTO'!$A$4:$A$13,0)),""))&lt;&gt;"",IFERROR(INDEX('CAT_CENTROS_COSTO'!$E$4:$E$13,MATCH($F627,'CAT_CENTROS_COSTO'!$A$4:$A$13,0)),""),$X627))</f>
        <v/>
      </c>
      <c r="Z627" s="5">
        <f>IF($F627="","",IFERROR(INDEX('CAT_CENTROS_COSTO'!$G$4:$G$13,MATCH($F627,'CAT_CENTROS_COSTO'!$A$4:$A$13,0)),"(sin catálogo)"))</f>
        <v/>
      </c>
      <c r="AA627" s="5">
        <f>IF($G627="","",IFERROR(INDEX('CAT_PUESTOS'!$B$4:$B$8,MATCH($G627,'CAT_PUESTOS'!$A$4:$A$8,0)),"(sin catálogo)"))</f>
        <v/>
      </c>
      <c r="AB627" s="5">
        <f>IF($H627="","",IFERROR(INDEX('CAT_ACTIVIDADES'!$B$4:$B$11,MATCH($H627,'CAT_ACTIVIDADES'!$A$4:$A$11,0)),"(sin catálogo)"))</f>
        <v/>
      </c>
      <c r="AC627" s="20">
        <f>IF($J627="","",TODAY()-$J627)</f>
        <v/>
      </c>
      <c r="AD627" s="20">
        <f>IF($J627="","",IF($J627&lt;=TODAY(),COUNTIFS(cal_fechas,"&gt;="&amp;$J627,cal_fechas,"&lt;"&amp;TODAY(),cal_habil,"sí"),-COUNTIFS(cal_fechas,"&gt;="&amp;TODAY(),cal_fechas,"&lt;"&amp;$J627,cal_habil,"sí")))</f>
        <v/>
      </c>
      <c r="AE627" s="5">
        <f>IF($AD627="","",IF($AD627&lt;0,"FUTURO",IF($AD627&gt;p_dias_backlog_max,"BACKLOG","MES CORRIENTE")))</f>
        <v/>
      </c>
      <c r="AF627" s="5">
        <f>IF($AD627="",FALSE,AND($AD627&gt;p_dias_backlog_min,$AD627&lt;=p_dias_backlog_max))</f>
        <v/>
      </c>
      <c r="AG627" s="4" t="n"/>
      <c r="AH627" s="5">
        <f>IF($AG627="","",IF((IFERROR(INDEX('ASIGNACIONES'!$J$4:$J$451,MATCH($O627&amp;"|"&amp;$S627&amp;"|"&amp;$AG627,'ASIGNACIONES'!$N$4:$N$451,0)),""))=0,"",IFERROR(INDEX('ASIGNACIONES'!$J$4:$J$451,MATCH($O627&amp;"|"&amp;$S627&amp;"|"&amp;$AG627,'ASIGNACIONES'!$N$4:$N$451,0)),"")))</f>
        <v/>
      </c>
      <c r="AI627" s="25">
        <f>IF($AG627="","",SUMIFS('ORDENES'!$M$4:$M$1203,'ORDENES'!$AG$4:$AG$1203,$AG627,'ORDENES'!$O$4:$O$1203,$O627,'ORDENES'!$S$4:$S$1203,$S627))</f>
        <v/>
      </c>
      <c r="AJ627" s="25">
        <f>IF($AI627="","",p_factor_productividad*IFERROR(INDEX('ASIGNACIONES'!$M$4:$M$451,MATCH($O627&amp;"|"&amp;$S627&amp;"|"&amp;$AG627,'ASIGNACIONES'!$N$4:$N$451,0)),0)-$AI627)</f>
        <v/>
      </c>
      <c r="AK627" s="18">
        <f>IF($A627="","",IFERROR(INDEX('2_IMPORTAR_EJECUCION'!$F$9:$F$1208,MATCH($AT627,'2_IMPORTAR_EJECUCION'!$J$9:$J$1208,0)),0))</f>
        <v/>
      </c>
      <c r="AL627" s="18">
        <f>IF($A627="","",MAX(0,IFERROR(INDEX('2_IMPORTAR_EJECUCION'!$H$9:$H$1208,MATCH($AT627,'2_IMPORTAR_EJECUCION'!$J$9:$J$1208,0)),0)-$AK627))</f>
        <v/>
      </c>
      <c r="AM627" s="18">
        <f>IF($A627="","",$AK627+$AL627)</f>
        <v/>
      </c>
      <c r="AN627" s="5">
        <f>IF($A627="","",IF(OR((IFERROR(INDEX('CAT_ACTIVIDADES'!$D$4:$D$11,MATCH($H627,'CAT_ACTIVIDADES'!$A$4:$A$11,0)),""))=0,(IFERROR(INDEX('CAT_ACTIVIDADES'!$D$4:$D$11,MATCH($H627,'CAT_ACTIVIDADES'!$A$4:$A$11,0)),""))=""),"SIN CLASIFICAR",IFERROR(INDEX('CAT_ACTIVIDADES'!$D$4:$D$11,MATCH($H627,'CAT_ACTIVIDADES'!$A$4:$A$11,0)),"")))</f>
        <v/>
      </c>
      <c r="AO627" s="4" t="n"/>
      <c r="AP627" s="4" t="n"/>
      <c r="AQ627" s="4" t="n"/>
      <c r="AR627" s="5">
        <f>IF($AQ627="","",HYPERLINK(p_ruta_base_checklists&amp;$AQ627,"abrir"))</f>
        <v/>
      </c>
      <c r="AS627" s="4" t="n"/>
      <c r="AT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2" t="n"/>
      <c r="K628" s="5" t="n"/>
      <c r="L628" s="18" t="n"/>
      <c r="M628" s="5">
        <f>IF($A628="","",IFERROR(INDEX('AJUSTES'!$B$4:$B$303,MATCH($AT628,'AJUSTES'!$A$4:$A$303,0)),IF($K628="","",$K628)))</f>
        <v/>
      </c>
      <c r="N628" s="5">
        <f>IF($A628="","",IFERROR(INDEX('CAT_ESTADOS_ERP'!$B$4:$B$7,MATCH(IFERROR(INDEX('2_IMPORTAR_EJECUCION'!$C$9:$C$1208,MATCH($AT628,'2_IMPORTAR_EJECUCION'!$J$9:$J$1208,0)),""),'CAT_ESTADOS_ERP'!$A$4:$A$7,0)),"Pendiente"))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IF($J628="","",$P628&amp;"-"&amp;TEXT($Q628,"00"))</f>
        <v/>
      </c>
      <c r="S628" s="5">
        <f>IF($J628="","",INDEX(lista_dias,WEEKDAY($J628,2)))</f>
        <v/>
      </c>
      <c r="T628" s="5">
        <f>IF($J628="","",IFERROR(INDEX('CALENDARIO'!$C$15:$C$214,MATCH(TEXT($J628,"yyyy-mm-dd")&amp;"|"&amp;$X628&amp;"|"&amp;$Y628,'CALENDARIO'!$G$15:$G$214,0)),IFERROR(INDEX('CALENDARIO'!$C$15:$C$214,MATCH(TEXT($J628,"yyyy-mm-dd")&amp;"|"&amp;$X628&amp;"|",'CALENDARIO'!$G$15:$G$214,0)),IFERROR(INDEX('CALENDARIO'!$C$15:$C$214,MATCH(TEXT($J628,"yyyy-mm-dd")&amp;"||",'CALENDARIO'!$G$15:$G$214,0)),INDEX(patronHabil,WEEKDAY($J628,2))))))</f>
        <v/>
      </c>
      <c r="U628" s="5">
        <f>IF($I628="","",IFERROR(INDEX('CAT_TIPOS_OT'!$C$4:$C$8,MATCH($I628,'CAT_TIPOS_OT'!$A$4:$A$8,0)),"sin_clasificar"))</f>
        <v/>
      </c>
      <c r="V628" s="5">
        <f>IF($I628="","",IF(IFERROR(INDEX('CAT_TIPOS_OT'!$D$4:$D$8,MATCH($I628,'CAT_TIPOS_OT'!$A$4:$A$8,0)),"SIN CLASIFICAR")="","SIN CLASIFICAR",IFERROR(INDEX('CAT_TIPOS_OT'!$D$4:$D$8,MATCH($I628,'CAT_TIPOS_OT'!$A$4:$A$8,0)),"SIN CLASIFICAR")))</f>
        <v/>
      </c>
      <c r="W628" s="5">
        <f>IF($F628="","",IFERROR(INDEX('CAT_CENTROS_COSTO'!$F$4:$F$13,MATCH($F628,'CAT_CENTROS_COSTO'!$A$4:$A$13,0)),"(sin catálogo)"))</f>
        <v/>
      </c>
      <c r="X628" s="5">
        <f>IF($F628="","",IFERROR(INDEX('CAT_CENTROS_COSTO'!$D$4:$D$13,MATCH($F628,'CAT_CENTROS_COSTO'!$A$4:$A$13,0)),"(sin catálogo)"))</f>
        <v/>
      </c>
      <c r="Y628" s="5">
        <f>IF($F628="","",IF((IFERROR(INDEX('CAT_CENTROS_COSTO'!$E$4:$E$13,MATCH($F628,'CAT_CENTROS_COSTO'!$A$4:$A$13,0)),""))&lt;&gt;"",IFERROR(INDEX('CAT_CENTROS_COSTO'!$E$4:$E$13,MATCH($F628,'CAT_CENTROS_COSTO'!$A$4:$A$13,0)),""),$X628))</f>
        <v/>
      </c>
      <c r="Z628" s="5">
        <f>IF($F628="","",IFERROR(INDEX('CAT_CENTROS_COSTO'!$G$4:$G$13,MATCH($F628,'CAT_CENTROS_COSTO'!$A$4:$A$13,0)),"(sin catálogo)"))</f>
        <v/>
      </c>
      <c r="AA628" s="5">
        <f>IF($G628="","",IFERROR(INDEX('CAT_PUESTOS'!$B$4:$B$8,MATCH($G628,'CAT_PUESTOS'!$A$4:$A$8,0)),"(sin catálogo)"))</f>
        <v/>
      </c>
      <c r="AB628" s="5">
        <f>IF($H628="","",IFERROR(INDEX('CAT_ACTIVIDADES'!$B$4:$B$11,MATCH($H628,'CAT_ACTIVIDADES'!$A$4:$A$11,0)),"(sin catálogo)"))</f>
        <v/>
      </c>
      <c r="AC628" s="20">
        <f>IF($J628="","",TODAY()-$J628)</f>
        <v/>
      </c>
      <c r="AD628" s="20">
        <f>IF($J628="","",IF($J628&lt;=TODAY(),COUNTIFS(cal_fechas,"&gt;="&amp;$J628,cal_fechas,"&lt;"&amp;TODAY(),cal_habil,"sí"),-COUNTIFS(cal_fechas,"&gt;="&amp;TODAY(),cal_fechas,"&lt;"&amp;$J628,cal_habil,"sí")))</f>
        <v/>
      </c>
      <c r="AE628" s="5">
        <f>IF($AD628="","",IF($AD628&lt;0,"FUTURO",IF($AD628&gt;p_dias_backlog_max,"BACKLOG","MES CORRIENTE")))</f>
        <v/>
      </c>
      <c r="AF628" s="5">
        <f>IF($AD628="",FALSE,AND($AD628&gt;p_dias_backlog_min,$AD628&lt;=p_dias_backlog_max))</f>
        <v/>
      </c>
      <c r="AG628" s="4" t="n"/>
      <c r="AH628" s="5">
        <f>IF($AG628="","",IF((IFERROR(INDEX('ASIGNACIONES'!$J$4:$J$451,MATCH($O628&amp;"|"&amp;$S628&amp;"|"&amp;$AG628,'ASIGNACIONES'!$N$4:$N$451,0)),""))=0,"",IFERROR(INDEX('ASIGNACIONES'!$J$4:$J$451,MATCH($O628&amp;"|"&amp;$S628&amp;"|"&amp;$AG628,'ASIGNACIONES'!$N$4:$N$451,0)),"")))</f>
        <v/>
      </c>
      <c r="AI628" s="25">
        <f>IF($AG628="","",SUMIFS('ORDENES'!$M$4:$M$1203,'ORDENES'!$AG$4:$AG$1203,$AG628,'ORDENES'!$O$4:$O$1203,$O628,'ORDENES'!$S$4:$S$1203,$S628))</f>
        <v/>
      </c>
      <c r="AJ628" s="25">
        <f>IF($AI628="","",p_factor_productividad*IFERROR(INDEX('ASIGNACIONES'!$M$4:$M$451,MATCH($O628&amp;"|"&amp;$S628&amp;"|"&amp;$AG628,'ASIGNACIONES'!$N$4:$N$451,0)),0)-$AI628)</f>
        <v/>
      </c>
      <c r="AK628" s="18">
        <f>IF($A628="","",IFERROR(INDEX('2_IMPORTAR_EJECUCION'!$F$9:$F$1208,MATCH($AT628,'2_IMPORTAR_EJECUCION'!$J$9:$J$1208,0)),0))</f>
        <v/>
      </c>
      <c r="AL628" s="18">
        <f>IF($A628="","",MAX(0,IFERROR(INDEX('2_IMPORTAR_EJECUCION'!$H$9:$H$1208,MATCH($AT628,'2_IMPORTAR_EJECUCION'!$J$9:$J$1208,0)),0)-$AK628))</f>
        <v/>
      </c>
      <c r="AM628" s="18">
        <f>IF($A628="","",$AK628+$AL628)</f>
        <v/>
      </c>
      <c r="AN628" s="5">
        <f>IF($A628="","",IF(OR((IFERROR(INDEX('CAT_ACTIVIDADES'!$D$4:$D$11,MATCH($H628,'CAT_ACTIVIDADES'!$A$4:$A$11,0)),""))=0,(IFERROR(INDEX('CAT_ACTIVIDADES'!$D$4:$D$11,MATCH($H628,'CAT_ACTIVIDADES'!$A$4:$A$11,0)),""))=""),"SIN CLASIFICAR",IFERROR(INDEX('CAT_ACTIVIDADES'!$D$4:$D$11,MATCH($H628,'CAT_ACTIVIDADES'!$A$4:$A$11,0)),"")))</f>
        <v/>
      </c>
      <c r="AO628" s="4" t="n"/>
      <c r="AP628" s="4" t="n"/>
      <c r="AQ628" s="4" t="n"/>
      <c r="AR628" s="5">
        <f>IF($AQ628="","",HYPERLINK(p_ruta_base_checklists&amp;$AQ628,"abrir"))</f>
        <v/>
      </c>
      <c r="AS628" s="4" t="n"/>
      <c r="AT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2" t="n"/>
      <c r="K629" s="5" t="n"/>
      <c r="L629" s="18" t="n"/>
      <c r="M629" s="5">
        <f>IF($A629="","",IFERROR(INDEX('AJUSTES'!$B$4:$B$303,MATCH($AT629,'AJUSTES'!$A$4:$A$303,0)),IF($K629="","",$K629)))</f>
        <v/>
      </c>
      <c r="N629" s="5">
        <f>IF($A629="","",IFERROR(INDEX('CAT_ESTADOS_ERP'!$B$4:$B$7,MATCH(IFERROR(INDEX('2_IMPORTAR_EJECUCION'!$C$9:$C$1208,MATCH($AT629,'2_IMPORTAR_EJECUCION'!$J$9:$J$1208,0)),""),'CAT_ESTADOS_ERP'!$A$4:$A$7,0)),"Pendiente"))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IF($J629="","",$P629&amp;"-"&amp;TEXT($Q629,"00"))</f>
        <v/>
      </c>
      <c r="S629" s="5">
        <f>IF($J629="","",INDEX(lista_dias,WEEKDAY($J629,2)))</f>
        <v/>
      </c>
      <c r="T629" s="5">
        <f>IF($J629="","",IFERROR(INDEX('CALENDARIO'!$C$15:$C$214,MATCH(TEXT($J629,"yyyy-mm-dd")&amp;"|"&amp;$X629&amp;"|"&amp;$Y629,'CALENDARIO'!$G$15:$G$214,0)),IFERROR(INDEX('CALENDARIO'!$C$15:$C$214,MATCH(TEXT($J629,"yyyy-mm-dd")&amp;"|"&amp;$X629&amp;"|",'CALENDARIO'!$G$15:$G$214,0)),IFERROR(INDEX('CALENDARIO'!$C$15:$C$214,MATCH(TEXT($J629,"yyyy-mm-dd")&amp;"||",'CALENDARIO'!$G$15:$G$214,0)),INDEX(patronHabil,WEEKDAY($J629,2))))))</f>
        <v/>
      </c>
      <c r="U629" s="5">
        <f>IF($I629="","",IFERROR(INDEX('CAT_TIPOS_OT'!$C$4:$C$8,MATCH($I629,'CAT_TIPOS_OT'!$A$4:$A$8,0)),"sin_clasificar"))</f>
        <v/>
      </c>
      <c r="V629" s="5">
        <f>IF($I629="","",IF(IFERROR(INDEX('CAT_TIPOS_OT'!$D$4:$D$8,MATCH($I629,'CAT_TIPOS_OT'!$A$4:$A$8,0)),"SIN CLASIFICAR")="","SIN CLASIFICAR",IFERROR(INDEX('CAT_TIPOS_OT'!$D$4:$D$8,MATCH($I629,'CAT_TIPOS_OT'!$A$4:$A$8,0)),"SIN CLASIFICAR")))</f>
        <v/>
      </c>
      <c r="W629" s="5">
        <f>IF($F629="","",IFERROR(INDEX('CAT_CENTROS_COSTO'!$F$4:$F$13,MATCH($F629,'CAT_CENTROS_COSTO'!$A$4:$A$13,0)),"(sin catálogo)"))</f>
        <v/>
      </c>
      <c r="X629" s="5">
        <f>IF($F629="","",IFERROR(INDEX('CAT_CENTROS_COSTO'!$D$4:$D$13,MATCH($F629,'CAT_CENTROS_COSTO'!$A$4:$A$13,0)),"(sin catálogo)"))</f>
        <v/>
      </c>
      <c r="Y629" s="5">
        <f>IF($F629="","",IF((IFERROR(INDEX('CAT_CENTROS_COSTO'!$E$4:$E$13,MATCH($F629,'CAT_CENTROS_COSTO'!$A$4:$A$13,0)),""))&lt;&gt;"",IFERROR(INDEX('CAT_CENTROS_COSTO'!$E$4:$E$13,MATCH($F629,'CAT_CENTROS_COSTO'!$A$4:$A$13,0)),""),$X629))</f>
        <v/>
      </c>
      <c r="Z629" s="5">
        <f>IF($F629="","",IFERROR(INDEX('CAT_CENTROS_COSTO'!$G$4:$G$13,MATCH($F629,'CAT_CENTROS_COSTO'!$A$4:$A$13,0)),"(sin catálogo)"))</f>
        <v/>
      </c>
      <c r="AA629" s="5">
        <f>IF($G629="","",IFERROR(INDEX('CAT_PUESTOS'!$B$4:$B$8,MATCH($G629,'CAT_PUESTOS'!$A$4:$A$8,0)),"(sin catálogo)"))</f>
        <v/>
      </c>
      <c r="AB629" s="5">
        <f>IF($H629="","",IFERROR(INDEX('CAT_ACTIVIDADES'!$B$4:$B$11,MATCH($H629,'CAT_ACTIVIDADES'!$A$4:$A$11,0)),"(sin catálogo)"))</f>
        <v/>
      </c>
      <c r="AC629" s="20">
        <f>IF($J629="","",TODAY()-$J629)</f>
        <v/>
      </c>
      <c r="AD629" s="20">
        <f>IF($J629="","",IF($J629&lt;=TODAY(),COUNTIFS(cal_fechas,"&gt;="&amp;$J629,cal_fechas,"&lt;"&amp;TODAY(),cal_habil,"sí"),-COUNTIFS(cal_fechas,"&gt;="&amp;TODAY(),cal_fechas,"&lt;"&amp;$J629,cal_habil,"sí")))</f>
        <v/>
      </c>
      <c r="AE629" s="5">
        <f>IF($AD629="","",IF($AD629&lt;0,"FUTURO",IF($AD629&gt;p_dias_backlog_max,"BACKLOG","MES CORRIENTE")))</f>
        <v/>
      </c>
      <c r="AF629" s="5">
        <f>IF($AD629="",FALSE,AND($AD629&gt;p_dias_backlog_min,$AD629&lt;=p_dias_backlog_max))</f>
        <v/>
      </c>
      <c r="AG629" s="4" t="n"/>
      <c r="AH629" s="5">
        <f>IF($AG629="","",IF((IFERROR(INDEX('ASIGNACIONES'!$J$4:$J$451,MATCH($O629&amp;"|"&amp;$S629&amp;"|"&amp;$AG629,'ASIGNACIONES'!$N$4:$N$451,0)),""))=0,"",IFERROR(INDEX('ASIGNACIONES'!$J$4:$J$451,MATCH($O629&amp;"|"&amp;$S629&amp;"|"&amp;$AG629,'ASIGNACIONES'!$N$4:$N$451,0)),"")))</f>
        <v/>
      </c>
      <c r="AI629" s="25">
        <f>IF($AG629="","",SUMIFS('ORDENES'!$M$4:$M$1203,'ORDENES'!$AG$4:$AG$1203,$AG629,'ORDENES'!$O$4:$O$1203,$O629,'ORDENES'!$S$4:$S$1203,$S629))</f>
        <v/>
      </c>
      <c r="AJ629" s="25">
        <f>IF($AI629="","",p_factor_productividad*IFERROR(INDEX('ASIGNACIONES'!$M$4:$M$451,MATCH($O629&amp;"|"&amp;$S629&amp;"|"&amp;$AG629,'ASIGNACIONES'!$N$4:$N$451,0)),0)-$AI629)</f>
        <v/>
      </c>
      <c r="AK629" s="18">
        <f>IF($A629="","",IFERROR(INDEX('2_IMPORTAR_EJECUCION'!$F$9:$F$1208,MATCH($AT629,'2_IMPORTAR_EJECUCION'!$J$9:$J$1208,0)),0))</f>
        <v/>
      </c>
      <c r="AL629" s="18">
        <f>IF($A629="","",MAX(0,IFERROR(INDEX('2_IMPORTAR_EJECUCION'!$H$9:$H$1208,MATCH($AT629,'2_IMPORTAR_EJECUCION'!$J$9:$J$1208,0)),0)-$AK629))</f>
        <v/>
      </c>
      <c r="AM629" s="18">
        <f>IF($A629="","",$AK629+$AL629)</f>
        <v/>
      </c>
      <c r="AN629" s="5">
        <f>IF($A629="","",IF(OR((IFERROR(INDEX('CAT_ACTIVIDADES'!$D$4:$D$11,MATCH($H629,'CAT_ACTIVIDADES'!$A$4:$A$11,0)),""))=0,(IFERROR(INDEX('CAT_ACTIVIDADES'!$D$4:$D$11,MATCH($H629,'CAT_ACTIVIDADES'!$A$4:$A$11,0)),""))=""),"SIN CLASIFICAR",IFERROR(INDEX('CAT_ACTIVIDADES'!$D$4:$D$11,MATCH($H629,'CAT_ACTIVIDADES'!$A$4:$A$11,0)),"")))</f>
        <v/>
      </c>
      <c r="AO629" s="4" t="n"/>
      <c r="AP629" s="4" t="n"/>
      <c r="AQ629" s="4" t="n"/>
      <c r="AR629" s="5">
        <f>IF($AQ629="","",HYPERLINK(p_ruta_base_checklists&amp;$AQ629,"abrir"))</f>
        <v/>
      </c>
      <c r="AS629" s="4" t="n"/>
      <c r="AT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2" t="n"/>
      <c r="K630" s="5" t="n"/>
      <c r="L630" s="18" t="n"/>
      <c r="M630" s="5">
        <f>IF($A630="","",IFERROR(INDEX('AJUSTES'!$B$4:$B$303,MATCH($AT630,'AJUSTES'!$A$4:$A$303,0)),IF($K630="","",$K630)))</f>
        <v/>
      </c>
      <c r="N630" s="5">
        <f>IF($A630="","",IFERROR(INDEX('CAT_ESTADOS_ERP'!$B$4:$B$7,MATCH(IFERROR(INDEX('2_IMPORTAR_EJECUCION'!$C$9:$C$1208,MATCH($AT630,'2_IMPORTAR_EJECUCION'!$J$9:$J$1208,0)),""),'CAT_ESTADOS_ERP'!$A$4:$A$7,0)),"Pendiente"))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IF($J630="","",$P630&amp;"-"&amp;TEXT($Q630,"00"))</f>
        <v/>
      </c>
      <c r="S630" s="5">
        <f>IF($J630="","",INDEX(lista_dias,WEEKDAY($J630,2)))</f>
        <v/>
      </c>
      <c r="T630" s="5">
        <f>IF($J630="","",IFERROR(INDEX('CALENDARIO'!$C$15:$C$214,MATCH(TEXT($J630,"yyyy-mm-dd")&amp;"|"&amp;$X630&amp;"|"&amp;$Y630,'CALENDARIO'!$G$15:$G$214,0)),IFERROR(INDEX('CALENDARIO'!$C$15:$C$214,MATCH(TEXT($J630,"yyyy-mm-dd")&amp;"|"&amp;$X630&amp;"|",'CALENDARIO'!$G$15:$G$214,0)),IFERROR(INDEX('CALENDARIO'!$C$15:$C$214,MATCH(TEXT($J630,"yyyy-mm-dd")&amp;"||",'CALENDARIO'!$G$15:$G$214,0)),INDEX(patronHabil,WEEKDAY($J630,2))))))</f>
        <v/>
      </c>
      <c r="U630" s="5">
        <f>IF($I630="","",IFERROR(INDEX('CAT_TIPOS_OT'!$C$4:$C$8,MATCH($I630,'CAT_TIPOS_OT'!$A$4:$A$8,0)),"sin_clasificar"))</f>
        <v/>
      </c>
      <c r="V630" s="5">
        <f>IF($I630="","",IF(IFERROR(INDEX('CAT_TIPOS_OT'!$D$4:$D$8,MATCH($I630,'CAT_TIPOS_OT'!$A$4:$A$8,0)),"SIN CLASIFICAR")="","SIN CLASIFICAR",IFERROR(INDEX('CAT_TIPOS_OT'!$D$4:$D$8,MATCH($I630,'CAT_TIPOS_OT'!$A$4:$A$8,0)),"SIN CLASIFICAR")))</f>
        <v/>
      </c>
      <c r="W630" s="5">
        <f>IF($F630="","",IFERROR(INDEX('CAT_CENTROS_COSTO'!$F$4:$F$13,MATCH($F630,'CAT_CENTROS_COSTO'!$A$4:$A$13,0)),"(sin catálogo)"))</f>
        <v/>
      </c>
      <c r="X630" s="5">
        <f>IF($F630="","",IFERROR(INDEX('CAT_CENTROS_COSTO'!$D$4:$D$13,MATCH($F630,'CAT_CENTROS_COSTO'!$A$4:$A$13,0)),"(sin catálogo)"))</f>
        <v/>
      </c>
      <c r="Y630" s="5">
        <f>IF($F630="","",IF((IFERROR(INDEX('CAT_CENTROS_COSTO'!$E$4:$E$13,MATCH($F630,'CAT_CENTROS_COSTO'!$A$4:$A$13,0)),""))&lt;&gt;"",IFERROR(INDEX('CAT_CENTROS_COSTO'!$E$4:$E$13,MATCH($F630,'CAT_CENTROS_COSTO'!$A$4:$A$13,0)),""),$X630))</f>
        <v/>
      </c>
      <c r="Z630" s="5">
        <f>IF($F630="","",IFERROR(INDEX('CAT_CENTROS_COSTO'!$G$4:$G$13,MATCH($F630,'CAT_CENTROS_COSTO'!$A$4:$A$13,0)),"(sin catálogo)"))</f>
        <v/>
      </c>
      <c r="AA630" s="5">
        <f>IF($G630="","",IFERROR(INDEX('CAT_PUESTOS'!$B$4:$B$8,MATCH($G630,'CAT_PUESTOS'!$A$4:$A$8,0)),"(sin catálogo)"))</f>
        <v/>
      </c>
      <c r="AB630" s="5">
        <f>IF($H630="","",IFERROR(INDEX('CAT_ACTIVIDADES'!$B$4:$B$11,MATCH($H630,'CAT_ACTIVIDADES'!$A$4:$A$11,0)),"(sin catálogo)"))</f>
        <v/>
      </c>
      <c r="AC630" s="20">
        <f>IF($J630="","",TODAY()-$J630)</f>
        <v/>
      </c>
      <c r="AD630" s="20">
        <f>IF($J630="","",IF($J630&lt;=TODAY(),COUNTIFS(cal_fechas,"&gt;="&amp;$J630,cal_fechas,"&lt;"&amp;TODAY(),cal_habil,"sí"),-COUNTIFS(cal_fechas,"&gt;="&amp;TODAY(),cal_fechas,"&lt;"&amp;$J630,cal_habil,"sí")))</f>
        <v/>
      </c>
      <c r="AE630" s="5">
        <f>IF($AD630="","",IF($AD630&lt;0,"FUTURO",IF($AD630&gt;p_dias_backlog_max,"BACKLOG","MES CORRIENTE")))</f>
        <v/>
      </c>
      <c r="AF630" s="5">
        <f>IF($AD630="",FALSE,AND($AD630&gt;p_dias_backlog_min,$AD630&lt;=p_dias_backlog_max))</f>
        <v/>
      </c>
      <c r="AG630" s="4" t="n"/>
      <c r="AH630" s="5">
        <f>IF($AG630="","",IF((IFERROR(INDEX('ASIGNACIONES'!$J$4:$J$451,MATCH($O630&amp;"|"&amp;$S630&amp;"|"&amp;$AG630,'ASIGNACIONES'!$N$4:$N$451,0)),""))=0,"",IFERROR(INDEX('ASIGNACIONES'!$J$4:$J$451,MATCH($O630&amp;"|"&amp;$S630&amp;"|"&amp;$AG630,'ASIGNACIONES'!$N$4:$N$451,0)),"")))</f>
        <v/>
      </c>
      <c r="AI630" s="25">
        <f>IF($AG630="","",SUMIFS('ORDENES'!$M$4:$M$1203,'ORDENES'!$AG$4:$AG$1203,$AG630,'ORDENES'!$O$4:$O$1203,$O630,'ORDENES'!$S$4:$S$1203,$S630))</f>
        <v/>
      </c>
      <c r="AJ630" s="25">
        <f>IF($AI630="","",p_factor_productividad*IFERROR(INDEX('ASIGNACIONES'!$M$4:$M$451,MATCH($O630&amp;"|"&amp;$S630&amp;"|"&amp;$AG630,'ASIGNACIONES'!$N$4:$N$451,0)),0)-$AI630)</f>
        <v/>
      </c>
      <c r="AK630" s="18">
        <f>IF($A630="","",IFERROR(INDEX('2_IMPORTAR_EJECUCION'!$F$9:$F$1208,MATCH($AT630,'2_IMPORTAR_EJECUCION'!$J$9:$J$1208,0)),0))</f>
        <v/>
      </c>
      <c r="AL630" s="18">
        <f>IF($A630="","",MAX(0,IFERROR(INDEX('2_IMPORTAR_EJECUCION'!$H$9:$H$1208,MATCH($AT630,'2_IMPORTAR_EJECUCION'!$J$9:$J$1208,0)),0)-$AK630))</f>
        <v/>
      </c>
      <c r="AM630" s="18">
        <f>IF($A630="","",$AK630+$AL630)</f>
        <v/>
      </c>
      <c r="AN630" s="5">
        <f>IF($A630="","",IF(OR((IFERROR(INDEX('CAT_ACTIVIDADES'!$D$4:$D$11,MATCH($H630,'CAT_ACTIVIDADES'!$A$4:$A$11,0)),""))=0,(IFERROR(INDEX('CAT_ACTIVIDADES'!$D$4:$D$11,MATCH($H630,'CAT_ACTIVIDADES'!$A$4:$A$11,0)),""))=""),"SIN CLASIFICAR",IFERROR(INDEX('CAT_ACTIVIDADES'!$D$4:$D$11,MATCH($H630,'CAT_ACTIVIDADES'!$A$4:$A$11,0)),"")))</f>
        <v/>
      </c>
      <c r="AO630" s="4" t="n"/>
      <c r="AP630" s="4" t="n"/>
      <c r="AQ630" s="4" t="n"/>
      <c r="AR630" s="5">
        <f>IF($AQ630="","",HYPERLINK(p_ruta_base_checklists&amp;$AQ630,"abrir"))</f>
        <v/>
      </c>
      <c r="AS630" s="4" t="n"/>
      <c r="AT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2" t="n"/>
      <c r="K631" s="5" t="n"/>
      <c r="L631" s="18" t="n"/>
      <c r="M631" s="5">
        <f>IF($A631="","",IFERROR(INDEX('AJUSTES'!$B$4:$B$303,MATCH($AT631,'AJUSTES'!$A$4:$A$303,0)),IF($K631="","",$K631)))</f>
        <v/>
      </c>
      <c r="N631" s="5">
        <f>IF($A631="","",IFERROR(INDEX('CAT_ESTADOS_ERP'!$B$4:$B$7,MATCH(IFERROR(INDEX('2_IMPORTAR_EJECUCION'!$C$9:$C$1208,MATCH($AT631,'2_IMPORTAR_EJECUCION'!$J$9:$J$1208,0)),""),'CAT_ESTADOS_ERP'!$A$4:$A$7,0)),"Pendiente"))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IF($J631="","",$P631&amp;"-"&amp;TEXT($Q631,"00"))</f>
        <v/>
      </c>
      <c r="S631" s="5">
        <f>IF($J631="","",INDEX(lista_dias,WEEKDAY($J631,2)))</f>
        <v/>
      </c>
      <c r="T631" s="5">
        <f>IF($J631="","",IFERROR(INDEX('CALENDARIO'!$C$15:$C$214,MATCH(TEXT($J631,"yyyy-mm-dd")&amp;"|"&amp;$X631&amp;"|"&amp;$Y631,'CALENDARIO'!$G$15:$G$214,0)),IFERROR(INDEX('CALENDARIO'!$C$15:$C$214,MATCH(TEXT($J631,"yyyy-mm-dd")&amp;"|"&amp;$X631&amp;"|",'CALENDARIO'!$G$15:$G$214,0)),IFERROR(INDEX('CALENDARIO'!$C$15:$C$214,MATCH(TEXT($J631,"yyyy-mm-dd")&amp;"||",'CALENDARIO'!$G$15:$G$214,0)),INDEX(patronHabil,WEEKDAY($J631,2))))))</f>
        <v/>
      </c>
      <c r="U631" s="5">
        <f>IF($I631="","",IFERROR(INDEX('CAT_TIPOS_OT'!$C$4:$C$8,MATCH($I631,'CAT_TIPOS_OT'!$A$4:$A$8,0)),"sin_clasificar"))</f>
        <v/>
      </c>
      <c r="V631" s="5">
        <f>IF($I631="","",IF(IFERROR(INDEX('CAT_TIPOS_OT'!$D$4:$D$8,MATCH($I631,'CAT_TIPOS_OT'!$A$4:$A$8,0)),"SIN CLASIFICAR")="","SIN CLASIFICAR",IFERROR(INDEX('CAT_TIPOS_OT'!$D$4:$D$8,MATCH($I631,'CAT_TIPOS_OT'!$A$4:$A$8,0)),"SIN CLASIFICAR")))</f>
        <v/>
      </c>
      <c r="W631" s="5">
        <f>IF($F631="","",IFERROR(INDEX('CAT_CENTROS_COSTO'!$F$4:$F$13,MATCH($F631,'CAT_CENTROS_COSTO'!$A$4:$A$13,0)),"(sin catálogo)"))</f>
        <v/>
      </c>
      <c r="X631" s="5">
        <f>IF($F631="","",IFERROR(INDEX('CAT_CENTROS_COSTO'!$D$4:$D$13,MATCH($F631,'CAT_CENTROS_COSTO'!$A$4:$A$13,0)),"(sin catálogo)"))</f>
        <v/>
      </c>
      <c r="Y631" s="5">
        <f>IF($F631="","",IF((IFERROR(INDEX('CAT_CENTROS_COSTO'!$E$4:$E$13,MATCH($F631,'CAT_CENTROS_COSTO'!$A$4:$A$13,0)),""))&lt;&gt;"",IFERROR(INDEX('CAT_CENTROS_COSTO'!$E$4:$E$13,MATCH($F631,'CAT_CENTROS_COSTO'!$A$4:$A$13,0)),""),$X631))</f>
        <v/>
      </c>
      <c r="Z631" s="5">
        <f>IF($F631="","",IFERROR(INDEX('CAT_CENTROS_COSTO'!$G$4:$G$13,MATCH($F631,'CAT_CENTROS_COSTO'!$A$4:$A$13,0)),"(sin catálogo)"))</f>
        <v/>
      </c>
      <c r="AA631" s="5">
        <f>IF($G631="","",IFERROR(INDEX('CAT_PUESTOS'!$B$4:$B$8,MATCH($G631,'CAT_PUESTOS'!$A$4:$A$8,0)),"(sin catálogo)"))</f>
        <v/>
      </c>
      <c r="AB631" s="5">
        <f>IF($H631="","",IFERROR(INDEX('CAT_ACTIVIDADES'!$B$4:$B$11,MATCH($H631,'CAT_ACTIVIDADES'!$A$4:$A$11,0)),"(sin catálogo)"))</f>
        <v/>
      </c>
      <c r="AC631" s="20">
        <f>IF($J631="","",TODAY()-$J631)</f>
        <v/>
      </c>
      <c r="AD631" s="20">
        <f>IF($J631="","",IF($J631&lt;=TODAY(),COUNTIFS(cal_fechas,"&gt;="&amp;$J631,cal_fechas,"&lt;"&amp;TODAY(),cal_habil,"sí"),-COUNTIFS(cal_fechas,"&gt;="&amp;TODAY(),cal_fechas,"&lt;"&amp;$J631,cal_habil,"sí")))</f>
        <v/>
      </c>
      <c r="AE631" s="5">
        <f>IF($AD631="","",IF($AD631&lt;0,"FUTURO",IF($AD631&gt;p_dias_backlog_max,"BACKLOG","MES CORRIENTE")))</f>
        <v/>
      </c>
      <c r="AF631" s="5">
        <f>IF($AD631="",FALSE,AND($AD631&gt;p_dias_backlog_min,$AD631&lt;=p_dias_backlog_max))</f>
        <v/>
      </c>
      <c r="AG631" s="4" t="n"/>
      <c r="AH631" s="5">
        <f>IF($AG631="","",IF((IFERROR(INDEX('ASIGNACIONES'!$J$4:$J$451,MATCH($O631&amp;"|"&amp;$S631&amp;"|"&amp;$AG631,'ASIGNACIONES'!$N$4:$N$451,0)),""))=0,"",IFERROR(INDEX('ASIGNACIONES'!$J$4:$J$451,MATCH($O631&amp;"|"&amp;$S631&amp;"|"&amp;$AG631,'ASIGNACIONES'!$N$4:$N$451,0)),"")))</f>
        <v/>
      </c>
      <c r="AI631" s="25">
        <f>IF($AG631="","",SUMIFS('ORDENES'!$M$4:$M$1203,'ORDENES'!$AG$4:$AG$1203,$AG631,'ORDENES'!$O$4:$O$1203,$O631,'ORDENES'!$S$4:$S$1203,$S631))</f>
        <v/>
      </c>
      <c r="AJ631" s="25">
        <f>IF($AI631="","",p_factor_productividad*IFERROR(INDEX('ASIGNACIONES'!$M$4:$M$451,MATCH($O631&amp;"|"&amp;$S631&amp;"|"&amp;$AG631,'ASIGNACIONES'!$N$4:$N$451,0)),0)-$AI631)</f>
        <v/>
      </c>
      <c r="AK631" s="18">
        <f>IF($A631="","",IFERROR(INDEX('2_IMPORTAR_EJECUCION'!$F$9:$F$1208,MATCH($AT631,'2_IMPORTAR_EJECUCION'!$J$9:$J$1208,0)),0))</f>
        <v/>
      </c>
      <c r="AL631" s="18">
        <f>IF($A631="","",MAX(0,IFERROR(INDEX('2_IMPORTAR_EJECUCION'!$H$9:$H$1208,MATCH($AT631,'2_IMPORTAR_EJECUCION'!$J$9:$J$1208,0)),0)-$AK631))</f>
        <v/>
      </c>
      <c r="AM631" s="18">
        <f>IF($A631="","",$AK631+$AL631)</f>
        <v/>
      </c>
      <c r="AN631" s="5">
        <f>IF($A631="","",IF(OR((IFERROR(INDEX('CAT_ACTIVIDADES'!$D$4:$D$11,MATCH($H631,'CAT_ACTIVIDADES'!$A$4:$A$11,0)),""))=0,(IFERROR(INDEX('CAT_ACTIVIDADES'!$D$4:$D$11,MATCH($H631,'CAT_ACTIVIDADES'!$A$4:$A$11,0)),""))=""),"SIN CLASIFICAR",IFERROR(INDEX('CAT_ACTIVIDADES'!$D$4:$D$11,MATCH($H631,'CAT_ACTIVIDADES'!$A$4:$A$11,0)),"")))</f>
        <v/>
      </c>
      <c r="AO631" s="4" t="n"/>
      <c r="AP631" s="4" t="n"/>
      <c r="AQ631" s="4" t="n"/>
      <c r="AR631" s="5">
        <f>IF($AQ631="","",HYPERLINK(p_ruta_base_checklists&amp;$AQ631,"abrir"))</f>
        <v/>
      </c>
      <c r="AS631" s="4" t="n"/>
      <c r="AT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2" t="n"/>
      <c r="K632" s="5" t="n"/>
      <c r="L632" s="18" t="n"/>
      <c r="M632" s="5">
        <f>IF($A632="","",IFERROR(INDEX('AJUSTES'!$B$4:$B$303,MATCH($AT632,'AJUSTES'!$A$4:$A$303,0)),IF($K632="","",$K632)))</f>
        <v/>
      </c>
      <c r="N632" s="5">
        <f>IF($A632="","",IFERROR(INDEX('CAT_ESTADOS_ERP'!$B$4:$B$7,MATCH(IFERROR(INDEX('2_IMPORTAR_EJECUCION'!$C$9:$C$1208,MATCH($AT632,'2_IMPORTAR_EJECUCION'!$J$9:$J$1208,0)),""),'CAT_ESTADOS_ERP'!$A$4:$A$7,0)),"Pendiente"))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IF($J632="","",$P632&amp;"-"&amp;TEXT($Q632,"00"))</f>
        <v/>
      </c>
      <c r="S632" s="5">
        <f>IF($J632="","",INDEX(lista_dias,WEEKDAY($J632,2)))</f>
        <v/>
      </c>
      <c r="T632" s="5">
        <f>IF($J632="","",IFERROR(INDEX('CALENDARIO'!$C$15:$C$214,MATCH(TEXT($J632,"yyyy-mm-dd")&amp;"|"&amp;$X632&amp;"|"&amp;$Y632,'CALENDARIO'!$G$15:$G$214,0)),IFERROR(INDEX('CALENDARIO'!$C$15:$C$214,MATCH(TEXT($J632,"yyyy-mm-dd")&amp;"|"&amp;$X632&amp;"|",'CALENDARIO'!$G$15:$G$214,0)),IFERROR(INDEX('CALENDARIO'!$C$15:$C$214,MATCH(TEXT($J632,"yyyy-mm-dd")&amp;"||",'CALENDARIO'!$G$15:$G$214,0)),INDEX(patronHabil,WEEKDAY($J632,2))))))</f>
        <v/>
      </c>
      <c r="U632" s="5">
        <f>IF($I632="","",IFERROR(INDEX('CAT_TIPOS_OT'!$C$4:$C$8,MATCH($I632,'CAT_TIPOS_OT'!$A$4:$A$8,0)),"sin_clasificar"))</f>
        <v/>
      </c>
      <c r="V632" s="5">
        <f>IF($I632="","",IF(IFERROR(INDEX('CAT_TIPOS_OT'!$D$4:$D$8,MATCH($I632,'CAT_TIPOS_OT'!$A$4:$A$8,0)),"SIN CLASIFICAR")="","SIN CLASIFICAR",IFERROR(INDEX('CAT_TIPOS_OT'!$D$4:$D$8,MATCH($I632,'CAT_TIPOS_OT'!$A$4:$A$8,0)),"SIN CLASIFICAR")))</f>
        <v/>
      </c>
      <c r="W632" s="5">
        <f>IF($F632="","",IFERROR(INDEX('CAT_CENTROS_COSTO'!$F$4:$F$13,MATCH($F632,'CAT_CENTROS_COSTO'!$A$4:$A$13,0)),"(sin catálogo)"))</f>
        <v/>
      </c>
      <c r="X632" s="5">
        <f>IF($F632="","",IFERROR(INDEX('CAT_CENTROS_COSTO'!$D$4:$D$13,MATCH($F632,'CAT_CENTROS_COSTO'!$A$4:$A$13,0)),"(sin catálogo)"))</f>
        <v/>
      </c>
      <c r="Y632" s="5">
        <f>IF($F632="","",IF((IFERROR(INDEX('CAT_CENTROS_COSTO'!$E$4:$E$13,MATCH($F632,'CAT_CENTROS_COSTO'!$A$4:$A$13,0)),""))&lt;&gt;"",IFERROR(INDEX('CAT_CENTROS_COSTO'!$E$4:$E$13,MATCH($F632,'CAT_CENTROS_COSTO'!$A$4:$A$13,0)),""),$X632))</f>
        <v/>
      </c>
      <c r="Z632" s="5">
        <f>IF($F632="","",IFERROR(INDEX('CAT_CENTROS_COSTO'!$G$4:$G$13,MATCH($F632,'CAT_CENTROS_COSTO'!$A$4:$A$13,0)),"(sin catálogo)"))</f>
        <v/>
      </c>
      <c r="AA632" s="5">
        <f>IF($G632="","",IFERROR(INDEX('CAT_PUESTOS'!$B$4:$B$8,MATCH($G632,'CAT_PUESTOS'!$A$4:$A$8,0)),"(sin catálogo)"))</f>
        <v/>
      </c>
      <c r="AB632" s="5">
        <f>IF($H632="","",IFERROR(INDEX('CAT_ACTIVIDADES'!$B$4:$B$11,MATCH($H632,'CAT_ACTIVIDADES'!$A$4:$A$11,0)),"(sin catálogo)"))</f>
        <v/>
      </c>
      <c r="AC632" s="20">
        <f>IF($J632="","",TODAY()-$J632)</f>
        <v/>
      </c>
      <c r="AD632" s="20">
        <f>IF($J632="","",IF($J632&lt;=TODAY(),COUNTIFS(cal_fechas,"&gt;="&amp;$J632,cal_fechas,"&lt;"&amp;TODAY(),cal_habil,"sí"),-COUNTIFS(cal_fechas,"&gt;="&amp;TODAY(),cal_fechas,"&lt;"&amp;$J632,cal_habil,"sí")))</f>
        <v/>
      </c>
      <c r="AE632" s="5">
        <f>IF($AD632="","",IF($AD632&lt;0,"FUTURO",IF($AD632&gt;p_dias_backlog_max,"BACKLOG","MES CORRIENTE")))</f>
        <v/>
      </c>
      <c r="AF632" s="5">
        <f>IF($AD632="",FALSE,AND($AD632&gt;p_dias_backlog_min,$AD632&lt;=p_dias_backlog_max))</f>
        <v/>
      </c>
      <c r="AG632" s="4" t="n"/>
      <c r="AH632" s="5">
        <f>IF($AG632="","",IF((IFERROR(INDEX('ASIGNACIONES'!$J$4:$J$451,MATCH($O632&amp;"|"&amp;$S632&amp;"|"&amp;$AG632,'ASIGNACIONES'!$N$4:$N$451,0)),""))=0,"",IFERROR(INDEX('ASIGNACIONES'!$J$4:$J$451,MATCH($O632&amp;"|"&amp;$S632&amp;"|"&amp;$AG632,'ASIGNACIONES'!$N$4:$N$451,0)),"")))</f>
        <v/>
      </c>
      <c r="AI632" s="25">
        <f>IF($AG632="","",SUMIFS('ORDENES'!$M$4:$M$1203,'ORDENES'!$AG$4:$AG$1203,$AG632,'ORDENES'!$O$4:$O$1203,$O632,'ORDENES'!$S$4:$S$1203,$S632))</f>
        <v/>
      </c>
      <c r="AJ632" s="25">
        <f>IF($AI632="","",p_factor_productividad*IFERROR(INDEX('ASIGNACIONES'!$M$4:$M$451,MATCH($O632&amp;"|"&amp;$S632&amp;"|"&amp;$AG632,'ASIGNACIONES'!$N$4:$N$451,0)),0)-$AI632)</f>
        <v/>
      </c>
      <c r="AK632" s="18">
        <f>IF($A632="","",IFERROR(INDEX('2_IMPORTAR_EJECUCION'!$F$9:$F$1208,MATCH($AT632,'2_IMPORTAR_EJECUCION'!$J$9:$J$1208,0)),0))</f>
        <v/>
      </c>
      <c r="AL632" s="18">
        <f>IF($A632="","",MAX(0,IFERROR(INDEX('2_IMPORTAR_EJECUCION'!$H$9:$H$1208,MATCH($AT632,'2_IMPORTAR_EJECUCION'!$J$9:$J$1208,0)),0)-$AK632))</f>
        <v/>
      </c>
      <c r="AM632" s="18">
        <f>IF($A632="","",$AK632+$AL632)</f>
        <v/>
      </c>
      <c r="AN632" s="5">
        <f>IF($A632="","",IF(OR((IFERROR(INDEX('CAT_ACTIVIDADES'!$D$4:$D$11,MATCH($H632,'CAT_ACTIVIDADES'!$A$4:$A$11,0)),""))=0,(IFERROR(INDEX('CAT_ACTIVIDADES'!$D$4:$D$11,MATCH($H632,'CAT_ACTIVIDADES'!$A$4:$A$11,0)),""))=""),"SIN CLASIFICAR",IFERROR(INDEX('CAT_ACTIVIDADES'!$D$4:$D$11,MATCH($H632,'CAT_ACTIVIDADES'!$A$4:$A$11,0)),"")))</f>
        <v/>
      </c>
      <c r="AO632" s="4" t="n"/>
      <c r="AP632" s="4" t="n"/>
      <c r="AQ632" s="4" t="n"/>
      <c r="AR632" s="5">
        <f>IF($AQ632="","",HYPERLINK(p_ruta_base_checklists&amp;$AQ632,"abrir"))</f>
        <v/>
      </c>
      <c r="AS632" s="4" t="n"/>
      <c r="AT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2" t="n"/>
      <c r="K633" s="5" t="n"/>
      <c r="L633" s="18" t="n"/>
      <c r="M633" s="5">
        <f>IF($A633="","",IFERROR(INDEX('AJUSTES'!$B$4:$B$303,MATCH($AT633,'AJUSTES'!$A$4:$A$303,0)),IF($K633="","",$K633)))</f>
        <v/>
      </c>
      <c r="N633" s="5">
        <f>IF($A633="","",IFERROR(INDEX('CAT_ESTADOS_ERP'!$B$4:$B$7,MATCH(IFERROR(INDEX('2_IMPORTAR_EJECUCION'!$C$9:$C$1208,MATCH($AT633,'2_IMPORTAR_EJECUCION'!$J$9:$J$1208,0)),""),'CAT_ESTADOS_ERP'!$A$4:$A$7,0)),"Pendiente"))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IF($J633="","",$P633&amp;"-"&amp;TEXT($Q633,"00"))</f>
        <v/>
      </c>
      <c r="S633" s="5">
        <f>IF($J633="","",INDEX(lista_dias,WEEKDAY($J633,2)))</f>
        <v/>
      </c>
      <c r="T633" s="5">
        <f>IF($J633="","",IFERROR(INDEX('CALENDARIO'!$C$15:$C$214,MATCH(TEXT($J633,"yyyy-mm-dd")&amp;"|"&amp;$X633&amp;"|"&amp;$Y633,'CALENDARIO'!$G$15:$G$214,0)),IFERROR(INDEX('CALENDARIO'!$C$15:$C$214,MATCH(TEXT($J633,"yyyy-mm-dd")&amp;"|"&amp;$X633&amp;"|",'CALENDARIO'!$G$15:$G$214,0)),IFERROR(INDEX('CALENDARIO'!$C$15:$C$214,MATCH(TEXT($J633,"yyyy-mm-dd")&amp;"||",'CALENDARIO'!$G$15:$G$214,0)),INDEX(patronHabil,WEEKDAY($J633,2))))))</f>
        <v/>
      </c>
      <c r="U633" s="5">
        <f>IF($I633="","",IFERROR(INDEX('CAT_TIPOS_OT'!$C$4:$C$8,MATCH($I633,'CAT_TIPOS_OT'!$A$4:$A$8,0)),"sin_clasificar"))</f>
        <v/>
      </c>
      <c r="V633" s="5">
        <f>IF($I633="","",IF(IFERROR(INDEX('CAT_TIPOS_OT'!$D$4:$D$8,MATCH($I633,'CAT_TIPOS_OT'!$A$4:$A$8,0)),"SIN CLASIFICAR")="","SIN CLASIFICAR",IFERROR(INDEX('CAT_TIPOS_OT'!$D$4:$D$8,MATCH($I633,'CAT_TIPOS_OT'!$A$4:$A$8,0)),"SIN CLASIFICAR")))</f>
        <v/>
      </c>
      <c r="W633" s="5">
        <f>IF($F633="","",IFERROR(INDEX('CAT_CENTROS_COSTO'!$F$4:$F$13,MATCH($F633,'CAT_CENTROS_COSTO'!$A$4:$A$13,0)),"(sin catálogo)"))</f>
        <v/>
      </c>
      <c r="X633" s="5">
        <f>IF($F633="","",IFERROR(INDEX('CAT_CENTROS_COSTO'!$D$4:$D$13,MATCH($F633,'CAT_CENTROS_COSTO'!$A$4:$A$13,0)),"(sin catálogo)"))</f>
        <v/>
      </c>
      <c r="Y633" s="5">
        <f>IF($F633="","",IF((IFERROR(INDEX('CAT_CENTROS_COSTO'!$E$4:$E$13,MATCH($F633,'CAT_CENTROS_COSTO'!$A$4:$A$13,0)),""))&lt;&gt;"",IFERROR(INDEX('CAT_CENTROS_COSTO'!$E$4:$E$13,MATCH($F633,'CAT_CENTROS_COSTO'!$A$4:$A$13,0)),""),$X633))</f>
        <v/>
      </c>
      <c r="Z633" s="5">
        <f>IF($F633="","",IFERROR(INDEX('CAT_CENTROS_COSTO'!$G$4:$G$13,MATCH($F633,'CAT_CENTROS_COSTO'!$A$4:$A$13,0)),"(sin catálogo)"))</f>
        <v/>
      </c>
      <c r="AA633" s="5">
        <f>IF($G633="","",IFERROR(INDEX('CAT_PUESTOS'!$B$4:$B$8,MATCH($G633,'CAT_PUESTOS'!$A$4:$A$8,0)),"(sin catálogo)"))</f>
        <v/>
      </c>
      <c r="AB633" s="5">
        <f>IF($H633="","",IFERROR(INDEX('CAT_ACTIVIDADES'!$B$4:$B$11,MATCH($H633,'CAT_ACTIVIDADES'!$A$4:$A$11,0)),"(sin catálogo)"))</f>
        <v/>
      </c>
      <c r="AC633" s="20">
        <f>IF($J633="","",TODAY()-$J633)</f>
        <v/>
      </c>
      <c r="AD633" s="20">
        <f>IF($J633="","",IF($J633&lt;=TODAY(),COUNTIFS(cal_fechas,"&gt;="&amp;$J633,cal_fechas,"&lt;"&amp;TODAY(),cal_habil,"sí"),-COUNTIFS(cal_fechas,"&gt;="&amp;TODAY(),cal_fechas,"&lt;"&amp;$J633,cal_habil,"sí")))</f>
        <v/>
      </c>
      <c r="AE633" s="5">
        <f>IF($AD633="","",IF($AD633&lt;0,"FUTURO",IF($AD633&gt;p_dias_backlog_max,"BACKLOG","MES CORRIENTE")))</f>
        <v/>
      </c>
      <c r="AF633" s="5">
        <f>IF($AD633="",FALSE,AND($AD633&gt;p_dias_backlog_min,$AD633&lt;=p_dias_backlog_max))</f>
        <v/>
      </c>
      <c r="AG633" s="4" t="n"/>
      <c r="AH633" s="5">
        <f>IF($AG633="","",IF((IFERROR(INDEX('ASIGNACIONES'!$J$4:$J$451,MATCH($O633&amp;"|"&amp;$S633&amp;"|"&amp;$AG633,'ASIGNACIONES'!$N$4:$N$451,0)),""))=0,"",IFERROR(INDEX('ASIGNACIONES'!$J$4:$J$451,MATCH($O633&amp;"|"&amp;$S633&amp;"|"&amp;$AG633,'ASIGNACIONES'!$N$4:$N$451,0)),"")))</f>
        <v/>
      </c>
      <c r="AI633" s="25">
        <f>IF($AG633="","",SUMIFS('ORDENES'!$M$4:$M$1203,'ORDENES'!$AG$4:$AG$1203,$AG633,'ORDENES'!$O$4:$O$1203,$O633,'ORDENES'!$S$4:$S$1203,$S633))</f>
        <v/>
      </c>
      <c r="AJ633" s="25">
        <f>IF($AI633="","",p_factor_productividad*IFERROR(INDEX('ASIGNACIONES'!$M$4:$M$451,MATCH($O633&amp;"|"&amp;$S633&amp;"|"&amp;$AG633,'ASIGNACIONES'!$N$4:$N$451,0)),0)-$AI633)</f>
        <v/>
      </c>
      <c r="AK633" s="18">
        <f>IF($A633="","",IFERROR(INDEX('2_IMPORTAR_EJECUCION'!$F$9:$F$1208,MATCH($AT633,'2_IMPORTAR_EJECUCION'!$J$9:$J$1208,0)),0))</f>
        <v/>
      </c>
      <c r="AL633" s="18">
        <f>IF($A633="","",MAX(0,IFERROR(INDEX('2_IMPORTAR_EJECUCION'!$H$9:$H$1208,MATCH($AT633,'2_IMPORTAR_EJECUCION'!$J$9:$J$1208,0)),0)-$AK633))</f>
        <v/>
      </c>
      <c r="AM633" s="18">
        <f>IF($A633="","",$AK633+$AL633)</f>
        <v/>
      </c>
      <c r="AN633" s="5">
        <f>IF($A633="","",IF(OR((IFERROR(INDEX('CAT_ACTIVIDADES'!$D$4:$D$11,MATCH($H633,'CAT_ACTIVIDADES'!$A$4:$A$11,0)),""))=0,(IFERROR(INDEX('CAT_ACTIVIDADES'!$D$4:$D$11,MATCH($H633,'CAT_ACTIVIDADES'!$A$4:$A$11,0)),""))=""),"SIN CLASIFICAR",IFERROR(INDEX('CAT_ACTIVIDADES'!$D$4:$D$11,MATCH($H633,'CAT_ACTIVIDADES'!$A$4:$A$11,0)),"")))</f>
        <v/>
      </c>
      <c r="AO633" s="4" t="n"/>
      <c r="AP633" s="4" t="n"/>
      <c r="AQ633" s="4" t="n"/>
      <c r="AR633" s="5">
        <f>IF($AQ633="","",HYPERLINK(p_ruta_base_checklists&amp;$AQ633,"abrir"))</f>
        <v/>
      </c>
      <c r="AS633" s="4" t="n"/>
      <c r="AT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2" t="n"/>
      <c r="K634" s="5" t="n"/>
      <c r="L634" s="18" t="n"/>
      <c r="M634" s="5">
        <f>IF($A634="","",IFERROR(INDEX('AJUSTES'!$B$4:$B$303,MATCH($AT634,'AJUSTES'!$A$4:$A$303,0)),IF($K634="","",$K634)))</f>
        <v/>
      </c>
      <c r="N634" s="5">
        <f>IF($A634="","",IFERROR(INDEX('CAT_ESTADOS_ERP'!$B$4:$B$7,MATCH(IFERROR(INDEX('2_IMPORTAR_EJECUCION'!$C$9:$C$1208,MATCH($AT634,'2_IMPORTAR_EJECUCION'!$J$9:$J$1208,0)),""),'CAT_ESTADOS_ERP'!$A$4:$A$7,0)),"Pendiente"))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IF($J634="","",$P634&amp;"-"&amp;TEXT($Q634,"00"))</f>
        <v/>
      </c>
      <c r="S634" s="5">
        <f>IF($J634="","",INDEX(lista_dias,WEEKDAY($J634,2)))</f>
        <v/>
      </c>
      <c r="T634" s="5">
        <f>IF($J634="","",IFERROR(INDEX('CALENDARIO'!$C$15:$C$214,MATCH(TEXT($J634,"yyyy-mm-dd")&amp;"|"&amp;$X634&amp;"|"&amp;$Y634,'CALENDARIO'!$G$15:$G$214,0)),IFERROR(INDEX('CALENDARIO'!$C$15:$C$214,MATCH(TEXT($J634,"yyyy-mm-dd")&amp;"|"&amp;$X634&amp;"|",'CALENDARIO'!$G$15:$G$214,0)),IFERROR(INDEX('CALENDARIO'!$C$15:$C$214,MATCH(TEXT($J634,"yyyy-mm-dd")&amp;"||",'CALENDARIO'!$G$15:$G$214,0)),INDEX(patronHabil,WEEKDAY($J634,2))))))</f>
        <v/>
      </c>
      <c r="U634" s="5">
        <f>IF($I634="","",IFERROR(INDEX('CAT_TIPOS_OT'!$C$4:$C$8,MATCH($I634,'CAT_TIPOS_OT'!$A$4:$A$8,0)),"sin_clasificar"))</f>
        <v/>
      </c>
      <c r="V634" s="5">
        <f>IF($I634="","",IF(IFERROR(INDEX('CAT_TIPOS_OT'!$D$4:$D$8,MATCH($I634,'CAT_TIPOS_OT'!$A$4:$A$8,0)),"SIN CLASIFICAR")="","SIN CLASIFICAR",IFERROR(INDEX('CAT_TIPOS_OT'!$D$4:$D$8,MATCH($I634,'CAT_TIPOS_OT'!$A$4:$A$8,0)),"SIN CLASIFICAR")))</f>
        <v/>
      </c>
      <c r="W634" s="5">
        <f>IF($F634="","",IFERROR(INDEX('CAT_CENTROS_COSTO'!$F$4:$F$13,MATCH($F634,'CAT_CENTROS_COSTO'!$A$4:$A$13,0)),"(sin catálogo)"))</f>
        <v/>
      </c>
      <c r="X634" s="5">
        <f>IF($F634="","",IFERROR(INDEX('CAT_CENTROS_COSTO'!$D$4:$D$13,MATCH($F634,'CAT_CENTROS_COSTO'!$A$4:$A$13,0)),"(sin catálogo)"))</f>
        <v/>
      </c>
      <c r="Y634" s="5">
        <f>IF($F634="","",IF((IFERROR(INDEX('CAT_CENTROS_COSTO'!$E$4:$E$13,MATCH($F634,'CAT_CENTROS_COSTO'!$A$4:$A$13,0)),""))&lt;&gt;"",IFERROR(INDEX('CAT_CENTROS_COSTO'!$E$4:$E$13,MATCH($F634,'CAT_CENTROS_COSTO'!$A$4:$A$13,0)),""),$X634))</f>
        <v/>
      </c>
      <c r="Z634" s="5">
        <f>IF($F634="","",IFERROR(INDEX('CAT_CENTROS_COSTO'!$G$4:$G$13,MATCH($F634,'CAT_CENTROS_COSTO'!$A$4:$A$13,0)),"(sin catálogo)"))</f>
        <v/>
      </c>
      <c r="AA634" s="5">
        <f>IF($G634="","",IFERROR(INDEX('CAT_PUESTOS'!$B$4:$B$8,MATCH($G634,'CAT_PUESTOS'!$A$4:$A$8,0)),"(sin catálogo)"))</f>
        <v/>
      </c>
      <c r="AB634" s="5">
        <f>IF($H634="","",IFERROR(INDEX('CAT_ACTIVIDADES'!$B$4:$B$11,MATCH($H634,'CAT_ACTIVIDADES'!$A$4:$A$11,0)),"(sin catálogo)"))</f>
        <v/>
      </c>
      <c r="AC634" s="20">
        <f>IF($J634="","",TODAY()-$J634)</f>
        <v/>
      </c>
      <c r="AD634" s="20">
        <f>IF($J634="","",IF($J634&lt;=TODAY(),COUNTIFS(cal_fechas,"&gt;="&amp;$J634,cal_fechas,"&lt;"&amp;TODAY(),cal_habil,"sí"),-COUNTIFS(cal_fechas,"&gt;="&amp;TODAY(),cal_fechas,"&lt;"&amp;$J634,cal_habil,"sí")))</f>
        <v/>
      </c>
      <c r="AE634" s="5">
        <f>IF($AD634="","",IF($AD634&lt;0,"FUTURO",IF($AD634&gt;p_dias_backlog_max,"BACKLOG","MES CORRIENTE")))</f>
        <v/>
      </c>
      <c r="AF634" s="5">
        <f>IF($AD634="",FALSE,AND($AD634&gt;p_dias_backlog_min,$AD634&lt;=p_dias_backlog_max))</f>
        <v/>
      </c>
      <c r="AG634" s="4" t="n"/>
      <c r="AH634" s="5">
        <f>IF($AG634="","",IF((IFERROR(INDEX('ASIGNACIONES'!$J$4:$J$451,MATCH($O634&amp;"|"&amp;$S634&amp;"|"&amp;$AG634,'ASIGNACIONES'!$N$4:$N$451,0)),""))=0,"",IFERROR(INDEX('ASIGNACIONES'!$J$4:$J$451,MATCH($O634&amp;"|"&amp;$S634&amp;"|"&amp;$AG634,'ASIGNACIONES'!$N$4:$N$451,0)),"")))</f>
        <v/>
      </c>
      <c r="AI634" s="25">
        <f>IF($AG634="","",SUMIFS('ORDENES'!$M$4:$M$1203,'ORDENES'!$AG$4:$AG$1203,$AG634,'ORDENES'!$O$4:$O$1203,$O634,'ORDENES'!$S$4:$S$1203,$S634))</f>
        <v/>
      </c>
      <c r="AJ634" s="25">
        <f>IF($AI634="","",p_factor_productividad*IFERROR(INDEX('ASIGNACIONES'!$M$4:$M$451,MATCH($O634&amp;"|"&amp;$S634&amp;"|"&amp;$AG634,'ASIGNACIONES'!$N$4:$N$451,0)),0)-$AI634)</f>
        <v/>
      </c>
      <c r="AK634" s="18">
        <f>IF($A634="","",IFERROR(INDEX('2_IMPORTAR_EJECUCION'!$F$9:$F$1208,MATCH($AT634,'2_IMPORTAR_EJECUCION'!$J$9:$J$1208,0)),0))</f>
        <v/>
      </c>
      <c r="AL634" s="18">
        <f>IF($A634="","",MAX(0,IFERROR(INDEX('2_IMPORTAR_EJECUCION'!$H$9:$H$1208,MATCH($AT634,'2_IMPORTAR_EJECUCION'!$J$9:$J$1208,0)),0)-$AK634))</f>
        <v/>
      </c>
      <c r="AM634" s="18">
        <f>IF($A634="","",$AK634+$AL634)</f>
        <v/>
      </c>
      <c r="AN634" s="5">
        <f>IF($A634="","",IF(OR((IFERROR(INDEX('CAT_ACTIVIDADES'!$D$4:$D$11,MATCH($H634,'CAT_ACTIVIDADES'!$A$4:$A$11,0)),""))=0,(IFERROR(INDEX('CAT_ACTIVIDADES'!$D$4:$D$11,MATCH($H634,'CAT_ACTIVIDADES'!$A$4:$A$11,0)),""))=""),"SIN CLASIFICAR",IFERROR(INDEX('CAT_ACTIVIDADES'!$D$4:$D$11,MATCH($H634,'CAT_ACTIVIDADES'!$A$4:$A$11,0)),"")))</f>
        <v/>
      </c>
      <c r="AO634" s="4" t="n"/>
      <c r="AP634" s="4" t="n"/>
      <c r="AQ634" s="4" t="n"/>
      <c r="AR634" s="5">
        <f>IF($AQ634="","",HYPERLINK(p_ruta_base_checklists&amp;$AQ634,"abrir"))</f>
        <v/>
      </c>
      <c r="AS634" s="4" t="n"/>
      <c r="AT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2" t="n"/>
      <c r="K635" s="5" t="n"/>
      <c r="L635" s="18" t="n"/>
      <c r="M635" s="5">
        <f>IF($A635="","",IFERROR(INDEX('AJUSTES'!$B$4:$B$303,MATCH($AT635,'AJUSTES'!$A$4:$A$303,0)),IF($K635="","",$K635)))</f>
        <v/>
      </c>
      <c r="N635" s="5">
        <f>IF($A635="","",IFERROR(INDEX('CAT_ESTADOS_ERP'!$B$4:$B$7,MATCH(IFERROR(INDEX('2_IMPORTAR_EJECUCION'!$C$9:$C$1208,MATCH($AT635,'2_IMPORTAR_EJECUCION'!$J$9:$J$1208,0)),""),'CAT_ESTADOS_ERP'!$A$4:$A$7,0)),"Pendiente"))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IF($J635="","",$P635&amp;"-"&amp;TEXT($Q635,"00"))</f>
        <v/>
      </c>
      <c r="S635" s="5">
        <f>IF($J635="","",INDEX(lista_dias,WEEKDAY($J635,2)))</f>
        <v/>
      </c>
      <c r="T635" s="5">
        <f>IF($J635="","",IFERROR(INDEX('CALENDARIO'!$C$15:$C$214,MATCH(TEXT($J635,"yyyy-mm-dd")&amp;"|"&amp;$X635&amp;"|"&amp;$Y635,'CALENDARIO'!$G$15:$G$214,0)),IFERROR(INDEX('CALENDARIO'!$C$15:$C$214,MATCH(TEXT($J635,"yyyy-mm-dd")&amp;"|"&amp;$X635&amp;"|",'CALENDARIO'!$G$15:$G$214,0)),IFERROR(INDEX('CALENDARIO'!$C$15:$C$214,MATCH(TEXT($J635,"yyyy-mm-dd")&amp;"||",'CALENDARIO'!$G$15:$G$214,0)),INDEX(patronHabil,WEEKDAY($J635,2))))))</f>
        <v/>
      </c>
      <c r="U635" s="5">
        <f>IF($I635="","",IFERROR(INDEX('CAT_TIPOS_OT'!$C$4:$C$8,MATCH($I635,'CAT_TIPOS_OT'!$A$4:$A$8,0)),"sin_clasificar"))</f>
        <v/>
      </c>
      <c r="V635" s="5">
        <f>IF($I635="","",IF(IFERROR(INDEX('CAT_TIPOS_OT'!$D$4:$D$8,MATCH($I635,'CAT_TIPOS_OT'!$A$4:$A$8,0)),"SIN CLASIFICAR")="","SIN CLASIFICAR",IFERROR(INDEX('CAT_TIPOS_OT'!$D$4:$D$8,MATCH($I635,'CAT_TIPOS_OT'!$A$4:$A$8,0)),"SIN CLASIFICAR")))</f>
        <v/>
      </c>
      <c r="W635" s="5">
        <f>IF($F635="","",IFERROR(INDEX('CAT_CENTROS_COSTO'!$F$4:$F$13,MATCH($F635,'CAT_CENTROS_COSTO'!$A$4:$A$13,0)),"(sin catálogo)"))</f>
        <v/>
      </c>
      <c r="X635" s="5">
        <f>IF($F635="","",IFERROR(INDEX('CAT_CENTROS_COSTO'!$D$4:$D$13,MATCH($F635,'CAT_CENTROS_COSTO'!$A$4:$A$13,0)),"(sin catálogo)"))</f>
        <v/>
      </c>
      <c r="Y635" s="5">
        <f>IF($F635="","",IF((IFERROR(INDEX('CAT_CENTROS_COSTO'!$E$4:$E$13,MATCH($F635,'CAT_CENTROS_COSTO'!$A$4:$A$13,0)),""))&lt;&gt;"",IFERROR(INDEX('CAT_CENTROS_COSTO'!$E$4:$E$13,MATCH($F635,'CAT_CENTROS_COSTO'!$A$4:$A$13,0)),""),$X635))</f>
        <v/>
      </c>
      <c r="Z635" s="5">
        <f>IF($F635="","",IFERROR(INDEX('CAT_CENTROS_COSTO'!$G$4:$G$13,MATCH($F635,'CAT_CENTROS_COSTO'!$A$4:$A$13,0)),"(sin catálogo)"))</f>
        <v/>
      </c>
      <c r="AA635" s="5">
        <f>IF($G635="","",IFERROR(INDEX('CAT_PUESTOS'!$B$4:$B$8,MATCH($G635,'CAT_PUESTOS'!$A$4:$A$8,0)),"(sin catálogo)"))</f>
        <v/>
      </c>
      <c r="AB635" s="5">
        <f>IF($H635="","",IFERROR(INDEX('CAT_ACTIVIDADES'!$B$4:$B$11,MATCH($H635,'CAT_ACTIVIDADES'!$A$4:$A$11,0)),"(sin catálogo)"))</f>
        <v/>
      </c>
      <c r="AC635" s="20">
        <f>IF($J635="","",TODAY()-$J635)</f>
        <v/>
      </c>
      <c r="AD635" s="20">
        <f>IF($J635="","",IF($J635&lt;=TODAY(),COUNTIFS(cal_fechas,"&gt;="&amp;$J635,cal_fechas,"&lt;"&amp;TODAY(),cal_habil,"sí"),-COUNTIFS(cal_fechas,"&gt;="&amp;TODAY(),cal_fechas,"&lt;"&amp;$J635,cal_habil,"sí")))</f>
        <v/>
      </c>
      <c r="AE635" s="5">
        <f>IF($AD635="","",IF($AD635&lt;0,"FUTURO",IF($AD635&gt;p_dias_backlog_max,"BACKLOG","MES CORRIENTE")))</f>
        <v/>
      </c>
      <c r="AF635" s="5">
        <f>IF($AD635="",FALSE,AND($AD635&gt;p_dias_backlog_min,$AD635&lt;=p_dias_backlog_max))</f>
        <v/>
      </c>
      <c r="AG635" s="4" t="n"/>
      <c r="AH635" s="5">
        <f>IF($AG635="","",IF((IFERROR(INDEX('ASIGNACIONES'!$J$4:$J$451,MATCH($O635&amp;"|"&amp;$S635&amp;"|"&amp;$AG635,'ASIGNACIONES'!$N$4:$N$451,0)),""))=0,"",IFERROR(INDEX('ASIGNACIONES'!$J$4:$J$451,MATCH($O635&amp;"|"&amp;$S635&amp;"|"&amp;$AG635,'ASIGNACIONES'!$N$4:$N$451,0)),"")))</f>
        <v/>
      </c>
      <c r="AI635" s="25">
        <f>IF($AG635="","",SUMIFS('ORDENES'!$M$4:$M$1203,'ORDENES'!$AG$4:$AG$1203,$AG635,'ORDENES'!$O$4:$O$1203,$O635,'ORDENES'!$S$4:$S$1203,$S635))</f>
        <v/>
      </c>
      <c r="AJ635" s="25">
        <f>IF($AI635="","",p_factor_productividad*IFERROR(INDEX('ASIGNACIONES'!$M$4:$M$451,MATCH($O635&amp;"|"&amp;$S635&amp;"|"&amp;$AG635,'ASIGNACIONES'!$N$4:$N$451,0)),0)-$AI635)</f>
        <v/>
      </c>
      <c r="AK635" s="18">
        <f>IF($A635="","",IFERROR(INDEX('2_IMPORTAR_EJECUCION'!$F$9:$F$1208,MATCH($AT635,'2_IMPORTAR_EJECUCION'!$J$9:$J$1208,0)),0))</f>
        <v/>
      </c>
      <c r="AL635" s="18">
        <f>IF($A635="","",MAX(0,IFERROR(INDEX('2_IMPORTAR_EJECUCION'!$H$9:$H$1208,MATCH($AT635,'2_IMPORTAR_EJECUCION'!$J$9:$J$1208,0)),0)-$AK635))</f>
        <v/>
      </c>
      <c r="AM635" s="18">
        <f>IF($A635="","",$AK635+$AL635)</f>
        <v/>
      </c>
      <c r="AN635" s="5">
        <f>IF($A635="","",IF(OR((IFERROR(INDEX('CAT_ACTIVIDADES'!$D$4:$D$11,MATCH($H635,'CAT_ACTIVIDADES'!$A$4:$A$11,0)),""))=0,(IFERROR(INDEX('CAT_ACTIVIDADES'!$D$4:$D$11,MATCH($H635,'CAT_ACTIVIDADES'!$A$4:$A$11,0)),""))=""),"SIN CLASIFICAR",IFERROR(INDEX('CAT_ACTIVIDADES'!$D$4:$D$11,MATCH($H635,'CAT_ACTIVIDADES'!$A$4:$A$11,0)),"")))</f>
        <v/>
      </c>
      <c r="AO635" s="4" t="n"/>
      <c r="AP635" s="4" t="n"/>
      <c r="AQ635" s="4" t="n"/>
      <c r="AR635" s="5">
        <f>IF($AQ635="","",HYPERLINK(p_ruta_base_checklists&amp;$AQ635,"abrir"))</f>
        <v/>
      </c>
      <c r="AS635" s="4" t="n"/>
      <c r="AT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2" t="n"/>
      <c r="K636" s="5" t="n"/>
      <c r="L636" s="18" t="n"/>
      <c r="M636" s="5">
        <f>IF($A636="","",IFERROR(INDEX('AJUSTES'!$B$4:$B$303,MATCH($AT636,'AJUSTES'!$A$4:$A$303,0)),IF($K636="","",$K636)))</f>
        <v/>
      </c>
      <c r="N636" s="5">
        <f>IF($A636="","",IFERROR(INDEX('CAT_ESTADOS_ERP'!$B$4:$B$7,MATCH(IFERROR(INDEX('2_IMPORTAR_EJECUCION'!$C$9:$C$1208,MATCH($AT636,'2_IMPORTAR_EJECUCION'!$J$9:$J$1208,0)),""),'CAT_ESTADOS_ERP'!$A$4:$A$7,0)),"Pendiente"))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IF($J636="","",$P636&amp;"-"&amp;TEXT($Q636,"00"))</f>
        <v/>
      </c>
      <c r="S636" s="5">
        <f>IF($J636="","",INDEX(lista_dias,WEEKDAY($J636,2)))</f>
        <v/>
      </c>
      <c r="T636" s="5">
        <f>IF($J636="","",IFERROR(INDEX('CALENDARIO'!$C$15:$C$214,MATCH(TEXT($J636,"yyyy-mm-dd")&amp;"|"&amp;$X636&amp;"|"&amp;$Y636,'CALENDARIO'!$G$15:$G$214,0)),IFERROR(INDEX('CALENDARIO'!$C$15:$C$214,MATCH(TEXT($J636,"yyyy-mm-dd")&amp;"|"&amp;$X636&amp;"|",'CALENDARIO'!$G$15:$G$214,0)),IFERROR(INDEX('CALENDARIO'!$C$15:$C$214,MATCH(TEXT($J636,"yyyy-mm-dd")&amp;"||",'CALENDARIO'!$G$15:$G$214,0)),INDEX(patronHabil,WEEKDAY($J636,2))))))</f>
        <v/>
      </c>
      <c r="U636" s="5">
        <f>IF($I636="","",IFERROR(INDEX('CAT_TIPOS_OT'!$C$4:$C$8,MATCH($I636,'CAT_TIPOS_OT'!$A$4:$A$8,0)),"sin_clasificar"))</f>
        <v/>
      </c>
      <c r="V636" s="5">
        <f>IF($I636="","",IF(IFERROR(INDEX('CAT_TIPOS_OT'!$D$4:$D$8,MATCH($I636,'CAT_TIPOS_OT'!$A$4:$A$8,0)),"SIN CLASIFICAR")="","SIN CLASIFICAR",IFERROR(INDEX('CAT_TIPOS_OT'!$D$4:$D$8,MATCH($I636,'CAT_TIPOS_OT'!$A$4:$A$8,0)),"SIN CLASIFICAR")))</f>
        <v/>
      </c>
      <c r="W636" s="5">
        <f>IF($F636="","",IFERROR(INDEX('CAT_CENTROS_COSTO'!$F$4:$F$13,MATCH($F636,'CAT_CENTROS_COSTO'!$A$4:$A$13,0)),"(sin catálogo)"))</f>
        <v/>
      </c>
      <c r="X636" s="5">
        <f>IF($F636="","",IFERROR(INDEX('CAT_CENTROS_COSTO'!$D$4:$D$13,MATCH($F636,'CAT_CENTROS_COSTO'!$A$4:$A$13,0)),"(sin catálogo)"))</f>
        <v/>
      </c>
      <c r="Y636" s="5">
        <f>IF($F636="","",IF((IFERROR(INDEX('CAT_CENTROS_COSTO'!$E$4:$E$13,MATCH($F636,'CAT_CENTROS_COSTO'!$A$4:$A$13,0)),""))&lt;&gt;"",IFERROR(INDEX('CAT_CENTROS_COSTO'!$E$4:$E$13,MATCH($F636,'CAT_CENTROS_COSTO'!$A$4:$A$13,0)),""),$X636))</f>
        <v/>
      </c>
      <c r="Z636" s="5">
        <f>IF($F636="","",IFERROR(INDEX('CAT_CENTROS_COSTO'!$G$4:$G$13,MATCH($F636,'CAT_CENTROS_COSTO'!$A$4:$A$13,0)),"(sin catálogo)"))</f>
        <v/>
      </c>
      <c r="AA636" s="5">
        <f>IF($G636="","",IFERROR(INDEX('CAT_PUESTOS'!$B$4:$B$8,MATCH($G636,'CAT_PUESTOS'!$A$4:$A$8,0)),"(sin catálogo)"))</f>
        <v/>
      </c>
      <c r="AB636" s="5">
        <f>IF($H636="","",IFERROR(INDEX('CAT_ACTIVIDADES'!$B$4:$B$11,MATCH($H636,'CAT_ACTIVIDADES'!$A$4:$A$11,0)),"(sin catálogo)"))</f>
        <v/>
      </c>
      <c r="AC636" s="20">
        <f>IF($J636="","",TODAY()-$J636)</f>
        <v/>
      </c>
      <c r="AD636" s="20">
        <f>IF($J636="","",IF($J636&lt;=TODAY(),COUNTIFS(cal_fechas,"&gt;="&amp;$J636,cal_fechas,"&lt;"&amp;TODAY(),cal_habil,"sí"),-COUNTIFS(cal_fechas,"&gt;="&amp;TODAY(),cal_fechas,"&lt;"&amp;$J636,cal_habil,"sí")))</f>
        <v/>
      </c>
      <c r="AE636" s="5">
        <f>IF($AD636="","",IF($AD636&lt;0,"FUTURO",IF($AD636&gt;p_dias_backlog_max,"BACKLOG","MES CORRIENTE")))</f>
        <v/>
      </c>
      <c r="AF636" s="5">
        <f>IF($AD636="",FALSE,AND($AD636&gt;p_dias_backlog_min,$AD636&lt;=p_dias_backlog_max))</f>
        <v/>
      </c>
      <c r="AG636" s="4" t="n"/>
      <c r="AH636" s="5">
        <f>IF($AG636="","",IF((IFERROR(INDEX('ASIGNACIONES'!$J$4:$J$451,MATCH($O636&amp;"|"&amp;$S636&amp;"|"&amp;$AG636,'ASIGNACIONES'!$N$4:$N$451,0)),""))=0,"",IFERROR(INDEX('ASIGNACIONES'!$J$4:$J$451,MATCH($O636&amp;"|"&amp;$S636&amp;"|"&amp;$AG636,'ASIGNACIONES'!$N$4:$N$451,0)),"")))</f>
        <v/>
      </c>
      <c r="AI636" s="25">
        <f>IF($AG636="","",SUMIFS('ORDENES'!$M$4:$M$1203,'ORDENES'!$AG$4:$AG$1203,$AG636,'ORDENES'!$O$4:$O$1203,$O636,'ORDENES'!$S$4:$S$1203,$S636))</f>
        <v/>
      </c>
      <c r="AJ636" s="25">
        <f>IF($AI636="","",p_factor_productividad*IFERROR(INDEX('ASIGNACIONES'!$M$4:$M$451,MATCH($O636&amp;"|"&amp;$S636&amp;"|"&amp;$AG636,'ASIGNACIONES'!$N$4:$N$451,0)),0)-$AI636)</f>
        <v/>
      </c>
      <c r="AK636" s="18">
        <f>IF($A636="","",IFERROR(INDEX('2_IMPORTAR_EJECUCION'!$F$9:$F$1208,MATCH($AT636,'2_IMPORTAR_EJECUCION'!$J$9:$J$1208,0)),0))</f>
        <v/>
      </c>
      <c r="AL636" s="18">
        <f>IF($A636="","",MAX(0,IFERROR(INDEX('2_IMPORTAR_EJECUCION'!$H$9:$H$1208,MATCH($AT636,'2_IMPORTAR_EJECUCION'!$J$9:$J$1208,0)),0)-$AK636))</f>
        <v/>
      </c>
      <c r="AM636" s="18">
        <f>IF($A636="","",$AK636+$AL636)</f>
        <v/>
      </c>
      <c r="AN636" s="5">
        <f>IF($A636="","",IF(OR((IFERROR(INDEX('CAT_ACTIVIDADES'!$D$4:$D$11,MATCH($H636,'CAT_ACTIVIDADES'!$A$4:$A$11,0)),""))=0,(IFERROR(INDEX('CAT_ACTIVIDADES'!$D$4:$D$11,MATCH($H636,'CAT_ACTIVIDADES'!$A$4:$A$11,0)),""))=""),"SIN CLASIFICAR",IFERROR(INDEX('CAT_ACTIVIDADES'!$D$4:$D$11,MATCH($H636,'CAT_ACTIVIDADES'!$A$4:$A$11,0)),"")))</f>
        <v/>
      </c>
      <c r="AO636" s="4" t="n"/>
      <c r="AP636" s="4" t="n"/>
      <c r="AQ636" s="4" t="n"/>
      <c r="AR636" s="5">
        <f>IF($AQ636="","",HYPERLINK(p_ruta_base_checklists&amp;$AQ636,"abrir"))</f>
        <v/>
      </c>
      <c r="AS636" s="4" t="n"/>
      <c r="AT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2" t="n"/>
      <c r="K637" s="5" t="n"/>
      <c r="L637" s="18" t="n"/>
      <c r="M637" s="5">
        <f>IF($A637="","",IFERROR(INDEX('AJUSTES'!$B$4:$B$303,MATCH($AT637,'AJUSTES'!$A$4:$A$303,0)),IF($K637="","",$K637)))</f>
        <v/>
      </c>
      <c r="N637" s="5">
        <f>IF($A637="","",IFERROR(INDEX('CAT_ESTADOS_ERP'!$B$4:$B$7,MATCH(IFERROR(INDEX('2_IMPORTAR_EJECUCION'!$C$9:$C$1208,MATCH($AT637,'2_IMPORTAR_EJECUCION'!$J$9:$J$1208,0)),""),'CAT_ESTADOS_ERP'!$A$4:$A$7,0)),"Pendiente"))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IF($J637="","",$P637&amp;"-"&amp;TEXT($Q637,"00"))</f>
        <v/>
      </c>
      <c r="S637" s="5">
        <f>IF($J637="","",INDEX(lista_dias,WEEKDAY($J637,2)))</f>
        <v/>
      </c>
      <c r="T637" s="5">
        <f>IF($J637="","",IFERROR(INDEX('CALENDARIO'!$C$15:$C$214,MATCH(TEXT($J637,"yyyy-mm-dd")&amp;"|"&amp;$X637&amp;"|"&amp;$Y637,'CALENDARIO'!$G$15:$G$214,0)),IFERROR(INDEX('CALENDARIO'!$C$15:$C$214,MATCH(TEXT($J637,"yyyy-mm-dd")&amp;"|"&amp;$X637&amp;"|",'CALENDARIO'!$G$15:$G$214,0)),IFERROR(INDEX('CALENDARIO'!$C$15:$C$214,MATCH(TEXT($J637,"yyyy-mm-dd")&amp;"||",'CALENDARIO'!$G$15:$G$214,0)),INDEX(patronHabil,WEEKDAY($J637,2))))))</f>
        <v/>
      </c>
      <c r="U637" s="5">
        <f>IF($I637="","",IFERROR(INDEX('CAT_TIPOS_OT'!$C$4:$C$8,MATCH($I637,'CAT_TIPOS_OT'!$A$4:$A$8,0)),"sin_clasificar"))</f>
        <v/>
      </c>
      <c r="V637" s="5">
        <f>IF($I637="","",IF(IFERROR(INDEX('CAT_TIPOS_OT'!$D$4:$D$8,MATCH($I637,'CAT_TIPOS_OT'!$A$4:$A$8,0)),"SIN CLASIFICAR")="","SIN CLASIFICAR",IFERROR(INDEX('CAT_TIPOS_OT'!$D$4:$D$8,MATCH($I637,'CAT_TIPOS_OT'!$A$4:$A$8,0)),"SIN CLASIFICAR")))</f>
        <v/>
      </c>
      <c r="W637" s="5">
        <f>IF($F637="","",IFERROR(INDEX('CAT_CENTROS_COSTO'!$F$4:$F$13,MATCH($F637,'CAT_CENTROS_COSTO'!$A$4:$A$13,0)),"(sin catálogo)"))</f>
        <v/>
      </c>
      <c r="X637" s="5">
        <f>IF($F637="","",IFERROR(INDEX('CAT_CENTROS_COSTO'!$D$4:$D$13,MATCH($F637,'CAT_CENTROS_COSTO'!$A$4:$A$13,0)),"(sin catálogo)"))</f>
        <v/>
      </c>
      <c r="Y637" s="5">
        <f>IF($F637="","",IF((IFERROR(INDEX('CAT_CENTROS_COSTO'!$E$4:$E$13,MATCH($F637,'CAT_CENTROS_COSTO'!$A$4:$A$13,0)),""))&lt;&gt;"",IFERROR(INDEX('CAT_CENTROS_COSTO'!$E$4:$E$13,MATCH($F637,'CAT_CENTROS_COSTO'!$A$4:$A$13,0)),""),$X637))</f>
        <v/>
      </c>
      <c r="Z637" s="5">
        <f>IF($F637="","",IFERROR(INDEX('CAT_CENTROS_COSTO'!$G$4:$G$13,MATCH($F637,'CAT_CENTROS_COSTO'!$A$4:$A$13,0)),"(sin catálogo)"))</f>
        <v/>
      </c>
      <c r="AA637" s="5">
        <f>IF($G637="","",IFERROR(INDEX('CAT_PUESTOS'!$B$4:$B$8,MATCH($G637,'CAT_PUESTOS'!$A$4:$A$8,0)),"(sin catálogo)"))</f>
        <v/>
      </c>
      <c r="AB637" s="5">
        <f>IF($H637="","",IFERROR(INDEX('CAT_ACTIVIDADES'!$B$4:$B$11,MATCH($H637,'CAT_ACTIVIDADES'!$A$4:$A$11,0)),"(sin catálogo)"))</f>
        <v/>
      </c>
      <c r="AC637" s="20">
        <f>IF($J637="","",TODAY()-$J637)</f>
        <v/>
      </c>
      <c r="AD637" s="20">
        <f>IF($J637="","",IF($J637&lt;=TODAY(),COUNTIFS(cal_fechas,"&gt;="&amp;$J637,cal_fechas,"&lt;"&amp;TODAY(),cal_habil,"sí"),-COUNTIFS(cal_fechas,"&gt;="&amp;TODAY(),cal_fechas,"&lt;"&amp;$J637,cal_habil,"sí")))</f>
        <v/>
      </c>
      <c r="AE637" s="5">
        <f>IF($AD637="","",IF($AD637&lt;0,"FUTURO",IF($AD637&gt;p_dias_backlog_max,"BACKLOG","MES CORRIENTE")))</f>
        <v/>
      </c>
      <c r="AF637" s="5">
        <f>IF($AD637="",FALSE,AND($AD637&gt;p_dias_backlog_min,$AD637&lt;=p_dias_backlog_max))</f>
        <v/>
      </c>
      <c r="AG637" s="4" t="n"/>
      <c r="AH637" s="5">
        <f>IF($AG637="","",IF((IFERROR(INDEX('ASIGNACIONES'!$J$4:$J$451,MATCH($O637&amp;"|"&amp;$S637&amp;"|"&amp;$AG637,'ASIGNACIONES'!$N$4:$N$451,0)),""))=0,"",IFERROR(INDEX('ASIGNACIONES'!$J$4:$J$451,MATCH($O637&amp;"|"&amp;$S637&amp;"|"&amp;$AG637,'ASIGNACIONES'!$N$4:$N$451,0)),"")))</f>
        <v/>
      </c>
      <c r="AI637" s="25">
        <f>IF($AG637="","",SUMIFS('ORDENES'!$M$4:$M$1203,'ORDENES'!$AG$4:$AG$1203,$AG637,'ORDENES'!$O$4:$O$1203,$O637,'ORDENES'!$S$4:$S$1203,$S637))</f>
        <v/>
      </c>
      <c r="AJ637" s="25">
        <f>IF($AI637="","",p_factor_productividad*IFERROR(INDEX('ASIGNACIONES'!$M$4:$M$451,MATCH($O637&amp;"|"&amp;$S637&amp;"|"&amp;$AG637,'ASIGNACIONES'!$N$4:$N$451,0)),0)-$AI637)</f>
        <v/>
      </c>
      <c r="AK637" s="18">
        <f>IF($A637="","",IFERROR(INDEX('2_IMPORTAR_EJECUCION'!$F$9:$F$1208,MATCH($AT637,'2_IMPORTAR_EJECUCION'!$J$9:$J$1208,0)),0))</f>
        <v/>
      </c>
      <c r="AL637" s="18">
        <f>IF($A637="","",MAX(0,IFERROR(INDEX('2_IMPORTAR_EJECUCION'!$H$9:$H$1208,MATCH($AT637,'2_IMPORTAR_EJECUCION'!$J$9:$J$1208,0)),0)-$AK637))</f>
        <v/>
      </c>
      <c r="AM637" s="18">
        <f>IF($A637="","",$AK637+$AL637)</f>
        <v/>
      </c>
      <c r="AN637" s="5">
        <f>IF($A637="","",IF(OR((IFERROR(INDEX('CAT_ACTIVIDADES'!$D$4:$D$11,MATCH($H637,'CAT_ACTIVIDADES'!$A$4:$A$11,0)),""))=0,(IFERROR(INDEX('CAT_ACTIVIDADES'!$D$4:$D$11,MATCH($H637,'CAT_ACTIVIDADES'!$A$4:$A$11,0)),""))=""),"SIN CLASIFICAR",IFERROR(INDEX('CAT_ACTIVIDADES'!$D$4:$D$11,MATCH($H637,'CAT_ACTIVIDADES'!$A$4:$A$11,0)),"")))</f>
        <v/>
      </c>
      <c r="AO637" s="4" t="n"/>
      <c r="AP637" s="4" t="n"/>
      <c r="AQ637" s="4" t="n"/>
      <c r="AR637" s="5">
        <f>IF($AQ637="","",HYPERLINK(p_ruta_base_checklists&amp;$AQ637,"abrir"))</f>
        <v/>
      </c>
      <c r="AS637" s="4" t="n"/>
      <c r="AT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2" t="n"/>
      <c r="K638" s="5" t="n"/>
      <c r="L638" s="18" t="n"/>
      <c r="M638" s="5">
        <f>IF($A638="","",IFERROR(INDEX('AJUSTES'!$B$4:$B$303,MATCH($AT638,'AJUSTES'!$A$4:$A$303,0)),IF($K638="","",$K638)))</f>
        <v/>
      </c>
      <c r="N638" s="5">
        <f>IF($A638="","",IFERROR(INDEX('CAT_ESTADOS_ERP'!$B$4:$B$7,MATCH(IFERROR(INDEX('2_IMPORTAR_EJECUCION'!$C$9:$C$1208,MATCH($AT638,'2_IMPORTAR_EJECUCION'!$J$9:$J$1208,0)),""),'CAT_ESTADOS_ERP'!$A$4:$A$7,0)),"Pendiente"))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IF($J638="","",$P638&amp;"-"&amp;TEXT($Q638,"00"))</f>
        <v/>
      </c>
      <c r="S638" s="5">
        <f>IF($J638="","",INDEX(lista_dias,WEEKDAY($J638,2)))</f>
        <v/>
      </c>
      <c r="T638" s="5">
        <f>IF($J638="","",IFERROR(INDEX('CALENDARIO'!$C$15:$C$214,MATCH(TEXT($J638,"yyyy-mm-dd")&amp;"|"&amp;$X638&amp;"|"&amp;$Y638,'CALENDARIO'!$G$15:$G$214,0)),IFERROR(INDEX('CALENDARIO'!$C$15:$C$214,MATCH(TEXT($J638,"yyyy-mm-dd")&amp;"|"&amp;$X638&amp;"|",'CALENDARIO'!$G$15:$G$214,0)),IFERROR(INDEX('CALENDARIO'!$C$15:$C$214,MATCH(TEXT($J638,"yyyy-mm-dd")&amp;"||",'CALENDARIO'!$G$15:$G$214,0)),INDEX(patronHabil,WEEKDAY($J638,2))))))</f>
        <v/>
      </c>
      <c r="U638" s="5">
        <f>IF($I638="","",IFERROR(INDEX('CAT_TIPOS_OT'!$C$4:$C$8,MATCH($I638,'CAT_TIPOS_OT'!$A$4:$A$8,0)),"sin_clasificar"))</f>
        <v/>
      </c>
      <c r="V638" s="5">
        <f>IF($I638="","",IF(IFERROR(INDEX('CAT_TIPOS_OT'!$D$4:$D$8,MATCH($I638,'CAT_TIPOS_OT'!$A$4:$A$8,0)),"SIN CLASIFICAR")="","SIN CLASIFICAR",IFERROR(INDEX('CAT_TIPOS_OT'!$D$4:$D$8,MATCH($I638,'CAT_TIPOS_OT'!$A$4:$A$8,0)),"SIN CLASIFICAR")))</f>
        <v/>
      </c>
      <c r="W638" s="5">
        <f>IF($F638="","",IFERROR(INDEX('CAT_CENTROS_COSTO'!$F$4:$F$13,MATCH($F638,'CAT_CENTROS_COSTO'!$A$4:$A$13,0)),"(sin catálogo)"))</f>
        <v/>
      </c>
      <c r="X638" s="5">
        <f>IF($F638="","",IFERROR(INDEX('CAT_CENTROS_COSTO'!$D$4:$D$13,MATCH($F638,'CAT_CENTROS_COSTO'!$A$4:$A$13,0)),"(sin catálogo)"))</f>
        <v/>
      </c>
      <c r="Y638" s="5">
        <f>IF($F638="","",IF((IFERROR(INDEX('CAT_CENTROS_COSTO'!$E$4:$E$13,MATCH($F638,'CAT_CENTROS_COSTO'!$A$4:$A$13,0)),""))&lt;&gt;"",IFERROR(INDEX('CAT_CENTROS_COSTO'!$E$4:$E$13,MATCH($F638,'CAT_CENTROS_COSTO'!$A$4:$A$13,0)),""),$X638))</f>
        <v/>
      </c>
      <c r="Z638" s="5">
        <f>IF($F638="","",IFERROR(INDEX('CAT_CENTROS_COSTO'!$G$4:$G$13,MATCH($F638,'CAT_CENTROS_COSTO'!$A$4:$A$13,0)),"(sin catálogo)"))</f>
        <v/>
      </c>
      <c r="AA638" s="5">
        <f>IF($G638="","",IFERROR(INDEX('CAT_PUESTOS'!$B$4:$B$8,MATCH($G638,'CAT_PUESTOS'!$A$4:$A$8,0)),"(sin catálogo)"))</f>
        <v/>
      </c>
      <c r="AB638" s="5">
        <f>IF($H638="","",IFERROR(INDEX('CAT_ACTIVIDADES'!$B$4:$B$11,MATCH($H638,'CAT_ACTIVIDADES'!$A$4:$A$11,0)),"(sin catálogo)"))</f>
        <v/>
      </c>
      <c r="AC638" s="20">
        <f>IF($J638="","",TODAY()-$J638)</f>
        <v/>
      </c>
      <c r="AD638" s="20">
        <f>IF($J638="","",IF($J638&lt;=TODAY(),COUNTIFS(cal_fechas,"&gt;="&amp;$J638,cal_fechas,"&lt;"&amp;TODAY(),cal_habil,"sí"),-COUNTIFS(cal_fechas,"&gt;="&amp;TODAY(),cal_fechas,"&lt;"&amp;$J638,cal_habil,"sí")))</f>
        <v/>
      </c>
      <c r="AE638" s="5">
        <f>IF($AD638="","",IF($AD638&lt;0,"FUTURO",IF($AD638&gt;p_dias_backlog_max,"BACKLOG","MES CORRIENTE")))</f>
        <v/>
      </c>
      <c r="AF638" s="5">
        <f>IF($AD638="",FALSE,AND($AD638&gt;p_dias_backlog_min,$AD638&lt;=p_dias_backlog_max))</f>
        <v/>
      </c>
      <c r="AG638" s="4" t="n"/>
      <c r="AH638" s="5">
        <f>IF($AG638="","",IF((IFERROR(INDEX('ASIGNACIONES'!$J$4:$J$451,MATCH($O638&amp;"|"&amp;$S638&amp;"|"&amp;$AG638,'ASIGNACIONES'!$N$4:$N$451,0)),""))=0,"",IFERROR(INDEX('ASIGNACIONES'!$J$4:$J$451,MATCH($O638&amp;"|"&amp;$S638&amp;"|"&amp;$AG638,'ASIGNACIONES'!$N$4:$N$451,0)),"")))</f>
        <v/>
      </c>
      <c r="AI638" s="25">
        <f>IF($AG638="","",SUMIFS('ORDENES'!$M$4:$M$1203,'ORDENES'!$AG$4:$AG$1203,$AG638,'ORDENES'!$O$4:$O$1203,$O638,'ORDENES'!$S$4:$S$1203,$S638))</f>
        <v/>
      </c>
      <c r="AJ638" s="25">
        <f>IF($AI638="","",p_factor_productividad*IFERROR(INDEX('ASIGNACIONES'!$M$4:$M$451,MATCH($O638&amp;"|"&amp;$S638&amp;"|"&amp;$AG638,'ASIGNACIONES'!$N$4:$N$451,0)),0)-$AI638)</f>
        <v/>
      </c>
      <c r="AK638" s="18">
        <f>IF($A638="","",IFERROR(INDEX('2_IMPORTAR_EJECUCION'!$F$9:$F$1208,MATCH($AT638,'2_IMPORTAR_EJECUCION'!$J$9:$J$1208,0)),0))</f>
        <v/>
      </c>
      <c r="AL638" s="18">
        <f>IF($A638="","",MAX(0,IFERROR(INDEX('2_IMPORTAR_EJECUCION'!$H$9:$H$1208,MATCH($AT638,'2_IMPORTAR_EJECUCION'!$J$9:$J$1208,0)),0)-$AK638))</f>
        <v/>
      </c>
      <c r="AM638" s="18">
        <f>IF($A638="","",$AK638+$AL638)</f>
        <v/>
      </c>
      <c r="AN638" s="5">
        <f>IF($A638="","",IF(OR((IFERROR(INDEX('CAT_ACTIVIDADES'!$D$4:$D$11,MATCH($H638,'CAT_ACTIVIDADES'!$A$4:$A$11,0)),""))=0,(IFERROR(INDEX('CAT_ACTIVIDADES'!$D$4:$D$11,MATCH($H638,'CAT_ACTIVIDADES'!$A$4:$A$11,0)),""))=""),"SIN CLASIFICAR",IFERROR(INDEX('CAT_ACTIVIDADES'!$D$4:$D$11,MATCH($H638,'CAT_ACTIVIDADES'!$A$4:$A$11,0)),"")))</f>
        <v/>
      </c>
      <c r="AO638" s="4" t="n"/>
      <c r="AP638" s="4" t="n"/>
      <c r="AQ638" s="4" t="n"/>
      <c r="AR638" s="5">
        <f>IF($AQ638="","",HYPERLINK(p_ruta_base_checklists&amp;$AQ638,"abrir"))</f>
        <v/>
      </c>
      <c r="AS638" s="4" t="n"/>
      <c r="AT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2" t="n"/>
      <c r="K639" s="5" t="n"/>
      <c r="L639" s="18" t="n"/>
      <c r="M639" s="5">
        <f>IF($A639="","",IFERROR(INDEX('AJUSTES'!$B$4:$B$303,MATCH($AT639,'AJUSTES'!$A$4:$A$303,0)),IF($K639="","",$K639)))</f>
        <v/>
      </c>
      <c r="N639" s="5">
        <f>IF($A639="","",IFERROR(INDEX('CAT_ESTADOS_ERP'!$B$4:$B$7,MATCH(IFERROR(INDEX('2_IMPORTAR_EJECUCION'!$C$9:$C$1208,MATCH($AT639,'2_IMPORTAR_EJECUCION'!$J$9:$J$1208,0)),""),'CAT_ESTADOS_ERP'!$A$4:$A$7,0)),"Pendiente"))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IF($J639="","",$P639&amp;"-"&amp;TEXT($Q639,"00"))</f>
        <v/>
      </c>
      <c r="S639" s="5">
        <f>IF($J639="","",INDEX(lista_dias,WEEKDAY($J639,2)))</f>
        <v/>
      </c>
      <c r="T639" s="5">
        <f>IF($J639="","",IFERROR(INDEX('CALENDARIO'!$C$15:$C$214,MATCH(TEXT($J639,"yyyy-mm-dd")&amp;"|"&amp;$X639&amp;"|"&amp;$Y639,'CALENDARIO'!$G$15:$G$214,0)),IFERROR(INDEX('CALENDARIO'!$C$15:$C$214,MATCH(TEXT($J639,"yyyy-mm-dd")&amp;"|"&amp;$X639&amp;"|",'CALENDARIO'!$G$15:$G$214,0)),IFERROR(INDEX('CALENDARIO'!$C$15:$C$214,MATCH(TEXT($J639,"yyyy-mm-dd")&amp;"||",'CALENDARIO'!$G$15:$G$214,0)),INDEX(patronHabil,WEEKDAY($J639,2))))))</f>
        <v/>
      </c>
      <c r="U639" s="5">
        <f>IF($I639="","",IFERROR(INDEX('CAT_TIPOS_OT'!$C$4:$C$8,MATCH($I639,'CAT_TIPOS_OT'!$A$4:$A$8,0)),"sin_clasificar"))</f>
        <v/>
      </c>
      <c r="V639" s="5">
        <f>IF($I639="","",IF(IFERROR(INDEX('CAT_TIPOS_OT'!$D$4:$D$8,MATCH($I639,'CAT_TIPOS_OT'!$A$4:$A$8,0)),"SIN CLASIFICAR")="","SIN CLASIFICAR",IFERROR(INDEX('CAT_TIPOS_OT'!$D$4:$D$8,MATCH($I639,'CAT_TIPOS_OT'!$A$4:$A$8,0)),"SIN CLASIFICAR")))</f>
        <v/>
      </c>
      <c r="W639" s="5">
        <f>IF($F639="","",IFERROR(INDEX('CAT_CENTROS_COSTO'!$F$4:$F$13,MATCH($F639,'CAT_CENTROS_COSTO'!$A$4:$A$13,0)),"(sin catálogo)"))</f>
        <v/>
      </c>
      <c r="X639" s="5">
        <f>IF($F639="","",IFERROR(INDEX('CAT_CENTROS_COSTO'!$D$4:$D$13,MATCH($F639,'CAT_CENTROS_COSTO'!$A$4:$A$13,0)),"(sin catálogo)"))</f>
        <v/>
      </c>
      <c r="Y639" s="5">
        <f>IF($F639="","",IF((IFERROR(INDEX('CAT_CENTROS_COSTO'!$E$4:$E$13,MATCH($F639,'CAT_CENTROS_COSTO'!$A$4:$A$13,0)),""))&lt;&gt;"",IFERROR(INDEX('CAT_CENTROS_COSTO'!$E$4:$E$13,MATCH($F639,'CAT_CENTROS_COSTO'!$A$4:$A$13,0)),""),$X639))</f>
        <v/>
      </c>
      <c r="Z639" s="5">
        <f>IF($F639="","",IFERROR(INDEX('CAT_CENTROS_COSTO'!$G$4:$G$13,MATCH($F639,'CAT_CENTROS_COSTO'!$A$4:$A$13,0)),"(sin catálogo)"))</f>
        <v/>
      </c>
      <c r="AA639" s="5">
        <f>IF($G639="","",IFERROR(INDEX('CAT_PUESTOS'!$B$4:$B$8,MATCH($G639,'CAT_PUESTOS'!$A$4:$A$8,0)),"(sin catálogo)"))</f>
        <v/>
      </c>
      <c r="AB639" s="5">
        <f>IF($H639="","",IFERROR(INDEX('CAT_ACTIVIDADES'!$B$4:$B$11,MATCH($H639,'CAT_ACTIVIDADES'!$A$4:$A$11,0)),"(sin catálogo)"))</f>
        <v/>
      </c>
      <c r="AC639" s="20">
        <f>IF($J639="","",TODAY()-$J639)</f>
        <v/>
      </c>
      <c r="AD639" s="20">
        <f>IF($J639="","",IF($J639&lt;=TODAY(),COUNTIFS(cal_fechas,"&gt;="&amp;$J639,cal_fechas,"&lt;"&amp;TODAY(),cal_habil,"sí"),-COUNTIFS(cal_fechas,"&gt;="&amp;TODAY(),cal_fechas,"&lt;"&amp;$J639,cal_habil,"sí")))</f>
        <v/>
      </c>
      <c r="AE639" s="5">
        <f>IF($AD639="","",IF($AD639&lt;0,"FUTURO",IF($AD639&gt;p_dias_backlog_max,"BACKLOG","MES CORRIENTE")))</f>
        <v/>
      </c>
      <c r="AF639" s="5">
        <f>IF($AD639="",FALSE,AND($AD639&gt;p_dias_backlog_min,$AD639&lt;=p_dias_backlog_max))</f>
        <v/>
      </c>
      <c r="AG639" s="4" t="n"/>
      <c r="AH639" s="5">
        <f>IF($AG639="","",IF((IFERROR(INDEX('ASIGNACIONES'!$J$4:$J$451,MATCH($O639&amp;"|"&amp;$S639&amp;"|"&amp;$AG639,'ASIGNACIONES'!$N$4:$N$451,0)),""))=0,"",IFERROR(INDEX('ASIGNACIONES'!$J$4:$J$451,MATCH($O639&amp;"|"&amp;$S639&amp;"|"&amp;$AG639,'ASIGNACIONES'!$N$4:$N$451,0)),"")))</f>
        <v/>
      </c>
      <c r="AI639" s="25">
        <f>IF($AG639="","",SUMIFS('ORDENES'!$M$4:$M$1203,'ORDENES'!$AG$4:$AG$1203,$AG639,'ORDENES'!$O$4:$O$1203,$O639,'ORDENES'!$S$4:$S$1203,$S639))</f>
        <v/>
      </c>
      <c r="AJ639" s="25">
        <f>IF($AI639="","",p_factor_productividad*IFERROR(INDEX('ASIGNACIONES'!$M$4:$M$451,MATCH($O639&amp;"|"&amp;$S639&amp;"|"&amp;$AG639,'ASIGNACIONES'!$N$4:$N$451,0)),0)-$AI639)</f>
        <v/>
      </c>
      <c r="AK639" s="18">
        <f>IF($A639="","",IFERROR(INDEX('2_IMPORTAR_EJECUCION'!$F$9:$F$1208,MATCH($AT639,'2_IMPORTAR_EJECUCION'!$J$9:$J$1208,0)),0))</f>
        <v/>
      </c>
      <c r="AL639" s="18">
        <f>IF($A639="","",MAX(0,IFERROR(INDEX('2_IMPORTAR_EJECUCION'!$H$9:$H$1208,MATCH($AT639,'2_IMPORTAR_EJECUCION'!$J$9:$J$1208,0)),0)-$AK639))</f>
        <v/>
      </c>
      <c r="AM639" s="18">
        <f>IF($A639="","",$AK639+$AL639)</f>
        <v/>
      </c>
      <c r="AN639" s="5">
        <f>IF($A639="","",IF(OR((IFERROR(INDEX('CAT_ACTIVIDADES'!$D$4:$D$11,MATCH($H639,'CAT_ACTIVIDADES'!$A$4:$A$11,0)),""))=0,(IFERROR(INDEX('CAT_ACTIVIDADES'!$D$4:$D$11,MATCH($H639,'CAT_ACTIVIDADES'!$A$4:$A$11,0)),""))=""),"SIN CLASIFICAR",IFERROR(INDEX('CAT_ACTIVIDADES'!$D$4:$D$11,MATCH($H639,'CAT_ACTIVIDADES'!$A$4:$A$11,0)),"")))</f>
        <v/>
      </c>
      <c r="AO639" s="4" t="n"/>
      <c r="AP639" s="4" t="n"/>
      <c r="AQ639" s="4" t="n"/>
      <c r="AR639" s="5">
        <f>IF($AQ639="","",HYPERLINK(p_ruta_base_checklists&amp;$AQ639,"abrir"))</f>
        <v/>
      </c>
      <c r="AS639" s="4" t="n"/>
      <c r="AT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2" t="n"/>
      <c r="K640" s="5" t="n"/>
      <c r="L640" s="18" t="n"/>
      <c r="M640" s="5">
        <f>IF($A640="","",IFERROR(INDEX('AJUSTES'!$B$4:$B$303,MATCH($AT640,'AJUSTES'!$A$4:$A$303,0)),IF($K640="","",$K640)))</f>
        <v/>
      </c>
      <c r="N640" s="5">
        <f>IF($A640="","",IFERROR(INDEX('CAT_ESTADOS_ERP'!$B$4:$B$7,MATCH(IFERROR(INDEX('2_IMPORTAR_EJECUCION'!$C$9:$C$1208,MATCH($AT640,'2_IMPORTAR_EJECUCION'!$J$9:$J$1208,0)),""),'CAT_ESTADOS_ERP'!$A$4:$A$7,0)),"Pendiente"))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IF($J640="","",$P640&amp;"-"&amp;TEXT($Q640,"00"))</f>
        <v/>
      </c>
      <c r="S640" s="5">
        <f>IF($J640="","",INDEX(lista_dias,WEEKDAY($J640,2)))</f>
        <v/>
      </c>
      <c r="T640" s="5">
        <f>IF($J640="","",IFERROR(INDEX('CALENDARIO'!$C$15:$C$214,MATCH(TEXT($J640,"yyyy-mm-dd")&amp;"|"&amp;$X640&amp;"|"&amp;$Y640,'CALENDARIO'!$G$15:$G$214,0)),IFERROR(INDEX('CALENDARIO'!$C$15:$C$214,MATCH(TEXT($J640,"yyyy-mm-dd")&amp;"|"&amp;$X640&amp;"|",'CALENDARIO'!$G$15:$G$214,0)),IFERROR(INDEX('CALENDARIO'!$C$15:$C$214,MATCH(TEXT($J640,"yyyy-mm-dd")&amp;"||",'CALENDARIO'!$G$15:$G$214,0)),INDEX(patronHabil,WEEKDAY($J640,2))))))</f>
        <v/>
      </c>
      <c r="U640" s="5">
        <f>IF($I640="","",IFERROR(INDEX('CAT_TIPOS_OT'!$C$4:$C$8,MATCH($I640,'CAT_TIPOS_OT'!$A$4:$A$8,0)),"sin_clasificar"))</f>
        <v/>
      </c>
      <c r="V640" s="5">
        <f>IF($I640="","",IF(IFERROR(INDEX('CAT_TIPOS_OT'!$D$4:$D$8,MATCH($I640,'CAT_TIPOS_OT'!$A$4:$A$8,0)),"SIN CLASIFICAR")="","SIN CLASIFICAR",IFERROR(INDEX('CAT_TIPOS_OT'!$D$4:$D$8,MATCH($I640,'CAT_TIPOS_OT'!$A$4:$A$8,0)),"SIN CLASIFICAR")))</f>
        <v/>
      </c>
      <c r="W640" s="5">
        <f>IF($F640="","",IFERROR(INDEX('CAT_CENTROS_COSTO'!$F$4:$F$13,MATCH($F640,'CAT_CENTROS_COSTO'!$A$4:$A$13,0)),"(sin catálogo)"))</f>
        <v/>
      </c>
      <c r="X640" s="5">
        <f>IF($F640="","",IFERROR(INDEX('CAT_CENTROS_COSTO'!$D$4:$D$13,MATCH($F640,'CAT_CENTROS_COSTO'!$A$4:$A$13,0)),"(sin catálogo)"))</f>
        <v/>
      </c>
      <c r="Y640" s="5">
        <f>IF($F640="","",IF((IFERROR(INDEX('CAT_CENTROS_COSTO'!$E$4:$E$13,MATCH($F640,'CAT_CENTROS_COSTO'!$A$4:$A$13,0)),""))&lt;&gt;"",IFERROR(INDEX('CAT_CENTROS_COSTO'!$E$4:$E$13,MATCH($F640,'CAT_CENTROS_COSTO'!$A$4:$A$13,0)),""),$X640))</f>
        <v/>
      </c>
      <c r="Z640" s="5">
        <f>IF($F640="","",IFERROR(INDEX('CAT_CENTROS_COSTO'!$G$4:$G$13,MATCH($F640,'CAT_CENTROS_COSTO'!$A$4:$A$13,0)),"(sin catálogo)"))</f>
        <v/>
      </c>
      <c r="AA640" s="5">
        <f>IF($G640="","",IFERROR(INDEX('CAT_PUESTOS'!$B$4:$B$8,MATCH($G640,'CAT_PUESTOS'!$A$4:$A$8,0)),"(sin catálogo)"))</f>
        <v/>
      </c>
      <c r="AB640" s="5">
        <f>IF($H640="","",IFERROR(INDEX('CAT_ACTIVIDADES'!$B$4:$B$11,MATCH($H640,'CAT_ACTIVIDADES'!$A$4:$A$11,0)),"(sin catálogo)"))</f>
        <v/>
      </c>
      <c r="AC640" s="20">
        <f>IF($J640="","",TODAY()-$J640)</f>
        <v/>
      </c>
      <c r="AD640" s="20">
        <f>IF($J640="","",IF($J640&lt;=TODAY(),COUNTIFS(cal_fechas,"&gt;="&amp;$J640,cal_fechas,"&lt;"&amp;TODAY(),cal_habil,"sí"),-COUNTIFS(cal_fechas,"&gt;="&amp;TODAY(),cal_fechas,"&lt;"&amp;$J640,cal_habil,"sí")))</f>
        <v/>
      </c>
      <c r="AE640" s="5">
        <f>IF($AD640="","",IF($AD640&lt;0,"FUTURO",IF($AD640&gt;p_dias_backlog_max,"BACKLOG","MES CORRIENTE")))</f>
        <v/>
      </c>
      <c r="AF640" s="5">
        <f>IF($AD640="",FALSE,AND($AD640&gt;p_dias_backlog_min,$AD640&lt;=p_dias_backlog_max))</f>
        <v/>
      </c>
      <c r="AG640" s="4" t="n"/>
      <c r="AH640" s="5">
        <f>IF($AG640="","",IF((IFERROR(INDEX('ASIGNACIONES'!$J$4:$J$451,MATCH($O640&amp;"|"&amp;$S640&amp;"|"&amp;$AG640,'ASIGNACIONES'!$N$4:$N$451,0)),""))=0,"",IFERROR(INDEX('ASIGNACIONES'!$J$4:$J$451,MATCH($O640&amp;"|"&amp;$S640&amp;"|"&amp;$AG640,'ASIGNACIONES'!$N$4:$N$451,0)),"")))</f>
        <v/>
      </c>
      <c r="AI640" s="25">
        <f>IF($AG640="","",SUMIFS('ORDENES'!$M$4:$M$1203,'ORDENES'!$AG$4:$AG$1203,$AG640,'ORDENES'!$O$4:$O$1203,$O640,'ORDENES'!$S$4:$S$1203,$S640))</f>
        <v/>
      </c>
      <c r="AJ640" s="25">
        <f>IF($AI640="","",p_factor_productividad*IFERROR(INDEX('ASIGNACIONES'!$M$4:$M$451,MATCH($O640&amp;"|"&amp;$S640&amp;"|"&amp;$AG640,'ASIGNACIONES'!$N$4:$N$451,0)),0)-$AI640)</f>
        <v/>
      </c>
      <c r="AK640" s="18">
        <f>IF($A640="","",IFERROR(INDEX('2_IMPORTAR_EJECUCION'!$F$9:$F$1208,MATCH($AT640,'2_IMPORTAR_EJECUCION'!$J$9:$J$1208,0)),0))</f>
        <v/>
      </c>
      <c r="AL640" s="18">
        <f>IF($A640="","",MAX(0,IFERROR(INDEX('2_IMPORTAR_EJECUCION'!$H$9:$H$1208,MATCH($AT640,'2_IMPORTAR_EJECUCION'!$J$9:$J$1208,0)),0)-$AK640))</f>
        <v/>
      </c>
      <c r="AM640" s="18">
        <f>IF($A640="","",$AK640+$AL640)</f>
        <v/>
      </c>
      <c r="AN640" s="5">
        <f>IF($A640="","",IF(OR((IFERROR(INDEX('CAT_ACTIVIDADES'!$D$4:$D$11,MATCH($H640,'CAT_ACTIVIDADES'!$A$4:$A$11,0)),""))=0,(IFERROR(INDEX('CAT_ACTIVIDADES'!$D$4:$D$11,MATCH($H640,'CAT_ACTIVIDADES'!$A$4:$A$11,0)),""))=""),"SIN CLASIFICAR",IFERROR(INDEX('CAT_ACTIVIDADES'!$D$4:$D$11,MATCH($H640,'CAT_ACTIVIDADES'!$A$4:$A$11,0)),"")))</f>
        <v/>
      </c>
      <c r="AO640" s="4" t="n"/>
      <c r="AP640" s="4" t="n"/>
      <c r="AQ640" s="4" t="n"/>
      <c r="AR640" s="5">
        <f>IF($AQ640="","",HYPERLINK(p_ruta_base_checklists&amp;$AQ640,"abrir"))</f>
        <v/>
      </c>
      <c r="AS640" s="4" t="n"/>
      <c r="AT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2" t="n"/>
      <c r="K641" s="5" t="n"/>
      <c r="L641" s="18" t="n"/>
      <c r="M641" s="5">
        <f>IF($A641="","",IFERROR(INDEX('AJUSTES'!$B$4:$B$303,MATCH($AT641,'AJUSTES'!$A$4:$A$303,0)),IF($K641="","",$K641)))</f>
        <v/>
      </c>
      <c r="N641" s="5">
        <f>IF($A641="","",IFERROR(INDEX('CAT_ESTADOS_ERP'!$B$4:$B$7,MATCH(IFERROR(INDEX('2_IMPORTAR_EJECUCION'!$C$9:$C$1208,MATCH($AT641,'2_IMPORTAR_EJECUCION'!$J$9:$J$1208,0)),""),'CAT_ESTADOS_ERP'!$A$4:$A$7,0)),"Pendiente"))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IF($J641="","",$P641&amp;"-"&amp;TEXT($Q641,"00"))</f>
        <v/>
      </c>
      <c r="S641" s="5">
        <f>IF($J641="","",INDEX(lista_dias,WEEKDAY($J641,2)))</f>
        <v/>
      </c>
      <c r="T641" s="5">
        <f>IF($J641="","",IFERROR(INDEX('CALENDARIO'!$C$15:$C$214,MATCH(TEXT($J641,"yyyy-mm-dd")&amp;"|"&amp;$X641&amp;"|"&amp;$Y641,'CALENDARIO'!$G$15:$G$214,0)),IFERROR(INDEX('CALENDARIO'!$C$15:$C$214,MATCH(TEXT($J641,"yyyy-mm-dd")&amp;"|"&amp;$X641&amp;"|",'CALENDARIO'!$G$15:$G$214,0)),IFERROR(INDEX('CALENDARIO'!$C$15:$C$214,MATCH(TEXT($J641,"yyyy-mm-dd")&amp;"||",'CALENDARIO'!$G$15:$G$214,0)),INDEX(patronHabil,WEEKDAY($J641,2))))))</f>
        <v/>
      </c>
      <c r="U641" s="5">
        <f>IF($I641="","",IFERROR(INDEX('CAT_TIPOS_OT'!$C$4:$C$8,MATCH($I641,'CAT_TIPOS_OT'!$A$4:$A$8,0)),"sin_clasificar"))</f>
        <v/>
      </c>
      <c r="V641" s="5">
        <f>IF($I641="","",IF(IFERROR(INDEX('CAT_TIPOS_OT'!$D$4:$D$8,MATCH($I641,'CAT_TIPOS_OT'!$A$4:$A$8,0)),"SIN CLASIFICAR")="","SIN CLASIFICAR",IFERROR(INDEX('CAT_TIPOS_OT'!$D$4:$D$8,MATCH($I641,'CAT_TIPOS_OT'!$A$4:$A$8,0)),"SIN CLASIFICAR")))</f>
        <v/>
      </c>
      <c r="W641" s="5">
        <f>IF($F641="","",IFERROR(INDEX('CAT_CENTROS_COSTO'!$F$4:$F$13,MATCH($F641,'CAT_CENTROS_COSTO'!$A$4:$A$13,0)),"(sin catálogo)"))</f>
        <v/>
      </c>
      <c r="X641" s="5">
        <f>IF($F641="","",IFERROR(INDEX('CAT_CENTROS_COSTO'!$D$4:$D$13,MATCH($F641,'CAT_CENTROS_COSTO'!$A$4:$A$13,0)),"(sin catálogo)"))</f>
        <v/>
      </c>
      <c r="Y641" s="5">
        <f>IF($F641="","",IF((IFERROR(INDEX('CAT_CENTROS_COSTO'!$E$4:$E$13,MATCH($F641,'CAT_CENTROS_COSTO'!$A$4:$A$13,0)),""))&lt;&gt;"",IFERROR(INDEX('CAT_CENTROS_COSTO'!$E$4:$E$13,MATCH($F641,'CAT_CENTROS_COSTO'!$A$4:$A$13,0)),""),$X641))</f>
        <v/>
      </c>
      <c r="Z641" s="5">
        <f>IF($F641="","",IFERROR(INDEX('CAT_CENTROS_COSTO'!$G$4:$G$13,MATCH($F641,'CAT_CENTROS_COSTO'!$A$4:$A$13,0)),"(sin catálogo)"))</f>
        <v/>
      </c>
      <c r="AA641" s="5">
        <f>IF($G641="","",IFERROR(INDEX('CAT_PUESTOS'!$B$4:$B$8,MATCH($G641,'CAT_PUESTOS'!$A$4:$A$8,0)),"(sin catálogo)"))</f>
        <v/>
      </c>
      <c r="AB641" s="5">
        <f>IF($H641="","",IFERROR(INDEX('CAT_ACTIVIDADES'!$B$4:$B$11,MATCH($H641,'CAT_ACTIVIDADES'!$A$4:$A$11,0)),"(sin catálogo)"))</f>
        <v/>
      </c>
      <c r="AC641" s="20">
        <f>IF($J641="","",TODAY()-$J641)</f>
        <v/>
      </c>
      <c r="AD641" s="20">
        <f>IF($J641="","",IF($J641&lt;=TODAY(),COUNTIFS(cal_fechas,"&gt;="&amp;$J641,cal_fechas,"&lt;"&amp;TODAY(),cal_habil,"sí"),-COUNTIFS(cal_fechas,"&gt;="&amp;TODAY(),cal_fechas,"&lt;"&amp;$J641,cal_habil,"sí")))</f>
        <v/>
      </c>
      <c r="AE641" s="5">
        <f>IF($AD641="","",IF($AD641&lt;0,"FUTURO",IF($AD641&gt;p_dias_backlog_max,"BACKLOG","MES CORRIENTE")))</f>
        <v/>
      </c>
      <c r="AF641" s="5">
        <f>IF($AD641="",FALSE,AND($AD641&gt;p_dias_backlog_min,$AD641&lt;=p_dias_backlog_max))</f>
        <v/>
      </c>
      <c r="AG641" s="4" t="n"/>
      <c r="AH641" s="5">
        <f>IF($AG641="","",IF((IFERROR(INDEX('ASIGNACIONES'!$J$4:$J$451,MATCH($O641&amp;"|"&amp;$S641&amp;"|"&amp;$AG641,'ASIGNACIONES'!$N$4:$N$451,0)),""))=0,"",IFERROR(INDEX('ASIGNACIONES'!$J$4:$J$451,MATCH($O641&amp;"|"&amp;$S641&amp;"|"&amp;$AG641,'ASIGNACIONES'!$N$4:$N$451,0)),"")))</f>
        <v/>
      </c>
      <c r="AI641" s="25">
        <f>IF($AG641="","",SUMIFS('ORDENES'!$M$4:$M$1203,'ORDENES'!$AG$4:$AG$1203,$AG641,'ORDENES'!$O$4:$O$1203,$O641,'ORDENES'!$S$4:$S$1203,$S641))</f>
        <v/>
      </c>
      <c r="AJ641" s="25">
        <f>IF($AI641="","",p_factor_productividad*IFERROR(INDEX('ASIGNACIONES'!$M$4:$M$451,MATCH($O641&amp;"|"&amp;$S641&amp;"|"&amp;$AG641,'ASIGNACIONES'!$N$4:$N$451,0)),0)-$AI641)</f>
        <v/>
      </c>
      <c r="AK641" s="18">
        <f>IF($A641="","",IFERROR(INDEX('2_IMPORTAR_EJECUCION'!$F$9:$F$1208,MATCH($AT641,'2_IMPORTAR_EJECUCION'!$J$9:$J$1208,0)),0))</f>
        <v/>
      </c>
      <c r="AL641" s="18">
        <f>IF($A641="","",MAX(0,IFERROR(INDEX('2_IMPORTAR_EJECUCION'!$H$9:$H$1208,MATCH($AT641,'2_IMPORTAR_EJECUCION'!$J$9:$J$1208,0)),0)-$AK641))</f>
        <v/>
      </c>
      <c r="AM641" s="18">
        <f>IF($A641="","",$AK641+$AL641)</f>
        <v/>
      </c>
      <c r="AN641" s="5">
        <f>IF($A641="","",IF(OR((IFERROR(INDEX('CAT_ACTIVIDADES'!$D$4:$D$11,MATCH($H641,'CAT_ACTIVIDADES'!$A$4:$A$11,0)),""))=0,(IFERROR(INDEX('CAT_ACTIVIDADES'!$D$4:$D$11,MATCH($H641,'CAT_ACTIVIDADES'!$A$4:$A$11,0)),""))=""),"SIN CLASIFICAR",IFERROR(INDEX('CAT_ACTIVIDADES'!$D$4:$D$11,MATCH($H641,'CAT_ACTIVIDADES'!$A$4:$A$11,0)),"")))</f>
        <v/>
      </c>
      <c r="AO641" s="4" t="n"/>
      <c r="AP641" s="4" t="n"/>
      <c r="AQ641" s="4" t="n"/>
      <c r="AR641" s="5">
        <f>IF($AQ641="","",HYPERLINK(p_ruta_base_checklists&amp;$AQ641,"abrir"))</f>
        <v/>
      </c>
      <c r="AS641" s="4" t="n"/>
      <c r="AT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2" t="n"/>
      <c r="K642" s="5" t="n"/>
      <c r="L642" s="18" t="n"/>
      <c r="M642" s="5">
        <f>IF($A642="","",IFERROR(INDEX('AJUSTES'!$B$4:$B$303,MATCH($AT642,'AJUSTES'!$A$4:$A$303,0)),IF($K642="","",$K642)))</f>
        <v/>
      </c>
      <c r="N642" s="5">
        <f>IF($A642="","",IFERROR(INDEX('CAT_ESTADOS_ERP'!$B$4:$B$7,MATCH(IFERROR(INDEX('2_IMPORTAR_EJECUCION'!$C$9:$C$1208,MATCH($AT642,'2_IMPORTAR_EJECUCION'!$J$9:$J$1208,0)),""),'CAT_ESTADOS_ERP'!$A$4:$A$7,0)),"Pendiente"))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IF($J642="","",$P642&amp;"-"&amp;TEXT($Q642,"00"))</f>
        <v/>
      </c>
      <c r="S642" s="5">
        <f>IF($J642="","",INDEX(lista_dias,WEEKDAY($J642,2)))</f>
        <v/>
      </c>
      <c r="T642" s="5">
        <f>IF($J642="","",IFERROR(INDEX('CALENDARIO'!$C$15:$C$214,MATCH(TEXT($J642,"yyyy-mm-dd")&amp;"|"&amp;$X642&amp;"|"&amp;$Y642,'CALENDARIO'!$G$15:$G$214,0)),IFERROR(INDEX('CALENDARIO'!$C$15:$C$214,MATCH(TEXT($J642,"yyyy-mm-dd")&amp;"|"&amp;$X642&amp;"|",'CALENDARIO'!$G$15:$G$214,0)),IFERROR(INDEX('CALENDARIO'!$C$15:$C$214,MATCH(TEXT($J642,"yyyy-mm-dd")&amp;"||",'CALENDARIO'!$G$15:$G$214,0)),INDEX(patronHabil,WEEKDAY($J642,2))))))</f>
        <v/>
      </c>
      <c r="U642" s="5">
        <f>IF($I642="","",IFERROR(INDEX('CAT_TIPOS_OT'!$C$4:$C$8,MATCH($I642,'CAT_TIPOS_OT'!$A$4:$A$8,0)),"sin_clasificar"))</f>
        <v/>
      </c>
      <c r="V642" s="5">
        <f>IF($I642="","",IF(IFERROR(INDEX('CAT_TIPOS_OT'!$D$4:$D$8,MATCH($I642,'CAT_TIPOS_OT'!$A$4:$A$8,0)),"SIN CLASIFICAR")="","SIN CLASIFICAR",IFERROR(INDEX('CAT_TIPOS_OT'!$D$4:$D$8,MATCH($I642,'CAT_TIPOS_OT'!$A$4:$A$8,0)),"SIN CLASIFICAR")))</f>
        <v/>
      </c>
      <c r="W642" s="5">
        <f>IF($F642="","",IFERROR(INDEX('CAT_CENTROS_COSTO'!$F$4:$F$13,MATCH($F642,'CAT_CENTROS_COSTO'!$A$4:$A$13,0)),"(sin catálogo)"))</f>
        <v/>
      </c>
      <c r="X642" s="5">
        <f>IF($F642="","",IFERROR(INDEX('CAT_CENTROS_COSTO'!$D$4:$D$13,MATCH($F642,'CAT_CENTROS_COSTO'!$A$4:$A$13,0)),"(sin catálogo)"))</f>
        <v/>
      </c>
      <c r="Y642" s="5">
        <f>IF($F642="","",IF((IFERROR(INDEX('CAT_CENTROS_COSTO'!$E$4:$E$13,MATCH($F642,'CAT_CENTROS_COSTO'!$A$4:$A$13,0)),""))&lt;&gt;"",IFERROR(INDEX('CAT_CENTROS_COSTO'!$E$4:$E$13,MATCH($F642,'CAT_CENTROS_COSTO'!$A$4:$A$13,0)),""),$X642))</f>
        <v/>
      </c>
      <c r="Z642" s="5">
        <f>IF($F642="","",IFERROR(INDEX('CAT_CENTROS_COSTO'!$G$4:$G$13,MATCH($F642,'CAT_CENTROS_COSTO'!$A$4:$A$13,0)),"(sin catálogo)"))</f>
        <v/>
      </c>
      <c r="AA642" s="5">
        <f>IF($G642="","",IFERROR(INDEX('CAT_PUESTOS'!$B$4:$B$8,MATCH($G642,'CAT_PUESTOS'!$A$4:$A$8,0)),"(sin catálogo)"))</f>
        <v/>
      </c>
      <c r="AB642" s="5">
        <f>IF($H642="","",IFERROR(INDEX('CAT_ACTIVIDADES'!$B$4:$B$11,MATCH($H642,'CAT_ACTIVIDADES'!$A$4:$A$11,0)),"(sin catálogo)"))</f>
        <v/>
      </c>
      <c r="AC642" s="20">
        <f>IF($J642="","",TODAY()-$J642)</f>
        <v/>
      </c>
      <c r="AD642" s="20">
        <f>IF($J642="","",IF($J642&lt;=TODAY(),COUNTIFS(cal_fechas,"&gt;="&amp;$J642,cal_fechas,"&lt;"&amp;TODAY(),cal_habil,"sí"),-COUNTIFS(cal_fechas,"&gt;="&amp;TODAY(),cal_fechas,"&lt;"&amp;$J642,cal_habil,"sí")))</f>
        <v/>
      </c>
      <c r="AE642" s="5">
        <f>IF($AD642="","",IF($AD642&lt;0,"FUTURO",IF($AD642&gt;p_dias_backlog_max,"BACKLOG","MES CORRIENTE")))</f>
        <v/>
      </c>
      <c r="AF642" s="5">
        <f>IF($AD642="",FALSE,AND($AD642&gt;p_dias_backlog_min,$AD642&lt;=p_dias_backlog_max))</f>
        <v/>
      </c>
      <c r="AG642" s="4" t="n"/>
      <c r="AH642" s="5">
        <f>IF($AG642="","",IF((IFERROR(INDEX('ASIGNACIONES'!$J$4:$J$451,MATCH($O642&amp;"|"&amp;$S642&amp;"|"&amp;$AG642,'ASIGNACIONES'!$N$4:$N$451,0)),""))=0,"",IFERROR(INDEX('ASIGNACIONES'!$J$4:$J$451,MATCH($O642&amp;"|"&amp;$S642&amp;"|"&amp;$AG642,'ASIGNACIONES'!$N$4:$N$451,0)),"")))</f>
        <v/>
      </c>
      <c r="AI642" s="25">
        <f>IF($AG642="","",SUMIFS('ORDENES'!$M$4:$M$1203,'ORDENES'!$AG$4:$AG$1203,$AG642,'ORDENES'!$O$4:$O$1203,$O642,'ORDENES'!$S$4:$S$1203,$S642))</f>
        <v/>
      </c>
      <c r="AJ642" s="25">
        <f>IF($AI642="","",p_factor_productividad*IFERROR(INDEX('ASIGNACIONES'!$M$4:$M$451,MATCH($O642&amp;"|"&amp;$S642&amp;"|"&amp;$AG642,'ASIGNACIONES'!$N$4:$N$451,0)),0)-$AI642)</f>
        <v/>
      </c>
      <c r="AK642" s="18">
        <f>IF($A642="","",IFERROR(INDEX('2_IMPORTAR_EJECUCION'!$F$9:$F$1208,MATCH($AT642,'2_IMPORTAR_EJECUCION'!$J$9:$J$1208,0)),0))</f>
        <v/>
      </c>
      <c r="AL642" s="18">
        <f>IF($A642="","",MAX(0,IFERROR(INDEX('2_IMPORTAR_EJECUCION'!$H$9:$H$1208,MATCH($AT642,'2_IMPORTAR_EJECUCION'!$J$9:$J$1208,0)),0)-$AK642))</f>
        <v/>
      </c>
      <c r="AM642" s="18">
        <f>IF($A642="","",$AK642+$AL642)</f>
        <v/>
      </c>
      <c r="AN642" s="5">
        <f>IF($A642="","",IF(OR((IFERROR(INDEX('CAT_ACTIVIDADES'!$D$4:$D$11,MATCH($H642,'CAT_ACTIVIDADES'!$A$4:$A$11,0)),""))=0,(IFERROR(INDEX('CAT_ACTIVIDADES'!$D$4:$D$11,MATCH($H642,'CAT_ACTIVIDADES'!$A$4:$A$11,0)),""))=""),"SIN CLASIFICAR",IFERROR(INDEX('CAT_ACTIVIDADES'!$D$4:$D$11,MATCH($H642,'CAT_ACTIVIDADES'!$A$4:$A$11,0)),"")))</f>
        <v/>
      </c>
      <c r="AO642" s="4" t="n"/>
      <c r="AP642" s="4" t="n"/>
      <c r="AQ642" s="4" t="n"/>
      <c r="AR642" s="5">
        <f>IF($AQ642="","",HYPERLINK(p_ruta_base_checklists&amp;$AQ642,"abrir"))</f>
        <v/>
      </c>
      <c r="AS642" s="4" t="n"/>
      <c r="AT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2" t="n"/>
      <c r="K643" s="5" t="n"/>
      <c r="L643" s="18" t="n"/>
      <c r="M643" s="5">
        <f>IF($A643="","",IFERROR(INDEX('AJUSTES'!$B$4:$B$303,MATCH($AT643,'AJUSTES'!$A$4:$A$303,0)),IF($K643="","",$K643)))</f>
        <v/>
      </c>
      <c r="N643" s="5">
        <f>IF($A643="","",IFERROR(INDEX('CAT_ESTADOS_ERP'!$B$4:$B$7,MATCH(IFERROR(INDEX('2_IMPORTAR_EJECUCION'!$C$9:$C$1208,MATCH($AT643,'2_IMPORTAR_EJECUCION'!$J$9:$J$1208,0)),""),'CAT_ESTADOS_ERP'!$A$4:$A$7,0)),"Pendiente"))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IF($J643="","",$P643&amp;"-"&amp;TEXT($Q643,"00"))</f>
        <v/>
      </c>
      <c r="S643" s="5">
        <f>IF($J643="","",INDEX(lista_dias,WEEKDAY($J643,2)))</f>
        <v/>
      </c>
      <c r="T643" s="5">
        <f>IF($J643="","",IFERROR(INDEX('CALENDARIO'!$C$15:$C$214,MATCH(TEXT($J643,"yyyy-mm-dd")&amp;"|"&amp;$X643&amp;"|"&amp;$Y643,'CALENDARIO'!$G$15:$G$214,0)),IFERROR(INDEX('CALENDARIO'!$C$15:$C$214,MATCH(TEXT($J643,"yyyy-mm-dd")&amp;"|"&amp;$X643&amp;"|",'CALENDARIO'!$G$15:$G$214,0)),IFERROR(INDEX('CALENDARIO'!$C$15:$C$214,MATCH(TEXT($J643,"yyyy-mm-dd")&amp;"||",'CALENDARIO'!$G$15:$G$214,0)),INDEX(patronHabil,WEEKDAY($J643,2))))))</f>
        <v/>
      </c>
      <c r="U643" s="5">
        <f>IF($I643="","",IFERROR(INDEX('CAT_TIPOS_OT'!$C$4:$C$8,MATCH($I643,'CAT_TIPOS_OT'!$A$4:$A$8,0)),"sin_clasificar"))</f>
        <v/>
      </c>
      <c r="V643" s="5">
        <f>IF($I643="","",IF(IFERROR(INDEX('CAT_TIPOS_OT'!$D$4:$D$8,MATCH($I643,'CAT_TIPOS_OT'!$A$4:$A$8,0)),"SIN CLASIFICAR")="","SIN CLASIFICAR",IFERROR(INDEX('CAT_TIPOS_OT'!$D$4:$D$8,MATCH($I643,'CAT_TIPOS_OT'!$A$4:$A$8,0)),"SIN CLASIFICAR")))</f>
        <v/>
      </c>
      <c r="W643" s="5">
        <f>IF($F643="","",IFERROR(INDEX('CAT_CENTROS_COSTO'!$F$4:$F$13,MATCH($F643,'CAT_CENTROS_COSTO'!$A$4:$A$13,0)),"(sin catálogo)"))</f>
        <v/>
      </c>
      <c r="X643" s="5">
        <f>IF($F643="","",IFERROR(INDEX('CAT_CENTROS_COSTO'!$D$4:$D$13,MATCH($F643,'CAT_CENTROS_COSTO'!$A$4:$A$13,0)),"(sin catálogo)"))</f>
        <v/>
      </c>
      <c r="Y643" s="5">
        <f>IF($F643="","",IF((IFERROR(INDEX('CAT_CENTROS_COSTO'!$E$4:$E$13,MATCH($F643,'CAT_CENTROS_COSTO'!$A$4:$A$13,0)),""))&lt;&gt;"",IFERROR(INDEX('CAT_CENTROS_COSTO'!$E$4:$E$13,MATCH($F643,'CAT_CENTROS_COSTO'!$A$4:$A$13,0)),""),$X643))</f>
        <v/>
      </c>
      <c r="Z643" s="5">
        <f>IF($F643="","",IFERROR(INDEX('CAT_CENTROS_COSTO'!$G$4:$G$13,MATCH($F643,'CAT_CENTROS_COSTO'!$A$4:$A$13,0)),"(sin catálogo)"))</f>
        <v/>
      </c>
      <c r="AA643" s="5">
        <f>IF($G643="","",IFERROR(INDEX('CAT_PUESTOS'!$B$4:$B$8,MATCH($G643,'CAT_PUESTOS'!$A$4:$A$8,0)),"(sin catálogo)"))</f>
        <v/>
      </c>
      <c r="AB643" s="5">
        <f>IF($H643="","",IFERROR(INDEX('CAT_ACTIVIDADES'!$B$4:$B$11,MATCH($H643,'CAT_ACTIVIDADES'!$A$4:$A$11,0)),"(sin catálogo)"))</f>
        <v/>
      </c>
      <c r="AC643" s="20">
        <f>IF($J643="","",TODAY()-$J643)</f>
        <v/>
      </c>
      <c r="AD643" s="20">
        <f>IF($J643="","",IF($J643&lt;=TODAY(),COUNTIFS(cal_fechas,"&gt;="&amp;$J643,cal_fechas,"&lt;"&amp;TODAY(),cal_habil,"sí"),-COUNTIFS(cal_fechas,"&gt;="&amp;TODAY(),cal_fechas,"&lt;"&amp;$J643,cal_habil,"sí")))</f>
        <v/>
      </c>
      <c r="AE643" s="5">
        <f>IF($AD643="","",IF($AD643&lt;0,"FUTURO",IF($AD643&gt;p_dias_backlog_max,"BACKLOG","MES CORRIENTE")))</f>
        <v/>
      </c>
      <c r="AF643" s="5">
        <f>IF($AD643="",FALSE,AND($AD643&gt;p_dias_backlog_min,$AD643&lt;=p_dias_backlog_max))</f>
        <v/>
      </c>
      <c r="AG643" s="4" t="n"/>
      <c r="AH643" s="5">
        <f>IF($AG643="","",IF((IFERROR(INDEX('ASIGNACIONES'!$J$4:$J$451,MATCH($O643&amp;"|"&amp;$S643&amp;"|"&amp;$AG643,'ASIGNACIONES'!$N$4:$N$451,0)),""))=0,"",IFERROR(INDEX('ASIGNACIONES'!$J$4:$J$451,MATCH($O643&amp;"|"&amp;$S643&amp;"|"&amp;$AG643,'ASIGNACIONES'!$N$4:$N$451,0)),"")))</f>
        <v/>
      </c>
      <c r="AI643" s="25">
        <f>IF($AG643="","",SUMIFS('ORDENES'!$M$4:$M$1203,'ORDENES'!$AG$4:$AG$1203,$AG643,'ORDENES'!$O$4:$O$1203,$O643,'ORDENES'!$S$4:$S$1203,$S643))</f>
        <v/>
      </c>
      <c r="AJ643" s="25">
        <f>IF($AI643="","",p_factor_productividad*IFERROR(INDEX('ASIGNACIONES'!$M$4:$M$451,MATCH($O643&amp;"|"&amp;$S643&amp;"|"&amp;$AG643,'ASIGNACIONES'!$N$4:$N$451,0)),0)-$AI643)</f>
        <v/>
      </c>
      <c r="AK643" s="18">
        <f>IF($A643="","",IFERROR(INDEX('2_IMPORTAR_EJECUCION'!$F$9:$F$1208,MATCH($AT643,'2_IMPORTAR_EJECUCION'!$J$9:$J$1208,0)),0))</f>
        <v/>
      </c>
      <c r="AL643" s="18">
        <f>IF($A643="","",MAX(0,IFERROR(INDEX('2_IMPORTAR_EJECUCION'!$H$9:$H$1208,MATCH($AT643,'2_IMPORTAR_EJECUCION'!$J$9:$J$1208,0)),0)-$AK643))</f>
        <v/>
      </c>
      <c r="AM643" s="18">
        <f>IF($A643="","",$AK643+$AL643)</f>
        <v/>
      </c>
      <c r="AN643" s="5">
        <f>IF($A643="","",IF(OR((IFERROR(INDEX('CAT_ACTIVIDADES'!$D$4:$D$11,MATCH($H643,'CAT_ACTIVIDADES'!$A$4:$A$11,0)),""))=0,(IFERROR(INDEX('CAT_ACTIVIDADES'!$D$4:$D$11,MATCH($H643,'CAT_ACTIVIDADES'!$A$4:$A$11,0)),""))=""),"SIN CLASIFICAR",IFERROR(INDEX('CAT_ACTIVIDADES'!$D$4:$D$11,MATCH($H643,'CAT_ACTIVIDADES'!$A$4:$A$11,0)),"")))</f>
        <v/>
      </c>
      <c r="AO643" s="4" t="n"/>
      <c r="AP643" s="4" t="n"/>
      <c r="AQ643" s="4" t="n"/>
      <c r="AR643" s="5">
        <f>IF($AQ643="","",HYPERLINK(p_ruta_base_checklists&amp;$AQ643,"abrir"))</f>
        <v/>
      </c>
      <c r="AS643" s="4" t="n"/>
      <c r="AT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2" t="n"/>
      <c r="K644" s="5" t="n"/>
      <c r="L644" s="18" t="n"/>
      <c r="M644" s="5">
        <f>IF($A644="","",IFERROR(INDEX('AJUSTES'!$B$4:$B$303,MATCH($AT644,'AJUSTES'!$A$4:$A$303,0)),IF($K644="","",$K644)))</f>
        <v/>
      </c>
      <c r="N644" s="5">
        <f>IF($A644="","",IFERROR(INDEX('CAT_ESTADOS_ERP'!$B$4:$B$7,MATCH(IFERROR(INDEX('2_IMPORTAR_EJECUCION'!$C$9:$C$1208,MATCH($AT644,'2_IMPORTAR_EJECUCION'!$J$9:$J$1208,0)),""),'CAT_ESTADOS_ERP'!$A$4:$A$7,0)),"Pendiente"))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IF($J644="","",$P644&amp;"-"&amp;TEXT($Q644,"00"))</f>
        <v/>
      </c>
      <c r="S644" s="5">
        <f>IF($J644="","",INDEX(lista_dias,WEEKDAY($J644,2)))</f>
        <v/>
      </c>
      <c r="T644" s="5">
        <f>IF($J644="","",IFERROR(INDEX('CALENDARIO'!$C$15:$C$214,MATCH(TEXT($J644,"yyyy-mm-dd")&amp;"|"&amp;$X644&amp;"|"&amp;$Y644,'CALENDARIO'!$G$15:$G$214,0)),IFERROR(INDEX('CALENDARIO'!$C$15:$C$214,MATCH(TEXT($J644,"yyyy-mm-dd")&amp;"|"&amp;$X644&amp;"|",'CALENDARIO'!$G$15:$G$214,0)),IFERROR(INDEX('CALENDARIO'!$C$15:$C$214,MATCH(TEXT($J644,"yyyy-mm-dd")&amp;"||",'CALENDARIO'!$G$15:$G$214,0)),INDEX(patronHabil,WEEKDAY($J644,2))))))</f>
        <v/>
      </c>
      <c r="U644" s="5">
        <f>IF($I644="","",IFERROR(INDEX('CAT_TIPOS_OT'!$C$4:$C$8,MATCH($I644,'CAT_TIPOS_OT'!$A$4:$A$8,0)),"sin_clasificar"))</f>
        <v/>
      </c>
      <c r="V644" s="5">
        <f>IF($I644="","",IF(IFERROR(INDEX('CAT_TIPOS_OT'!$D$4:$D$8,MATCH($I644,'CAT_TIPOS_OT'!$A$4:$A$8,0)),"SIN CLASIFICAR")="","SIN CLASIFICAR",IFERROR(INDEX('CAT_TIPOS_OT'!$D$4:$D$8,MATCH($I644,'CAT_TIPOS_OT'!$A$4:$A$8,0)),"SIN CLASIFICAR")))</f>
        <v/>
      </c>
      <c r="W644" s="5">
        <f>IF($F644="","",IFERROR(INDEX('CAT_CENTROS_COSTO'!$F$4:$F$13,MATCH($F644,'CAT_CENTROS_COSTO'!$A$4:$A$13,0)),"(sin catálogo)"))</f>
        <v/>
      </c>
      <c r="X644" s="5">
        <f>IF($F644="","",IFERROR(INDEX('CAT_CENTROS_COSTO'!$D$4:$D$13,MATCH($F644,'CAT_CENTROS_COSTO'!$A$4:$A$13,0)),"(sin catálogo)"))</f>
        <v/>
      </c>
      <c r="Y644" s="5">
        <f>IF($F644="","",IF((IFERROR(INDEX('CAT_CENTROS_COSTO'!$E$4:$E$13,MATCH($F644,'CAT_CENTROS_COSTO'!$A$4:$A$13,0)),""))&lt;&gt;"",IFERROR(INDEX('CAT_CENTROS_COSTO'!$E$4:$E$13,MATCH($F644,'CAT_CENTROS_COSTO'!$A$4:$A$13,0)),""),$X644))</f>
        <v/>
      </c>
      <c r="Z644" s="5">
        <f>IF($F644="","",IFERROR(INDEX('CAT_CENTROS_COSTO'!$G$4:$G$13,MATCH($F644,'CAT_CENTROS_COSTO'!$A$4:$A$13,0)),"(sin catálogo)"))</f>
        <v/>
      </c>
      <c r="AA644" s="5">
        <f>IF($G644="","",IFERROR(INDEX('CAT_PUESTOS'!$B$4:$B$8,MATCH($G644,'CAT_PUESTOS'!$A$4:$A$8,0)),"(sin catálogo)"))</f>
        <v/>
      </c>
      <c r="AB644" s="5">
        <f>IF($H644="","",IFERROR(INDEX('CAT_ACTIVIDADES'!$B$4:$B$11,MATCH($H644,'CAT_ACTIVIDADES'!$A$4:$A$11,0)),"(sin catálogo)"))</f>
        <v/>
      </c>
      <c r="AC644" s="20">
        <f>IF($J644="","",TODAY()-$J644)</f>
        <v/>
      </c>
      <c r="AD644" s="20">
        <f>IF($J644="","",IF($J644&lt;=TODAY(),COUNTIFS(cal_fechas,"&gt;="&amp;$J644,cal_fechas,"&lt;"&amp;TODAY(),cal_habil,"sí"),-COUNTIFS(cal_fechas,"&gt;="&amp;TODAY(),cal_fechas,"&lt;"&amp;$J644,cal_habil,"sí")))</f>
        <v/>
      </c>
      <c r="AE644" s="5">
        <f>IF($AD644="","",IF($AD644&lt;0,"FUTURO",IF($AD644&gt;p_dias_backlog_max,"BACKLOG","MES CORRIENTE")))</f>
        <v/>
      </c>
      <c r="AF644" s="5">
        <f>IF($AD644="",FALSE,AND($AD644&gt;p_dias_backlog_min,$AD644&lt;=p_dias_backlog_max))</f>
        <v/>
      </c>
      <c r="AG644" s="4" t="n"/>
      <c r="AH644" s="5">
        <f>IF($AG644="","",IF((IFERROR(INDEX('ASIGNACIONES'!$J$4:$J$451,MATCH($O644&amp;"|"&amp;$S644&amp;"|"&amp;$AG644,'ASIGNACIONES'!$N$4:$N$451,0)),""))=0,"",IFERROR(INDEX('ASIGNACIONES'!$J$4:$J$451,MATCH($O644&amp;"|"&amp;$S644&amp;"|"&amp;$AG644,'ASIGNACIONES'!$N$4:$N$451,0)),"")))</f>
        <v/>
      </c>
      <c r="AI644" s="25">
        <f>IF($AG644="","",SUMIFS('ORDENES'!$M$4:$M$1203,'ORDENES'!$AG$4:$AG$1203,$AG644,'ORDENES'!$O$4:$O$1203,$O644,'ORDENES'!$S$4:$S$1203,$S644))</f>
        <v/>
      </c>
      <c r="AJ644" s="25">
        <f>IF($AI644="","",p_factor_productividad*IFERROR(INDEX('ASIGNACIONES'!$M$4:$M$451,MATCH($O644&amp;"|"&amp;$S644&amp;"|"&amp;$AG644,'ASIGNACIONES'!$N$4:$N$451,0)),0)-$AI644)</f>
        <v/>
      </c>
      <c r="AK644" s="18">
        <f>IF($A644="","",IFERROR(INDEX('2_IMPORTAR_EJECUCION'!$F$9:$F$1208,MATCH($AT644,'2_IMPORTAR_EJECUCION'!$J$9:$J$1208,0)),0))</f>
        <v/>
      </c>
      <c r="AL644" s="18">
        <f>IF($A644="","",MAX(0,IFERROR(INDEX('2_IMPORTAR_EJECUCION'!$H$9:$H$1208,MATCH($AT644,'2_IMPORTAR_EJECUCION'!$J$9:$J$1208,0)),0)-$AK644))</f>
        <v/>
      </c>
      <c r="AM644" s="18">
        <f>IF($A644="","",$AK644+$AL644)</f>
        <v/>
      </c>
      <c r="AN644" s="5">
        <f>IF($A644="","",IF(OR((IFERROR(INDEX('CAT_ACTIVIDADES'!$D$4:$D$11,MATCH($H644,'CAT_ACTIVIDADES'!$A$4:$A$11,0)),""))=0,(IFERROR(INDEX('CAT_ACTIVIDADES'!$D$4:$D$11,MATCH($H644,'CAT_ACTIVIDADES'!$A$4:$A$11,0)),""))=""),"SIN CLASIFICAR",IFERROR(INDEX('CAT_ACTIVIDADES'!$D$4:$D$11,MATCH($H644,'CAT_ACTIVIDADES'!$A$4:$A$11,0)),"")))</f>
        <v/>
      </c>
      <c r="AO644" s="4" t="n"/>
      <c r="AP644" s="4" t="n"/>
      <c r="AQ644" s="4" t="n"/>
      <c r="AR644" s="5">
        <f>IF($AQ644="","",HYPERLINK(p_ruta_base_checklists&amp;$AQ644,"abrir"))</f>
        <v/>
      </c>
      <c r="AS644" s="4" t="n"/>
      <c r="AT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2" t="n"/>
      <c r="K645" s="5" t="n"/>
      <c r="L645" s="18" t="n"/>
      <c r="M645" s="5">
        <f>IF($A645="","",IFERROR(INDEX('AJUSTES'!$B$4:$B$303,MATCH($AT645,'AJUSTES'!$A$4:$A$303,0)),IF($K645="","",$K645)))</f>
        <v/>
      </c>
      <c r="N645" s="5">
        <f>IF($A645="","",IFERROR(INDEX('CAT_ESTADOS_ERP'!$B$4:$B$7,MATCH(IFERROR(INDEX('2_IMPORTAR_EJECUCION'!$C$9:$C$1208,MATCH($AT645,'2_IMPORTAR_EJECUCION'!$J$9:$J$1208,0)),""),'CAT_ESTADOS_ERP'!$A$4:$A$7,0)),"Pendiente"))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IF($J645="","",$P645&amp;"-"&amp;TEXT($Q645,"00"))</f>
        <v/>
      </c>
      <c r="S645" s="5">
        <f>IF($J645="","",INDEX(lista_dias,WEEKDAY($J645,2)))</f>
        <v/>
      </c>
      <c r="T645" s="5">
        <f>IF($J645="","",IFERROR(INDEX('CALENDARIO'!$C$15:$C$214,MATCH(TEXT($J645,"yyyy-mm-dd")&amp;"|"&amp;$X645&amp;"|"&amp;$Y645,'CALENDARIO'!$G$15:$G$214,0)),IFERROR(INDEX('CALENDARIO'!$C$15:$C$214,MATCH(TEXT($J645,"yyyy-mm-dd")&amp;"|"&amp;$X645&amp;"|",'CALENDARIO'!$G$15:$G$214,0)),IFERROR(INDEX('CALENDARIO'!$C$15:$C$214,MATCH(TEXT($J645,"yyyy-mm-dd")&amp;"||",'CALENDARIO'!$G$15:$G$214,0)),INDEX(patronHabil,WEEKDAY($J645,2))))))</f>
        <v/>
      </c>
      <c r="U645" s="5">
        <f>IF($I645="","",IFERROR(INDEX('CAT_TIPOS_OT'!$C$4:$C$8,MATCH($I645,'CAT_TIPOS_OT'!$A$4:$A$8,0)),"sin_clasificar"))</f>
        <v/>
      </c>
      <c r="V645" s="5">
        <f>IF($I645="","",IF(IFERROR(INDEX('CAT_TIPOS_OT'!$D$4:$D$8,MATCH($I645,'CAT_TIPOS_OT'!$A$4:$A$8,0)),"SIN CLASIFICAR")="","SIN CLASIFICAR",IFERROR(INDEX('CAT_TIPOS_OT'!$D$4:$D$8,MATCH($I645,'CAT_TIPOS_OT'!$A$4:$A$8,0)),"SIN CLASIFICAR")))</f>
        <v/>
      </c>
      <c r="W645" s="5">
        <f>IF($F645="","",IFERROR(INDEX('CAT_CENTROS_COSTO'!$F$4:$F$13,MATCH($F645,'CAT_CENTROS_COSTO'!$A$4:$A$13,0)),"(sin catálogo)"))</f>
        <v/>
      </c>
      <c r="X645" s="5">
        <f>IF($F645="","",IFERROR(INDEX('CAT_CENTROS_COSTO'!$D$4:$D$13,MATCH($F645,'CAT_CENTROS_COSTO'!$A$4:$A$13,0)),"(sin catálogo)"))</f>
        <v/>
      </c>
      <c r="Y645" s="5">
        <f>IF($F645="","",IF((IFERROR(INDEX('CAT_CENTROS_COSTO'!$E$4:$E$13,MATCH($F645,'CAT_CENTROS_COSTO'!$A$4:$A$13,0)),""))&lt;&gt;"",IFERROR(INDEX('CAT_CENTROS_COSTO'!$E$4:$E$13,MATCH($F645,'CAT_CENTROS_COSTO'!$A$4:$A$13,0)),""),$X645))</f>
        <v/>
      </c>
      <c r="Z645" s="5">
        <f>IF($F645="","",IFERROR(INDEX('CAT_CENTROS_COSTO'!$G$4:$G$13,MATCH($F645,'CAT_CENTROS_COSTO'!$A$4:$A$13,0)),"(sin catálogo)"))</f>
        <v/>
      </c>
      <c r="AA645" s="5">
        <f>IF($G645="","",IFERROR(INDEX('CAT_PUESTOS'!$B$4:$B$8,MATCH($G645,'CAT_PUESTOS'!$A$4:$A$8,0)),"(sin catálogo)"))</f>
        <v/>
      </c>
      <c r="AB645" s="5">
        <f>IF($H645="","",IFERROR(INDEX('CAT_ACTIVIDADES'!$B$4:$B$11,MATCH($H645,'CAT_ACTIVIDADES'!$A$4:$A$11,0)),"(sin catálogo)"))</f>
        <v/>
      </c>
      <c r="AC645" s="20">
        <f>IF($J645="","",TODAY()-$J645)</f>
        <v/>
      </c>
      <c r="AD645" s="20">
        <f>IF($J645="","",IF($J645&lt;=TODAY(),COUNTIFS(cal_fechas,"&gt;="&amp;$J645,cal_fechas,"&lt;"&amp;TODAY(),cal_habil,"sí"),-COUNTIFS(cal_fechas,"&gt;="&amp;TODAY(),cal_fechas,"&lt;"&amp;$J645,cal_habil,"sí")))</f>
        <v/>
      </c>
      <c r="AE645" s="5">
        <f>IF($AD645="","",IF($AD645&lt;0,"FUTURO",IF($AD645&gt;p_dias_backlog_max,"BACKLOG","MES CORRIENTE")))</f>
        <v/>
      </c>
      <c r="AF645" s="5">
        <f>IF($AD645="",FALSE,AND($AD645&gt;p_dias_backlog_min,$AD645&lt;=p_dias_backlog_max))</f>
        <v/>
      </c>
      <c r="AG645" s="4" t="n"/>
      <c r="AH645" s="5">
        <f>IF($AG645="","",IF((IFERROR(INDEX('ASIGNACIONES'!$J$4:$J$451,MATCH($O645&amp;"|"&amp;$S645&amp;"|"&amp;$AG645,'ASIGNACIONES'!$N$4:$N$451,0)),""))=0,"",IFERROR(INDEX('ASIGNACIONES'!$J$4:$J$451,MATCH($O645&amp;"|"&amp;$S645&amp;"|"&amp;$AG645,'ASIGNACIONES'!$N$4:$N$451,0)),"")))</f>
        <v/>
      </c>
      <c r="AI645" s="25">
        <f>IF($AG645="","",SUMIFS('ORDENES'!$M$4:$M$1203,'ORDENES'!$AG$4:$AG$1203,$AG645,'ORDENES'!$O$4:$O$1203,$O645,'ORDENES'!$S$4:$S$1203,$S645))</f>
        <v/>
      </c>
      <c r="AJ645" s="25">
        <f>IF($AI645="","",p_factor_productividad*IFERROR(INDEX('ASIGNACIONES'!$M$4:$M$451,MATCH($O645&amp;"|"&amp;$S645&amp;"|"&amp;$AG645,'ASIGNACIONES'!$N$4:$N$451,0)),0)-$AI645)</f>
        <v/>
      </c>
      <c r="AK645" s="18">
        <f>IF($A645="","",IFERROR(INDEX('2_IMPORTAR_EJECUCION'!$F$9:$F$1208,MATCH($AT645,'2_IMPORTAR_EJECUCION'!$J$9:$J$1208,0)),0))</f>
        <v/>
      </c>
      <c r="AL645" s="18">
        <f>IF($A645="","",MAX(0,IFERROR(INDEX('2_IMPORTAR_EJECUCION'!$H$9:$H$1208,MATCH($AT645,'2_IMPORTAR_EJECUCION'!$J$9:$J$1208,0)),0)-$AK645))</f>
        <v/>
      </c>
      <c r="AM645" s="18">
        <f>IF($A645="","",$AK645+$AL645)</f>
        <v/>
      </c>
      <c r="AN645" s="5">
        <f>IF($A645="","",IF(OR((IFERROR(INDEX('CAT_ACTIVIDADES'!$D$4:$D$11,MATCH($H645,'CAT_ACTIVIDADES'!$A$4:$A$11,0)),""))=0,(IFERROR(INDEX('CAT_ACTIVIDADES'!$D$4:$D$11,MATCH($H645,'CAT_ACTIVIDADES'!$A$4:$A$11,0)),""))=""),"SIN CLASIFICAR",IFERROR(INDEX('CAT_ACTIVIDADES'!$D$4:$D$11,MATCH($H645,'CAT_ACTIVIDADES'!$A$4:$A$11,0)),"")))</f>
        <v/>
      </c>
      <c r="AO645" s="4" t="n"/>
      <c r="AP645" s="4" t="n"/>
      <c r="AQ645" s="4" t="n"/>
      <c r="AR645" s="5">
        <f>IF($AQ645="","",HYPERLINK(p_ruta_base_checklists&amp;$AQ645,"abrir"))</f>
        <v/>
      </c>
      <c r="AS645" s="4" t="n"/>
      <c r="AT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2" t="n"/>
      <c r="K646" s="5" t="n"/>
      <c r="L646" s="18" t="n"/>
      <c r="M646" s="5">
        <f>IF($A646="","",IFERROR(INDEX('AJUSTES'!$B$4:$B$303,MATCH($AT646,'AJUSTES'!$A$4:$A$303,0)),IF($K646="","",$K646)))</f>
        <v/>
      </c>
      <c r="N646" s="5">
        <f>IF($A646="","",IFERROR(INDEX('CAT_ESTADOS_ERP'!$B$4:$B$7,MATCH(IFERROR(INDEX('2_IMPORTAR_EJECUCION'!$C$9:$C$1208,MATCH($AT646,'2_IMPORTAR_EJECUCION'!$J$9:$J$1208,0)),""),'CAT_ESTADOS_ERP'!$A$4:$A$7,0)),"Pendiente"))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IF($J646="","",$P646&amp;"-"&amp;TEXT($Q646,"00"))</f>
        <v/>
      </c>
      <c r="S646" s="5">
        <f>IF($J646="","",INDEX(lista_dias,WEEKDAY($J646,2)))</f>
        <v/>
      </c>
      <c r="T646" s="5">
        <f>IF($J646="","",IFERROR(INDEX('CALENDARIO'!$C$15:$C$214,MATCH(TEXT($J646,"yyyy-mm-dd")&amp;"|"&amp;$X646&amp;"|"&amp;$Y646,'CALENDARIO'!$G$15:$G$214,0)),IFERROR(INDEX('CALENDARIO'!$C$15:$C$214,MATCH(TEXT($J646,"yyyy-mm-dd")&amp;"|"&amp;$X646&amp;"|",'CALENDARIO'!$G$15:$G$214,0)),IFERROR(INDEX('CALENDARIO'!$C$15:$C$214,MATCH(TEXT($J646,"yyyy-mm-dd")&amp;"||",'CALENDARIO'!$G$15:$G$214,0)),INDEX(patronHabil,WEEKDAY($J646,2))))))</f>
        <v/>
      </c>
      <c r="U646" s="5">
        <f>IF($I646="","",IFERROR(INDEX('CAT_TIPOS_OT'!$C$4:$C$8,MATCH($I646,'CAT_TIPOS_OT'!$A$4:$A$8,0)),"sin_clasificar"))</f>
        <v/>
      </c>
      <c r="V646" s="5">
        <f>IF($I646="","",IF(IFERROR(INDEX('CAT_TIPOS_OT'!$D$4:$D$8,MATCH($I646,'CAT_TIPOS_OT'!$A$4:$A$8,0)),"SIN CLASIFICAR")="","SIN CLASIFICAR",IFERROR(INDEX('CAT_TIPOS_OT'!$D$4:$D$8,MATCH($I646,'CAT_TIPOS_OT'!$A$4:$A$8,0)),"SIN CLASIFICAR")))</f>
        <v/>
      </c>
      <c r="W646" s="5">
        <f>IF($F646="","",IFERROR(INDEX('CAT_CENTROS_COSTO'!$F$4:$F$13,MATCH($F646,'CAT_CENTROS_COSTO'!$A$4:$A$13,0)),"(sin catálogo)"))</f>
        <v/>
      </c>
      <c r="X646" s="5">
        <f>IF($F646="","",IFERROR(INDEX('CAT_CENTROS_COSTO'!$D$4:$D$13,MATCH($F646,'CAT_CENTROS_COSTO'!$A$4:$A$13,0)),"(sin catálogo)"))</f>
        <v/>
      </c>
      <c r="Y646" s="5">
        <f>IF($F646="","",IF((IFERROR(INDEX('CAT_CENTROS_COSTO'!$E$4:$E$13,MATCH($F646,'CAT_CENTROS_COSTO'!$A$4:$A$13,0)),""))&lt;&gt;"",IFERROR(INDEX('CAT_CENTROS_COSTO'!$E$4:$E$13,MATCH($F646,'CAT_CENTROS_COSTO'!$A$4:$A$13,0)),""),$X646))</f>
        <v/>
      </c>
      <c r="Z646" s="5">
        <f>IF($F646="","",IFERROR(INDEX('CAT_CENTROS_COSTO'!$G$4:$G$13,MATCH($F646,'CAT_CENTROS_COSTO'!$A$4:$A$13,0)),"(sin catálogo)"))</f>
        <v/>
      </c>
      <c r="AA646" s="5">
        <f>IF($G646="","",IFERROR(INDEX('CAT_PUESTOS'!$B$4:$B$8,MATCH($G646,'CAT_PUESTOS'!$A$4:$A$8,0)),"(sin catálogo)"))</f>
        <v/>
      </c>
      <c r="AB646" s="5">
        <f>IF($H646="","",IFERROR(INDEX('CAT_ACTIVIDADES'!$B$4:$B$11,MATCH($H646,'CAT_ACTIVIDADES'!$A$4:$A$11,0)),"(sin catálogo)"))</f>
        <v/>
      </c>
      <c r="AC646" s="20">
        <f>IF($J646="","",TODAY()-$J646)</f>
        <v/>
      </c>
      <c r="AD646" s="20">
        <f>IF($J646="","",IF($J646&lt;=TODAY(),COUNTIFS(cal_fechas,"&gt;="&amp;$J646,cal_fechas,"&lt;"&amp;TODAY(),cal_habil,"sí"),-COUNTIFS(cal_fechas,"&gt;="&amp;TODAY(),cal_fechas,"&lt;"&amp;$J646,cal_habil,"sí")))</f>
        <v/>
      </c>
      <c r="AE646" s="5">
        <f>IF($AD646="","",IF($AD646&lt;0,"FUTURO",IF($AD646&gt;p_dias_backlog_max,"BACKLOG","MES CORRIENTE")))</f>
        <v/>
      </c>
      <c r="AF646" s="5">
        <f>IF($AD646="",FALSE,AND($AD646&gt;p_dias_backlog_min,$AD646&lt;=p_dias_backlog_max))</f>
        <v/>
      </c>
      <c r="AG646" s="4" t="n"/>
      <c r="AH646" s="5">
        <f>IF($AG646="","",IF((IFERROR(INDEX('ASIGNACIONES'!$J$4:$J$451,MATCH($O646&amp;"|"&amp;$S646&amp;"|"&amp;$AG646,'ASIGNACIONES'!$N$4:$N$451,0)),""))=0,"",IFERROR(INDEX('ASIGNACIONES'!$J$4:$J$451,MATCH($O646&amp;"|"&amp;$S646&amp;"|"&amp;$AG646,'ASIGNACIONES'!$N$4:$N$451,0)),"")))</f>
        <v/>
      </c>
      <c r="AI646" s="25">
        <f>IF($AG646="","",SUMIFS('ORDENES'!$M$4:$M$1203,'ORDENES'!$AG$4:$AG$1203,$AG646,'ORDENES'!$O$4:$O$1203,$O646,'ORDENES'!$S$4:$S$1203,$S646))</f>
        <v/>
      </c>
      <c r="AJ646" s="25">
        <f>IF($AI646="","",p_factor_productividad*IFERROR(INDEX('ASIGNACIONES'!$M$4:$M$451,MATCH($O646&amp;"|"&amp;$S646&amp;"|"&amp;$AG646,'ASIGNACIONES'!$N$4:$N$451,0)),0)-$AI646)</f>
        <v/>
      </c>
      <c r="AK646" s="18">
        <f>IF($A646="","",IFERROR(INDEX('2_IMPORTAR_EJECUCION'!$F$9:$F$1208,MATCH($AT646,'2_IMPORTAR_EJECUCION'!$J$9:$J$1208,0)),0))</f>
        <v/>
      </c>
      <c r="AL646" s="18">
        <f>IF($A646="","",MAX(0,IFERROR(INDEX('2_IMPORTAR_EJECUCION'!$H$9:$H$1208,MATCH($AT646,'2_IMPORTAR_EJECUCION'!$J$9:$J$1208,0)),0)-$AK646))</f>
        <v/>
      </c>
      <c r="AM646" s="18">
        <f>IF($A646="","",$AK646+$AL646)</f>
        <v/>
      </c>
      <c r="AN646" s="5">
        <f>IF($A646="","",IF(OR((IFERROR(INDEX('CAT_ACTIVIDADES'!$D$4:$D$11,MATCH($H646,'CAT_ACTIVIDADES'!$A$4:$A$11,0)),""))=0,(IFERROR(INDEX('CAT_ACTIVIDADES'!$D$4:$D$11,MATCH($H646,'CAT_ACTIVIDADES'!$A$4:$A$11,0)),""))=""),"SIN CLASIFICAR",IFERROR(INDEX('CAT_ACTIVIDADES'!$D$4:$D$11,MATCH($H646,'CAT_ACTIVIDADES'!$A$4:$A$11,0)),"")))</f>
        <v/>
      </c>
      <c r="AO646" s="4" t="n"/>
      <c r="AP646" s="4" t="n"/>
      <c r="AQ646" s="4" t="n"/>
      <c r="AR646" s="5">
        <f>IF($AQ646="","",HYPERLINK(p_ruta_base_checklists&amp;$AQ646,"abrir"))</f>
        <v/>
      </c>
      <c r="AS646" s="4" t="n"/>
      <c r="AT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2" t="n"/>
      <c r="K647" s="5" t="n"/>
      <c r="L647" s="18" t="n"/>
      <c r="M647" s="5">
        <f>IF($A647="","",IFERROR(INDEX('AJUSTES'!$B$4:$B$303,MATCH($AT647,'AJUSTES'!$A$4:$A$303,0)),IF($K647="","",$K647)))</f>
        <v/>
      </c>
      <c r="N647" s="5">
        <f>IF($A647="","",IFERROR(INDEX('CAT_ESTADOS_ERP'!$B$4:$B$7,MATCH(IFERROR(INDEX('2_IMPORTAR_EJECUCION'!$C$9:$C$1208,MATCH($AT647,'2_IMPORTAR_EJECUCION'!$J$9:$J$1208,0)),""),'CAT_ESTADOS_ERP'!$A$4:$A$7,0)),"Pendiente"))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IF($J647="","",$P647&amp;"-"&amp;TEXT($Q647,"00"))</f>
        <v/>
      </c>
      <c r="S647" s="5">
        <f>IF($J647="","",INDEX(lista_dias,WEEKDAY($J647,2)))</f>
        <v/>
      </c>
      <c r="T647" s="5">
        <f>IF($J647="","",IFERROR(INDEX('CALENDARIO'!$C$15:$C$214,MATCH(TEXT($J647,"yyyy-mm-dd")&amp;"|"&amp;$X647&amp;"|"&amp;$Y647,'CALENDARIO'!$G$15:$G$214,0)),IFERROR(INDEX('CALENDARIO'!$C$15:$C$214,MATCH(TEXT($J647,"yyyy-mm-dd")&amp;"|"&amp;$X647&amp;"|",'CALENDARIO'!$G$15:$G$214,0)),IFERROR(INDEX('CALENDARIO'!$C$15:$C$214,MATCH(TEXT($J647,"yyyy-mm-dd")&amp;"||",'CALENDARIO'!$G$15:$G$214,0)),INDEX(patronHabil,WEEKDAY($J647,2))))))</f>
        <v/>
      </c>
      <c r="U647" s="5">
        <f>IF($I647="","",IFERROR(INDEX('CAT_TIPOS_OT'!$C$4:$C$8,MATCH($I647,'CAT_TIPOS_OT'!$A$4:$A$8,0)),"sin_clasificar"))</f>
        <v/>
      </c>
      <c r="V647" s="5">
        <f>IF($I647="","",IF(IFERROR(INDEX('CAT_TIPOS_OT'!$D$4:$D$8,MATCH($I647,'CAT_TIPOS_OT'!$A$4:$A$8,0)),"SIN CLASIFICAR")="","SIN CLASIFICAR",IFERROR(INDEX('CAT_TIPOS_OT'!$D$4:$D$8,MATCH($I647,'CAT_TIPOS_OT'!$A$4:$A$8,0)),"SIN CLASIFICAR")))</f>
        <v/>
      </c>
      <c r="W647" s="5">
        <f>IF($F647="","",IFERROR(INDEX('CAT_CENTROS_COSTO'!$F$4:$F$13,MATCH($F647,'CAT_CENTROS_COSTO'!$A$4:$A$13,0)),"(sin catálogo)"))</f>
        <v/>
      </c>
      <c r="X647" s="5">
        <f>IF($F647="","",IFERROR(INDEX('CAT_CENTROS_COSTO'!$D$4:$D$13,MATCH($F647,'CAT_CENTROS_COSTO'!$A$4:$A$13,0)),"(sin catálogo)"))</f>
        <v/>
      </c>
      <c r="Y647" s="5">
        <f>IF($F647="","",IF((IFERROR(INDEX('CAT_CENTROS_COSTO'!$E$4:$E$13,MATCH($F647,'CAT_CENTROS_COSTO'!$A$4:$A$13,0)),""))&lt;&gt;"",IFERROR(INDEX('CAT_CENTROS_COSTO'!$E$4:$E$13,MATCH($F647,'CAT_CENTROS_COSTO'!$A$4:$A$13,0)),""),$X647))</f>
        <v/>
      </c>
      <c r="Z647" s="5">
        <f>IF($F647="","",IFERROR(INDEX('CAT_CENTROS_COSTO'!$G$4:$G$13,MATCH($F647,'CAT_CENTROS_COSTO'!$A$4:$A$13,0)),"(sin catálogo)"))</f>
        <v/>
      </c>
      <c r="AA647" s="5">
        <f>IF($G647="","",IFERROR(INDEX('CAT_PUESTOS'!$B$4:$B$8,MATCH($G647,'CAT_PUESTOS'!$A$4:$A$8,0)),"(sin catálogo)"))</f>
        <v/>
      </c>
      <c r="AB647" s="5">
        <f>IF($H647="","",IFERROR(INDEX('CAT_ACTIVIDADES'!$B$4:$B$11,MATCH($H647,'CAT_ACTIVIDADES'!$A$4:$A$11,0)),"(sin catálogo)"))</f>
        <v/>
      </c>
      <c r="AC647" s="20">
        <f>IF($J647="","",TODAY()-$J647)</f>
        <v/>
      </c>
      <c r="AD647" s="20">
        <f>IF($J647="","",IF($J647&lt;=TODAY(),COUNTIFS(cal_fechas,"&gt;="&amp;$J647,cal_fechas,"&lt;"&amp;TODAY(),cal_habil,"sí"),-COUNTIFS(cal_fechas,"&gt;="&amp;TODAY(),cal_fechas,"&lt;"&amp;$J647,cal_habil,"sí")))</f>
        <v/>
      </c>
      <c r="AE647" s="5">
        <f>IF($AD647="","",IF($AD647&lt;0,"FUTURO",IF($AD647&gt;p_dias_backlog_max,"BACKLOG","MES CORRIENTE")))</f>
        <v/>
      </c>
      <c r="AF647" s="5">
        <f>IF($AD647="",FALSE,AND($AD647&gt;p_dias_backlog_min,$AD647&lt;=p_dias_backlog_max))</f>
        <v/>
      </c>
      <c r="AG647" s="4" t="n"/>
      <c r="AH647" s="5">
        <f>IF($AG647="","",IF((IFERROR(INDEX('ASIGNACIONES'!$J$4:$J$451,MATCH($O647&amp;"|"&amp;$S647&amp;"|"&amp;$AG647,'ASIGNACIONES'!$N$4:$N$451,0)),""))=0,"",IFERROR(INDEX('ASIGNACIONES'!$J$4:$J$451,MATCH($O647&amp;"|"&amp;$S647&amp;"|"&amp;$AG647,'ASIGNACIONES'!$N$4:$N$451,0)),"")))</f>
        <v/>
      </c>
      <c r="AI647" s="25">
        <f>IF($AG647="","",SUMIFS('ORDENES'!$M$4:$M$1203,'ORDENES'!$AG$4:$AG$1203,$AG647,'ORDENES'!$O$4:$O$1203,$O647,'ORDENES'!$S$4:$S$1203,$S647))</f>
        <v/>
      </c>
      <c r="AJ647" s="25">
        <f>IF($AI647="","",p_factor_productividad*IFERROR(INDEX('ASIGNACIONES'!$M$4:$M$451,MATCH($O647&amp;"|"&amp;$S647&amp;"|"&amp;$AG647,'ASIGNACIONES'!$N$4:$N$451,0)),0)-$AI647)</f>
        <v/>
      </c>
      <c r="AK647" s="18">
        <f>IF($A647="","",IFERROR(INDEX('2_IMPORTAR_EJECUCION'!$F$9:$F$1208,MATCH($AT647,'2_IMPORTAR_EJECUCION'!$J$9:$J$1208,0)),0))</f>
        <v/>
      </c>
      <c r="AL647" s="18">
        <f>IF($A647="","",MAX(0,IFERROR(INDEX('2_IMPORTAR_EJECUCION'!$H$9:$H$1208,MATCH($AT647,'2_IMPORTAR_EJECUCION'!$J$9:$J$1208,0)),0)-$AK647))</f>
        <v/>
      </c>
      <c r="AM647" s="18">
        <f>IF($A647="","",$AK647+$AL647)</f>
        <v/>
      </c>
      <c r="AN647" s="5">
        <f>IF($A647="","",IF(OR((IFERROR(INDEX('CAT_ACTIVIDADES'!$D$4:$D$11,MATCH($H647,'CAT_ACTIVIDADES'!$A$4:$A$11,0)),""))=0,(IFERROR(INDEX('CAT_ACTIVIDADES'!$D$4:$D$11,MATCH($H647,'CAT_ACTIVIDADES'!$A$4:$A$11,0)),""))=""),"SIN CLASIFICAR",IFERROR(INDEX('CAT_ACTIVIDADES'!$D$4:$D$11,MATCH($H647,'CAT_ACTIVIDADES'!$A$4:$A$11,0)),"")))</f>
        <v/>
      </c>
      <c r="AO647" s="4" t="n"/>
      <c r="AP647" s="4" t="n"/>
      <c r="AQ647" s="4" t="n"/>
      <c r="AR647" s="5">
        <f>IF($AQ647="","",HYPERLINK(p_ruta_base_checklists&amp;$AQ647,"abrir"))</f>
        <v/>
      </c>
      <c r="AS647" s="4" t="n"/>
      <c r="AT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2" t="n"/>
      <c r="K648" s="5" t="n"/>
      <c r="L648" s="18" t="n"/>
      <c r="M648" s="5">
        <f>IF($A648="","",IFERROR(INDEX('AJUSTES'!$B$4:$B$303,MATCH($AT648,'AJUSTES'!$A$4:$A$303,0)),IF($K648="","",$K648)))</f>
        <v/>
      </c>
      <c r="N648" s="5">
        <f>IF($A648="","",IFERROR(INDEX('CAT_ESTADOS_ERP'!$B$4:$B$7,MATCH(IFERROR(INDEX('2_IMPORTAR_EJECUCION'!$C$9:$C$1208,MATCH($AT648,'2_IMPORTAR_EJECUCION'!$J$9:$J$1208,0)),""),'CAT_ESTADOS_ERP'!$A$4:$A$7,0)),"Pendiente"))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IF($J648="","",$P648&amp;"-"&amp;TEXT($Q648,"00"))</f>
        <v/>
      </c>
      <c r="S648" s="5">
        <f>IF($J648="","",INDEX(lista_dias,WEEKDAY($J648,2)))</f>
        <v/>
      </c>
      <c r="T648" s="5">
        <f>IF($J648="","",IFERROR(INDEX('CALENDARIO'!$C$15:$C$214,MATCH(TEXT($J648,"yyyy-mm-dd")&amp;"|"&amp;$X648&amp;"|"&amp;$Y648,'CALENDARIO'!$G$15:$G$214,0)),IFERROR(INDEX('CALENDARIO'!$C$15:$C$214,MATCH(TEXT($J648,"yyyy-mm-dd")&amp;"|"&amp;$X648&amp;"|",'CALENDARIO'!$G$15:$G$214,0)),IFERROR(INDEX('CALENDARIO'!$C$15:$C$214,MATCH(TEXT($J648,"yyyy-mm-dd")&amp;"||",'CALENDARIO'!$G$15:$G$214,0)),INDEX(patronHabil,WEEKDAY($J648,2))))))</f>
        <v/>
      </c>
      <c r="U648" s="5">
        <f>IF($I648="","",IFERROR(INDEX('CAT_TIPOS_OT'!$C$4:$C$8,MATCH($I648,'CAT_TIPOS_OT'!$A$4:$A$8,0)),"sin_clasificar"))</f>
        <v/>
      </c>
      <c r="V648" s="5">
        <f>IF($I648="","",IF(IFERROR(INDEX('CAT_TIPOS_OT'!$D$4:$D$8,MATCH($I648,'CAT_TIPOS_OT'!$A$4:$A$8,0)),"SIN CLASIFICAR")="","SIN CLASIFICAR",IFERROR(INDEX('CAT_TIPOS_OT'!$D$4:$D$8,MATCH($I648,'CAT_TIPOS_OT'!$A$4:$A$8,0)),"SIN CLASIFICAR")))</f>
        <v/>
      </c>
      <c r="W648" s="5">
        <f>IF($F648="","",IFERROR(INDEX('CAT_CENTROS_COSTO'!$F$4:$F$13,MATCH($F648,'CAT_CENTROS_COSTO'!$A$4:$A$13,0)),"(sin catálogo)"))</f>
        <v/>
      </c>
      <c r="X648" s="5">
        <f>IF($F648="","",IFERROR(INDEX('CAT_CENTROS_COSTO'!$D$4:$D$13,MATCH($F648,'CAT_CENTROS_COSTO'!$A$4:$A$13,0)),"(sin catálogo)"))</f>
        <v/>
      </c>
      <c r="Y648" s="5">
        <f>IF($F648="","",IF((IFERROR(INDEX('CAT_CENTROS_COSTO'!$E$4:$E$13,MATCH($F648,'CAT_CENTROS_COSTO'!$A$4:$A$13,0)),""))&lt;&gt;"",IFERROR(INDEX('CAT_CENTROS_COSTO'!$E$4:$E$13,MATCH($F648,'CAT_CENTROS_COSTO'!$A$4:$A$13,0)),""),$X648))</f>
        <v/>
      </c>
      <c r="Z648" s="5">
        <f>IF($F648="","",IFERROR(INDEX('CAT_CENTROS_COSTO'!$G$4:$G$13,MATCH($F648,'CAT_CENTROS_COSTO'!$A$4:$A$13,0)),"(sin catálogo)"))</f>
        <v/>
      </c>
      <c r="AA648" s="5">
        <f>IF($G648="","",IFERROR(INDEX('CAT_PUESTOS'!$B$4:$B$8,MATCH($G648,'CAT_PUESTOS'!$A$4:$A$8,0)),"(sin catálogo)"))</f>
        <v/>
      </c>
      <c r="AB648" s="5">
        <f>IF($H648="","",IFERROR(INDEX('CAT_ACTIVIDADES'!$B$4:$B$11,MATCH($H648,'CAT_ACTIVIDADES'!$A$4:$A$11,0)),"(sin catálogo)"))</f>
        <v/>
      </c>
      <c r="AC648" s="20">
        <f>IF($J648="","",TODAY()-$J648)</f>
        <v/>
      </c>
      <c r="AD648" s="20">
        <f>IF($J648="","",IF($J648&lt;=TODAY(),COUNTIFS(cal_fechas,"&gt;="&amp;$J648,cal_fechas,"&lt;"&amp;TODAY(),cal_habil,"sí"),-COUNTIFS(cal_fechas,"&gt;="&amp;TODAY(),cal_fechas,"&lt;"&amp;$J648,cal_habil,"sí")))</f>
        <v/>
      </c>
      <c r="AE648" s="5">
        <f>IF($AD648="","",IF($AD648&lt;0,"FUTURO",IF($AD648&gt;p_dias_backlog_max,"BACKLOG","MES CORRIENTE")))</f>
        <v/>
      </c>
      <c r="AF648" s="5">
        <f>IF($AD648="",FALSE,AND($AD648&gt;p_dias_backlog_min,$AD648&lt;=p_dias_backlog_max))</f>
        <v/>
      </c>
      <c r="AG648" s="4" t="n"/>
      <c r="AH648" s="5">
        <f>IF($AG648="","",IF((IFERROR(INDEX('ASIGNACIONES'!$J$4:$J$451,MATCH($O648&amp;"|"&amp;$S648&amp;"|"&amp;$AG648,'ASIGNACIONES'!$N$4:$N$451,0)),""))=0,"",IFERROR(INDEX('ASIGNACIONES'!$J$4:$J$451,MATCH($O648&amp;"|"&amp;$S648&amp;"|"&amp;$AG648,'ASIGNACIONES'!$N$4:$N$451,0)),"")))</f>
        <v/>
      </c>
      <c r="AI648" s="25">
        <f>IF($AG648="","",SUMIFS('ORDENES'!$M$4:$M$1203,'ORDENES'!$AG$4:$AG$1203,$AG648,'ORDENES'!$O$4:$O$1203,$O648,'ORDENES'!$S$4:$S$1203,$S648))</f>
        <v/>
      </c>
      <c r="AJ648" s="25">
        <f>IF($AI648="","",p_factor_productividad*IFERROR(INDEX('ASIGNACIONES'!$M$4:$M$451,MATCH($O648&amp;"|"&amp;$S648&amp;"|"&amp;$AG648,'ASIGNACIONES'!$N$4:$N$451,0)),0)-$AI648)</f>
        <v/>
      </c>
      <c r="AK648" s="18">
        <f>IF($A648="","",IFERROR(INDEX('2_IMPORTAR_EJECUCION'!$F$9:$F$1208,MATCH($AT648,'2_IMPORTAR_EJECUCION'!$J$9:$J$1208,0)),0))</f>
        <v/>
      </c>
      <c r="AL648" s="18">
        <f>IF($A648="","",MAX(0,IFERROR(INDEX('2_IMPORTAR_EJECUCION'!$H$9:$H$1208,MATCH($AT648,'2_IMPORTAR_EJECUCION'!$J$9:$J$1208,0)),0)-$AK648))</f>
        <v/>
      </c>
      <c r="AM648" s="18">
        <f>IF($A648="","",$AK648+$AL648)</f>
        <v/>
      </c>
      <c r="AN648" s="5">
        <f>IF($A648="","",IF(OR((IFERROR(INDEX('CAT_ACTIVIDADES'!$D$4:$D$11,MATCH($H648,'CAT_ACTIVIDADES'!$A$4:$A$11,0)),""))=0,(IFERROR(INDEX('CAT_ACTIVIDADES'!$D$4:$D$11,MATCH($H648,'CAT_ACTIVIDADES'!$A$4:$A$11,0)),""))=""),"SIN CLASIFICAR",IFERROR(INDEX('CAT_ACTIVIDADES'!$D$4:$D$11,MATCH($H648,'CAT_ACTIVIDADES'!$A$4:$A$11,0)),"")))</f>
        <v/>
      </c>
      <c r="AO648" s="4" t="n"/>
      <c r="AP648" s="4" t="n"/>
      <c r="AQ648" s="4" t="n"/>
      <c r="AR648" s="5">
        <f>IF($AQ648="","",HYPERLINK(p_ruta_base_checklists&amp;$AQ648,"abrir"))</f>
        <v/>
      </c>
      <c r="AS648" s="4" t="n"/>
      <c r="AT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2" t="n"/>
      <c r="K649" s="5" t="n"/>
      <c r="L649" s="18" t="n"/>
      <c r="M649" s="5">
        <f>IF($A649="","",IFERROR(INDEX('AJUSTES'!$B$4:$B$303,MATCH($AT649,'AJUSTES'!$A$4:$A$303,0)),IF($K649="","",$K649)))</f>
        <v/>
      </c>
      <c r="N649" s="5">
        <f>IF($A649="","",IFERROR(INDEX('CAT_ESTADOS_ERP'!$B$4:$B$7,MATCH(IFERROR(INDEX('2_IMPORTAR_EJECUCION'!$C$9:$C$1208,MATCH($AT649,'2_IMPORTAR_EJECUCION'!$J$9:$J$1208,0)),""),'CAT_ESTADOS_ERP'!$A$4:$A$7,0)),"Pendiente"))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IF($J649="","",$P649&amp;"-"&amp;TEXT($Q649,"00"))</f>
        <v/>
      </c>
      <c r="S649" s="5">
        <f>IF($J649="","",INDEX(lista_dias,WEEKDAY($J649,2)))</f>
        <v/>
      </c>
      <c r="T649" s="5">
        <f>IF($J649="","",IFERROR(INDEX('CALENDARIO'!$C$15:$C$214,MATCH(TEXT($J649,"yyyy-mm-dd")&amp;"|"&amp;$X649&amp;"|"&amp;$Y649,'CALENDARIO'!$G$15:$G$214,0)),IFERROR(INDEX('CALENDARIO'!$C$15:$C$214,MATCH(TEXT($J649,"yyyy-mm-dd")&amp;"|"&amp;$X649&amp;"|",'CALENDARIO'!$G$15:$G$214,0)),IFERROR(INDEX('CALENDARIO'!$C$15:$C$214,MATCH(TEXT($J649,"yyyy-mm-dd")&amp;"||",'CALENDARIO'!$G$15:$G$214,0)),INDEX(patronHabil,WEEKDAY($J649,2))))))</f>
        <v/>
      </c>
      <c r="U649" s="5">
        <f>IF($I649="","",IFERROR(INDEX('CAT_TIPOS_OT'!$C$4:$C$8,MATCH($I649,'CAT_TIPOS_OT'!$A$4:$A$8,0)),"sin_clasificar"))</f>
        <v/>
      </c>
      <c r="V649" s="5">
        <f>IF($I649="","",IF(IFERROR(INDEX('CAT_TIPOS_OT'!$D$4:$D$8,MATCH($I649,'CAT_TIPOS_OT'!$A$4:$A$8,0)),"SIN CLASIFICAR")="","SIN CLASIFICAR",IFERROR(INDEX('CAT_TIPOS_OT'!$D$4:$D$8,MATCH($I649,'CAT_TIPOS_OT'!$A$4:$A$8,0)),"SIN CLASIFICAR")))</f>
        <v/>
      </c>
      <c r="W649" s="5">
        <f>IF($F649="","",IFERROR(INDEX('CAT_CENTROS_COSTO'!$F$4:$F$13,MATCH($F649,'CAT_CENTROS_COSTO'!$A$4:$A$13,0)),"(sin catálogo)"))</f>
        <v/>
      </c>
      <c r="X649" s="5">
        <f>IF($F649="","",IFERROR(INDEX('CAT_CENTROS_COSTO'!$D$4:$D$13,MATCH($F649,'CAT_CENTROS_COSTO'!$A$4:$A$13,0)),"(sin catálogo)"))</f>
        <v/>
      </c>
      <c r="Y649" s="5">
        <f>IF($F649="","",IF((IFERROR(INDEX('CAT_CENTROS_COSTO'!$E$4:$E$13,MATCH($F649,'CAT_CENTROS_COSTO'!$A$4:$A$13,0)),""))&lt;&gt;"",IFERROR(INDEX('CAT_CENTROS_COSTO'!$E$4:$E$13,MATCH($F649,'CAT_CENTROS_COSTO'!$A$4:$A$13,0)),""),$X649))</f>
        <v/>
      </c>
      <c r="Z649" s="5">
        <f>IF($F649="","",IFERROR(INDEX('CAT_CENTROS_COSTO'!$G$4:$G$13,MATCH($F649,'CAT_CENTROS_COSTO'!$A$4:$A$13,0)),"(sin catálogo)"))</f>
        <v/>
      </c>
      <c r="AA649" s="5">
        <f>IF($G649="","",IFERROR(INDEX('CAT_PUESTOS'!$B$4:$B$8,MATCH($G649,'CAT_PUESTOS'!$A$4:$A$8,0)),"(sin catálogo)"))</f>
        <v/>
      </c>
      <c r="AB649" s="5">
        <f>IF($H649="","",IFERROR(INDEX('CAT_ACTIVIDADES'!$B$4:$B$11,MATCH($H649,'CAT_ACTIVIDADES'!$A$4:$A$11,0)),"(sin catálogo)"))</f>
        <v/>
      </c>
      <c r="AC649" s="20">
        <f>IF($J649="","",TODAY()-$J649)</f>
        <v/>
      </c>
      <c r="AD649" s="20">
        <f>IF($J649="","",IF($J649&lt;=TODAY(),COUNTIFS(cal_fechas,"&gt;="&amp;$J649,cal_fechas,"&lt;"&amp;TODAY(),cal_habil,"sí"),-COUNTIFS(cal_fechas,"&gt;="&amp;TODAY(),cal_fechas,"&lt;"&amp;$J649,cal_habil,"sí")))</f>
        <v/>
      </c>
      <c r="AE649" s="5">
        <f>IF($AD649="","",IF($AD649&lt;0,"FUTURO",IF($AD649&gt;p_dias_backlog_max,"BACKLOG","MES CORRIENTE")))</f>
        <v/>
      </c>
      <c r="AF649" s="5">
        <f>IF($AD649="",FALSE,AND($AD649&gt;p_dias_backlog_min,$AD649&lt;=p_dias_backlog_max))</f>
        <v/>
      </c>
      <c r="AG649" s="4" t="n"/>
      <c r="AH649" s="5">
        <f>IF($AG649="","",IF((IFERROR(INDEX('ASIGNACIONES'!$J$4:$J$451,MATCH($O649&amp;"|"&amp;$S649&amp;"|"&amp;$AG649,'ASIGNACIONES'!$N$4:$N$451,0)),""))=0,"",IFERROR(INDEX('ASIGNACIONES'!$J$4:$J$451,MATCH($O649&amp;"|"&amp;$S649&amp;"|"&amp;$AG649,'ASIGNACIONES'!$N$4:$N$451,0)),"")))</f>
        <v/>
      </c>
      <c r="AI649" s="25">
        <f>IF($AG649="","",SUMIFS('ORDENES'!$M$4:$M$1203,'ORDENES'!$AG$4:$AG$1203,$AG649,'ORDENES'!$O$4:$O$1203,$O649,'ORDENES'!$S$4:$S$1203,$S649))</f>
        <v/>
      </c>
      <c r="AJ649" s="25">
        <f>IF($AI649="","",p_factor_productividad*IFERROR(INDEX('ASIGNACIONES'!$M$4:$M$451,MATCH($O649&amp;"|"&amp;$S649&amp;"|"&amp;$AG649,'ASIGNACIONES'!$N$4:$N$451,0)),0)-$AI649)</f>
        <v/>
      </c>
      <c r="AK649" s="18">
        <f>IF($A649="","",IFERROR(INDEX('2_IMPORTAR_EJECUCION'!$F$9:$F$1208,MATCH($AT649,'2_IMPORTAR_EJECUCION'!$J$9:$J$1208,0)),0))</f>
        <v/>
      </c>
      <c r="AL649" s="18">
        <f>IF($A649="","",MAX(0,IFERROR(INDEX('2_IMPORTAR_EJECUCION'!$H$9:$H$1208,MATCH($AT649,'2_IMPORTAR_EJECUCION'!$J$9:$J$1208,0)),0)-$AK649))</f>
        <v/>
      </c>
      <c r="AM649" s="18">
        <f>IF($A649="","",$AK649+$AL649)</f>
        <v/>
      </c>
      <c r="AN649" s="5">
        <f>IF($A649="","",IF(OR((IFERROR(INDEX('CAT_ACTIVIDADES'!$D$4:$D$11,MATCH($H649,'CAT_ACTIVIDADES'!$A$4:$A$11,0)),""))=0,(IFERROR(INDEX('CAT_ACTIVIDADES'!$D$4:$D$11,MATCH($H649,'CAT_ACTIVIDADES'!$A$4:$A$11,0)),""))=""),"SIN CLASIFICAR",IFERROR(INDEX('CAT_ACTIVIDADES'!$D$4:$D$11,MATCH($H649,'CAT_ACTIVIDADES'!$A$4:$A$11,0)),"")))</f>
        <v/>
      </c>
      <c r="AO649" s="4" t="n"/>
      <c r="AP649" s="4" t="n"/>
      <c r="AQ649" s="4" t="n"/>
      <c r="AR649" s="5">
        <f>IF($AQ649="","",HYPERLINK(p_ruta_base_checklists&amp;$AQ649,"abrir"))</f>
        <v/>
      </c>
      <c r="AS649" s="4" t="n"/>
      <c r="AT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2" t="n"/>
      <c r="K650" s="5" t="n"/>
      <c r="L650" s="18" t="n"/>
      <c r="M650" s="5">
        <f>IF($A650="","",IFERROR(INDEX('AJUSTES'!$B$4:$B$303,MATCH($AT650,'AJUSTES'!$A$4:$A$303,0)),IF($K650="","",$K650)))</f>
        <v/>
      </c>
      <c r="N650" s="5">
        <f>IF($A650="","",IFERROR(INDEX('CAT_ESTADOS_ERP'!$B$4:$B$7,MATCH(IFERROR(INDEX('2_IMPORTAR_EJECUCION'!$C$9:$C$1208,MATCH($AT650,'2_IMPORTAR_EJECUCION'!$J$9:$J$1208,0)),""),'CAT_ESTADOS_ERP'!$A$4:$A$7,0)),"Pendiente"))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IF($J650="","",$P650&amp;"-"&amp;TEXT($Q650,"00"))</f>
        <v/>
      </c>
      <c r="S650" s="5">
        <f>IF($J650="","",INDEX(lista_dias,WEEKDAY($J650,2)))</f>
        <v/>
      </c>
      <c r="T650" s="5">
        <f>IF($J650="","",IFERROR(INDEX('CALENDARIO'!$C$15:$C$214,MATCH(TEXT($J650,"yyyy-mm-dd")&amp;"|"&amp;$X650&amp;"|"&amp;$Y650,'CALENDARIO'!$G$15:$G$214,0)),IFERROR(INDEX('CALENDARIO'!$C$15:$C$214,MATCH(TEXT($J650,"yyyy-mm-dd")&amp;"|"&amp;$X650&amp;"|",'CALENDARIO'!$G$15:$G$214,0)),IFERROR(INDEX('CALENDARIO'!$C$15:$C$214,MATCH(TEXT($J650,"yyyy-mm-dd")&amp;"||",'CALENDARIO'!$G$15:$G$214,0)),INDEX(patronHabil,WEEKDAY($J650,2))))))</f>
        <v/>
      </c>
      <c r="U650" s="5">
        <f>IF($I650="","",IFERROR(INDEX('CAT_TIPOS_OT'!$C$4:$C$8,MATCH($I650,'CAT_TIPOS_OT'!$A$4:$A$8,0)),"sin_clasificar"))</f>
        <v/>
      </c>
      <c r="V650" s="5">
        <f>IF($I650="","",IF(IFERROR(INDEX('CAT_TIPOS_OT'!$D$4:$D$8,MATCH($I650,'CAT_TIPOS_OT'!$A$4:$A$8,0)),"SIN CLASIFICAR")="","SIN CLASIFICAR",IFERROR(INDEX('CAT_TIPOS_OT'!$D$4:$D$8,MATCH($I650,'CAT_TIPOS_OT'!$A$4:$A$8,0)),"SIN CLASIFICAR")))</f>
        <v/>
      </c>
      <c r="W650" s="5">
        <f>IF($F650="","",IFERROR(INDEX('CAT_CENTROS_COSTO'!$F$4:$F$13,MATCH($F650,'CAT_CENTROS_COSTO'!$A$4:$A$13,0)),"(sin catálogo)"))</f>
        <v/>
      </c>
      <c r="X650" s="5">
        <f>IF($F650="","",IFERROR(INDEX('CAT_CENTROS_COSTO'!$D$4:$D$13,MATCH($F650,'CAT_CENTROS_COSTO'!$A$4:$A$13,0)),"(sin catálogo)"))</f>
        <v/>
      </c>
      <c r="Y650" s="5">
        <f>IF($F650="","",IF((IFERROR(INDEX('CAT_CENTROS_COSTO'!$E$4:$E$13,MATCH($F650,'CAT_CENTROS_COSTO'!$A$4:$A$13,0)),""))&lt;&gt;"",IFERROR(INDEX('CAT_CENTROS_COSTO'!$E$4:$E$13,MATCH($F650,'CAT_CENTROS_COSTO'!$A$4:$A$13,0)),""),$X650))</f>
        <v/>
      </c>
      <c r="Z650" s="5">
        <f>IF($F650="","",IFERROR(INDEX('CAT_CENTROS_COSTO'!$G$4:$G$13,MATCH($F650,'CAT_CENTROS_COSTO'!$A$4:$A$13,0)),"(sin catálogo)"))</f>
        <v/>
      </c>
      <c r="AA650" s="5">
        <f>IF($G650="","",IFERROR(INDEX('CAT_PUESTOS'!$B$4:$B$8,MATCH($G650,'CAT_PUESTOS'!$A$4:$A$8,0)),"(sin catálogo)"))</f>
        <v/>
      </c>
      <c r="AB650" s="5">
        <f>IF($H650="","",IFERROR(INDEX('CAT_ACTIVIDADES'!$B$4:$B$11,MATCH($H650,'CAT_ACTIVIDADES'!$A$4:$A$11,0)),"(sin catálogo)"))</f>
        <v/>
      </c>
      <c r="AC650" s="20">
        <f>IF($J650="","",TODAY()-$J650)</f>
        <v/>
      </c>
      <c r="AD650" s="20">
        <f>IF($J650="","",IF($J650&lt;=TODAY(),COUNTIFS(cal_fechas,"&gt;="&amp;$J650,cal_fechas,"&lt;"&amp;TODAY(),cal_habil,"sí"),-COUNTIFS(cal_fechas,"&gt;="&amp;TODAY(),cal_fechas,"&lt;"&amp;$J650,cal_habil,"sí")))</f>
        <v/>
      </c>
      <c r="AE650" s="5">
        <f>IF($AD650="","",IF($AD650&lt;0,"FUTURO",IF($AD650&gt;p_dias_backlog_max,"BACKLOG","MES CORRIENTE")))</f>
        <v/>
      </c>
      <c r="AF650" s="5">
        <f>IF($AD650="",FALSE,AND($AD650&gt;p_dias_backlog_min,$AD650&lt;=p_dias_backlog_max))</f>
        <v/>
      </c>
      <c r="AG650" s="4" t="n"/>
      <c r="AH650" s="5">
        <f>IF($AG650="","",IF((IFERROR(INDEX('ASIGNACIONES'!$J$4:$J$451,MATCH($O650&amp;"|"&amp;$S650&amp;"|"&amp;$AG650,'ASIGNACIONES'!$N$4:$N$451,0)),""))=0,"",IFERROR(INDEX('ASIGNACIONES'!$J$4:$J$451,MATCH($O650&amp;"|"&amp;$S650&amp;"|"&amp;$AG650,'ASIGNACIONES'!$N$4:$N$451,0)),"")))</f>
        <v/>
      </c>
      <c r="AI650" s="25">
        <f>IF($AG650="","",SUMIFS('ORDENES'!$M$4:$M$1203,'ORDENES'!$AG$4:$AG$1203,$AG650,'ORDENES'!$O$4:$O$1203,$O650,'ORDENES'!$S$4:$S$1203,$S650))</f>
        <v/>
      </c>
      <c r="AJ650" s="25">
        <f>IF($AI650="","",p_factor_productividad*IFERROR(INDEX('ASIGNACIONES'!$M$4:$M$451,MATCH($O650&amp;"|"&amp;$S650&amp;"|"&amp;$AG650,'ASIGNACIONES'!$N$4:$N$451,0)),0)-$AI650)</f>
        <v/>
      </c>
      <c r="AK650" s="18">
        <f>IF($A650="","",IFERROR(INDEX('2_IMPORTAR_EJECUCION'!$F$9:$F$1208,MATCH($AT650,'2_IMPORTAR_EJECUCION'!$J$9:$J$1208,0)),0))</f>
        <v/>
      </c>
      <c r="AL650" s="18">
        <f>IF($A650="","",MAX(0,IFERROR(INDEX('2_IMPORTAR_EJECUCION'!$H$9:$H$1208,MATCH($AT650,'2_IMPORTAR_EJECUCION'!$J$9:$J$1208,0)),0)-$AK650))</f>
        <v/>
      </c>
      <c r="AM650" s="18">
        <f>IF($A650="","",$AK650+$AL650)</f>
        <v/>
      </c>
      <c r="AN650" s="5">
        <f>IF($A650="","",IF(OR((IFERROR(INDEX('CAT_ACTIVIDADES'!$D$4:$D$11,MATCH($H650,'CAT_ACTIVIDADES'!$A$4:$A$11,0)),""))=0,(IFERROR(INDEX('CAT_ACTIVIDADES'!$D$4:$D$11,MATCH($H650,'CAT_ACTIVIDADES'!$A$4:$A$11,0)),""))=""),"SIN CLASIFICAR",IFERROR(INDEX('CAT_ACTIVIDADES'!$D$4:$D$11,MATCH($H650,'CAT_ACTIVIDADES'!$A$4:$A$11,0)),"")))</f>
        <v/>
      </c>
      <c r="AO650" s="4" t="n"/>
      <c r="AP650" s="4" t="n"/>
      <c r="AQ650" s="4" t="n"/>
      <c r="AR650" s="5">
        <f>IF($AQ650="","",HYPERLINK(p_ruta_base_checklists&amp;$AQ650,"abrir"))</f>
        <v/>
      </c>
      <c r="AS650" s="4" t="n"/>
      <c r="AT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2" t="n"/>
      <c r="K651" s="5" t="n"/>
      <c r="L651" s="18" t="n"/>
      <c r="M651" s="5">
        <f>IF($A651="","",IFERROR(INDEX('AJUSTES'!$B$4:$B$303,MATCH($AT651,'AJUSTES'!$A$4:$A$303,0)),IF($K651="","",$K651)))</f>
        <v/>
      </c>
      <c r="N651" s="5">
        <f>IF($A651="","",IFERROR(INDEX('CAT_ESTADOS_ERP'!$B$4:$B$7,MATCH(IFERROR(INDEX('2_IMPORTAR_EJECUCION'!$C$9:$C$1208,MATCH($AT651,'2_IMPORTAR_EJECUCION'!$J$9:$J$1208,0)),""),'CAT_ESTADOS_ERP'!$A$4:$A$7,0)),"Pendiente"))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IF($J651="","",$P651&amp;"-"&amp;TEXT($Q651,"00"))</f>
        <v/>
      </c>
      <c r="S651" s="5">
        <f>IF($J651="","",INDEX(lista_dias,WEEKDAY($J651,2)))</f>
        <v/>
      </c>
      <c r="T651" s="5">
        <f>IF($J651="","",IFERROR(INDEX('CALENDARIO'!$C$15:$C$214,MATCH(TEXT($J651,"yyyy-mm-dd")&amp;"|"&amp;$X651&amp;"|"&amp;$Y651,'CALENDARIO'!$G$15:$G$214,0)),IFERROR(INDEX('CALENDARIO'!$C$15:$C$214,MATCH(TEXT($J651,"yyyy-mm-dd")&amp;"|"&amp;$X651&amp;"|",'CALENDARIO'!$G$15:$G$214,0)),IFERROR(INDEX('CALENDARIO'!$C$15:$C$214,MATCH(TEXT($J651,"yyyy-mm-dd")&amp;"||",'CALENDARIO'!$G$15:$G$214,0)),INDEX(patronHabil,WEEKDAY($J651,2))))))</f>
        <v/>
      </c>
      <c r="U651" s="5">
        <f>IF($I651="","",IFERROR(INDEX('CAT_TIPOS_OT'!$C$4:$C$8,MATCH($I651,'CAT_TIPOS_OT'!$A$4:$A$8,0)),"sin_clasificar"))</f>
        <v/>
      </c>
      <c r="V651" s="5">
        <f>IF($I651="","",IF(IFERROR(INDEX('CAT_TIPOS_OT'!$D$4:$D$8,MATCH($I651,'CAT_TIPOS_OT'!$A$4:$A$8,0)),"SIN CLASIFICAR")="","SIN CLASIFICAR",IFERROR(INDEX('CAT_TIPOS_OT'!$D$4:$D$8,MATCH($I651,'CAT_TIPOS_OT'!$A$4:$A$8,0)),"SIN CLASIFICAR")))</f>
        <v/>
      </c>
      <c r="W651" s="5">
        <f>IF($F651="","",IFERROR(INDEX('CAT_CENTROS_COSTO'!$F$4:$F$13,MATCH($F651,'CAT_CENTROS_COSTO'!$A$4:$A$13,0)),"(sin catálogo)"))</f>
        <v/>
      </c>
      <c r="X651" s="5">
        <f>IF($F651="","",IFERROR(INDEX('CAT_CENTROS_COSTO'!$D$4:$D$13,MATCH($F651,'CAT_CENTROS_COSTO'!$A$4:$A$13,0)),"(sin catálogo)"))</f>
        <v/>
      </c>
      <c r="Y651" s="5">
        <f>IF($F651="","",IF((IFERROR(INDEX('CAT_CENTROS_COSTO'!$E$4:$E$13,MATCH($F651,'CAT_CENTROS_COSTO'!$A$4:$A$13,0)),""))&lt;&gt;"",IFERROR(INDEX('CAT_CENTROS_COSTO'!$E$4:$E$13,MATCH($F651,'CAT_CENTROS_COSTO'!$A$4:$A$13,0)),""),$X651))</f>
        <v/>
      </c>
      <c r="Z651" s="5">
        <f>IF($F651="","",IFERROR(INDEX('CAT_CENTROS_COSTO'!$G$4:$G$13,MATCH($F651,'CAT_CENTROS_COSTO'!$A$4:$A$13,0)),"(sin catálogo)"))</f>
        <v/>
      </c>
      <c r="AA651" s="5">
        <f>IF($G651="","",IFERROR(INDEX('CAT_PUESTOS'!$B$4:$B$8,MATCH($G651,'CAT_PUESTOS'!$A$4:$A$8,0)),"(sin catálogo)"))</f>
        <v/>
      </c>
      <c r="AB651" s="5">
        <f>IF($H651="","",IFERROR(INDEX('CAT_ACTIVIDADES'!$B$4:$B$11,MATCH($H651,'CAT_ACTIVIDADES'!$A$4:$A$11,0)),"(sin catálogo)"))</f>
        <v/>
      </c>
      <c r="AC651" s="20">
        <f>IF($J651="","",TODAY()-$J651)</f>
        <v/>
      </c>
      <c r="AD651" s="20">
        <f>IF($J651="","",IF($J651&lt;=TODAY(),COUNTIFS(cal_fechas,"&gt;="&amp;$J651,cal_fechas,"&lt;"&amp;TODAY(),cal_habil,"sí"),-COUNTIFS(cal_fechas,"&gt;="&amp;TODAY(),cal_fechas,"&lt;"&amp;$J651,cal_habil,"sí")))</f>
        <v/>
      </c>
      <c r="AE651" s="5">
        <f>IF($AD651="","",IF($AD651&lt;0,"FUTURO",IF($AD651&gt;p_dias_backlog_max,"BACKLOG","MES CORRIENTE")))</f>
        <v/>
      </c>
      <c r="AF651" s="5">
        <f>IF($AD651="",FALSE,AND($AD651&gt;p_dias_backlog_min,$AD651&lt;=p_dias_backlog_max))</f>
        <v/>
      </c>
      <c r="AG651" s="4" t="n"/>
      <c r="AH651" s="5">
        <f>IF($AG651="","",IF((IFERROR(INDEX('ASIGNACIONES'!$J$4:$J$451,MATCH($O651&amp;"|"&amp;$S651&amp;"|"&amp;$AG651,'ASIGNACIONES'!$N$4:$N$451,0)),""))=0,"",IFERROR(INDEX('ASIGNACIONES'!$J$4:$J$451,MATCH($O651&amp;"|"&amp;$S651&amp;"|"&amp;$AG651,'ASIGNACIONES'!$N$4:$N$451,0)),"")))</f>
        <v/>
      </c>
      <c r="AI651" s="25">
        <f>IF($AG651="","",SUMIFS('ORDENES'!$M$4:$M$1203,'ORDENES'!$AG$4:$AG$1203,$AG651,'ORDENES'!$O$4:$O$1203,$O651,'ORDENES'!$S$4:$S$1203,$S651))</f>
        <v/>
      </c>
      <c r="AJ651" s="25">
        <f>IF($AI651="","",p_factor_productividad*IFERROR(INDEX('ASIGNACIONES'!$M$4:$M$451,MATCH($O651&amp;"|"&amp;$S651&amp;"|"&amp;$AG651,'ASIGNACIONES'!$N$4:$N$451,0)),0)-$AI651)</f>
        <v/>
      </c>
      <c r="AK651" s="18">
        <f>IF($A651="","",IFERROR(INDEX('2_IMPORTAR_EJECUCION'!$F$9:$F$1208,MATCH($AT651,'2_IMPORTAR_EJECUCION'!$J$9:$J$1208,0)),0))</f>
        <v/>
      </c>
      <c r="AL651" s="18">
        <f>IF($A651="","",MAX(0,IFERROR(INDEX('2_IMPORTAR_EJECUCION'!$H$9:$H$1208,MATCH($AT651,'2_IMPORTAR_EJECUCION'!$J$9:$J$1208,0)),0)-$AK651))</f>
        <v/>
      </c>
      <c r="AM651" s="18">
        <f>IF($A651="","",$AK651+$AL651)</f>
        <v/>
      </c>
      <c r="AN651" s="5">
        <f>IF($A651="","",IF(OR((IFERROR(INDEX('CAT_ACTIVIDADES'!$D$4:$D$11,MATCH($H651,'CAT_ACTIVIDADES'!$A$4:$A$11,0)),""))=0,(IFERROR(INDEX('CAT_ACTIVIDADES'!$D$4:$D$11,MATCH($H651,'CAT_ACTIVIDADES'!$A$4:$A$11,0)),""))=""),"SIN CLASIFICAR",IFERROR(INDEX('CAT_ACTIVIDADES'!$D$4:$D$11,MATCH($H651,'CAT_ACTIVIDADES'!$A$4:$A$11,0)),"")))</f>
        <v/>
      </c>
      <c r="AO651" s="4" t="n"/>
      <c r="AP651" s="4" t="n"/>
      <c r="AQ651" s="4" t="n"/>
      <c r="AR651" s="5">
        <f>IF($AQ651="","",HYPERLINK(p_ruta_base_checklists&amp;$AQ651,"abrir"))</f>
        <v/>
      </c>
      <c r="AS651" s="4" t="n"/>
      <c r="AT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2" t="n"/>
      <c r="K652" s="5" t="n"/>
      <c r="L652" s="18" t="n"/>
      <c r="M652" s="5">
        <f>IF($A652="","",IFERROR(INDEX('AJUSTES'!$B$4:$B$303,MATCH($AT652,'AJUSTES'!$A$4:$A$303,0)),IF($K652="","",$K652)))</f>
        <v/>
      </c>
      <c r="N652" s="5">
        <f>IF($A652="","",IFERROR(INDEX('CAT_ESTADOS_ERP'!$B$4:$B$7,MATCH(IFERROR(INDEX('2_IMPORTAR_EJECUCION'!$C$9:$C$1208,MATCH($AT652,'2_IMPORTAR_EJECUCION'!$J$9:$J$1208,0)),""),'CAT_ESTADOS_ERP'!$A$4:$A$7,0)),"Pendiente"))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IF($J652="","",$P652&amp;"-"&amp;TEXT($Q652,"00"))</f>
        <v/>
      </c>
      <c r="S652" s="5">
        <f>IF($J652="","",INDEX(lista_dias,WEEKDAY($J652,2)))</f>
        <v/>
      </c>
      <c r="T652" s="5">
        <f>IF($J652="","",IFERROR(INDEX('CALENDARIO'!$C$15:$C$214,MATCH(TEXT($J652,"yyyy-mm-dd")&amp;"|"&amp;$X652&amp;"|"&amp;$Y652,'CALENDARIO'!$G$15:$G$214,0)),IFERROR(INDEX('CALENDARIO'!$C$15:$C$214,MATCH(TEXT($J652,"yyyy-mm-dd")&amp;"|"&amp;$X652&amp;"|",'CALENDARIO'!$G$15:$G$214,0)),IFERROR(INDEX('CALENDARIO'!$C$15:$C$214,MATCH(TEXT($J652,"yyyy-mm-dd")&amp;"||",'CALENDARIO'!$G$15:$G$214,0)),INDEX(patronHabil,WEEKDAY($J652,2))))))</f>
        <v/>
      </c>
      <c r="U652" s="5">
        <f>IF($I652="","",IFERROR(INDEX('CAT_TIPOS_OT'!$C$4:$C$8,MATCH($I652,'CAT_TIPOS_OT'!$A$4:$A$8,0)),"sin_clasificar"))</f>
        <v/>
      </c>
      <c r="V652" s="5">
        <f>IF($I652="","",IF(IFERROR(INDEX('CAT_TIPOS_OT'!$D$4:$D$8,MATCH($I652,'CAT_TIPOS_OT'!$A$4:$A$8,0)),"SIN CLASIFICAR")="","SIN CLASIFICAR",IFERROR(INDEX('CAT_TIPOS_OT'!$D$4:$D$8,MATCH($I652,'CAT_TIPOS_OT'!$A$4:$A$8,0)),"SIN CLASIFICAR")))</f>
        <v/>
      </c>
      <c r="W652" s="5">
        <f>IF($F652="","",IFERROR(INDEX('CAT_CENTROS_COSTO'!$F$4:$F$13,MATCH($F652,'CAT_CENTROS_COSTO'!$A$4:$A$13,0)),"(sin catálogo)"))</f>
        <v/>
      </c>
      <c r="X652" s="5">
        <f>IF($F652="","",IFERROR(INDEX('CAT_CENTROS_COSTO'!$D$4:$D$13,MATCH($F652,'CAT_CENTROS_COSTO'!$A$4:$A$13,0)),"(sin catálogo)"))</f>
        <v/>
      </c>
      <c r="Y652" s="5">
        <f>IF($F652="","",IF((IFERROR(INDEX('CAT_CENTROS_COSTO'!$E$4:$E$13,MATCH($F652,'CAT_CENTROS_COSTO'!$A$4:$A$13,0)),""))&lt;&gt;"",IFERROR(INDEX('CAT_CENTROS_COSTO'!$E$4:$E$13,MATCH($F652,'CAT_CENTROS_COSTO'!$A$4:$A$13,0)),""),$X652))</f>
        <v/>
      </c>
      <c r="Z652" s="5">
        <f>IF($F652="","",IFERROR(INDEX('CAT_CENTROS_COSTO'!$G$4:$G$13,MATCH($F652,'CAT_CENTROS_COSTO'!$A$4:$A$13,0)),"(sin catálogo)"))</f>
        <v/>
      </c>
      <c r="AA652" s="5">
        <f>IF($G652="","",IFERROR(INDEX('CAT_PUESTOS'!$B$4:$B$8,MATCH($G652,'CAT_PUESTOS'!$A$4:$A$8,0)),"(sin catálogo)"))</f>
        <v/>
      </c>
      <c r="AB652" s="5">
        <f>IF($H652="","",IFERROR(INDEX('CAT_ACTIVIDADES'!$B$4:$B$11,MATCH($H652,'CAT_ACTIVIDADES'!$A$4:$A$11,0)),"(sin catálogo)"))</f>
        <v/>
      </c>
      <c r="AC652" s="20">
        <f>IF($J652="","",TODAY()-$J652)</f>
        <v/>
      </c>
      <c r="AD652" s="20">
        <f>IF($J652="","",IF($J652&lt;=TODAY(),COUNTIFS(cal_fechas,"&gt;="&amp;$J652,cal_fechas,"&lt;"&amp;TODAY(),cal_habil,"sí"),-COUNTIFS(cal_fechas,"&gt;="&amp;TODAY(),cal_fechas,"&lt;"&amp;$J652,cal_habil,"sí")))</f>
        <v/>
      </c>
      <c r="AE652" s="5">
        <f>IF($AD652="","",IF($AD652&lt;0,"FUTURO",IF($AD652&gt;p_dias_backlog_max,"BACKLOG","MES CORRIENTE")))</f>
        <v/>
      </c>
      <c r="AF652" s="5">
        <f>IF($AD652="",FALSE,AND($AD652&gt;p_dias_backlog_min,$AD652&lt;=p_dias_backlog_max))</f>
        <v/>
      </c>
      <c r="AG652" s="4" t="n"/>
      <c r="AH652" s="5">
        <f>IF($AG652="","",IF((IFERROR(INDEX('ASIGNACIONES'!$J$4:$J$451,MATCH($O652&amp;"|"&amp;$S652&amp;"|"&amp;$AG652,'ASIGNACIONES'!$N$4:$N$451,0)),""))=0,"",IFERROR(INDEX('ASIGNACIONES'!$J$4:$J$451,MATCH($O652&amp;"|"&amp;$S652&amp;"|"&amp;$AG652,'ASIGNACIONES'!$N$4:$N$451,0)),"")))</f>
        <v/>
      </c>
      <c r="AI652" s="25">
        <f>IF($AG652="","",SUMIFS('ORDENES'!$M$4:$M$1203,'ORDENES'!$AG$4:$AG$1203,$AG652,'ORDENES'!$O$4:$O$1203,$O652,'ORDENES'!$S$4:$S$1203,$S652))</f>
        <v/>
      </c>
      <c r="AJ652" s="25">
        <f>IF($AI652="","",p_factor_productividad*IFERROR(INDEX('ASIGNACIONES'!$M$4:$M$451,MATCH($O652&amp;"|"&amp;$S652&amp;"|"&amp;$AG652,'ASIGNACIONES'!$N$4:$N$451,0)),0)-$AI652)</f>
        <v/>
      </c>
      <c r="AK652" s="18">
        <f>IF($A652="","",IFERROR(INDEX('2_IMPORTAR_EJECUCION'!$F$9:$F$1208,MATCH($AT652,'2_IMPORTAR_EJECUCION'!$J$9:$J$1208,0)),0))</f>
        <v/>
      </c>
      <c r="AL652" s="18">
        <f>IF($A652="","",MAX(0,IFERROR(INDEX('2_IMPORTAR_EJECUCION'!$H$9:$H$1208,MATCH($AT652,'2_IMPORTAR_EJECUCION'!$J$9:$J$1208,0)),0)-$AK652))</f>
        <v/>
      </c>
      <c r="AM652" s="18">
        <f>IF($A652="","",$AK652+$AL652)</f>
        <v/>
      </c>
      <c r="AN652" s="5">
        <f>IF($A652="","",IF(OR((IFERROR(INDEX('CAT_ACTIVIDADES'!$D$4:$D$11,MATCH($H652,'CAT_ACTIVIDADES'!$A$4:$A$11,0)),""))=0,(IFERROR(INDEX('CAT_ACTIVIDADES'!$D$4:$D$11,MATCH($H652,'CAT_ACTIVIDADES'!$A$4:$A$11,0)),""))=""),"SIN CLASIFICAR",IFERROR(INDEX('CAT_ACTIVIDADES'!$D$4:$D$11,MATCH($H652,'CAT_ACTIVIDADES'!$A$4:$A$11,0)),"")))</f>
        <v/>
      </c>
      <c r="AO652" s="4" t="n"/>
      <c r="AP652" s="4" t="n"/>
      <c r="AQ652" s="4" t="n"/>
      <c r="AR652" s="5">
        <f>IF($AQ652="","",HYPERLINK(p_ruta_base_checklists&amp;$AQ652,"abrir"))</f>
        <v/>
      </c>
      <c r="AS652" s="4" t="n"/>
      <c r="AT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2" t="n"/>
      <c r="K653" s="5" t="n"/>
      <c r="L653" s="18" t="n"/>
      <c r="M653" s="5">
        <f>IF($A653="","",IFERROR(INDEX('AJUSTES'!$B$4:$B$303,MATCH($AT653,'AJUSTES'!$A$4:$A$303,0)),IF($K653="","",$K653)))</f>
        <v/>
      </c>
      <c r="N653" s="5">
        <f>IF($A653="","",IFERROR(INDEX('CAT_ESTADOS_ERP'!$B$4:$B$7,MATCH(IFERROR(INDEX('2_IMPORTAR_EJECUCION'!$C$9:$C$1208,MATCH($AT653,'2_IMPORTAR_EJECUCION'!$J$9:$J$1208,0)),""),'CAT_ESTADOS_ERP'!$A$4:$A$7,0)),"Pendiente"))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IF($J653="","",$P653&amp;"-"&amp;TEXT($Q653,"00"))</f>
        <v/>
      </c>
      <c r="S653" s="5">
        <f>IF($J653="","",INDEX(lista_dias,WEEKDAY($J653,2)))</f>
        <v/>
      </c>
      <c r="T653" s="5">
        <f>IF($J653="","",IFERROR(INDEX('CALENDARIO'!$C$15:$C$214,MATCH(TEXT($J653,"yyyy-mm-dd")&amp;"|"&amp;$X653&amp;"|"&amp;$Y653,'CALENDARIO'!$G$15:$G$214,0)),IFERROR(INDEX('CALENDARIO'!$C$15:$C$214,MATCH(TEXT($J653,"yyyy-mm-dd")&amp;"|"&amp;$X653&amp;"|",'CALENDARIO'!$G$15:$G$214,0)),IFERROR(INDEX('CALENDARIO'!$C$15:$C$214,MATCH(TEXT($J653,"yyyy-mm-dd")&amp;"||",'CALENDARIO'!$G$15:$G$214,0)),INDEX(patronHabil,WEEKDAY($J653,2))))))</f>
        <v/>
      </c>
      <c r="U653" s="5">
        <f>IF($I653="","",IFERROR(INDEX('CAT_TIPOS_OT'!$C$4:$C$8,MATCH($I653,'CAT_TIPOS_OT'!$A$4:$A$8,0)),"sin_clasificar"))</f>
        <v/>
      </c>
      <c r="V653" s="5">
        <f>IF($I653="","",IF(IFERROR(INDEX('CAT_TIPOS_OT'!$D$4:$D$8,MATCH($I653,'CAT_TIPOS_OT'!$A$4:$A$8,0)),"SIN CLASIFICAR")="","SIN CLASIFICAR",IFERROR(INDEX('CAT_TIPOS_OT'!$D$4:$D$8,MATCH($I653,'CAT_TIPOS_OT'!$A$4:$A$8,0)),"SIN CLASIFICAR")))</f>
        <v/>
      </c>
      <c r="W653" s="5">
        <f>IF($F653="","",IFERROR(INDEX('CAT_CENTROS_COSTO'!$F$4:$F$13,MATCH($F653,'CAT_CENTROS_COSTO'!$A$4:$A$13,0)),"(sin catálogo)"))</f>
        <v/>
      </c>
      <c r="X653" s="5">
        <f>IF($F653="","",IFERROR(INDEX('CAT_CENTROS_COSTO'!$D$4:$D$13,MATCH($F653,'CAT_CENTROS_COSTO'!$A$4:$A$13,0)),"(sin catálogo)"))</f>
        <v/>
      </c>
      <c r="Y653" s="5">
        <f>IF($F653="","",IF((IFERROR(INDEX('CAT_CENTROS_COSTO'!$E$4:$E$13,MATCH($F653,'CAT_CENTROS_COSTO'!$A$4:$A$13,0)),""))&lt;&gt;"",IFERROR(INDEX('CAT_CENTROS_COSTO'!$E$4:$E$13,MATCH($F653,'CAT_CENTROS_COSTO'!$A$4:$A$13,0)),""),$X653))</f>
        <v/>
      </c>
      <c r="Z653" s="5">
        <f>IF($F653="","",IFERROR(INDEX('CAT_CENTROS_COSTO'!$G$4:$G$13,MATCH($F653,'CAT_CENTROS_COSTO'!$A$4:$A$13,0)),"(sin catálogo)"))</f>
        <v/>
      </c>
      <c r="AA653" s="5">
        <f>IF($G653="","",IFERROR(INDEX('CAT_PUESTOS'!$B$4:$B$8,MATCH($G653,'CAT_PUESTOS'!$A$4:$A$8,0)),"(sin catálogo)"))</f>
        <v/>
      </c>
      <c r="AB653" s="5">
        <f>IF($H653="","",IFERROR(INDEX('CAT_ACTIVIDADES'!$B$4:$B$11,MATCH($H653,'CAT_ACTIVIDADES'!$A$4:$A$11,0)),"(sin catálogo)"))</f>
        <v/>
      </c>
      <c r="AC653" s="20">
        <f>IF($J653="","",TODAY()-$J653)</f>
        <v/>
      </c>
      <c r="AD653" s="20">
        <f>IF($J653="","",IF($J653&lt;=TODAY(),COUNTIFS(cal_fechas,"&gt;="&amp;$J653,cal_fechas,"&lt;"&amp;TODAY(),cal_habil,"sí"),-COUNTIFS(cal_fechas,"&gt;="&amp;TODAY(),cal_fechas,"&lt;"&amp;$J653,cal_habil,"sí")))</f>
        <v/>
      </c>
      <c r="AE653" s="5">
        <f>IF($AD653="","",IF($AD653&lt;0,"FUTURO",IF($AD653&gt;p_dias_backlog_max,"BACKLOG","MES CORRIENTE")))</f>
        <v/>
      </c>
      <c r="AF653" s="5">
        <f>IF($AD653="",FALSE,AND($AD653&gt;p_dias_backlog_min,$AD653&lt;=p_dias_backlog_max))</f>
        <v/>
      </c>
      <c r="AG653" s="4" t="n"/>
      <c r="AH653" s="5">
        <f>IF($AG653="","",IF((IFERROR(INDEX('ASIGNACIONES'!$J$4:$J$451,MATCH($O653&amp;"|"&amp;$S653&amp;"|"&amp;$AG653,'ASIGNACIONES'!$N$4:$N$451,0)),""))=0,"",IFERROR(INDEX('ASIGNACIONES'!$J$4:$J$451,MATCH($O653&amp;"|"&amp;$S653&amp;"|"&amp;$AG653,'ASIGNACIONES'!$N$4:$N$451,0)),"")))</f>
        <v/>
      </c>
      <c r="AI653" s="25">
        <f>IF($AG653="","",SUMIFS('ORDENES'!$M$4:$M$1203,'ORDENES'!$AG$4:$AG$1203,$AG653,'ORDENES'!$O$4:$O$1203,$O653,'ORDENES'!$S$4:$S$1203,$S653))</f>
        <v/>
      </c>
      <c r="AJ653" s="25">
        <f>IF($AI653="","",p_factor_productividad*IFERROR(INDEX('ASIGNACIONES'!$M$4:$M$451,MATCH($O653&amp;"|"&amp;$S653&amp;"|"&amp;$AG653,'ASIGNACIONES'!$N$4:$N$451,0)),0)-$AI653)</f>
        <v/>
      </c>
      <c r="AK653" s="18">
        <f>IF($A653="","",IFERROR(INDEX('2_IMPORTAR_EJECUCION'!$F$9:$F$1208,MATCH($AT653,'2_IMPORTAR_EJECUCION'!$J$9:$J$1208,0)),0))</f>
        <v/>
      </c>
      <c r="AL653" s="18">
        <f>IF($A653="","",MAX(0,IFERROR(INDEX('2_IMPORTAR_EJECUCION'!$H$9:$H$1208,MATCH($AT653,'2_IMPORTAR_EJECUCION'!$J$9:$J$1208,0)),0)-$AK653))</f>
        <v/>
      </c>
      <c r="AM653" s="18">
        <f>IF($A653="","",$AK653+$AL653)</f>
        <v/>
      </c>
      <c r="AN653" s="5">
        <f>IF($A653="","",IF(OR((IFERROR(INDEX('CAT_ACTIVIDADES'!$D$4:$D$11,MATCH($H653,'CAT_ACTIVIDADES'!$A$4:$A$11,0)),""))=0,(IFERROR(INDEX('CAT_ACTIVIDADES'!$D$4:$D$11,MATCH($H653,'CAT_ACTIVIDADES'!$A$4:$A$11,0)),""))=""),"SIN CLASIFICAR",IFERROR(INDEX('CAT_ACTIVIDADES'!$D$4:$D$11,MATCH($H653,'CAT_ACTIVIDADES'!$A$4:$A$11,0)),"")))</f>
        <v/>
      </c>
      <c r="AO653" s="4" t="n"/>
      <c r="AP653" s="4" t="n"/>
      <c r="AQ653" s="4" t="n"/>
      <c r="AR653" s="5">
        <f>IF($AQ653="","",HYPERLINK(p_ruta_base_checklists&amp;$AQ653,"abrir"))</f>
        <v/>
      </c>
      <c r="AS653" s="4" t="n"/>
      <c r="AT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2" t="n"/>
      <c r="K654" s="5" t="n"/>
      <c r="L654" s="18" t="n"/>
      <c r="M654" s="5">
        <f>IF($A654="","",IFERROR(INDEX('AJUSTES'!$B$4:$B$303,MATCH($AT654,'AJUSTES'!$A$4:$A$303,0)),IF($K654="","",$K654)))</f>
        <v/>
      </c>
      <c r="N654" s="5">
        <f>IF($A654="","",IFERROR(INDEX('CAT_ESTADOS_ERP'!$B$4:$B$7,MATCH(IFERROR(INDEX('2_IMPORTAR_EJECUCION'!$C$9:$C$1208,MATCH($AT654,'2_IMPORTAR_EJECUCION'!$J$9:$J$1208,0)),""),'CAT_ESTADOS_ERP'!$A$4:$A$7,0)),"Pendiente"))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IF($J654="","",$P654&amp;"-"&amp;TEXT($Q654,"00"))</f>
        <v/>
      </c>
      <c r="S654" s="5">
        <f>IF($J654="","",INDEX(lista_dias,WEEKDAY($J654,2)))</f>
        <v/>
      </c>
      <c r="T654" s="5">
        <f>IF($J654="","",IFERROR(INDEX('CALENDARIO'!$C$15:$C$214,MATCH(TEXT($J654,"yyyy-mm-dd")&amp;"|"&amp;$X654&amp;"|"&amp;$Y654,'CALENDARIO'!$G$15:$G$214,0)),IFERROR(INDEX('CALENDARIO'!$C$15:$C$214,MATCH(TEXT($J654,"yyyy-mm-dd")&amp;"|"&amp;$X654&amp;"|",'CALENDARIO'!$G$15:$G$214,0)),IFERROR(INDEX('CALENDARIO'!$C$15:$C$214,MATCH(TEXT($J654,"yyyy-mm-dd")&amp;"||",'CALENDARIO'!$G$15:$G$214,0)),INDEX(patronHabil,WEEKDAY($J654,2))))))</f>
        <v/>
      </c>
      <c r="U654" s="5">
        <f>IF($I654="","",IFERROR(INDEX('CAT_TIPOS_OT'!$C$4:$C$8,MATCH($I654,'CAT_TIPOS_OT'!$A$4:$A$8,0)),"sin_clasificar"))</f>
        <v/>
      </c>
      <c r="V654" s="5">
        <f>IF($I654="","",IF(IFERROR(INDEX('CAT_TIPOS_OT'!$D$4:$D$8,MATCH($I654,'CAT_TIPOS_OT'!$A$4:$A$8,0)),"SIN CLASIFICAR")="","SIN CLASIFICAR",IFERROR(INDEX('CAT_TIPOS_OT'!$D$4:$D$8,MATCH($I654,'CAT_TIPOS_OT'!$A$4:$A$8,0)),"SIN CLASIFICAR")))</f>
        <v/>
      </c>
      <c r="W654" s="5">
        <f>IF($F654="","",IFERROR(INDEX('CAT_CENTROS_COSTO'!$F$4:$F$13,MATCH($F654,'CAT_CENTROS_COSTO'!$A$4:$A$13,0)),"(sin catálogo)"))</f>
        <v/>
      </c>
      <c r="X654" s="5">
        <f>IF($F654="","",IFERROR(INDEX('CAT_CENTROS_COSTO'!$D$4:$D$13,MATCH($F654,'CAT_CENTROS_COSTO'!$A$4:$A$13,0)),"(sin catálogo)"))</f>
        <v/>
      </c>
      <c r="Y654" s="5">
        <f>IF($F654="","",IF((IFERROR(INDEX('CAT_CENTROS_COSTO'!$E$4:$E$13,MATCH($F654,'CAT_CENTROS_COSTO'!$A$4:$A$13,0)),""))&lt;&gt;"",IFERROR(INDEX('CAT_CENTROS_COSTO'!$E$4:$E$13,MATCH($F654,'CAT_CENTROS_COSTO'!$A$4:$A$13,0)),""),$X654))</f>
        <v/>
      </c>
      <c r="Z654" s="5">
        <f>IF($F654="","",IFERROR(INDEX('CAT_CENTROS_COSTO'!$G$4:$G$13,MATCH($F654,'CAT_CENTROS_COSTO'!$A$4:$A$13,0)),"(sin catálogo)"))</f>
        <v/>
      </c>
      <c r="AA654" s="5">
        <f>IF($G654="","",IFERROR(INDEX('CAT_PUESTOS'!$B$4:$B$8,MATCH($G654,'CAT_PUESTOS'!$A$4:$A$8,0)),"(sin catálogo)"))</f>
        <v/>
      </c>
      <c r="AB654" s="5">
        <f>IF($H654="","",IFERROR(INDEX('CAT_ACTIVIDADES'!$B$4:$B$11,MATCH($H654,'CAT_ACTIVIDADES'!$A$4:$A$11,0)),"(sin catálogo)"))</f>
        <v/>
      </c>
      <c r="AC654" s="20">
        <f>IF($J654="","",TODAY()-$J654)</f>
        <v/>
      </c>
      <c r="AD654" s="20">
        <f>IF($J654="","",IF($J654&lt;=TODAY(),COUNTIFS(cal_fechas,"&gt;="&amp;$J654,cal_fechas,"&lt;"&amp;TODAY(),cal_habil,"sí"),-COUNTIFS(cal_fechas,"&gt;="&amp;TODAY(),cal_fechas,"&lt;"&amp;$J654,cal_habil,"sí")))</f>
        <v/>
      </c>
      <c r="AE654" s="5">
        <f>IF($AD654="","",IF($AD654&lt;0,"FUTURO",IF($AD654&gt;p_dias_backlog_max,"BACKLOG","MES CORRIENTE")))</f>
        <v/>
      </c>
      <c r="AF654" s="5">
        <f>IF($AD654="",FALSE,AND($AD654&gt;p_dias_backlog_min,$AD654&lt;=p_dias_backlog_max))</f>
        <v/>
      </c>
      <c r="AG654" s="4" t="n"/>
      <c r="AH654" s="5">
        <f>IF($AG654="","",IF((IFERROR(INDEX('ASIGNACIONES'!$J$4:$J$451,MATCH($O654&amp;"|"&amp;$S654&amp;"|"&amp;$AG654,'ASIGNACIONES'!$N$4:$N$451,0)),""))=0,"",IFERROR(INDEX('ASIGNACIONES'!$J$4:$J$451,MATCH($O654&amp;"|"&amp;$S654&amp;"|"&amp;$AG654,'ASIGNACIONES'!$N$4:$N$451,0)),"")))</f>
        <v/>
      </c>
      <c r="AI654" s="25">
        <f>IF($AG654="","",SUMIFS('ORDENES'!$M$4:$M$1203,'ORDENES'!$AG$4:$AG$1203,$AG654,'ORDENES'!$O$4:$O$1203,$O654,'ORDENES'!$S$4:$S$1203,$S654))</f>
        <v/>
      </c>
      <c r="AJ654" s="25">
        <f>IF($AI654="","",p_factor_productividad*IFERROR(INDEX('ASIGNACIONES'!$M$4:$M$451,MATCH($O654&amp;"|"&amp;$S654&amp;"|"&amp;$AG654,'ASIGNACIONES'!$N$4:$N$451,0)),0)-$AI654)</f>
        <v/>
      </c>
      <c r="AK654" s="18">
        <f>IF($A654="","",IFERROR(INDEX('2_IMPORTAR_EJECUCION'!$F$9:$F$1208,MATCH($AT654,'2_IMPORTAR_EJECUCION'!$J$9:$J$1208,0)),0))</f>
        <v/>
      </c>
      <c r="AL654" s="18">
        <f>IF($A654="","",MAX(0,IFERROR(INDEX('2_IMPORTAR_EJECUCION'!$H$9:$H$1208,MATCH($AT654,'2_IMPORTAR_EJECUCION'!$J$9:$J$1208,0)),0)-$AK654))</f>
        <v/>
      </c>
      <c r="AM654" s="18">
        <f>IF($A654="","",$AK654+$AL654)</f>
        <v/>
      </c>
      <c r="AN654" s="5">
        <f>IF($A654="","",IF(OR((IFERROR(INDEX('CAT_ACTIVIDADES'!$D$4:$D$11,MATCH($H654,'CAT_ACTIVIDADES'!$A$4:$A$11,0)),""))=0,(IFERROR(INDEX('CAT_ACTIVIDADES'!$D$4:$D$11,MATCH($H654,'CAT_ACTIVIDADES'!$A$4:$A$11,0)),""))=""),"SIN CLASIFICAR",IFERROR(INDEX('CAT_ACTIVIDADES'!$D$4:$D$11,MATCH($H654,'CAT_ACTIVIDADES'!$A$4:$A$11,0)),"")))</f>
        <v/>
      </c>
      <c r="AO654" s="4" t="n"/>
      <c r="AP654" s="4" t="n"/>
      <c r="AQ654" s="4" t="n"/>
      <c r="AR654" s="5">
        <f>IF($AQ654="","",HYPERLINK(p_ruta_base_checklists&amp;$AQ654,"abrir"))</f>
        <v/>
      </c>
      <c r="AS654" s="4" t="n"/>
      <c r="AT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2" t="n"/>
      <c r="K655" s="5" t="n"/>
      <c r="L655" s="18" t="n"/>
      <c r="M655" s="5">
        <f>IF($A655="","",IFERROR(INDEX('AJUSTES'!$B$4:$B$303,MATCH($AT655,'AJUSTES'!$A$4:$A$303,0)),IF($K655="","",$K655)))</f>
        <v/>
      </c>
      <c r="N655" s="5">
        <f>IF($A655="","",IFERROR(INDEX('CAT_ESTADOS_ERP'!$B$4:$B$7,MATCH(IFERROR(INDEX('2_IMPORTAR_EJECUCION'!$C$9:$C$1208,MATCH($AT655,'2_IMPORTAR_EJECUCION'!$J$9:$J$1208,0)),""),'CAT_ESTADOS_ERP'!$A$4:$A$7,0)),"Pendiente"))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IF($J655="","",$P655&amp;"-"&amp;TEXT($Q655,"00"))</f>
        <v/>
      </c>
      <c r="S655" s="5">
        <f>IF($J655="","",INDEX(lista_dias,WEEKDAY($J655,2)))</f>
        <v/>
      </c>
      <c r="T655" s="5">
        <f>IF($J655="","",IFERROR(INDEX('CALENDARIO'!$C$15:$C$214,MATCH(TEXT($J655,"yyyy-mm-dd")&amp;"|"&amp;$X655&amp;"|"&amp;$Y655,'CALENDARIO'!$G$15:$G$214,0)),IFERROR(INDEX('CALENDARIO'!$C$15:$C$214,MATCH(TEXT($J655,"yyyy-mm-dd")&amp;"|"&amp;$X655&amp;"|",'CALENDARIO'!$G$15:$G$214,0)),IFERROR(INDEX('CALENDARIO'!$C$15:$C$214,MATCH(TEXT($J655,"yyyy-mm-dd")&amp;"||",'CALENDARIO'!$G$15:$G$214,0)),INDEX(patronHabil,WEEKDAY($J655,2))))))</f>
        <v/>
      </c>
      <c r="U655" s="5">
        <f>IF($I655="","",IFERROR(INDEX('CAT_TIPOS_OT'!$C$4:$C$8,MATCH($I655,'CAT_TIPOS_OT'!$A$4:$A$8,0)),"sin_clasificar"))</f>
        <v/>
      </c>
      <c r="V655" s="5">
        <f>IF($I655="","",IF(IFERROR(INDEX('CAT_TIPOS_OT'!$D$4:$D$8,MATCH($I655,'CAT_TIPOS_OT'!$A$4:$A$8,0)),"SIN CLASIFICAR")="","SIN CLASIFICAR",IFERROR(INDEX('CAT_TIPOS_OT'!$D$4:$D$8,MATCH($I655,'CAT_TIPOS_OT'!$A$4:$A$8,0)),"SIN CLASIFICAR")))</f>
        <v/>
      </c>
      <c r="W655" s="5">
        <f>IF($F655="","",IFERROR(INDEX('CAT_CENTROS_COSTO'!$F$4:$F$13,MATCH($F655,'CAT_CENTROS_COSTO'!$A$4:$A$13,0)),"(sin catálogo)"))</f>
        <v/>
      </c>
      <c r="X655" s="5">
        <f>IF($F655="","",IFERROR(INDEX('CAT_CENTROS_COSTO'!$D$4:$D$13,MATCH($F655,'CAT_CENTROS_COSTO'!$A$4:$A$13,0)),"(sin catálogo)"))</f>
        <v/>
      </c>
      <c r="Y655" s="5">
        <f>IF($F655="","",IF((IFERROR(INDEX('CAT_CENTROS_COSTO'!$E$4:$E$13,MATCH($F655,'CAT_CENTROS_COSTO'!$A$4:$A$13,0)),""))&lt;&gt;"",IFERROR(INDEX('CAT_CENTROS_COSTO'!$E$4:$E$13,MATCH($F655,'CAT_CENTROS_COSTO'!$A$4:$A$13,0)),""),$X655))</f>
        <v/>
      </c>
      <c r="Z655" s="5">
        <f>IF($F655="","",IFERROR(INDEX('CAT_CENTROS_COSTO'!$G$4:$G$13,MATCH($F655,'CAT_CENTROS_COSTO'!$A$4:$A$13,0)),"(sin catálogo)"))</f>
        <v/>
      </c>
      <c r="AA655" s="5">
        <f>IF($G655="","",IFERROR(INDEX('CAT_PUESTOS'!$B$4:$B$8,MATCH($G655,'CAT_PUESTOS'!$A$4:$A$8,0)),"(sin catálogo)"))</f>
        <v/>
      </c>
      <c r="AB655" s="5">
        <f>IF($H655="","",IFERROR(INDEX('CAT_ACTIVIDADES'!$B$4:$B$11,MATCH($H655,'CAT_ACTIVIDADES'!$A$4:$A$11,0)),"(sin catálogo)"))</f>
        <v/>
      </c>
      <c r="AC655" s="20">
        <f>IF($J655="","",TODAY()-$J655)</f>
        <v/>
      </c>
      <c r="AD655" s="20">
        <f>IF($J655="","",IF($J655&lt;=TODAY(),COUNTIFS(cal_fechas,"&gt;="&amp;$J655,cal_fechas,"&lt;"&amp;TODAY(),cal_habil,"sí"),-COUNTIFS(cal_fechas,"&gt;="&amp;TODAY(),cal_fechas,"&lt;"&amp;$J655,cal_habil,"sí")))</f>
        <v/>
      </c>
      <c r="AE655" s="5">
        <f>IF($AD655="","",IF($AD655&lt;0,"FUTURO",IF($AD655&gt;p_dias_backlog_max,"BACKLOG","MES CORRIENTE")))</f>
        <v/>
      </c>
      <c r="AF655" s="5">
        <f>IF($AD655="",FALSE,AND($AD655&gt;p_dias_backlog_min,$AD655&lt;=p_dias_backlog_max))</f>
        <v/>
      </c>
      <c r="AG655" s="4" t="n"/>
      <c r="AH655" s="5">
        <f>IF($AG655="","",IF((IFERROR(INDEX('ASIGNACIONES'!$J$4:$J$451,MATCH($O655&amp;"|"&amp;$S655&amp;"|"&amp;$AG655,'ASIGNACIONES'!$N$4:$N$451,0)),""))=0,"",IFERROR(INDEX('ASIGNACIONES'!$J$4:$J$451,MATCH($O655&amp;"|"&amp;$S655&amp;"|"&amp;$AG655,'ASIGNACIONES'!$N$4:$N$451,0)),"")))</f>
        <v/>
      </c>
      <c r="AI655" s="25">
        <f>IF($AG655="","",SUMIFS('ORDENES'!$M$4:$M$1203,'ORDENES'!$AG$4:$AG$1203,$AG655,'ORDENES'!$O$4:$O$1203,$O655,'ORDENES'!$S$4:$S$1203,$S655))</f>
        <v/>
      </c>
      <c r="AJ655" s="25">
        <f>IF($AI655="","",p_factor_productividad*IFERROR(INDEX('ASIGNACIONES'!$M$4:$M$451,MATCH($O655&amp;"|"&amp;$S655&amp;"|"&amp;$AG655,'ASIGNACIONES'!$N$4:$N$451,0)),0)-$AI655)</f>
        <v/>
      </c>
      <c r="AK655" s="18">
        <f>IF($A655="","",IFERROR(INDEX('2_IMPORTAR_EJECUCION'!$F$9:$F$1208,MATCH($AT655,'2_IMPORTAR_EJECUCION'!$J$9:$J$1208,0)),0))</f>
        <v/>
      </c>
      <c r="AL655" s="18">
        <f>IF($A655="","",MAX(0,IFERROR(INDEX('2_IMPORTAR_EJECUCION'!$H$9:$H$1208,MATCH($AT655,'2_IMPORTAR_EJECUCION'!$J$9:$J$1208,0)),0)-$AK655))</f>
        <v/>
      </c>
      <c r="AM655" s="18">
        <f>IF($A655="","",$AK655+$AL655)</f>
        <v/>
      </c>
      <c r="AN655" s="5">
        <f>IF($A655="","",IF(OR((IFERROR(INDEX('CAT_ACTIVIDADES'!$D$4:$D$11,MATCH($H655,'CAT_ACTIVIDADES'!$A$4:$A$11,0)),""))=0,(IFERROR(INDEX('CAT_ACTIVIDADES'!$D$4:$D$11,MATCH($H655,'CAT_ACTIVIDADES'!$A$4:$A$11,0)),""))=""),"SIN CLASIFICAR",IFERROR(INDEX('CAT_ACTIVIDADES'!$D$4:$D$11,MATCH($H655,'CAT_ACTIVIDADES'!$A$4:$A$11,0)),"")))</f>
        <v/>
      </c>
      <c r="AO655" s="4" t="n"/>
      <c r="AP655" s="4" t="n"/>
      <c r="AQ655" s="4" t="n"/>
      <c r="AR655" s="5">
        <f>IF($AQ655="","",HYPERLINK(p_ruta_base_checklists&amp;$AQ655,"abrir"))</f>
        <v/>
      </c>
      <c r="AS655" s="4" t="n"/>
      <c r="AT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2" t="n"/>
      <c r="K656" s="5" t="n"/>
      <c r="L656" s="18" t="n"/>
      <c r="M656" s="5">
        <f>IF($A656="","",IFERROR(INDEX('AJUSTES'!$B$4:$B$303,MATCH($AT656,'AJUSTES'!$A$4:$A$303,0)),IF($K656="","",$K656)))</f>
        <v/>
      </c>
      <c r="N656" s="5">
        <f>IF($A656="","",IFERROR(INDEX('CAT_ESTADOS_ERP'!$B$4:$B$7,MATCH(IFERROR(INDEX('2_IMPORTAR_EJECUCION'!$C$9:$C$1208,MATCH($AT656,'2_IMPORTAR_EJECUCION'!$J$9:$J$1208,0)),""),'CAT_ESTADOS_ERP'!$A$4:$A$7,0)),"Pendiente"))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IF($J656="","",$P656&amp;"-"&amp;TEXT($Q656,"00"))</f>
        <v/>
      </c>
      <c r="S656" s="5">
        <f>IF($J656="","",INDEX(lista_dias,WEEKDAY($J656,2)))</f>
        <v/>
      </c>
      <c r="T656" s="5">
        <f>IF($J656="","",IFERROR(INDEX('CALENDARIO'!$C$15:$C$214,MATCH(TEXT($J656,"yyyy-mm-dd")&amp;"|"&amp;$X656&amp;"|"&amp;$Y656,'CALENDARIO'!$G$15:$G$214,0)),IFERROR(INDEX('CALENDARIO'!$C$15:$C$214,MATCH(TEXT($J656,"yyyy-mm-dd")&amp;"|"&amp;$X656&amp;"|",'CALENDARIO'!$G$15:$G$214,0)),IFERROR(INDEX('CALENDARIO'!$C$15:$C$214,MATCH(TEXT($J656,"yyyy-mm-dd")&amp;"||",'CALENDARIO'!$G$15:$G$214,0)),INDEX(patronHabil,WEEKDAY($J656,2))))))</f>
        <v/>
      </c>
      <c r="U656" s="5">
        <f>IF($I656="","",IFERROR(INDEX('CAT_TIPOS_OT'!$C$4:$C$8,MATCH($I656,'CAT_TIPOS_OT'!$A$4:$A$8,0)),"sin_clasificar"))</f>
        <v/>
      </c>
      <c r="V656" s="5">
        <f>IF($I656="","",IF(IFERROR(INDEX('CAT_TIPOS_OT'!$D$4:$D$8,MATCH($I656,'CAT_TIPOS_OT'!$A$4:$A$8,0)),"SIN CLASIFICAR")="","SIN CLASIFICAR",IFERROR(INDEX('CAT_TIPOS_OT'!$D$4:$D$8,MATCH($I656,'CAT_TIPOS_OT'!$A$4:$A$8,0)),"SIN CLASIFICAR")))</f>
        <v/>
      </c>
      <c r="W656" s="5">
        <f>IF($F656="","",IFERROR(INDEX('CAT_CENTROS_COSTO'!$F$4:$F$13,MATCH($F656,'CAT_CENTROS_COSTO'!$A$4:$A$13,0)),"(sin catálogo)"))</f>
        <v/>
      </c>
      <c r="X656" s="5">
        <f>IF($F656="","",IFERROR(INDEX('CAT_CENTROS_COSTO'!$D$4:$D$13,MATCH($F656,'CAT_CENTROS_COSTO'!$A$4:$A$13,0)),"(sin catálogo)"))</f>
        <v/>
      </c>
      <c r="Y656" s="5">
        <f>IF($F656="","",IF((IFERROR(INDEX('CAT_CENTROS_COSTO'!$E$4:$E$13,MATCH($F656,'CAT_CENTROS_COSTO'!$A$4:$A$13,0)),""))&lt;&gt;"",IFERROR(INDEX('CAT_CENTROS_COSTO'!$E$4:$E$13,MATCH($F656,'CAT_CENTROS_COSTO'!$A$4:$A$13,0)),""),$X656))</f>
        <v/>
      </c>
      <c r="Z656" s="5">
        <f>IF($F656="","",IFERROR(INDEX('CAT_CENTROS_COSTO'!$G$4:$G$13,MATCH($F656,'CAT_CENTROS_COSTO'!$A$4:$A$13,0)),"(sin catálogo)"))</f>
        <v/>
      </c>
      <c r="AA656" s="5">
        <f>IF($G656="","",IFERROR(INDEX('CAT_PUESTOS'!$B$4:$B$8,MATCH($G656,'CAT_PUESTOS'!$A$4:$A$8,0)),"(sin catálogo)"))</f>
        <v/>
      </c>
      <c r="AB656" s="5">
        <f>IF($H656="","",IFERROR(INDEX('CAT_ACTIVIDADES'!$B$4:$B$11,MATCH($H656,'CAT_ACTIVIDADES'!$A$4:$A$11,0)),"(sin catálogo)"))</f>
        <v/>
      </c>
      <c r="AC656" s="20">
        <f>IF($J656="","",TODAY()-$J656)</f>
        <v/>
      </c>
      <c r="AD656" s="20">
        <f>IF($J656="","",IF($J656&lt;=TODAY(),COUNTIFS(cal_fechas,"&gt;="&amp;$J656,cal_fechas,"&lt;"&amp;TODAY(),cal_habil,"sí"),-COUNTIFS(cal_fechas,"&gt;="&amp;TODAY(),cal_fechas,"&lt;"&amp;$J656,cal_habil,"sí")))</f>
        <v/>
      </c>
      <c r="AE656" s="5">
        <f>IF($AD656="","",IF($AD656&lt;0,"FUTURO",IF($AD656&gt;p_dias_backlog_max,"BACKLOG","MES CORRIENTE")))</f>
        <v/>
      </c>
      <c r="AF656" s="5">
        <f>IF($AD656="",FALSE,AND($AD656&gt;p_dias_backlog_min,$AD656&lt;=p_dias_backlog_max))</f>
        <v/>
      </c>
      <c r="AG656" s="4" t="n"/>
      <c r="AH656" s="5">
        <f>IF($AG656="","",IF((IFERROR(INDEX('ASIGNACIONES'!$J$4:$J$451,MATCH($O656&amp;"|"&amp;$S656&amp;"|"&amp;$AG656,'ASIGNACIONES'!$N$4:$N$451,0)),""))=0,"",IFERROR(INDEX('ASIGNACIONES'!$J$4:$J$451,MATCH($O656&amp;"|"&amp;$S656&amp;"|"&amp;$AG656,'ASIGNACIONES'!$N$4:$N$451,0)),"")))</f>
        <v/>
      </c>
      <c r="AI656" s="25">
        <f>IF($AG656="","",SUMIFS('ORDENES'!$M$4:$M$1203,'ORDENES'!$AG$4:$AG$1203,$AG656,'ORDENES'!$O$4:$O$1203,$O656,'ORDENES'!$S$4:$S$1203,$S656))</f>
        <v/>
      </c>
      <c r="AJ656" s="25">
        <f>IF($AI656="","",p_factor_productividad*IFERROR(INDEX('ASIGNACIONES'!$M$4:$M$451,MATCH($O656&amp;"|"&amp;$S656&amp;"|"&amp;$AG656,'ASIGNACIONES'!$N$4:$N$451,0)),0)-$AI656)</f>
        <v/>
      </c>
      <c r="AK656" s="18">
        <f>IF($A656="","",IFERROR(INDEX('2_IMPORTAR_EJECUCION'!$F$9:$F$1208,MATCH($AT656,'2_IMPORTAR_EJECUCION'!$J$9:$J$1208,0)),0))</f>
        <v/>
      </c>
      <c r="AL656" s="18">
        <f>IF($A656="","",MAX(0,IFERROR(INDEX('2_IMPORTAR_EJECUCION'!$H$9:$H$1208,MATCH($AT656,'2_IMPORTAR_EJECUCION'!$J$9:$J$1208,0)),0)-$AK656))</f>
        <v/>
      </c>
      <c r="AM656" s="18">
        <f>IF($A656="","",$AK656+$AL656)</f>
        <v/>
      </c>
      <c r="AN656" s="5">
        <f>IF($A656="","",IF(OR((IFERROR(INDEX('CAT_ACTIVIDADES'!$D$4:$D$11,MATCH($H656,'CAT_ACTIVIDADES'!$A$4:$A$11,0)),""))=0,(IFERROR(INDEX('CAT_ACTIVIDADES'!$D$4:$D$11,MATCH($H656,'CAT_ACTIVIDADES'!$A$4:$A$11,0)),""))=""),"SIN CLASIFICAR",IFERROR(INDEX('CAT_ACTIVIDADES'!$D$4:$D$11,MATCH($H656,'CAT_ACTIVIDADES'!$A$4:$A$11,0)),"")))</f>
        <v/>
      </c>
      <c r="AO656" s="4" t="n"/>
      <c r="AP656" s="4" t="n"/>
      <c r="AQ656" s="4" t="n"/>
      <c r="AR656" s="5">
        <f>IF($AQ656="","",HYPERLINK(p_ruta_base_checklists&amp;$AQ656,"abrir"))</f>
        <v/>
      </c>
      <c r="AS656" s="4" t="n"/>
      <c r="AT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2" t="n"/>
      <c r="K657" s="5" t="n"/>
      <c r="L657" s="18" t="n"/>
      <c r="M657" s="5">
        <f>IF($A657="","",IFERROR(INDEX('AJUSTES'!$B$4:$B$303,MATCH($AT657,'AJUSTES'!$A$4:$A$303,0)),IF($K657="","",$K657)))</f>
        <v/>
      </c>
      <c r="N657" s="5">
        <f>IF($A657="","",IFERROR(INDEX('CAT_ESTADOS_ERP'!$B$4:$B$7,MATCH(IFERROR(INDEX('2_IMPORTAR_EJECUCION'!$C$9:$C$1208,MATCH($AT657,'2_IMPORTAR_EJECUCION'!$J$9:$J$1208,0)),""),'CAT_ESTADOS_ERP'!$A$4:$A$7,0)),"Pendiente"))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IF($J657="","",$P657&amp;"-"&amp;TEXT($Q657,"00"))</f>
        <v/>
      </c>
      <c r="S657" s="5">
        <f>IF($J657="","",INDEX(lista_dias,WEEKDAY($J657,2)))</f>
        <v/>
      </c>
      <c r="T657" s="5">
        <f>IF($J657="","",IFERROR(INDEX('CALENDARIO'!$C$15:$C$214,MATCH(TEXT($J657,"yyyy-mm-dd")&amp;"|"&amp;$X657&amp;"|"&amp;$Y657,'CALENDARIO'!$G$15:$G$214,0)),IFERROR(INDEX('CALENDARIO'!$C$15:$C$214,MATCH(TEXT($J657,"yyyy-mm-dd")&amp;"|"&amp;$X657&amp;"|",'CALENDARIO'!$G$15:$G$214,0)),IFERROR(INDEX('CALENDARIO'!$C$15:$C$214,MATCH(TEXT($J657,"yyyy-mm-dd")&amp;"||",'CALENDARIO'!$G$15:$G$214,0)),INDEX(patronHabil,WEEKDAY($J657,2))))))</f>
        <v/>
      </c>
      <c r="U657" s="5">
        <f>IF($I657="","",IFERROR(INDEX('CAT_TIPOS_OT'!$C$4:$C$8,MATCH($I657,'CAT_TIPOS_OT'!$A$4:$A$8,0)),"sin_clasificar"))</f>
        <v/>
      </c>
      <c r="V657" s="5">
        <f>IF($I657="","",IF(IFERROR(INDEX('CAT_TIPOS_OT'!$D$4:$D$8,MATCH($I657,'CAT_TIPOS_OT'!$A$4:$A$8,0)),"SIN CLASIFICAR")="","SIN CLASIFICAR",IFERROR(INDEX('CAT_TIPOS_OT'!$D$4:$D$8,MATCH($I657,'CAT_TIPOS_OT'!$A$4:$A$8,0)),"SIN CLASIFICAR")))</f>
        <v/>
      </c>
      <c r="W657" s="5">
        <f>IF($F657="","",IFERROR(INDEX('CAT_CENTROS_COSTO'!$F$4:$F$13,MATCH($F657,'CAT_CENTROS_COSTO'!$A$4:$A$13,0)),"(sin catálogo)"))</f>
        <v/>
      </c>
      <c r="X657" s="5">
        <f>IF($F657="","",IFERROR(INDEX('CAT_CENTROS_COSTO'!$D$4:$D$13,MATCH($F657,'CAT_CENTROS_COSTO'!$A$4:$A$13,0)),"(sin catálogo)"))</f>
        <v/>
      </c>
      <c r="Y657" s="5">
        <f>IF($F657="","",IF((IFERROR(INDEX('CAT_CENTROS_COSTO'!$E$4:$E$13,MATCH($F657,'CAT_CENTROS_COSTO'!$A$4:$A$13,0)),""))&lt;&gt;"",IFERROR(INDEX('CAT_CENTROS_COSTO'!$E$4:$E$13,MATCH($F657,'CAT_CENTROS_COSTO'!$A$4:$A$13,0)),""),$X657))</f>
        <v/>
      </c>
      <c r="Z657" s="5">
        <f>IF($F657="","",IFERROR(INDEX('CAT_CENTROS_COSTO'!$G$4:$G$13,MATCH($F657,'CAT_CENTROS_COSTO'!$A$4:$A$13,0)),"(sin catálogo)"))</f>
        <v/>
      </c>
      <c r="AA657" s="5">
        <f>IF($G657="","",IFERROR(INDEX('CAT_PUESTOS'!$B$4:$B$8,MATCH($G657,'CAT_PUESTOS'!$A$4:$A$8,0)),"(sin catálogo)"))</f>
        <v/>
      </c>
      <c r="AB657" s="5">
        <f>IF($H657="","",IFERROR(INDEX('CAT_ACTIVIDADES'!$B$4:$B$11,MATCH($H657,'CAT_ACTIVIDADES'!$A$4:$A$11,0)),"(sin catálogo)"))</f>
        <v/>
      </c>
      <c r="AC657" s="20">
        <f>IF($J657="","",TODAY()-$J657)</f>
        <v/>
      </c>
      <c r="AD657" s="20">
        <f>IF($J657="","",IF($J657&lt;=TODAY(),COUNTIFS(cal_fechas,"&gt;="&amp;$J657,cal_fechas,"&lt;"&amp;TODAY(),cal_habil,"sí"),-COUNTIFS(cal_fechas,"&gt;="&amp;TODAY(),cal_fechas,"&lt;"&amp;$J657,cal_habil,"sí")))</f>
        <v/>
      </c>
      <c r="AE657" s="5">
        <f>IF($AD657="","",IF($AD657&lt;0,"FUTURO",IF($AD657&gt;p_dias_backlog_max,"BACKLOG","MES CORRIENTE")))</f>
        <v/>
      </c>
      <c r="AF657" s="5">
        <f>IF($AD657="",FALSE,AND($AD657&gt;p_dias_backlog_min,$AD657&lt;=p_dias_backlog_max))</f>
        <v/>
      </c>
      <c r="AG657" s="4" t="n"/>
      <c r="AH657" s="5">
        <f>IF($AG657="","",IF((IFERROR(INDEX('ASIGNACIONES'!$J$4:$J$451,MATCH($O657&amp;"|"&amp;$S657&amp;"|"&amp;$AG657,'ASIGNACIONES'!$N$4:$N$451,0)),""))=0,"",IFERROR(INDEX('ASIGNACIONES'!$J$4:$J$451,MATCH($O657&amp;"|"&amp;$S657&amp;"|"&amp;$AG657,'ASIGNACIONES'!$N$4:$N$451,0)),"")))</f>
        <v/>
      </c>
      <c r="AI657" s="25">
        <f>IF($AG657="","",SUMIFS('ORDENES'!$M$4:$M$1203,'ORDENES'!$AG$4:$AG$1203,$AG657,'ORDENES'!$O$4:$O$1203,$O657,'ORDENES'!$S$4:$S$1203,$S657))</f>
        <v/>
      </c>
      <c r="AJ657" s="25">
        <f>IF($AI657="","",p_factor_productividad*IFERROR(INDEX('ASIGNACIONES'!$M$4:$M$451,MATCH($O657&amp;"|"&amp;$S657&amp;"|"&amp;$AG657,'ASIGNACIONES'!$N$4:$N$451,0)),0)-$AI657)</f>
        <v/>
      </c>
      <c r="AK657" s="18">
        <f>IF($A657="","",IFERROR(INDEX('2_IMPORTAR_EJECUCION'!$F$9:$F$1208,MATCH($AT657,'2_IMPORTAR_EJECUCION'!$J$9:$J$1208,0)),0))</f>
        <v/>
      </c>
      <c r="AL657" s="18">
        <f>IF($A657="","",MAX(0,IFERROR(INDEX('2_IMPORTAR_EJECUCION'!$H$9:$H$1208,MATCH($AT657,'2_IMPORTAR_EJECUCION'!$J$9:$J$1208,0)),0)-$AK657))</f>
        <v/>
      </c>
      <c r="AM657" s="18">
        <f>IF($A657="","",$AK657+$AL657)</f>
        <v/>
      </c>
      <c r="AN657" s="5">
        <f>IF($A657="","",IF(OR((IFERROR(INDEX('CAT_ACTIVIDADES'!$D$4:$D$11,MATCH($H657,'CAT_ACTIVIDADES'!$A$4:$A$11,0)),""))=0,(IFERROR(INDEX('CAT_ACTIVIDADES'!$D$4:$D$11,MATCH($H657,'CAT_ACTIVIDADES'!$A$4:$A$11,0)),""))=""),"SIN CLASIFICAR",IFERROR(INDEX('CAT_ACTIVIDADES'!$D$4:$D$11,MATCH($H657,'CAT_ACTIVIDADES'!$A$4:$A$11,0)),"")))</f>
        <v/>
      </c>
      <c r="AO657" s="4" t="n"/>
      <c r="AP657" s="4" t="n"/>
      <c r="AQ657" s="4" t="n"/>
      <c r="AR657" s="5">
        <f>IF($AQ657="","",HYPERLINK(p_ruta_base_checklists&amp;$AQ657,"abrir"))</f>
        <v/>
      </c>
      <c r="AS657" s="4" t="n"/>
      <c r="AT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2" t="n"/>
      <c r="K658" s="5" t="n"/>
      <c r="L658" s="18" t="n"/>
      <c r="M658" s="5">
        <f>IF($A658="","",IFERROR(INDEX('AJUSTES'!$B$4:$B$303,MATCH($AT658,'AJUSTES'!$A$4:$A$303,0)),IF($K658="","",$K658)))</f>
        <v/>
      </c>
      <c r="N658" s="5">
        <f>IF($A658="","",IFERROR(INDEX('CAT_ESTADOS_ERP'!$B$4:$B$7,MATCH(IFERROR(INDEX('2_IMPORTAR_EJECUCION'!$C$9:$C$1208,MATCH($AT658,'2_IMPORTAR_EJECUCION'!$J$9:$J$1208,0)),""),'CAT_ESTADOS_ERP'!$A$4:$A$7,0)),"Pendiente"))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IF($J658="","",$P658&amp;"-"&amp;TEXT($Q658,"00"))</f>
        <v/>
      </c>
      <c r="S658" s="5">
        <f>IF($J658="","",INDEX(lista_dias,WEEKDAY($J658,2)))</f>
        <v/>
      </c>
      <c r="T658" s="5">
        <f>IF($J658="","",IFERROR(INDEX('CALENDARIO'!$C$15:$C$214,MATCH(TEXT($J658,"yyyy-mm-dd")&amp;"|"&amp;$X658&amp;"|"&amp;$Y658,'CALENDARIO'!$G$15:$G$214,0)),IFERROR(INDEX('CALENDARIO'!$C$15:$C$214,MATCH(TEXT($J658,"yyyy-mm-dd")&amp;"|"&amp;$X658&amp;"|",'CALENDARIO'!$G$15:$G$214,0)),IFERROR(INDEX('CALENDARIO'!$C$15:$C$214,MATCH(TEXT($J658,"yyyy-mm-dd")&amp;"||",'CALENDARIO'!$G$15:$G$214,0)),INDEX(patronHabil,WEEKDAY($J658,2))))))</f>
        <v/>
      </c>
      <c r="U658" s="5">
        <f>IF($I658="","",IFERROR(INDEX('CAT_TIPOS_OT'!$C$4:$C$8,MATCH($I658,'CAT_TIPOS_OT'!$A$4:$A$8,0)),"sin_clasificar"))</f>
        <v/>
      </c>
      <c r="V658" s="5">
        <f>IF($I658="","",IF(IFERROR(INDEX('CAT_TIPOS_OT'!$D$4:$D$8,MATCH($I658,'CAT_TIPOS_OT'!$A$4:$A$8,0)),"SIN CLASIFICAR")="","SIN CLASIFICAR",IFERROR(INDEX('CAT_TIPOS_OT'!$D$4:$D$8,MATCH($I658,'CAT_TIPOS_OT'!$A$4:$A$8,0)),"SIN CLASIFICAR")))</f>
        <v/>
      </c>
      <c r="W658" s="5">
        <f>IF($F658="","",IFERROR(INDEX('CAT_CENTROS_COSTO'!$F$4:$F$13,MATCH($F658,'CAT_CENTROS_COSTO'!$A$4:$A$13,0)),"(sin catálogo)"))</f>
        <v/>
      </c>
      <c r="X658" s="5">
        <f>IF($F658="","",IFERROR(INDEX('CAT_CENTROS_COSTO'!$D$4:$D$13,MATCH($F658,'CAT_CENTROS_COSTO'!$A$4:$A$13,0)),"(sin catálogo)"))</f>
        <v/>
      </c>
      <c r="Y658" s="5">
        <f>IF($F658="","",IF((IFERROR(INDEX('CAT_CENTROS_COSTO'!$E$4:$E$13,MATCH($F658,'CAT_CENTROS_COSTO'!$A$4:$A$13,0)),""))&lt;&gt;"",IFERROR(INDEX('CAT_CENTROS_COSTO'!$E$4:$E$13,MATCH($F658,'CAT_CENTROS_COSTO'!$A$4:$A$13,0)),""),$X658))</f>
        <v/>
      </c>
      <c r="Z658" s="5">
        <f>IF($F658="","",IFERROR(INDEX('CAT_CENTROS_COSTO'!$G$4:$G$13,MATCH($F658,'CAT_CENTROS_COSTO'!$A$4:$A$13,0)),"(sin catálogo)"))</f>
        <v/>
      </c>
      <c r="AA658" s="5">
        <f>IF($G658="","",IFERROR(INDEX('CAT_PUESTOS'!$B$4:$B$8,MATCH($G658,'CAT_PUESTOS'!$A$4:$A$8,0)),"(sin catálogo)"))</f>
        <v/>
      </c>
      <c r="AB658" s="5">
        <f>IF($H658="","",IFERROR(INDEX('CAT_ACTIVIDADES'!$B$4:$B$11,MATCH($H658,'CAT_ACTIVIDADES'!$A$4:$A$11,0)),"(sin catálogo)"))</f>
        <v/>
      </c>
      <c r="AC658" s="20">
        <f>IF($J658="","",TODAY()-$J658)</f>
        <v/>
      </c>
      <c r="AD658" s="20">
        <f>IF($J658="","",IF($J658&lt;=TODAY(),COUNTIFS(cal_fechas,"&gt;="&amp;$J658,cal_fechas,"&lt;"&amp;TODAY(),cal_habil,"sí"),-COUNTIFS(cal_fechas,"&gt;="&amp;TODAY(),cal_fechas,"&lt;"&amp;$J658,cal_habil,"sí")))</f>
        <v/>
      </c>
      <c r="AE658" s="5">
        <f>IF($AD658="","",IF($AD658&lt;0,"FUTURO",IF($AD658&gt;p_dias_backlog_max,"BACKLOG","MES CORRIENTE")))</f>
        <v/>
      </c>
      <c r="AF658" s="5">
        <f>IF($AD658="",FALSE,AND($AD658&gt;p_dias_backlog_min,$AD658&lt;=p_dias_backlog_max))</f>
        <v/>
      </c>
      <c r="AG658" s="4" t="n"/>
      <c r="AH658" s="5">
        <f>IF($AG658="","",IF((IFERROR(INDEX('ASIGNACIONES'!$J$4:$J$451,MATCH($O658&amp;"|"&amp;$S658&amp;"|"&amp;$AG658,'ASIGNACIONES'!$N$4:$N$451,0)),""))=0,"",IFERROR(INDEX('ASIGNACIONES'!$J$4:$J$451,MATCH($O658&amp;"|"&amp;$S658&amp;"|"&amp;$AG658,'ASIGNACIONES'!$N$4:$N$451,0)),"")))</f>
        <v/>
      </c>
      <c r="AI658" s="25">
        <f>IF($AG658="","",SUMIFS('ORDENES'!$M$4:$M$1203,'ORDENES'!$AG$4:$AG$1203,$AG658,'ORDENES'!$O$4:$O$1203,$O658,'ORDENES'!$S$4:$S$1203,$S658))</f>
        <v/>
      </c>
      <c r="AJ658" s="25">
        <f>IF($AI658="","",p_factor_productividad*IFERROR(INDEX('ASIGNACIONES'!$M$4:$M$451,MATCH($O658&amp;"|"&amp;$S658&amp;"|"&amp;$AG658,'ASIGNACIONES'!$N$4:$N$451,0)),0)-$AI658)</f>
        <v/>
      </c>
      <c r="AK658" s="18">
        <f>IF($A658="","",IFERROR(INDEX('2_IMPORTAR_EJECUCION'!$F$9:$F$1208,MATCH($AT658,'2_IMPORTAR_EJECUCION'!$J$9:$J$1208,0)),0))</f>
        <v/>
      </c>
      <c r="AL658" s="18">
        <f>IF($A658="","",MAX(0,IFERROR(INDEX('2_IMPORTAR_EJECUCION'!$H$9:$H$1208,MATCH($AT658,'2_IMPORTAR_EJECUCION'!$J$9:$J$1208,0)),0)-$AK658))</f>
        <v/>
      </c>
      <c r="AM658" s="18">
        <f>IF($A658="","",$AK658+$AL658)</f>
        <v/>
      </c>
      <c r="AN658" s="5">
        <f>IF($A658="","",IF(OR((IFERROR(INDEX('CAT_ACTIVIDADES'!$D$4:$D$11,MATCH($H658,'CAT_ACTIVIDADES'!$A$4:$A$11,0)),""))=0,(IFERROR(INDEX('CAT_ACTIVIDADES'!$D$4:$D$11,MATCH($H658,'CAT_ACTIVIDADES'!$A$4:$A$11,0)),""))=""),"SIN CLASIFICAR",IFERROR(INDEX('CAT_ACTIVIDADES'!$D$4:$D$11,MATCH($H658,'CAT_ACTIVIDADES'!$A$4:$A$11,0)),"")))</f>
        <v/>
      </c>
      <c r="AO658" s="4" t="n"/>
      <c r="AP658" s="4" t="n"/>
      <c r="AQ658" s="4" t="n"/>
      <c r="AR658" s="5">
        <f>IF($AQ658="","",HYPERLINK(p_ruta_base_checklists&amp;$AQ658,"abrir"))</f>
        <v/>
      </c>
      <c r="AS658" s="4" t="n"/>
      <c r="AT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2" t="n"/>
      <c r="K659" s="5" t="n"/>
      <c r="L659" s="18" t="n"/>
      <c r="M659" s="5">
        <f>IF($A659="","",IFERROR(INDEX('AJUSTES'!$B$4:$B$303,MATCH($AT659,'AJUSTES'!$A$4:$A$303,0)),IF($K659="","",$K659)))</f>
        <v/>
      </c>
      <c r="N659" s="5">
        <f>IF($A659="","",IFERROR(INDEX('CAT_ESTADOS_ERP'!$B$4:$B$7,MATCH(IFERROR(INDEX('2_IMPORTAR_EJECUCION'!$C$9:$C$1208,MATCH($AT659,'2_IMPORTAR_EJECUCION'!$J$9:$J$1208,0)),""),'CAT_ESTADOS_ERP'!$A$4:$A$7,0)),"Pendiente"))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IF($J659="","",$P659&amp;"-"&amp;TEXT($Q659,"00"))</f>
        <v/>
      </c>
      <c r="S659" s="5">
        <f>IF($J659="","",INDEX(lista_dias,WEEKDAY($J659,2)))</f>
        <v/>
      </c>
      <c r="T659" s="5">
        <f>IF($J659="","",IFERROR(INDEX('CALENDARIO'!$C$15:$C$214,MATCH(TEXT($J659,"yyyy-mm-dd")&amp;"|"&amp;$X659&amp;"|"&amp;$Y659,'CALENDARIO'!$G$15:$G$214,0)),IFERROR(INDEX('CALENDARIO'!$C$15:$C$214,MATCH(TEXT($J659,"yyyy-mm-dd")&amp;"|"&amp;$X659&amp;"|",'CALENDARIO'!$G$15:$G$214,0)),IFERROR(INDEX('CALENDARIO'!$C$15:$C$214,MATCH(TEXT($J659,"yyyy-mm-dd")&amp;"||",'CALENDARIO'!$G$15:$G$214,0)),INDEX(patronHabil,WEEKDAY($J659,2))))))</f>
        <v/>
      </c>
      <c r="U659" s="5">
        <f>IF($I659="","",IFERROR(INDEX('CAT_TIPOS_OT'!$C$4:$C$8,MATCH($I659,'CAT_TIPOS_OT'!$A$4:$A$8,0)),"sin_clasificar"))</f>
        <v/>
      </c>
      <c r="V659" s="5">
        <f>IF($I659="","",IF(IFERROR(INDEX('CAT_TIPOS_OT'!$D$4:$D$8,MATCH($I659,'CAT_TIPOS_OT'!$A$4:$A$8,0)),"SIN CLASIFICAR")="","SIN CLASIFICAR",IFERROR(INDEX('CAT_TIPOS_OT'!$D$4:$D$8,MATCH($I659,'CAT_TIPOS_OT'!$A$4:$A$8,0)),"SIN CLASIFICAR")))</f>
        <v/>
      </c>
      <c r="W659" s="5">
        <f>IF($F659="","",IFERROR(INDEX('CAT_CENTROS_COSTO'!$F$4:$F$13,MATCH($F659,'CAT_CENTROS_COSTO'!$A$4:$A$13,0)),"(sin catálogo)"))</f>
        <v/>
      </c>
      <c r="X659" s="5">
        <f>IF($F659="","",IFERROR(INDEX('CAT_CENTROS_COSTO'!$D$4:$D$13,MATCH($F659,'CAT_CENTROS_COSTO'!$A$4:$A$13,0)),"(sin catálogo)"))</f>
        <v/>
      </c>
      <c r="Y659" s="5">
        <f>IF($F659="","",IF((IFERROR(INDEX('CAT_CENTROS_COSTO'!$E$4:$E$13,MATCH($F659,'CAT_CENTROS_COSTO'!$A$4:$A$13,0)),""))&lt;&gt;"",IFERROR(INDEX('CAT_CENTROS_COSTO'!$E$4:$E$13,MATCH($F659,'CAT_CENTROS_COSTO'!$A$4:$A$13,0)),""),$X659))</f>
        <v/>
      </c>
      <c r="Z659" s="5">
        <f>IF($F659="","",IFERROR(INDEX('CAT_CENTROS_COSTO'!$G$4:$G$13,MATCH($F659,'CAT_CENTROS_COSTO'!$A$4:$A$13,0)),"(sin catálogo)"))</f>
        <v/>
      </c>
      <c r="AA659" s="5">
        <f>IF($G659="","",IFERROR(INDEX('CAT_PUESTOS'!$B$4:$B$8,MATCH($G659,'CAT_PUESTOS'!$A$4:$A$8,0)),"(sin catálogo)"))</f>
        <v/>
      </c>
      <c r="AB659" s="5">
        <f>IF($H659="","",IFERROR(INDEX('CAT_ACTIVIDADES'!$B$4:$B$11,MATCH($H659,'CAT_ACTIVIDADES'!$A$4:$A$11,0)),"(sin catálogo)"))</f>
        <v/>
      </c>
      <c r="AC659" s="20">
        <f>IF($J659="","",TODAY()-$J659)</f>
        <v/>
      </c>
      <c r="AD659" s="20">
        <f>IF($J659="","",IF($J659&lt;=TODAY(),COUNTIFS(cal_fechas,"&gt;="&amp;$J659,cal_fechas,"&lt;"&amp;TODAY(),cal_habil,"sí"),-COUNTIFS(cal_fechas,"&gt;="&amp;TODAY(),cal_fechas,"&lt;"&amp;$J659,cal_habil,"sí")))</f>
        <v/>
      </c>
      <c r="AE659" s="5">
        <f>IF($AD659="","",IF($AD659&lt;0,"FUTURO",IF($AD659&gt;p_dias_backlog_max,"BACKLOG","MES CORRIENTE")))</f>
        <v/>
      </c>
      <c r="AF659" s="5">
        <f>IF($AD659="",FALSE,AND($AD659&gt;p_dias_backlog_min,$AD659&lt;=p_dias_backlog_max))</f>
        <v/>
      </c>
      <c r="AG659" s="4" t="n"/>
      <c r="AH659" s="5">
        <f>IF($AG659="","",IF((IFERROR(INDEX('ASIGNACIONES'!$J$4:$J$451,MATCH($O659&amp;"|"&amp;$S659&amp;"|"&amp;$AG659,'ASIGNACIONES'!$N$4:$N$451,0)),""))=0,"",IFERROR(INDEX('ASIGNACIONES'!$J$4:$J$451,MATCH($O659&amp;"|"&amp;$S659&amp;"|"&amp;$AG659,'ASIGNACIONES'!$N$4:$N$451,0)),"")))</f>
        <v/>
      </c>
      <c r="AI659" s="25">
        <f>IF($AG659="","",SUMIFS('ORDENES'!$M$4:$M$1203,'ORDENES'!$AG$4:$AG$1203,$AG659,'ORDENES'!$O$4:$O$1203,$O659,'ORDENES'!$S$4:$S$1203,$S659))</f>
        <v/>
      </c>
      <c r="AJ659" s="25">
        <f>IF($AI659="","",p_factor_productividad*IFERROR(INDEX('ASIGNACIONES'!$M$4:$M$451,MATCH($O659&amp;"|"&amp;$S659&amp;"|"&amp;$AG659,'ASIGNACIONES'!$N$4:$N$451,0)),0)-$AI659)</f>
        <v/>
      </c>
      <c r="AK659" s="18">
        <f>IF($A659="","",IFERROR(INDEX('2_IMPORTAR_EJECUCION'!$F$9:$F$1208,MATCH($AT659,'2_IMPORTAR_EJECUCION'!$J$9:$J$1208,0)),0))</f>
        <v/>
      </c>
      <c r="AL659" s="18">
        <f>IF($A659="","",MAX(0,IFERROR(INDEX('2_IMPORTAR_EJECUCION'!$H$9:$H$1208,MATCH($AT659,'2_IMPORTAR_EJECUCION'!$J$9:$J$1208,0)),0)-$AK659))</f>
        <v/>
      </c>
      <c r="AM659" s="18">
        <f>IF($A659="","",$AK659+$AL659)</f>
        <v/>
      </c>
      <c r="AN659" s="5">
        <f>IF($A659="","",IF(OR((IFERROR(INDEX('CAT_ACTIVIDADES'!$D$4:$D$11,MATCH($H659,'CAT_ACTIVIDADES'!$A$4:$A$11,0)),""))=0,(IFERROR(INDEX('CAT_ACTIVIDADES'!$D$4:$D$11,MATCH($H659,'CAT_ACTIVIDADES'!$A$4:$A$11,0)),""))=""),"SIN CLASIFICAR",IFERROR(INDEX('CAT_ACTIVIDADES'!$D$4:$D$11,MATCH($H659,'CAT_ACTIVIDADES'!$A$4:$A$11,0)),"")))</f>
        <v/>
      </c>
      <c r="AO659" s="4" t="n"/>
      <c r="AP659" s="4" t="n"/>
      <c r="AQ659" s="4" t="n"/>
      <c r="AR659" s="5">
        <f>IF($AQ659="","",HYPERLINK(p_ruta_base_checklists&amp;$AQ659,"abrir"))</f>
        <v/>
      </c>
      <c r="AS659" s="4" t="n"/>
      <c r="AT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2" t="n"/>
      <c r="K660" s="5" t="n"/>
      <c r="L660" s="18" t="n"/>
      <c r="M660" s="5">
        <f>IF($A660="","",IFERROR(INDEX('AJUSTES'!$B$4:$B$303,MATCH($AT660,'AJUSTES'!$A$4:$A$303,0)),IF($K660="","",$K660)))</f>
        <v/>
      </c>
      <c r="N660" s="5">
        <f>IF($A660="","",IFERROR(INDEX('CAT_ESTADOS_ERP'!$B$4:$B$7,MATCH(IFERROR(INDEX('2_IMPORTAR_EJECUCION'!$C$9:$C$1208,MATCH($AT660,'2_IMPORTAR_EJECUCION'!$J$9:$J$1208,0)),""),'CAT_ESTADOS_ERP'!$A$4:$A$7,0)),"Pendiente"))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IF($J660="","",$P660&amp;"-"&amp;TEXT($Q660,"00"))</f>
        <v/>
      </c>
      <c r="S660" s="5">
        <f>IF($J660="","",INDEX(lista_dias,WEEKDAY($J660,2)))</f>
        <v/>
      </c>
      <c r="T660" s="5">
        <f>IF($J660="","",IFERROR(INDEX('CALENDARIO'!$C$15:$C$214,MATCH(TEXT($J660,"yyyy-mm-dd")&amp;"|"&amp;$X660&amp;"|"&amp;$Y660,'CALENDARIO'!$G$15:$G$214,0)),IFERROR(INDEX('CALENDARIO'!$C$15:$C$214,MATCH(TEXT($J660,"yyyy-mm-dd")&amp;"|"&amp;$X660&amp;"|",'CALENDARIO'!$G$15:$G$214,0)),IFERROR(INDEX('CALENDARIO'!$C$15:$C$214,MATCH(TEXT($J660,"yyyy-mm-dd")&amp;"||",'CALENDARIO'!$G$15:$G$214,0)),INDEX(patronHabil,WEEKDAY($J660,2))))))</f>
        <v/>
      </c>
      <c r="U660" s="5">
        <f>IF($I660="","",IFERROR(INDEX('CAT_TIPOS_OT'!$C$4:$C$8,MATCH($I660,'CAT_TIPOS_OT'!$A$4:$A$8,0)),"sin_clasificar"))</f>
        <v/>
      </c>
      <c r="V660" s="5">
        <f>IF($I660="","",IF(IFERROR(INDEX('CAT_TIPOS_OT'!$D$4:$D$8,MATCH($I660,'CAT_TIPOS_OT'!$A$4:$A$8,0)),"SIN CLASIFICAR")="","SIN CLASIFICAR",IFERROR(INDEX('CAT_TIPOS_OT'!$D$4:$D$8,MATCH($I660,'CAT_TIPOS_OT'!$A$4:$A$8,0)),"SIN CLASIFICAR")))</f>
        <v/>
      </c>
      <c r="W660" s="5">
        <f>IF($F660="","",IFERROR(INDEX('CAT_CENTROS_COSTO'!$F$4:$F$13,MATCH($F660,'CAT_CENTROS_COSTO'!$A$4:$A$13,0)),"(sin catálogo)"))</f>
        <v/>
      </c>
      <c r="X660" s="5">
        <f>IF($F660="","",IFERROR(INDEX('CAT_CENTROS_COSTO'!$D$4:$D$13,MATCH($F660,'CAT_CENTROS_COSTO'!$A$4:$A$13,0)),"(sin catálogo)"))</f>
        <v/>
      </c>
      <c r="Y660" s="5">
        <f>IF($F660="","",IF((IFERROR(INDEX('CAT_CENTROS_COSTO'!$E$4:$E$13,MATCH($F660,'CAT_CENTROS_COSTO'!$A$4:$A$13,0)),""))&lt;&gt;"",IFERROR(INDEX('CAT_CENTROS_COSTO'!$E$4:$E$13,MATCH($F660,'CAT_CENTROS_COSTO'!$A$4:$A$13,0)),""),$X660))</f>
        <v/>
      </c>
      <c r="Z660" s="5">
        <f>IF($F660="","",IFERROR(INDEX('CAT_CENTROS_COSTO'!$G$4:$G$13,MATCH($F660,'CAT_CENTROS_COSTO'!$A$4:$A$13,0)),"(sin catálogo)"))</f>
        <v/>
      </c>
      <c r="AA660" s="5">
        <f>IF($G660="","",IFERROR(INDEX('CAT_PUESTOS'!$B$4:$B$8,MATCH($G660,'CAT_PUESTOS'!$A$4:$A$8,0)),"(sin catálogo)"))</f>
        <v/>
      </c>
      <c r="AB660" s="5">
        <f>IF($H660="","",IFERROR(INDEX('CAT_ACTIVIDADES'!$B$4:$B$11,MATCH($H660,'CAT_ACTIVIDADES'!$A$4:$A$11,0)),"(sin catálogo)"))</f>
        <v/>
      </c>
      <c r="AC660" s="20">
        <f>IF($J660="","",TODAY()-$J660)</f>
        <v/>
      </c>
      <c r="AD660" s="20">
        <f>IF($J660="","",IF($J660&lt;=TODAY(),COUNTIFS(cal_fechas,"&gt;="&amp;$J660,cal_fechas,"&lt;"&amp;TODAY(),cal_habil,"sí"),-COUNTIFS(cal_fechas,"&gt;="&amp;TODAY(),cal_fechas,"&lt;"&amp;$J660,cal_habil,"sí")))</f>
        <v/>
      </c>
      <c r="AE660" s="5">
        <f>IF($AD660="","",IF($AD660&lt;0,"FUTURO",IF($AD660&gt;p_dias_backlog_max,"BACKLOG","MES CORRIENTE")))</f>
        <v/>
      </c>
      <c r="AF660" s="5">
        <f>IF($AD660="",FALSE,AND($AD660&gt;p_dias_backlog_min,$AD660&lt;=p_dias_backlog_max))</f>
        <v/>
      </c>
      <c r="AG660" s="4" t="n"/>
      <c r="AH660" s="5">
        <f>IF($AG660="","",IF((IFERROR(INDEX('ASIGNACIONES'!$J$4:$J$451,MATCH($O660&amp;"|"&amp;$S660&amp;"|"&amp;$AG660,'ASIGNACIONES'!$N$4:$N$451,0)),""))=0,"",IFERROR(INDEX('ASIGNACIONES'!$J$4:$J$451,MATCH($O660&amp;"|"&amp;$S660&amp;"|"&amp;$AG660,'ASIGNACIONES'!$N$4:$N$451,0)),"")))</f>
        <v/>
      </c>
      <c r="AI660" s="25">
        <f>IF($AG660="","",SUMIFS('ORDENES'!$M$4:$M$1203,'ORDENES'!$AG$4:$AG$1203,$AG660,'ORDENES'!$O$4:$O$1203,$O660,'ORDENES'!$S$4:$S$1203,$S660))</f>
        <v/>
      </c>
      <c r="AJ660" s="25">
        <f>IF($AI660="","",p_factor_productividad*IFERROR(INDEX('ASIGNACIONES'!$M$4:$M$451,MATCH($O660&amp;"|"&amp;$S660&amp;"|"&amp;$AG660,'ASIGNACIONES'!$N$4:$N$451,0)),0)-$AI660)</f>
        <v/>
      </c>
      <c r="AK660" s="18">
        <f>IF($A660="","",IFERROR(INDEX('2_IMPORTAR_EJECUCION'!$F$9:$F$1208,MATCH($AT660,'2_IMPORTAR_EJECUCION'!$J$9:$J$1208,0)),0))</f>
        <v/>
      </c>
      <c r="AL660" s="18">
        <f>IF($A660="","",MAX(0,IFERROR(INDEX('2_IMPORTAR_EJECUCION'!$H$9:$H$1208,MATCH($AT660,'2_IMPORTAR_EJECUCION'!$J$9:$J$1208,0)),0)-$AK660))</f>
        <v/>
      </c>
      <c r="AM660" s="18">
        <f>IF($A660="","",$AK660+$AL660)</f>
        <v/>
      </c>
      <c r="AN660" s="5">
        <f>IF($A660="","",IF(OR((IFERROR(INDEX('CAT_ACTIVIDADES'!$D$4:$D$11,MATCH($H660,'CAT_ACTIVIDADES'!$A$4:$A$11,0)),""))=0,(IFERROR(INDEX('CAT_ACTIVIDADES'!$D$4:$D$11,MATCH($H660,'CAT_ACTIVIDADES'!$A$4:$A$11,0)),""))=""),"SIN CLASIFICAR",IFERROR(INDEX('CAT_ACTIVIDADES'!$D$4:$D$11,MATCH($H660,'CAT_ACTIVIDADES'!$A$4:$A$11,0)),"")))</f>
        <v/>
      </c>
      <c r="AO660" s="4" t="n"/>
      <c r="AP660" s="4" t="n"/>
      <c r="AQ660" s="4" t="n"/>
      <c r="AR660" s="5">
        <f>IF($AQ660="","",HYPERLINK(p_ruta_base_checklists&amp;$AQ660,"abrir"))</f>
        <v/>
      </c>
      <c r="AS660" s="4" t="n"/>
      <c r="AT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2" t="n"/>
      <c r="K661" s="5" t="n"/>
      <c r="L661" s="18" t="n"/>
      <c r="M661" s="5">
        <f>IF($A661="","",IFERROR(INDEX('AJUSTES'!$B$4:$B$303,MATCH($AT661,'AJUSTES'!$A$4:$A$303,0)),IF($K661="","",$K661)))</f>
        <v/>
      </c>
      <c r="N661" s="5">
        <f>IF($A661="","",IFERROR(INDEX('CAT_ESTADOS_ERP'!$B$4:$B$7,MATCH(IFERROR(INDEX('2_IMPORTAR_EJECUCION'!$C$9:$C$1208,MATCH($AT661,'2_IMPORTAR_EJECUCION'!$J$9:$J$1208,0)),""),'CAT_ESTADOS_ERP'!$A$4:$A$7,0)),"Pendiente"))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IF($J661="","",$P661&amp;"-"&amp;TEXT($Q661,"00"))</f>
        <v/>
      </c>
      <c r="S661" s="5">
        <f>IF($J661="","",INDEX(lista_dias,WEEKDAY($J661,2)))</f>
        <v/>
      </c>
      <c r="T661" s="5">
        <f>IF($J661="","",IFERROR(INDEX('CALENDARIO'!$C$15:$C$214,MATCH(TEXT($J661,"yyyy-mm-dd")&amp;"|"&amp;$X661&amp;"|"&amp;$Y661,'CALENDARIO'!$G$15:$G$214,0)),IFERROR(INDEX('CALENDARIO'!$C$15:$C$214,MATCH(TEXT($J661,"yyyy-mm-dd")&amp;"|"&amp;$X661&amp;"|",'CALENDARIO'!$G$15:$G$214,0)),IFERROR(INDEX('CALENDARIO'!$C$15:$C$214,MATCH(TEXT($J661,"yyyy-mm-dd")&amp;"||",'CALENDARIO'!$G$15:$G$214,0)),INDEX(patronHabil,WEEKDAY($J661,2))))))</f>
        <v/>
      </c>
      <c r="U661" s="5">
        <f>IF($I661="","",IFERROR(INDEX('CAT_TIPOS_OT'!$C$4:$C$8,MATCH($I661,'CAT_TIPOS_OT'!$A$4:$A$8,0)),"sin_clasificar"))</f>
        <v/>
      </c>
      <c r="V661" s="5">
        <f>IF($I661="","",IF(IFERROR(INDEX('CAT_TIPOS_OT'!$D$4:$D$8,MATCH($I661,'CAT_TIPOS_OT'!$A$4:$A$8,0)),"SIN CLASIFICAR")="","SIN CLASIFICAR",IFERROR(INDEX('CAT_TIPOS_OT'!$D$4:$D$8,MATCH($I661,'CAT_TIPOS_OT'!$A$4:$A$8,0)),"SIN CLASIFICAR")))</f>
        <v/>
      </c>
      <c r="W661" s="5">
        <f>IF($F661="","",IFERROR(INDEX('CAT_CENTROS_COSTO'!$F$4:$F$13,MATCH($F661,'CAT_CENTROS_COSTO'!$A$4:$A$13,0)),"(sin catálogo)"))</f>
        <v/>
      </c>
      <c r="X661" s="5">
        <f>IF($F661="","",IFERROR(INDEX('CAT_CENTROS_COSTO'!$D$4:$D$13,MATCH($F661,'CAT_CENTROS_COSTO'!$A$4:$A$13,0)),"(sin catálogo)"))</f>
        <v/>
      </c>
      <c r="Y661" s="5">
        <f>IF($F661="","",IF((IFERROR(INDEX('CAT_CENTROS_COSTO'!$E$4:$E$13,MATCH($F661,'CAT_CENTROS_COSTO'!$A$4:$A$13,0)),""))&lt;&gt;"",IFERROR(INDEX('CAT_CENTROS_COSTO'!$E$4:$E$13,MATCH($F661,'CAT_CENTROS_COSTO'!$A$4:$A$13,0)),""),$X661))</f>
        <v/>
      </c>
      <c r="Z661" s="5">
        <f>IF($F661="","",IFERROR(INDEX('CAT_CENTROS_COSTO'!$G$4:$G$13,MATCH($F661,'CAT_CENTROS_COSTO'!$A$4:$A$13,0)),"(sin catálogo)"))</f>
        <v/>
      </c>
      <c r="AA661" s="5">
        <f>IF($G661="","",IFERROR(INDEX('CAT_PUESTOS'!$B$4:$B$8,MATCH($G661,'CAT_PUESTOS'!$A$4:$A$8,0)),"(sin catálogo)"))</f>
        <v/>
      </c>
      <c r="AB661" s="5">
        <f>IF($H661="","",IFERROR(INDEX('CAT_ACTIVIDADES'!$B$4:$B$11,MATCH($H661,'CAT_ACTIVIDADES'!$A$4:$A$11,0)),"(sin catálogo)"))</f>
        <v/>
      </c>
      <c r="AC661" s="20">
        <f>IF($J661="","",TODAY()-$J661)</f>
        <v/>
      </c>
      <c r="AD661" s="20">
        <f>IF($J661="","",IF($J661&lt;=TODAY(),COUNTIFS(cal_fechas,"&gt;="&amp;$J661,cal_fechas,"&lt;"&amp;TODAY(),cal_habil,"sí"),-COUNTIFS(cal_fechas,"&gt;="&amp;TODAY(),cal_fechas,"&lt;"&amp;$J661,cal_habil,"sí")))</f>
        <v/>
      </c>
      <c r="AE661" s="5">
        <f>IF($AD661="","",IF($AD661&lt;0,"FUTURO",IF($AD661&gt;p_dias_backlog_max,"BACKLOG","MES CORRIENTE")))</f>
        <v/>
      </c>
      <c r="AF661" s="5">
        <f>IF($AD661="",FALSE,AND($AD661&gt;p_dias_backlog_min,$AD661&lt;=p_dias_backlog_max))</f>
        <v/>
      </c>
      <c r="AG661" s="4" t="n"/>
      <c r="AH661" s="5">
        <f>IF($AG661="","",IF((IFERROR(INDEX('ASIGNACIONES'!$J$4:$J$451,MATCH($O661&amp;"|"&amp;$S661&amp;"|"&amp;$AG661,'ASIGNACIONES'!$N$4:$N$451,0)),""))=0,"",IFERROR(INDEX('ASIGNACIONES'!$J$4:$J$451,MATCH($O661&amp;"|"&amp;$S661&amp;"|"&amp;$AG661,'ASIGNACIONES'!$N$4:$N$451,0)),"")))</f>
        <v/>
      </c>
      <c r="AI661" s="25">
        <f>IF($AG661="","",SUMIFS('ORDENES'!$M$4:$M$1203,'ORDENES'!$AG$4:$AG$1203,$AG661,'ORDENES'!$O$4:$O$1203,$O661,'ORDENES'!$S$4:$S$1203,$S661))</f>
        <v/>
      </c>
      <c r="AJ661" s="25">
        <f>IF($AI661="","",p_factor_productividad*IFERROR(INDEX('ASIGNACIONES'!$M$4:$M$451,MATCH($O661&amp;"|"&amp;$S661&amp;"|"&amp;$AG661,'ASIGNACIONES'!$N$4:$N$451,0)),0)-$AI661)</f>
        <v/>
      </c>
      <c r="AK661" s="18">
        <f>IF($A661="","",IFERROR(INDEX('2_IMPORTAR_EJECUCION'!$F$9:$F$1208,MATCH($AT661,'2_IMPORTAR_EJECUCION'!$J$9:$J$1208,0)),0))</f>
        <v/>
      </c>
      <c r="AL661" s="18">
        <f>IF($A661="","",MAX(0,IFERROR(INDEX('2_IMPORTAR_EJECUCION'!$H$9:$H$1208,MATCH($AT661,'2_IMPORTAR_EJECUCION'!$J$9:$J$1208,0)),0)-$AK661))</f>
        <v/>
      </c>
      <c r="AM661" s="18">
        <f>IF($A661="","",$AK661+$AL661)</f>
        <v/>
      </c>
      <c r="AN661" s="5">
        <f>IF($A661="","",IF(OR((IFERROR(INDEX('CAT_ACTIVIDADES'!$D$4:$D$11,MATCH($H661,'CAT_ACTIVIDADES'!$A$4:$A$11,0)),""))=0,(IFERROR(INDEX('CAT_ACTIVIDADES'!$D$4:$D$11,MATCH($H661,'CAT_ACTIVIDADES'!$A$4:$A$11,0)),""))=""),"SIN CLASIFICAR",IFERROR(INDEX('CAT_ACTIVIDADES'!$D$4:$D$11,MATCH($H661,'CAT_ACTIVIDADES'!$A$4:$A$11,0)),"")))</f>
        <v/>
      </c>
      <c r="AO661" s="4" t="n"/>
      <c r="AP661" s="4" t="n"/>
      <c r="AQ661" s="4" t="n"/>
      <c r="AR661" s="5">
        <f>IF($AQ661="","",HYPERLINK(p_ruta_base_checklists&amp;$AQ661,"abrir"))</f>
        <v/>
      </c>
      <c r="AS661" s="4" t="n"/>
      <c r="AT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2" t="n"/>
      <c r="K662" s="5" t="n"/>
      <c r="L662" s="18" t="n"/>
      <c r="M662" s="5">
        <f>IF($A662="","",IFERROR(INDEX('AJUSTES'!$B$4:$B$303,MATCH($AT662,'AJUSTES'!$A$4:$A$303,0)),IF($K662="","",$K662)))</f>
        <v/>
      </c>
      <c r="N662" s="5">
        <f>IF($A662="","",IFERROR(INDEX('CAT_ESTADOS_ERP'!$B$4:$B$7,MATCH(IFERROR(INDEX('2_IMPORTAR_EJECUCION'!$C$9:$C$1208,MATCH($AT662,'2_IMPORTAR_EJECUCION'!$J$9:$J$1208,0)),""),'CAT_ESTADOS_ERP'!$A$4:$A$7,0)),"Pendiente"))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IF($J662="","",$P662&amp;"-"&amp;TEXT($Q662,"00"))</f>
        <v/>
      </c>
      <c r="S662" s="5">
        <f>IF($J662="","",INDEX(lista_dias,WEEKDAY($J662,2)))</f>
        <v/>
      </c>
      <c r="T662" s="5">
        <f>IF($J662="","",IFERROR(INDEX('CALENDARIO'!$C$15:$C$214,MATCH(TEXT($J662,"yyyy-mm-dd")&amp;"|"&amp;$X662&amp;"|"&amp;$Y662,'CALENDARIO'!$G$15:$G$214,0)),IFERROR(INDEX('CALENDARIO'!$C$15:$C$214,MATCH(TEXT($J662,"yyyy-mm-dd")&amp;"|"&amp;$X662&amp;"|",'CALENDARIO'!$G$15:$G$214,0)),IFERROR(INDEX('CALENDARIO'!$C$15:$C$214,MATCH(TEXT($J662,"yyyy-mm-dd")&amp;"||",'CALENDARIO'!$G$15:$G$214,0)),INDEX(patronHabil,WEEKDAY($J662,2))))))</f>
        <v/>
      </c>
      <c r="U662" s="5">
        <f>IF($I662="","",IFERROR(INDEX('CAT_TIPOS_OT'!$C$4:$C$8,MATCH($I662,'CAT_TIPOS_OT'!$A$4:$A$8,0)),"sin_clasificar"))</f>
        <v/>
      </c>
      <c r="V662" s="5">
        <f>IF($I662="","",IF(IFERROR(INDEX('CAT_TIPOS_OT'!$D$4:$D$8,MATCH($I662,'CAT_TIPOS_OT'!$A$4:$A$8,0)),"SIN CLASIFICAR")="","SIN CLASIFICAR",IFERROR(INDEX('CAT_TIPOS_OT'!$D$4:$D$8,MATCH($I662,'CAT_TIPOS_OT'!$A$4:$A$8,0)),"SIN CLASIFICAR")))</f>
        <v/>
      </c>
      <c r="W662" s="5">
        <f>IF($F662="","",IFERROR(INDEX('CAT_CENTROS_COSTO'!$F$4:$F$13,MATCH($F662,'CAT_CENTROS_COSTO'!$A$4:$A$13,0)),"(sin catálogo)"))</f>
        <v/>
      </c>
      <c r="X662" s="5">
        <f>IF($F662="","",IFERROR(INDEX('CAT_CENTROS_COSTO'!$D$4:$D$13,MATCH($F662,'CAT_CENTROS_COSTO'!$A$4:$A$13,0)),"(sin catálogo)"))</f>
        <v/>
      </c>
      <c r="Y662" s="5">
        <f>IF($F662="","",IF((IFERROR(INDEX('CAT_CENTROS_COSTO'!$E$4:$E$13,MATCH($F662,'CAT_CENTROS_COSTO'!$A$4:$A$13,0)),""))&lt;&gt;"",IFERROR(INDEX('CAT_CENTROS_COSTO'!$E$4:$E$13,MATCH($F662,'CAT_CENTROS_COSTO'!$A$4:$A$13,0)),""),$X662))</f>
        <v/>
      </c>
      <c r="Z662" s="5">
        <f>IF($F662="","",IFERROR(INDEX('CAT_CENTROS_COSTO'!$G$4:$G$13,MATCH($F662,'CAT_CENTROS_COSTO'!$A$4:$A$13,0)),"(sin catálogo)"))</f>
        <v/>
      </c>
      <c r="AA662" s="5">
        <f>IF($G662="","",IFERROR(INDEX('CAT_PUESTOS'!$B$4:$B$8,MATCH($G662,'CAT_PUESTOS'!$A$4:$A$8,0)),"(sin catálogo)"))</f>
        <v/>
      </c>
      <c r="AB662" s="5">
        <f>IF($H662="","",IFERROR(INDEX('CAT_ACTIVIDADES'!$B$4:$B$11,MATCH($H662,'CAT_ACTIVIDADES'!$A$4:$A$11,0)),"(sin catálogo)"))</f>
        <v/>
      </c>
      <c r="AC662" s="20">
        <f>IF($J662="","",TODAY()-$J662)</f>
        <v/>
      </c>
      <c r="AD662" s="20">
        <f>IF($J662="","",IF($J662&lt;=TODAY(),COUNTIFS(cal_fechas,"&gt;="&amp;$J662,cal_fechas,"&lt;"&amp;TODAY(),cal_habil,"sí"),-COUNTIFS(cal_fechas,"&gt;="&amp;TODAY(),cal_fechas,"&lt;"&amp;$J662,cal_habil,"sí")))</f>
        <v/>
      </c>
      <c r="AE662" s="5">
        <f>IF($AD662="","",IF($AD662&lt;0,"FUTURO",IF($AD662&gt;p_dias_backlog_max,"BACKLOG","MES CORRIENTE")))</f>
        <v/>
      </c>
      <c r="AF662" s="5">
        <f>IF($AD662="",FALSE,AND($AD662&gt;p_dias_backlog_min,$AD662&lt;=p_dias_backlog_max))</f>
        <v/>
      </c>
      <c r="AG662" s="4" t="n"/>
      <c r="AH662" s="5">
        <f>IF($AG662="","",IF((IFERROR(INDEX('ASIGNACIONES'!$J$4:$J$451,MATCH($O662&amp;"|"&amp;$S662&amp;"|"&amp;$AG662,'ASIGNACIONES'!$N$4:$N$451,0)),""))=0,"",IFERROR(INDEX('ASIGNACIONES'!$J$4:$J$451,MATCH($O662&amp;"|"&amp;$S662&amp;"|"&amp;$AG662,'ASIGNACIONES'!$N$4:$N$451,0)),"")))</f>
        <v/>
      </c>
      <c r="AI662" s="25">
        <f>IF($AG662="","",SUMIFS('ORDENES'!$M$4:$M$1203,'ORDENES'!$AG$4:$AG$1203,$AG662,'ORDENES'!$O$4:$O$1203,$O662,'ORDENES'!$S$4:$S$1203,$S662))</f>
        <v/>
      </c>
      <c r="AJ662" s="25">
        <f>IF($AI662="","",p_factor_productividad*IFERROR(INDEX('ASIGNACIONES'!$M$4:$M$451,MATCH($O662&amp;"|"&amp;$S662&amp;"|"&amp;$AG662,'ASIGNACIONES'!$N$4:$N$451,0)),0)-$AI662)</f>
        <v/>
      </c>
      <c r="AK662" s="18">
        <f>IF($A662="","",IFERROR(INDEX('2_IMPORTAR_EJECUCION'!$F$9:$F$1208,MATCH($AT662,'2_IMPORTAR_EJECUCION'!$J$9:$J$1208,0)),0))</f>
        <v/>
      </c>
      <c r="AL662" s="18">
        <f>IF($A662="","",MAX(0,IFERROR(INDEX('2_IMPORTAR_EJECUCION'!$H$9:$H$1208,MATCH($AT662,'2_IMPORTAR_EJECUCION'!$J$9:$J$1208,0)),0)-$AK662))</f>
        <v/>
      </c>
      <c r="AM662" s="18">
        <f>IF($A662="","",$AK662+$AL662)</f>
        <v/>
      </c>
      <c r="AN662" s="5">
        <f>IF($A662="","",IF(OR((IFERROR(INDEX('CAT_ACTIVIDADES'!$D$4:$D$11,MATCH($H662,'CAT_ACTIVIDADES'!$A$4:$A$11,0)),""))=0,(IFERROR(INDEX('CAT_ACTIVIDADES'!$D$4:$D$11,MATCH($H662,'CAT_ACTIVIDADES'!$A$4:$A$11,0)),""))=""),"SIN CLASIFICAR",IFERROR(INDEX('CAT_ACTIVIDADES'!$D$4:$D$11,MATCH($H662,'CAT_ACTIVIDADES'!$A$4:$A$11,0)),"")))</f>
        <v/>
      </c>
      <c r="AO662" s="4" t="n"/>
      <c r="AP662" s="4" t="n"/>
      <c r="AQ662" s="4" t="n"/>
      <c r="AR662" s="5">
        <f>IF($AQ662="","",HYPERLINK(p_ruta_base_checklists&amp;$AQ662,"abrir"))</f>
        <v/>
      </c>
      <c r="AS662" s="4" t="n"/>
      <c r="AT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2" t="n"/>
      <c r="K663" s="5" t="n"/>
      <c r="L663" s="18" t="n"/>
      <c r="M663" s="5">
        <f>IF($A663="","",IFERROR(INDEX('AJUSTES'!$B$4:$B$303,MATCH($AT663,'AJUSTES'!$A$4:$A$303,0)),IF($K663="","",$K663)))</f>
        <v/>
      </c>
      <c r="N663" s="5">
        <f>IF($A663="","",IFERROR(INDEX('CAT_ESTADOS_ERP'!$B$4:$B$7,MATCH(IFERROR(INDEX('2_IMPORTAR_EJECUCION'!$C$9:$C$1208,MATCH($AT663,'2_IMPORTAR_EJECUCION'!$J$9:$J$1208,0)),""),'CAT_ESTADOS_ERP'!$A$4:$A$7,0)),"Pendiente"))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IF($J663="","",$P663&amp;"-"&amp;TEXT($Q663,"00"))</f>
        <v/>
      </c>
      <c r="S663" s="5">
        <f>IF($J663="","",INDEX(lista_dias,WEEKDAY($J663,2)))</f>
        <v/>
      </c>
      <c r="T663" s="5">
        <f>IF($J663="","",IFERROR(INDEX('CALENDARIO'!$C$15:$C$214,MATCH(TEXT($J663,"yyyy-mm-dd")&amp;"|"&amp;$X663&amp;"|"&amp;$Y663,'CALENDARIO'!$G$15:$G$214,0)),IFERROR(INDEX('CALENDARIO'!$C$15:$C$214,MATCH(TEXT($J663,"yyyy-mm-dd")&amp;"|"&amp;$X663&amp;"|",'CALENDARIO'!$G$15:$G$214,0)),IFERROR(INDEX('CALENDARIO'!$C$15:$C$214,MATCH(TEXT($J663,"yyyy-mm-dd")&amp;"||",'CALENDARIO'!$G$15:$G$214,0)),INDEX(patronHabil,WEEKDAY($J663,2))))))</f>
        <v/>
      </c>
      <c r="U663" s="5">
        <f>IF($I663="","",IFERROR(INDEX('CAT_TIPOS_OT'!$C$4:$C$8,MATCH($I663,'CAT_TIPOS_OT'!$A$4:$A$8,0)),"sin_clasificar"))</f>
        <v/>
      </c>
      <c r="V663" s="5">
        <f>IF($I663="","",IF(IFERROR(INDEX('CAT_TIPOS_OT'!$D$4:$D$8,MATCH($I663,'CAT_TIPOS_OT'!$A$4:$A$8,0)),"SIN CLASIFICAR")="","SIN CLASIFICAR",IFERROR(INDEX('CAT_TIPOS_OT'!$D$4:$D$8,MATCH($I663,'CAT_TIPOS_OT'!$A$4:$A$8,0)),"SIN CLASIFICAR")))</f>
        <v/>
      </c>
      <c r="W663" s="5">
        <f>IF($F663="","",IFERROR(INDEX('CAT_CENTROS_COSTO'!$F$4:$F$13,MATCH($F663,'CAT_CENTROS_COSTO'!$A$4:$A$13,0)),"(sin catálogo)"))</f>
        <v/>
      </c>
      <c r="X663" s="5">
        <f>IF($F663="","",IFERROR(INDEX('CAT_CENTROS_COSTO'!$D$4:$D$13,MATCH($F663,'CAT_CENTROS_COSTO'!$A$4:$A$13,0)),"(sin catálogo)"))</f>
        <v/>
      </c>
      <c r="Y663" s="5">
        <f>IF($F663="","",IF((IFERROR(INDEX('CAT_CENTROS_COSTO'!$E$4:$E$13,MATCH($F663,'CAT_CENTROS_COSTO'!$A$4:$A$13,0)),""))&lt;&gt;"",IFERROR(INDEX('CAT_CENTROS_COSTO'!$E$4:$E$13,MATCH($F663,'CAT_CENTROS_COSTO'!$A$4:$A$13,0)),""),$X663))</f>
        <v/>
      </c>
      <c r="Z663" s="5">
        <f>IF($F663="","",IFERROR(INDEX('CAT_CENTROS_COSTO'!$G$4:$G$13,MATCH($F663,'CAT_CENTROS_COSTO'!$A$4:$A$13,0)),"(sin catálogo)"))</f>
        <v/>
      </c>
      <c r="AA663" s="5">
        <f>IF($G663="","",IFERROR(INDEX('CAT_PUESTOS'!$B$4:$B$8,MATCH($G663,'CAT_PUESTOS'!$A$4:$A$8,0)),"(sin catálogo)"))</f>
        <v/>
      </c>
      <c r="AB663" s="5">
        <f>IF($H663="","",IFERROR(INDEX('CAT_ACTIVIDADES'!$B$4:$B$11,MATCH($H663,'CAT_ACTIVIDADES'!$A$4:$A$11,0)),"(sin catálogo)"))</f>
        <v/>
      </c>
      <c r="AC663" s="20">
        <f>IF($J663="","",TODAY()-$J663)</f>
        <v/>
      </c>
      <c r="AD663" s="20">
        <f>IF($J663="","",IF($J663&lt;=TODAY(),COUNTIFS(cal_fechas,"&gt;="&amp;$J663,cal_fechas,"&lt;"&amp;TODAY(),cal_habil,"sí"),-COUNTIFS(cal_fechas,"&gt;="&amp;TODAY(),cal_fechas,"&lt;"&amp;$J663,cal_habil,"sí")))</f>
        <v/>
      </c>
      <c r="AE663" s="5">
        <f>IF($AD663="","",IF($AD663&lt;0,"FUTURO",IF($AD663&gt;p_dias_backlog_max,"BACKLOG","MES CORRIENTE")))</f>
        <v/>
      </c>
      <c r="AF663" s="5">
        <f>IF($AD663="",FALSE,AND($AD663&gt;p_dias_backlog_min,$AD663&lt;=p_dias_backlog_max))</f>
        <v/>
      </c>
      <c r="AG663" s="4" t="n"/>
      <c r="AH663" s="5">
        <f>IF($AG663="","",IF((IFERROR(INDEX('ASIGNACIONES'!$J$4:$J$451,MATCH($O663&amp;"|"&amp;$S663&amp;"|"&amp;$AG663,'ASIGNACIONES'!$N$4:$N$451,0)),""))=0,"",IFERROR(INDEX('ASIGNACIONES'!$J$4:$J$451,MATCH($O663&amp;"|"&amp;$S663&amp;"|"&amp;$AG663,'ASIGNACIONES'!$N$4:$N$451,0)),"")))</f>
        <v/>
      </c>
      <c r="AI663" s="25">
        <f>IF($AG663="","",SUMIFS('ORDENES'!$M$4:$M$1203,'ORDENES'!$AG$4:$AG$1203,$AG663,'ORDENES'!$O$4:$O$1203,$O663,'ORDENES'!$S$4:$S$1203,$S663))</f>
        <v/>
      </c>
      <c r="AJ663" s="25">
        <f>IF($AI663="","",p_factor_productividad*IFERROR(INDEX('ASIGNACIONES'!$M$4:$M$451,MATCH($O663&amp;"|"&amp;$S663&amp;"|"&amp;$AG663,'ASIGNACIONES'!$N$4:$N$451,0)),0)-$AI663)</f>
        <v/>
      </c>
      <c r="AK663" s="18">
        <f>IF($A663="","",IFERROR(INDEX('2_IMPORTAR_EJECUCION'!$F$9:$F$1208,MATCH($AT663,'2_IMPORTAR_EJECUCION'!$J$9:$J$1208,0)),0))</f>
        <v/>
      </c>
      <c r="AL663" s="18">
        <f>IF($A663="","",MAX(0,IFERROR(INDEX('2_IMPORTAR_EJECUCION'!$H$9:$H$1208,MATCH($AT663,'2_IMPORTAR_EJECUCION'!$J$9:$J$1208,0)),0)-$AK663))</f>
        <v/>
      </c>
      <c r="AM663" s="18">
        <f>IF($A663="","",$AK663+$AL663)</f>
        <v/>
      </c>
      <c r="AN663" s="5">
        <f>IF($A663="","",IF(OR((IFERROR(INDEX('CAT_ACTIVIDADES'!$D$4:$D$11,MATCH($H663,'CAT_ACTIVIDADES'!$A$4:$A$11,0)),""))=0,(IFERROR(INDEX('CAT_ACTIVIDADES'!$D$4:$D$11,MATCH($H663,'CAT_ACTIVIDADES'!$A$4:$A$11,0)),""))=""),"SIN CLASIFICAR",IFERROR(INDEX('CAT_ACTIVIDADES'!$D$4:$D$11,MATCH($H663,'CAT_ACTIVIDADES'!$A$4:$A$11,0)),"")))</f>
        <v/>
      </c>
      <c r="AO663" s="4" t="n"/>
      <c r="AP663" s="4" t="n"/>
      <c r="AQ663" s="4" t="n"/>
      <c r="AR663" s="5">
        <f>IF($AQ663="","",HYPERLINK(p_ruta_base_checklists&amp;$AQ663,"abrir"))</f>
        <v/>
      </c>
      <c r="AS663" s="4" t="n"/>
      <c r="AT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2" t="n"/>
      <c r="K664" s="5" t="n"/>
      <c r="L664" s="18" t="n"/>
      <c r="M664" s="5">
        <f>IF($A664="","",IFERROR(INDEX('AJUSTES'!$B$4:$B$303,MATCH($AT664,'AJUSTES'!$A$4:$A$303,0)),IF($K664="","",$K664)))</f>
        <v/>
      </c>
      <c r="N664" s="5">
        <f>IF($A664="","",IFERROR(INDEX('CAT_ESTADOS_ERP'!$B$4:$B$7,MATCH(IFERROR(INDEX('2_IMPORTAR_EJECUCION'!$C$9:$C$1208,MATCH($AT664,'2_IMPORTAR_EJECUCION'!$J$9:$J$1208,0)),""),'CAT_ESTADOS_ERP'!$A$4:$A$7,0)),"Pendiente"))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IF($J664="","",$P664&amp;"-"&amp;TEXT($Q664,"00"))</f>
        <v/>
      </c>
      <c r="S664" s="5">
        <f>IF($J664="","",INDEX(lista_dias,WEEKDAY($J664,2)))</f>
        <v/>
      </c>
      <c r="T664" s="5">
        <f>IF($J664="","",IFERROR(INDEX('CALENDARIO'!$C$15:$C$214,MATCH(TEXT($J664,"yyyy-mm-dd")&amp;"|"&amp;$X664&amp;"|"&amp;$Y664,'CALENDARIO'!$G$15:$G$214,0)),IFERROR(INDEX('CALENDARIO'!$C$15:$C$214,MATCH(TEXT($J664,"yyyy-mm-dd")&amp;"|"&amp;$X664&amp;"|",'CALENDARIO'!$G$15:$G$214,0)),IFERROR(INDEX('CALENDARIO'!$C$15:$C$214,MATCH(TEXT($J664,"yyyy-mm-dd")&amp;"||",'CALENDARIO'!$G$15:$G$214,0)),INDEX(patronHabil,WEEKDAY($J664,2))))))</f>
        <v/>
      </c>
      <c r="U664" s="5">
        <f>IF($I664="","",IFERROR(INDEX('CAT_TIPOS_OT'!$C$4:$C$8,MATCH($I664,'CAT_TIPOS_OT'!$A$4:$A$8,0)),"sin_clasificar"))</f>
        <v/>
      </c>
      <c r="V664" s="5">
        <f>IF($I664="","",IF(IFERROR(INDEX('CAT_TIPOS_OT'!$D$4:$D$8,MATCH($I664,'CAT_TIPOS_OT'!$A$4:$A$8,0)),"SIN CLASIFICAR")="","SIN CLASIFICAR",IFERROR(INDEX('CAT_TIPOS_OT'!$D$4:$D$8,MATCH($I664,'CAT_TIPOS_OT'!$A$4:$A$8,0)),"SIN CLASIFICAR")))</f>
        <v/>
      </c>
      <c r="W664" s="5">
        <f>IF($F664="","",IFERROR(INDEX('CAT_CENTROS_COSTO'!$F$4:$F$13,MATCH($F664,'CAT_CENTROS_COSTO'!$A$4:$A$13,0)),"(sin catálogo)"))</f>
        <v/>
      </c>
      <c r="X664" s="5">
        <f>IF($F664="","",IFERROR(INDEX('CAT_CENTROS_COSTO'!$D$4:$D$13,MATCH($F664,'CAT_CENTROS_COSTO'!$A$4:$A$13,0)),"(sin catálogo)"))</f>
        <v/>
      </c>
      <c r="Y664" s="5">
        <f>IF($F664="","",IF((IFERROR(INDEX('CAT_CENTROS_COSTO'!$E$4:$E$13,MATCH($F664,'CAT_CENTROS_COSTO'!$A$4:$A$13,0)),""))&lt;&gt;"",IFERROR(INDEX('CAT_CENTROS_COSTO'!$E$4:$E$13,MATCH($F664,'CAT_CENTROS_COSTO'!$A$4:$A$13,0)),""),$X664))</f>
        <v/>
      </c>
      <c r="Z664" s="5">
        <f>IF($F664="","",IFERROR(INDEX('CAT_CENTROS_COSTO'!$G$4:$G$13,MATCH($F664,'CAT_CENTROS_COSTO'!$A$4:$A$13,0)),"(sin catálogo)"))</f>
        <v/>
      </c>
      <c r="AA664" s="5">
        <f>IF($G664="","",IFERROR(INDEX('CAT_PUESTOS'!$B$4:$B$8,MATCH($G664,'CAT_PUESTOS'!$A$4:$A$8,0)),"(sin catálogo)"))</f>
        <v/>
      </c>
      <c r="AB664" s="5">
        <f>IF($H664="","",IFERROR(INDEX('CAT_ACTIVIDADES'!$B$4:$B$11,MATCH($H664,'CAT_ACTIVIDADES'!$A$4:$A$11,0)),"(sin catálogo)"))</f>
        <v/>
      </c>
      <c r="AC664" s="20">
        <f>IF($J664="","",TODAY()-$J664)</f>
        <v/>
      </c>
      <c r="AD664" s="20">
        <f>IF($J664="","",IF($J664&lt;=TODAY(),COUNTIFS(cal_fechas,"&gt;="&amp;$J664,cal_fechas,"&lt;"&amp;TODAY(),cal_habil,"sí"),-COUNTIFS(cal_fechas,"&gt;="&amp;TODAY(),cal_fechas,"&lt;"&amp;$J664,cal_habil,"sí")))</f>
        <v/>
      </c>
      <c r="AE664" s="5">
        <f>IF($AD664="","",IF($AD664&lt;0,"FUTURO",IF($AD664&gt;p_dias_backlog_max,"BACKLOG","MES CORRIENTE")))</f>
        <v/>
      </c>
      <c r="AF664" s="5">
        <f>IF($AD664="",FALSE,AND($AD664&gt;p_dias_backlog_min,$AD664&lt;=p_dias_backlog_max))</f>
        <v/>
      </c>
      <c r="AG664" s="4" t="n"/>
      <c r="AH664" s="5">
        <f>IF($AG664="","",IF((IFERROR(INDEX('ASIGNACIONES'!$J$4:$J$451,MATCH($O664&amp;"|"&amp;$S664&amp;"|"&amp;$AG664,'ASIGNACIONES'!$N$4:$N$451,0)),""))=0,"",IFERROR(INDEX('ASIGNACIONES'!$J$4:$J$451,MATCH($O664&amp;"|"&amp;$S664&amp;"|"&amp;$AG664,'ASIGNACIONES'!$N$4:$N$451,0)),"")))</f>
        <v/>
      </c>
      <c r="AI664" s="25">
        <f>IF($AG664="","",SUMIFS('ORDENES'!$M$4:$M$1203,'ORDENES'!$AG$4:$AG$1203,$AG664,'ORDENES'!$O$4:$O$1203,$O664,'ORDENES'!$S$4:$S$1203,$S664))</f>
        <v/>
      </c>
      <c r="AJ664" s="25">
        <f>IF($AI664="","",p_factor_productividad*IFERROR(INDEX('ASIGNACIONES'!$M$4:$M$451,MATCH($O664&amp;"|"&amp;$S664&amp;"|"&amp;$AG664,'ASIGNACIONES'!$N$4:$N$451,0)),0)-$AI664)</f>
        <v/>
      </c>
      <c r="AK664" s="18">
        <f>IF($A664="","",IFERROR(INDEX('2_IMPORTAR_EJECUCION'!$F$9:$F$1208,MATCH($AT664,'2_IMPORTAR_EJECUCION'!$J$9:$J$1208,0)),0))</f>
        <v/>
      </c>
      <c r="AL664" s="18">
        <f>IF($A664="","",MAX(0,IFERROR(INDEX('2_IMPORTAR_EJECUCION'!$H$9:$H$1208,MATCH($AT664,'2_IMPORTAR_EJECUCION'!$J$9:$J$1208,0)),0)-$AK664))</f>
        <v/>
      </c>
      <c r="AM664" s="18">
        <f>IF($A664="","",$AK664+$AL664)</f>
        <v/>
      </c>
      <c r="AN664" s="5">
        <f>IF($A664="","",IF(OR((IFERROR(INDEX('CAT_ACTIVIDADES'!$D$4:$D$11,MATCH($H664,'CAT_ACTIVIDADES'!$A$4:$A$11,0)),""))=0,(IFERROR(INDEX('CAT_ACTIVIDADES'!$D$4:$D$11,MATCH($H664,'CAT_ACTIVIDADES'!$A$4:$A$11,0)),""))=""),"SIN CLASIFICAR",IFERROR(INDEX('CAT_ACTIVIDADES'!$D$4:$D$11,MATCH($H664,'CAT_ACTIVIDADES'!$A$4:$A$11,0)),"")))</f>
        <v/>
      </c>
      <c r="AO664" s="4" t="n"/>
      <c r="AP664" s="4" t="n"/>
      <c r="AQ664" s="4" t="n"/>
      <c r="AR664" s="5">
        <f>IF($AQ664="","",HYPERLINK(p_ruta_base_checklists&amp;$AQ664,"abrir"))</f>
        <v/>
      </c>
      <c r="AS664" s="4" t="n"/>
      <c r="AT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2" t="n"/>
      <c r="K665" s="5" t="n"/>
      <c r="L665" s="18" t="n"/>
      <c r="M665" s="5">
        <f>IF($A665="","",IFERROR(INDEX('AJUSTES'!$B$4:$B$303,MATCH($AT665,'AJUSTES'!$A$4:$A$303,0)),IF($K665="","",$K665)))</f>
        <v/>
      </c>
      <c r="N665" s="5">
        <f>IF($A665="","",IFERROR(INDEX('CAT_ESTADOS_ERP'!$B$4:$B$7,MATCH(IFERROR(INDEX('2_IMPORTAR_EJECUCION'!$C$9:$C$1208,MATCH($AT665,'2_IMPORTAR_EJECUCION'!$J$9:$J$1208,0)),""),'CAT_ESTADOS_ERP'!$A$4:$A$7,0)),"Pendiente"))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IF($J665="","",$P665&amp;"-"&amp;TEXT($Q665,"00"))</f>
        <v/>
      </c>
      <c r="S665" s="5">
        <f>IF($J665="","",INDEX(lista_dias,WEEKDAY($J665,2)))</f>
        <v/>
      </c>
      <c r="T665" s="5">
        <f>IF($J665="","",IFERROR(INDEX('CALENDARIO'!$C$15:$C$214,MATCH(TEXT($J665,"yyyy-mm-dd")&amp;"|"&amp;$X665&amp;"|"&amp;$Y665,'CALENDARIO'!$G$15:$G$214,0)),IFERROR(INDEX('CALENDARIO'!$C$15:$C$214,MATCH(TEXT($J665,"yyyy-mm-dd")&amp;"|"&amp;$X665&amp;"|",'CALENDARIO'!$G$15:$G$214,0)),IFERROR(INDEX('CALENDARIO'!$C$15:$C$214,MATCH(TEXT($J665,"yyyy-mm-dd")&amp;"||",'CALENDARIO'!$G$15:$G$214,0)),INDEX(patronHabil,WEEKDAY($J665,2))))))</f>
        <v/>
      </c>
      <c r="U665" s="5">
        <f>IF($I665="","",IFERROR(INDEX('CAT_TIPOS_OT'!$C$4:$C$8,MATCH($I665,'CAT_TIPOS_OT'!$A$4:$A$8,0)),"sin_clasificar"))</f>
        <v/>
      </c>
      <c r="V665" s="5">
        <f>IF($I665="","",IF(IFERROR(INDEX('CAT_TIPOS_OT'!$D$4:$D$8,MATCH($I665,'CAT_TIPOS_OT'!$A$4:$A$8,0)),"SIN CLASIFICAR")="","SIN CLASIFICAR",IFERROR(INDEX('CAT_TIPOS_OT'!$D$4:$D$8,MATCH($I665,'CAT_TIPOS_OT'!$A$4:$A$8,0)),"SIN CLASIFICAR")))</f>
        <v/>
      </c>
      <c r="W665" s="5">
        <f>IF($F665="","",IFERROR(INDEX('CAT_CENTROS_COSTO'!$F$4:$F$13,MATCH($F665,'CAT_CENTROS_COSTO'!$A$4:$A$13,0)),"(sin catálogo)"))</f>
        <v/>
      </c>
      <c r="X665" s="5">
        <f>IF($F665="","",IFERROR(INDEX('CAT_CENTROS_COSTO'!$D$4:$D$13,MATCH($F665,'CAT_CENTROS_COSTO'!$A$4:$A$13,0)),"(sin catálogo)"))</f>
        <v/>
      </c>
      <c r="Y665" s="5">
        <f>IF($F665="","",IF((IFERROR(INDEX('CAT_CENTROS_COSTO'!$E$4:$E$13,MATCH($F665,'CAT_CENTROS_COSTO'!$A$4:$A$13,0)),""))&lt;&gt;"",IFERROR(INDEX('CAT_CENTROS_COSTO'!$E$4:$E$13,MATCH($F665,'CAT_CENTROS_COSTO'!$A$4:$A$13,0)),""),$X665))</f>
        <v/>
      </c>
      <c r="Z665" s="5">
        <f>IF($F665="","",IFERROR(INDEX('CAT_CENTROS_COSTO'!$G$4:$G$13,MATCH($F665,'CAT_CENTROS_COSTO'!$A$4:$A$13,0)),"(sin catálogo)"))</f>
        <v/>
      </c>
      <c r="AA665" s="5">
        <f>IF($G665="","",IFERROR(INDEX('CAT_PUESTOS'!$B$4:$B$8,MATCH($G665,'CAT_PUESTOS'!$A$4:$A$8,0)),"(sin catálogo)"))</f>
        <v/>
      </c>
      <c r="AB665" s="5">
        <f>IF($H665="","",IFERROR(INDEX('CAT_ACTIVIDADES'!$B$4:$B$11,MATCH($H665,'CAT_ACTIVIDADES'!$A$4:$A$11,0)),"(sin catálogo)"))</f>
        <v/>
      </c>
      <c r="AC665" s="20">
        <f>IF($J665="","",TODAY()-$J665)</f>
        <v/>
      </c>
      <c r="AD665" s="20">
        <f>IF($J665="","",IF($J665&lt;=TODAY(),COUNTIFS(cal_fechas,"&gt;="&amp;$J665,cal_fechas,"&lt;"&amp;TODAY(),cal_habil,"sí"),-COUNTIFS(cal_fechas,"&gt;="&amp;TODAY(),cal_fechas,"&lt;"&amp;$J665,cal_habil,"sí")))</f>
        <v/>
      </c>
      <c r="AE665" s="5">
        <f>IF($AD665="","",IF($AD665&lt;0,"FUTURO",IF($AD665&gt;p_dias_backlog_max,"BACKLOG","MES CORRIENTE")))</f>
        <v/>
      </c>
      <c r="AF665" s="5">
        <f>IF($AD665="",FALSE,AND($AD665&gt;p_dias_backlog_min,$AD665&lt;=p_dias_backlog_max))</f>
        <v/>
      </c>
      <c r="AG665" s="4" t="n"/>
      <c r="AH665" s="5">
        <f>IF($AG665="","",IF((IFERROR(INDEX('ASIGNACIONES'!$J$4:$J$451,MATCH($O665&amp;"|"&amp;$S665&amp;"|"&amp;$AG665,'ASIGNACIONES'!$N$4:$N$451,0)),""))=0,"",IFERROR(INDEX('ASIGNACIONES'!$J$4:$J$451,MATCH($O665&amp;"|"&amp;$S665&amp;"|"&amp;$AG665,'ASIGNACIONES'!$N$4:$N$451,0)),"")))</f>
        <v/>
      </c>
      <c r="AI665" s="25">
        <f>IF($AG665="","",SUMIFS('ORDENES'!$M$4:$M$1203,'ORDENES'!$AG$4:$AG$1203,$AG665,'ORDENES'!$O$4:$O$1203,$O665,'ORDENES'!$S$4:$S$1203,$S665))</f>
        <v/>
      </c>
      <c r="AJ665" s="25">
        <f>IF($AI665="","",p_factor_productividad*IFERROR(INDEX('ASIGNACIONES'!$M$4:$M$451,MATCH($O665&amp;"|"&amp;$S665&amp;"|"&amp;$AG665,'ASIGNACIONES'!$N$4:$N$451,0)),0)-$AI665)</f>
        <v/>
      </c>
      <c r="AK665" s="18">
        <f>IF($A665="","",IFERROR(INDEX('2_IMPORTAR_EJECUCION'!$F$9:$F$1208,MATCH($AT665,'2_IMPORTAR_EJECUCION'!$J$9:$J$1208,0)),0))</f>
        <v/>
      </c>
      <c r="AL665" s="18">
        <f>IF($A665="","",MAX(0,IFERROR(INDEX('2_IMPORTAR_EJECUCION'!$H$9:$H$1208,MATCH($AT665,'2_IMPORTAR_EJECUCION'!$J$9:$J$1208,0)),0)-$AK665))</f>
        <v/>
      </c>
      <c r="AM665" s="18">
        <f>IF($A665="","",$AK665+$AL665)</f>
        <v/>
      </c>
      <c r="AN665" s="5">
        <f>IF($A665="","",IF(OR((IFERROR(INDEX('CAT_ACTIVIDADES'!$D$4:$D$11,MATCH($H665,'CAT_ACTIVIDADES'!$A$4:$A$11,0)),""))=0,(IFERROR(INDEX('CAT_ACTIVIDADES'!$D$4:$D$11,MATCH($H665,'CAT_ACTIVIDADES'!$A$4:$A$11,0)),""))=""),"SIN CLASIFICAR",IFERROR(INDEX('CAT_ACTIVIDADES'!$D$4:$D$11,MATCH($H665,'CAT_ACTIVIDADES'!$A$4:$A$11,0)),"")))</f>
        <v/>
      </c>
      <c r="AO665" s="4" t="n"/>
      <c r="AP665" s="4" t="n"/>
      <c r="AQ665" s="4" t="n"/>
      <c r="AR665" s="5">
        <f>IF($AQ665="","",HYPERLINK(p_ruta_base_checklists&amp;$AQ665,"abrir"))</f>
        <v/>
      </c>
      <c r="AS665" s="4" t="n"/>
      <c r="AT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2" t="n"/>
      <c r="K666" s="5" t="n"/>
      <c r="L666" s="18" t="n"/>
      <c r="M666" s="5">
        <f>IF($A666="","",IFERROR(INDEX('AJUSTES'!$B$4:$B$303,MATCH($AT666,'AJUSTES'!$A$4:$A$303,0)),IF($K666="","",$K666)))</f>
        <v/>
      </c>
      <c r="N666" s="5">
        <f>IF($A666="","",IFERROR(INDEX('CAT_ESTADOS_ERP'!$B$4:$B$7,MATCH(IFERROR(INDEX('2_IMPORTAR_EJECUCION'!$C$9:$C$1208,MATCH($AT666,'2_IMPORTAR_EJECUCION'!$J$9:$J$1208,0)),""),'CAT_ESTADOS_ERP'!$A$4:$A$7,0)),"Pendiente"))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IF($J666="","",$P666&amp;"-"&amp;TEXT($Q666,"00"))</f>
        <v/>
      </c>
      <c r="S666" s="5">
        <f>IF($J666="","",INDEX(lista_dias,WEEKDAY($J666,2)))</f>
        <v/>
      </c>
      <c r="T666" s="5">
        <f>IF($J666="","",IFERROR(INDEX('CALENDARIO'!$C$15:$C$214,MATCH(TEXT($J666,"yyyy-mm-dd")&amp;"|"&amp;$X666&amp;"|"&amp;$Y666,'CALENDARIO'!$G$15:$G$214,0)),IFERROR(INDEX('CALENDARIO'!$C$15:$C$214,MATCH(TEXT($J666,"yyyy-mm-dd")&amp;"|"&amp;$X666&amp;"|",'CALENDARIO'!$G$15:$G$214,0)),IFERROR(INDEX('CALENDARIO'!$C$15:$C$214,MATCH(TEXT($J666,"yyyy-mm-dd")&amp;"||",'CALENDARIO'!$G$15:$G$214,0)),INDEX(patronHabil,WEEKDAY($J666,2))))))</f>
        <v/>
      </c>
      <c r="U666" s="5">
        <f>IF($I666="","",IFERROR(INDEX('CAT_TIPOS_OT'!$C$4:$C$8,MATCH($I666,'CAT_TIPOS_OT'!$A$4:$A$8,0)),"sin_clasificar"))</f>
        <v/>
      </c>
      <c r="V666" s="5">
        <f>IF($I666="","",IF(IFERROR(INDEX('CAT_TIPOS_OT'!$D$4:$D$8,MATCH($I666,'CAT_TIPOS_OT'!$A$4:$A$8,0)),"SIN CLASIFICAR")="","SIN CLASIFICAR",IFERROR(INDEX('CAT_TIPOS_OT'!$D$4:$D$8,MATCH($I666,'CAT_TIPOS_OT'!$A$4:$A$8,0)),"SIN CLASIFICAR")))</f>
        <v/>
      </c>
      <c r="W666" s="5">
        <f>IF($F666="","",IFERROR(INDEX('CAT_CENTROS_COSTO'!$F$4:$F$13,MATCH($F666,'CAT_CENTROS_COSTO'!$A$4:$A$13,0)),"(sin catálogo)"))</f>
        <v/>
      </c>
      <c r="X666" s="5">
        <f>IF($F666="","",IFERROR(INDEX('CAT_CENTROS_COSTO'!$D$4:$D$13,MATCH($F666,'CAT_CENTROS_COSTO'!$A$4:$A$13,0)),"(sin catálogo)"))</f>
        <v/>
      </c>
      <c r="Y666" s="5">
        <f>IF($F666="","",IF((IFERROR(INDEX('CAT_CENTROS_COSTO'!$E$4:$E$13,MATCH($F666,'CAT_CENTROS_COSTO'!$A$4:$A$13,0)),""))&lt;&gt;"",IFERROR(INDEX('CAT_CENTROS_COSTO'!$E$4:$E$13,MATCH($F666,'CAT_CENTROS_COSTO'!$A$4:$A$13,0)),""),$X666))</f>
        <v/>
      </c>
      <c r="Z666" s="5">
        <f>IF($F666="","",IFERROR(INDEX('CAT_CENTROS_COSTO'!$G$4:$G$13,MATCH($F666,'CAT_CENTROS_COSTO'!$A$4:$A$13,0)),"(sin catálogo)"))</f>
        <v/>
      </c>
      <c r="AA666" s="5">
        <f>IF($G666="","",IFERROR(INDEX('CAT_PUESTOS'!$B$4:$B$8,MATCH($G666,'CAT_PUESTOS'!$A$4:$A$8,0)),"(sin catálogo)"))</f>
        <v/>
      </c>
      <c r="AB666" s="5">
        <f>IF($H666="","",IFERROR(INDEX('CAT_ACTIVIDADES'!$B$4:$B$11,MATCH($H666,'CAT_ACTIVIDADES'!$A$4:$A$11,0)),"(sin catálogo)"))</f>
        <v/>
      </c>
      <c r="AC666" s="20">
        <f>IF($J666="","",TODAY()-$J666)</f>
        <v/>
      </c>
      <c r="AD666" s="20">
        <f>IF($J666="","",IF($J666&lt;=TODAY(),COUNTIFS(cal_fechas,"&gt;="&amp;$J666,cal_fechas,"&lt;"&amp;TODAY(),cal_habil,"sí"),-COUNTIFS(cal_fechas,"&gt;="&amp;TODAY(),cal_fechas,"&lt;"&amp;$J666,cal_habil,"sí")))</f>
        <v/>
      </c>
      <c r="AE666" s="5">
        <f>IF($AD666="","",IF($AD666&lt;0,"FUTURO",IF($AD666&gt;p_dias_backlog_max,"BACKLOG","MES CORRIENTE")))</f>
        <v/>
      </c>
      <c r="AF666" s="5">
        <f>IF($AD666="",FALSE,AND($AD666&gt;p_dias_backlog_min,$AD666&lt;=p_dias_backlog_max))</f>
        <v/>
      </c>
      <c r="AG666" s="4" t="n"/>
      <c r="AH666" s="5">
        <f>IF($AG666="","",IF((IFERROR(INDEX('ASIGNACIONES'!$J$4:$J$451,MATCH($O666&amp;"|"&amp;$S666&amp;"|"&amp;$AG666,'ASIGNACIONES'!$N$4:$N$451,0)),""))=0,"",IFERROR(INDEX('ASIGNACIONES'!$J$4:$J$451,MATCH($O666&amp;"|"&amp;$S666&amp;"|"&amp;$AG666,'ASIGNACIONES'!$N$4:$N$451,0)),"")))</f>
        <v/>
      </c>
      <c r="AI666" s="25">
        <f>IF($AG666="","",SUMIFS('ORDENES'!$M$4:$M$1203,'ORDENES'!$AG$4:$AG$1203,$AG666,'ORDENES'!$O$4:$O$1203,$O666,'ORDENES'!$S$4:$S$1203,$S666))</f>
        <v/>
      </c>
      <c r="AJ666" s="25">
        <f>IF($AI666="","",p_factor_productividad*IFERROR(INDEX('ASIGNACIONES'!$M$4:$M$451,MATCH($O666&amp;"|"&amp;$S666&amp;"|"&amp;$AG666,'ASIGNACIONES'!$N$4:$N$451,0)),0)-$AI666)</f>
        <v/>
      </c>
      <c r="AK666" s="18">
        <f>IF($A666="","",IFERROR(INDEX('2_IMPORTAR_EJECUCION'!$F$9:$F$1208,MATCH($AT666,'2_IMPORTAR_EJECUCION'!$J$9:$J$1208,0)),0))</f>
        <v/>
      </c>
      <c r="AL666" s="18">
        <f>IF($A666="","",MAX(0,IFERROR(INDEX('2_IMPORTAR_EJECUCION'!$H$9:$H$1208,MATCH($AT666,'2_IMPORTAR_EJECUCION'!$J$9:$J$1208,0)),0)-$AK666))</f>
        <v/>
      </c>
      <c r="AM666" s="18">
        <f>IF($A666="","",$AK666+$AL666)</f>
        <v/>
      </c>
      <c r="AN666" s="5">
        <f>IF($A666="","",IF(OR((IFERROR(INDEX('CAT_ACTIVIDADES'!$D$4:$D$11,MATCH($H666,'CAT_ACTIVIDADES'!$A$4:$A$11,0)),""))=0,(IFERROR(INDEX('CAT_ACTIVIDADES'!$D$4:$D$11,MATCH($H666,'CAT_ACTIVIDADES'!$A$4:$A$11,0)),""))=""),"SIN CLASIFICAR",IFERROR(INDEX('CAT_ACTIVIDADES'!$D$4:$D$11,MATCH($H666,'CAT_ACTIVIDADES'!$A$4:$A$11,0)),"")))</f>
        <v/>
      </c>
      <c r="AO666" s="4" t="n"/>
      <c r="AP666" s="4" t="n"/>
      <c r="AQ666" s="4" t="n"/>
      <c r="AR666" s="5">
        <f>IF($AQ666="","",HYPERLINK(p_ruta_base_checklists&amp;$AQ666,"abrir"))</f>
        <v/>
      </c>
      <c r="AS666" s="4" t="n"/>
      <c r="AT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2" t="n"/>
      <c r="K667" s="5" t="n"/>
      <c r="L667" s="18" t="n"/>
      <c r="M667" s="5">
        <f>IF($A667="","",IFERROR(INDEX('AJUSTES'!$B$4:$B$303,MATCH($AT667,'AJUSTES'!$A$4:$A$303,0)),IF($K667="","",$K667)))</f>
        <v/>
      </c>
      <c r="N667" s="5">
        <f>IF($A667="","",IFERROR(INDEX('CAT_ESTADOS_ERP'!$B$4:$B$7,MATCH(IFERROR(INDEX('2_IMPORTAR_EJECUCION'!$C$9:$C$1208,MATCH($AT667,'2_IMPORTAR_EJECUCION'!$J$9:$J$1208,0)),""),'CAT_ESTADOS_ERP'!$A$4:$A$7,0)),"Pendiente"))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IF($J667="","",$P667&amp;"-"&amp;TEXT($Q667,"00"))</f>
        <v/>
      </c>
      <c r="S667" s="5">
        <f>IF($J667="","",INDEX(lista_dias,WEEKDAY($J667,2)))</f>
        <v/>
      </c>
      <c r="T667" s="5">
        <f>IF($J667="","",IFERROR(INDEX('CALENDARIO'!$C$15:$C$214,MATCH(TEXT($J667,"yyyy-mm-dd")&amp;"|"&amp;$X667&amp;"|"&amp;$Y667,'CALENDARIO'!$G$15:$G$214,0)),IFERROR(INDEX('CALENDARIO'!$C$15:$C$214,MATCH(TEXT($J667,"yyyy-mm-dd")&amp;"|"&amp;$X667&amp;"|",'CALENDARIO'!$G$15:$G$214,0)),IFERROR(INDEX('CALENDARIO'!$C$15:$C$214,MATCH(TEXT($J667,"yyyy-mm-dd")&amp;"||",'CALENDARIO'!$G$15:$G$214,0)),INDEX(patronHabil,WEEKDAY($J667,2))))))</f>
        <v/>
      </c>
      <c r="U667" s="5">
        <f>IF($I667="","",IFERROR(INDEX('CAT_TIPOS_OT'!$C$4:$C$8,MATCH($I667,'CAT_TIPOS_OT'!$A$4:$A$8,0)),"sin_clasificar"))</f>
        <v/>
      </c>
      <c r="V667" s="5">
        <f>IF($I667="","",IF(IFERROR(INDEX('CAT_TIPOS_OT'!$D$4:$D$8,MATCH($I667,'CAT_TIPOS_OT'!$A$4:$A$8,0)),"SIN CLASIFICAR")="","SIN CLASIFICAR",IFERROR(INDEX('CAT_TIPOS_OT'!$D$4:$D$8,MATCH($I667,'CAT_TIPOS_OT'!$A$4:$A$8,0)),"SIN CLASIFICAR")))</f>
        <v/>
      </c>
      <c r="W667" s="5">
        <f>IF($F667="","",IFERROR(INDEX('CAT_CENTROS_COSTO'!$F$4:$F$13,MATCH($F667,'CAT_CENTROS_COSTO'!$A$4:$A$13,0)),"(sin catálogo)"))</f>
        <v/>
      </c>
      <c r="X667" s="5">
        <f>IF($F667="","",IFERROR(INDEX('CAT_CENTROS_COSTO'!$D$4:$D$13,MATCH($F667,'CAT_CENTROS_COSTO'!$A$4:$A$13,0)),"(sin catálogo)"))</f>
        <v/>
      </c>
      <c r="Y667" s="5">
        <f>IF($F667="","",IF((IFERROR(INDEX('CAT_CENTROS_COSTO'!$E$4:$E$13,MATCH($F667,'CAT_CENTROS_COSTO'!$A$4:$A$13,0)),""))&lt;&gt;"",IFERROR(INDEX('CAT_CENTROS_COSTO'!$E$4:$E$13,MATCH($F667,'CAT_CENTROS_COSTO'!$A$4:$A$13,0)),""),$X667))</f>
        <v/>
      </c>
      <c r="Z667" s="5">
        <f>IF($F667="","",IFERROR(INDEX('CAT_CENTROS_COSTO'!$G$4:$G$13,MATCH($F667,'CAT_CENTROS_COSTO'!$A$4:$A$13,0)),"(sin catálogo)"))</f>
        <v/>
      </c>
      <c r="AA667" s="5">
        <f>IF($G667="","",IFERROR(INDEX('CAT_PUESTOS'!$B$4:$B$8,MATCH($G667,'CAT_PUESTOS'!$A$4:$A$8,0)),"(sin catálogo)"))</f>
        <v/>
      </c>
      <c r="AB667" s="5">
        <f>IF($H667="","",IFERROR(INDEX('CAT_ACTIVIDADES'!$B$4:$B$11,MATCH($H667,'CAT_ACTIVIDADES'!$A$4:$A$11,0)),"(sin catálogo)"))</f>
        <v/>
      </c>
      <c r="AC667" s="20">
        <f>IF($J667="","",TODAY()-$J667)</f>
        <v/>
      </c>
      <c r="AD667" s="20">
        <f>IF($J667="","",IF($J667&lt;=TODAY(),COUNTIFS(cal_fechas,"&gt;="&amp;$J667,cal_fechas,"&lt;"&amp;TODAY(),cal_habil,"sí"),-COUNTIFS(cal_fechas,"&gt;="&amp;TODAY(),cal_fechas,"&lt;"&amp;$J667,cal_habil,"sí")))</f>
        <v/>
      </c>
      <c r="AE667" s="5">
        <f>IF($AD667="","",IF($AD667&lt;0,"FUTURO",IF($AD667&gt;p_dias_backlog_max,"BACKLOG","MES CORRIENTE")))</f>
        <v/>
      </c>
      <c r="AF667" s="5">
        <f>IF($AD667="",FALSE,AND($AD667&gt;p_dias_backlog_min,$AD667&lt;=p_dias_backlog_max))</f>
        <v/>
      </c>
      <c r="AG667" s="4" t="n"/>
      <c r="AH667" s="5">
        <f>IF($AG667="","",IF((IFERROR(INDEX('ASIGNACIONES'!$J$4:$J$451,MATCH($O667&amp;"|"&amp;$S667&amp;"|"&amp;$AG667,'ASIGNACIONES'!$N$4:$N$451,0)),""))=0,"",IFERROR(INDEX('ASIGNACIONES'!$J$4:$J$451,MATCH($O667&amp;"|"&amp;$S667&amp;"|"&amp;$AG667,'ASIGNACIONES'!$N$4:$N$451,0)),"")))</f>
        <v/>
      </c>
      <c r="AI667" s="25">
        <f>IF($AG667="","",SUMIFS('ORDENES'!$M$4:$M$1203,'ORDENES'!$AG$4:$AG$1203,$AG667,'ORDENES'!$O$4:$O$1203,$O667,'ORDENES'!$S$4:$S$1203,$S667))</f>
        <v/>
      </c>
      <c r="AJ667" s="25">
        <f>IF($AI667="","",p_factor_productividad*IFERROR(INDEX('ASIGNACIONES'!$M$4:$M$451,MATCH($O667&amp;"|"&amp;$S667&amp;"|"&amp;$AG667,'ASIGNACIONES'!$N$4:$N$451,0)),0)-$AI667)</f>
        <v/>
      </c>
      <c r="AK667" s="18">
        <f>IF($A667="","",IFERROR(INDEX('2_IMPORTAR_EJECUCION'!$F$9:$F$1208,MATCH($AT667,'2_IMPORTAR_EJECUCION'!$J$9:$J$1208,0)),0))</f>
        <v/>
      </c>
      <c r="AL667" s="18">
        <f>IF($A667="","",MAX(0,IFERROR(INDEX('2_IMPORTAR_EJECUCION'!$H$9:$H$1208,MATCH($AT667,'2_IMPORTAR_EJECUCION'!$J$9:$J$1208,0)),0)-$AK667))</f>
        <v/>
      </c>
      <c r="AM667" s="18">
        <f>IF($A667="","",$AK667+$AL667)</f>
        <v/>
      </c>
      <c r="AN667" s="5">
        <f>IF($A667="","",IF(OR((IFERROR(INDEX('CAT_ACTIVIDADES'!$D$4:$D$11,MATCH($H667,'CAT_ACTIVIDADES'!$A$4:$A$11,0)),""))=0,(IFERROR(INDEX('CAT_ACTIVIDADES'!$D$4:$D$11,MATCH($H667,'CAT_ACTIVIDADES'!$A$4:$A$11,0)),""))=""),"SIN CLASIFICAR",IFERROR(INDEX('CAT_ACTIVIDADES'!$D$4:$D$11,MATCH($H667,'CAT_ACTIVIDADES'!$A$4:$A$11,0)),"")))</f>
        <v/>
      </c>
      <c r="AO667" s="4" t="n"/>
      <c r="AP667" s="4" t="n"/>
      <c r="AQ667" s="4" t="n"/>
      <c r="AR667" s="5">
        <f>IF($AQ667="","",HYPERLINK(p_ruta_base_checklists&amp;$AQ667,"abrir"))</f>
        <v/>
      </c>
      <c r="AS667" s="4" t="n"/>
      <c r="AT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2" t="n"/>
      <c r="K668" s="5" t="n"/>
      <c r="L668" s="18" t="n"/>
      <c r="M668" s="5">
        <f>IF($A668="","",IFERROR(INDEX('AJUSTES'!$B$4:$B$303,MATCH($AT668,'AJUSTES'!$A$4:$A$303,0)),IF($K668="","",$K668)))</f>
        <v/>
      </c>
      <c r="N668" s="5">
        <f>IF($A668="","",IFERROR(INDEX('CAT_ESTADOS_ERP'!$B$4:$B$7,MATCH(IFERROR(INDEX('2_IMPORTAR_EJECUCION'!$C$9:$C$1208,MATCH($AT668,'2_IMPORTAR_EJECUCION'!$J$9:$J$1208,0)),""),'CAT_ESTADOS_ERP'!$A$4:$A$7,0)),"Pendiente"))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IF($J668="","",$P668&amp;"-"&amp;TEXT($Q668,"00"))</f>
        <v/>
      </c>
      <c r="S668" s="5">
        <f>IF($J668="","",INDEX(lista_dias,WEEKDAY($J668,2)))</f>
        <v/>
      </c>
      <c r="T668" s="5">
        <f>IF($J668="","",IFERROR(INDEX('CALENDARIO'!$C$15:$C$214,MATCH(TEXT($J668,"yyyy-mm-dd")&amp;"|"&amp;$X668&amp;"|"&amp;$Y668,'CALENDARIO'!$G$15:$G$214,0)),IFERROR(INDEX('CALENDARIO'!$C$15:$C$214,MATCH(TEXT($J668,"yyyy-mm-dd")&amp;"|"&amp;$X668&amp;"|",'CALENDARIO'!$G$15:$G$214,0)),IFERROR(INDEX('CALENDARIO'!$C$15:$C$214,MATCH(TEXT($J668,"yyyy-mm-dd")&amp;"||",'CALENDARIO'!$G$15:$G$214,0)),INDEX(patronHabil,WEEKDAY($J668,2))))))</f>
        <v/>
      </c>
      <c r="U668" s="5">
        <f>IF($I668="","",IFERROR(INDEX('CAT_TIPOS_OT'!$C$4:$C$8,MATCH($I668,'CAT_TIPOS_OT'!$A$4:$A$8,0)),"sin_clasificar"))</f>
        <v/>
      </c>
      <c r="V668" s="5">
        <f>IF($I668="","",IF(IFERROR(INDEX('CAT_TIPOS_OT'!$D$4:$D$8,MATCH($I668,'CAT_TIPOS_OT'!$A$4:$A$8,0)),"SIN CLASIFICAR")="","SIN CLASIFICAR",IFERROR(INDEX('CAT_TIPOS_OT'!$D$4:$D$8,MATCH($I668,'CAT_TIPOS_OT'!$A$4:$A$8,0)),"SIN CLASIFICAR")))</f>
        <v/>
      </c>
      <c r="W668" s="5">
        <f>IF($F668="","",IFERROR(INDEX('CAT_CENTROS_COSTO'!$F$4:$F$13,MATCH($F668,'CAT_CENTROS_COSTO'!$A$4:$A$13,0)),"(sin catálogo)"))</f>
        <v/>
      </c>
      <c r="X668" s="5">
        <f>IF($F668="","",IFERROR(INDEX('CAT_CENTROS_COSTO'!$D$4:$D$13,MATCH($F668,'CAT_CENTROS_COSTO'!$A$4:$A$13,0)),"(sin catálogo)"))</f>
        <v/>
      </c>
      <c r="Y668" s="5">
        <f>IF($F668="","",IF((IFERROR(INDEX('CAT_CENTROS_COSTO'!$E$4:$E$13,MATCH($F668,'CAT_CENTROS_COSTO'!$A$4:$A$13,0)),""))&lt;&gt;"",IFERROR(INDEX('CAT_CENTROS_COSTO'!$E$4:$E$13,MATCH($F668,'CAT_CENTROS_COSTO'!$A$4:$A$13,0)),""),$X668))</f>
        <v/>
      </c>
      <c r="Z668" s="5">
        <f>IF($F668="","",IFERROR(INDEX('CAT_CENTROS_COSTO'!$G$4:$G$13,MATCH($F668,'CAT_CENTROS_COSTO'!$A$4:$A$13,0)),"(sin catálogo)"))</f>
        <v/>
      </c>
      <c r="AA668" s="5">
        <f>IF($G668="","",IFERROR(INDEX('CAT_PUESTOS'!$B$4:$B$8,MATCH($G668,'CAT_PUESTOS'!$A$4:$A$8,0)),"(sin catálogo)"))</f>
        <v/>
      </c>
      <c r="AB668" s="5">
        <f>IF($H668="","",IFERROR(INDEX('CAT_ACTIVIDADES'!$B$4:$B$11,MATCH($H668,'CAT_ACTIVIDADES'!$A$4:$A$11,0)),"(sin catálogo)"))</f>
        <v/>
      </c>
      <c r="AC668" s="20">
        <f>IF($J668="","",TODAY()-$J668)</f>
        <v/>
      </c>
      <c r="AD668" s="20">
        <f>IF($J668="","",IF($J668&lt;=TODAY(),COUNTIFS(cal_fechas,"&gt;="&amp;$J668,cal_fechas,"&lt;"&amp;TODAY(),cal_habil,"sí"),-COUNTIFS(cal_fechas,"&gt;="&amp;TODAY(),cal_fechas,"&lt;"&amp;$J668,cal_habil,"sí")))</f>
        <v/>
      </c>
      <c r="AE668" s="5">
        <f>IF($AD668="","",IF($AD668&lt;0,"FUTURO",IF($AD668&gt;p_dias_backlog_max,"BACKLOG","MES CORRIENTE")))</f>
        <v/>
      </c>
      <c r="AF668" s="5">
        <f>IF($AD668="",FALSE,AND($AD668&gt;p_dias_backlog_min,$AD668&lt;=p_dias_backlog_max))</f>
        <v/>
      </c>
      <c r="AG668" s="4" t="n"/>
      <c r="AH668" s="5">
        <f>IF($AG668="","",IF((IFERROR(INDEX('ASIGNACIONES'!$J$4:$J$451,MATCH($O668&amp;"|"&amp;$S668&amp;"|"&amp;$AG668,'ASIGNACIONES'!$N$4:$N$451,0)),""))=0,"",IFERROR(INDEX('ASIGNACIONES'!$J$4:$J$451,MATCH($O668&amp;"|"&amp;$S668&amp;"|"&amp;$AG668,'ASIGNACIONES'!$N$4:$N$451,0)),"")))</f>
        <v/>
      </c>
      <c r="AI668" s="25">
        <f>IF($AG668="","",SUMIFS('ORDENES'!$M$4:$M$1203,'ORDENES'!$AG$4:$AG$1203,$AG668,'ORDENES'!$O$4:$O$1203,$O668,'ORDENES'!$S$4:$S$1203,$S668))</f>
        <v/>
      </c>
      <c r="AJ668" s="25">
        <f>IF($AI668="","",p_factor_productividad*IFERROR(INDEX('ASIGNACIONES'!$M$4:$M$451,MATCH($O668&amp;"|"&amp;$S668&amp;"|"&amp;$AG668,'ASIGNACIONES'!$N$4:$N$451,0)),0)-$AI668)</f>
        <v/>
      </c>
      <c r="AK668" s="18">
        <f>IF($A668="","",IFERROR(INDEX('2_IMPORTAR_EJECUCION'!$F$9:$F$1208,MATCH($AT668,'2_IMPORTAR_EJECUCION'!$J$9:$J$1208,0)),0))</f>
        <v/>
      </c>
      <c r="AL668" s="18">
        <f>IF($A668="","",MAX(0,IFERROR(INDEX('2_IMPORTAR_EJECUCION'!$H$9:$H$1208,MATCH($AT668,'2_IMPORTAR_EJECUCION'!$J$9:$J$1208,0)),0)-$AK668))</f>
        <v/>
      </c>
      <c r="AM668" s="18">
        <f>IF($A668="","",$AK668+$AL668)</f>
        <v/>
      </c>
      <c r="AN668" s="5">
        <f>IF($A668="","",IF(OR((IFERROR(INDEX('CAT_ACTIVIDADES'!$D$4:$D$11,MATCH($H668,'CAT_ACTIVIDADES'!$A$4:$A$11,0)),""))=0,(IFERROR(INDEX('CAT_ACTIVIDADES'!$D$4:$D$11,MATCH($H668,'CAT_ACTIVIDADES'!$A$4:$A$11,0)),""))=""),"SIN CLASIFICAR",IFERROR(INDEX('CAT_ACTIVIDADES'!$D$4:$D$11,MATCH($H668,'CAT_ACTIVIDADES'!$A$4:$A$11,0)),"")))</f>
        <v/>
      </c>
      <c r="AO668" s="4" t="n"/>
      <c r="AP668" s="4" t="n"/>
      <c r="AQ668" s="4" t="n"/>
      <c r="AR668" s="5">
        <f>IF($AQ668="","",HYPERLINK(p_ruta_base_checklists&amp;$AQ668,"abrir"))</f>
        <v/>
      </c>
      <c r="AS668" s="4" t="n"/>
      <c r="AT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2" t="n"/>
      <c r="K669" s="5" t="n"/>
      <c r="L669" s="18" t="n"/>
      <c r="M669" s="5">
        <f>IF($A669="","",IFERROR(INDEX('AJUSTES'!$B$4:$B$303,MATCH($AT669,'AJUSTES'!$A$4:$A$303,0)),IF($K669="","",$K669)))</f>
        <v/>
      </c>
      <c r="N669" s="5">
        <f>IF($A669="","",IFERROR(INDEX('CAT_ESTADOS_ERP'!$B$4:$B$7,MATCH(IFERROR(INDEX('2_IMPORTAR_EJECUCION'!$C$9:$C$1208,MATCH($AT669,'2_IMPORTAR_EJECUCION'!$J$9:$J$1208,0)),""),'CAT_ESTADOS_ERP'!$A$4:$A$7,0)),"Pendiente"))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IF($J669="","",$P669&amp;"-"&amp;TEXT($Q669,"00"))</f>
        <v/>
      </c>
      <c r="S669" s="5">
        <f>IF($J669="","",INDEX(lista_dias,WEEKDAY($J669,2)))</f>
        <v/>
      </c>
      <c r="T669" s="5">
        <f>IF($J669="","",IFERROR(INDEX('CALENDARIO'!$C$15:$C$214,MATCH(TEXT($J669,"yyyy-mm-dd")&amp;"|"&amp;$X669&amp;"|"&amp;$Y669,'CALENDARIO'!$G$15:$G$214,0)),IFERROR(INDEX('CALENDARIO'!$C$15:$C$214,MATCH(TEXT($J669,"yyyy-mm-dd")&amp;"|"&amp;$X669&amp;"|",'CALENDARIO'!$G$15:$G$214,0)),IFERROR(INDEX('CALENDARIO'!$C$15:$C$214,MATCH(TEXT($J669,"yyyy-mm-dd")&amp;"||",'CALENDARIO'!$G$15:$G$214,0)),INDEX(patronHabil,WEEKDAY($J669,2))))))</f>
        <v/>
      </c>
      <c r="U669" s="5">
        <f>IF($I669="","",IFERROR(INDEX('CAT_TIPOS_OT'!$C$4:$C$8,MATCH($I669,'CAT_TIPOS_OT'!$A$4:$A$8,0)),"sin_clasificar"))</f>
        <v/>
      </c>
      <c r="V669" s="5">
        <f>IF($I669="","",IF(IFERROR(INDEX('CAT_TIPOS_OT'!$D$4:$D$8,MATCH($I669,'CAT_TIPOS_OT'!$A$4:$A$8,0)),"SIN CLASIFICAR")="","SIN CLASIFICAR",IFERROR(INDEX('CAT_TIPOS_OT'!$D$4:$D$8,MATCH($I669,'CAT_TIPOS_OT'!$A$4:$A$8,0)),"SIN CLASIFICAR")))</f>
        <v/>
      </c>
      <c r="W669" s="5">
        <f>IF($F669="","",IFERROR(INDEX('CAT_CENTROS_COSTO'!$F$4:$F$13,MATCH($F669,'CAT_CENTROS_COSTO'!$A$4:$A$13,0)),"(sin catálogo)"))</f>
        <v/>
      </c>
      <c r="X669" s="5">
        <f>IF($F669="","",IFERROR(INDEX('CAT_CENTROS_COSTO'!$D$4:$D$13,MATCH($F669,'CAT_CENTROS_COSTO'!$A$4:$A$13,0)),"(sin catálogo)"))</f>
        <v/>
      </c>
      <c r="Y669" s="5">
        <f>IF($F669="","",IF((IFERROR(INDEX('CAT_CENTROS_COSTO'!$E$4:$E$13,MATCH($F669,'CAT_CENTROS_COSTO'!$A$4:$A$13,0)),""))&lt;&gt;"",IFERROR(INDEX('CAT_CENTROS_COSTO'!$E$4:$E$13,MATCH($F669,'CAT_CENTROS_COSTO'!$A$4:$A$13,0)),""),$X669))</f>
        <v/>
      </c>
      <c r="Z669" s="5">
        <f>IF($F669="","",IFERROR(INDEX('CAT_CENTROS_COSTO'!$G$4:$G$13,MATCH($F669,'CAT_CENTROS_COSTO'!$A$4:$A$13,0)),"(sin catálogo)"))</f>
        <v/>
      </c>
      <c r="AA669" s="5">
        <f>IF($G669="","",IFERROR(INDEX('CAT_PUESTOS'!$B$4:$B$8,MATCH($G669,'CAT_PUESTOS'!$A$4:$A$8,0)),"(sin catálogo)"))</f>
        <v/>
      </c>
      <c r="AB669" s="5">
        <f>IF($H669="","",IFERROR(INDEX('CAT_ACTIVIDADES'!$B$4:$B$11,MATCH($H669,'CAT_ACTIVIDADES'!$A$4:$A$11,0)),"(sin catálogo)"))</f>
        <v/>
      </c>
      <c r="AC669" s="20">
        <f>IF($J669="","",TODAY()-$J669)</f>
        <v/>
      </c>
      <c r="AD669" s="20">
        <f>IF($J669="","",IF($J669&lt;=TODAY(),COUNTIFS(cal_fechas,"&gt;="&amp;$J669,cal_fechas,"&lt;"&amp;TODAY(),cal_habil,"sí"),-COUNTIFS(cal_fechas,"&gt;="&amp;TODAY(),cal_fechas,"&lt;"&amp;$J669,cal_habil,"sí")))</f>
        <v/>
      </c>
      <c r="AE669" s="5">
        <f>IF($AD669="","",IF($AD669&lt;0,"FUTURO",IF($AD669&gt;p_dias_backlog_max,"BACKLOG","MES CORRIENTE")))</f>
        <v/>
      </c>
      <c r="AF669" s="5">
        <f>IF($AD669="",FALSE,AND($AD669&gt;p_dias_backlog_min,$AD669&lt;=p_dias_backlog_max))</f>
        <v/>
      </c>
      <c r="AG669" s="4" t="n"/>
      <c r="AH669" s="5">
        <f>IF($AG669="","",IF((IFERROR(INDEX('ASIGNACIONES'!$J$4:$J$451,MATCH($O669&amp;"|"&amp;$S669&amp;"|"&amp;$AG669,'ASIGNACIONES'!$N$4:$N$451,0)),""))=0,"",IFERROR(INDEX('ASIGNACIONES'!$J$4:$J$451,MATCH($O669&amp;"|"&amp;$S669&amp;"|"&amp;$AG669,'ASIGNACIONES'!$N$4:$N$451,0)),"")))</f>
        <v/>
      </c>
      <c r="AI669" s="25">
        <f>IF($AG669="","",SUMIFS('ORDENES'!$M$4:$M$1203,'ORDENES'!$AG$4:$AG$1203,$AG669,'ORDENES'!$O$4:$O$1203,$O669,'ORDENES'!$S$4:$S$1203,$S669))</f>
        <v/>
      </c>
      <c r="AJ669" s="25">
        <f>IF($AI669="","",p_factor_productividad*IFERROR(INDEX('ASIGNACIONES'!$M$4:$M$451,MATCH($O669&amp;"|"&amp;$S669&amp;"|"&amp;$AG669,'ASIGNACIONES'!$N$4:$N$451,0)),0)-$AI669)</f>
        <v/>
      </c>
      <c r="AK669" s="18">
        <f>IF($A669="","",IFERROR(INDEX('2_IMPORTAR_EJECUCION'!$F$9:$F$1208,MATCH($AT669,'2_IMPORTAR_EJECUCION'!$J$9:$J$1208,0)),0))</f>
        <v/>
      </c>
      <c r="AL669" s="18">
        <f>IF($A669="","",MAX(0,IFERROR(INDEX('2_IMPORTAR_EJECUCION'!$H$9:$H$1208,MATCH($AT669,'2_IMPORTAR_EJECUCION'!$J$9:$J$1208,0)),0)-$AK669))</f>
        <v/>
      </c>
      <c r="AM669" s="18">
        <f>IF($A669="","",$AK669+$AL669)</f>
        <v/>
      </c>
      <c r="AN669" s="5">
        <f>IF($A669="","",IF(OR((IFERROR(INDEX('CAT_ACTIVIDADES'!$D$4:$D$11,MATCH($H669,'CAT_ACTIVIDADES'!$A$4:$A$11,0)),""))=0,(IFERROR(INDEX('CAT_ACTIVIDADES'!$D$4:$D$11,MATCH($H669,'CAT_ACTIVIDADES'!$A$4:$A$11,0)),""))=""),"SIN CLASIFICAR",IFERROR(INDEX('CAT_ACTIVIDADES'!$D$4:$D$11,MATCH($H669,'CAT_ACTIVIDADES'!$A$4:$A$11,0)),"")))</f>
        <v/>
      </c>
      <c r="AO669" s="4" t="n"/>
      <c r="AP669" s="4" t="n"/>
      <c r="AQ669" s="4" t="n"/>
      <c r="AR669" s="5">
        <f>IF($AQ669="","",HYPERLINK(p_ruta_base_checklists&amp;$AQ669,"abrir"))</f>
        <v/>
      </c>
      <c r="AS669" s="4" t="n"/>
      <c r="AT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2" t="n"/>
      <c r="K670" s="5" t="n"/>
      <c r="L670" s="18" t="n"/>
      <c r="M670" s="5">
        <f>IF($A670="","",IFERROR(INDEX('AJUSTES'!$B$4:$B$303,MATCH($AT670,'AJUSTES'!$A$4:$A$303,0)),IF($K670="","",$K670)))</f>
        <v/>
      </c>
      <c r="N670" s="5">
        <f>IF($A670="","",IFERROR(INDEX('CAT_ESTADOS_ERP'!$B$4:$B$7,MATCH(IFERROR(INDEX('2_IMPORTAR_EJECUCION'!$C$9:$C$1208,MATCH($AT670,'2_IMPORTAR_EJECUCION'!$J$9:$J$1208,0)),""),'CAT_ESTADOS_ERP'!$A$4:$A$7,0)),"Pendiente"))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IF($J670="","",$P670&amp;"-"&amp;TEXT($Q670,"00"))</f>
        <v/>
      </c>
      <c r="S670" s="5">
        <f>IF($J670="","",INDEX(lista_dias,WEEKDAY($J670,2)))</f>
        <v/>
      </c>
      <c r="T670" s="5">
        <f>IF($J670="","",IFERROR(INDEX('CALENDARIO'!$C$15:$C$214,MATCH(TEXT($J670,"yyyy-mm-dd")&amp;"|"&amp;$X670&amp;"|"&amp;$Y670,'CALENDARIO'!$G$15:$G$214,0)),IFERROR(INDEX('CALENDARIO'!$C$15:$C$214,MATCH(TEXT($J670,"yyyy-mm-dd")&amp;"|"&amp;$X670&amp;"|",'CALENDARIO'!$G$15:$G$214,0)),IFERROR(INDEX('CALENDARIO'!$C$15:$C$214,MATCH(TEXT($J670,"yyyy-mm-dd")&amp;"||",'CALENDARIO'!$G$15:$G$214,0)),INDEX(patronHabil,WEEKDAY($J670,2))))))</f>
        <v/>
      </c>
      <c r="U670" s="5">
        <f>IF($I670="","",IFERROR(INDEX('CAT_TIPOS_OT'!$C$4:$C$8,MATCH($I670,'CAT_TIPOS_OT'!$A$4:$A$8,0)),"sin_clasificar"))</f>
        <v/>
      </c>
      <c r="V670" s="5">
        <f>IF($I670="","",IF(IFERROR(INDEX('CAT_TIPOS_OT'!$D$4:$D$8,MATCH($I670,'CAT_TIPOS_OT'!$A$4:$A$8,0)),"SIN CLASIFICAR")="","SIN CLASIFICAR",IFERROR(INDEX('CAT_TIPOS_OT'!$D$4:$D$8,MATCH($I670,'CAT_TIPOS_OT'!$A$4:$A$8,0)),"SIN CLASIFICAR")))</f>
        <v/>
      </c>
      <c r="W670" s="5">
        <f>IF($F670="","",IFERROR(INDEX('CAT_CENTROS_COSTO'!$F$4:$F$13,MATCH($F670,'CAT_CENTROS_COSTO'!$A$4:$A$13,0)),"(sin catálogo)"))</f>
        <v/>
      </c>
      <c r="X670" s="5">
        <f>IF($F670="","",IFERROR(INDEX('CAT_CENTROS_COSTO'!$D$4:$D$13,MATCH($F670,'CAT_CENTROS_COSTO'!$A$4:$A$13,0)),"(sin catálogo)"))</f>
        <v/>
      </c>
      <c r="Y670" s="5">
        <f>IF($F670="","",IF((IFERROR(INDEX('CAT_CENTROS_COSTO'!$E$4:$E$13,MATCH($F670,'CAT_CENTROS_COSTO'!$A$4:$A$13,0)),""))&lt;&gt;"",IFERROR(INDEX('CAT_CENTROS_COSTO'!$E$4:$E$13,MATCH($F670,'CAT_CENTROS_COSTO'!$A$4:$A$13,0)),""),$X670))</f>
        <v/>
      </c>
      <c r="Z670" s="5">
        <f>IF($F670="","",IFERROR(INDEX('CAT_CENTROS_COSTO'!$G$4:$G$13,MATCH($F670,'CAT_CENTROS_COSTO'!$A$4:$A$13,0)),"(sin catálogo)"))</f>
        <v/>
      </c>
      <c r="AA670" s="5">
        <f>IF($G670="","",IFERROR(INDEX('CAT_PUESTOS'!$B$4:$B$8,MATCH($G670,'CAT_PUESTOS'!$A$4:$A$8,0)),"(sin catálogo)"))</f>
        <v/>
      </c>
      <c r="AB670" s="5">
        <f>IF($H670="","",IFERROR(INDEX('CAT_ACTIVIDADES'!$B$4:$B$11,MATCH($H670,'CAT_ACTIVIDADES'!$A$4:$A$11,0)),"(sin catálogo)"))</f>
        <v/>
      </c>
      <c r="AC670" s="20">
        <f>IF($J670="","",TODAY()-$J670)</f>
        <v/>
      </c>
      <c r="AD670" s="20">
        <f>IF($J670="","",IF($J670&lt;=TODAY(),COUNTIFS(cal_fechas,"&gt;="&amp;$J670,cal_fechas,"&lt;"&amp;TODAY(),cal_habil,"sí"),-COUNTIFS(cal_fechas,"&gt;="&amp;TODAY(),cal_fechas,"&lt;"&amp;$J670,cal_habil,"sí")))</f>
        <v/>
      </c>
      <c r="AE670" s="5">
        <f>IF($AD670="","",IF($AD670&lt;0,"FUTURO",IF($AD670&gt;p_dias_backlog_max,"BACKLOG","MES CORRIENTE")))</f>
        <v/>
      </c>
      <c r="AF670" s="5">
        <f>IF($AD670="",FALSE,AND($AD670&gt;p_dias_backlog_min,$AD670&lt;=p_dias_backlog_max))</f>
        <v/>
      </c>
      <c r="AG670" s="4" t="n"/>
      <c r="AH670" s="5">
        <f>IF($AG670="","",IF((IFERROR(INDEX('ASIGNACIONES'!$J$4:$J$451,MATCH($O670&amp;"|"&amp;$S670&amp;"|"&amp;$AG670,'ASIGNACIONES'!$N$4:$N$451,0)),""))=0,"",IFERROR(INDEX('ASIGNACIONES'!$J$4:$J$451,MATCH($O670&amp;"|"&amp;$S670&amp;"|"&amp;$AG670,'ASIGNACIONES'!$N$4:$N$451,0)),"")))</f>
        <v/>
      </c>
      <c r="AI670" s="25">
        <f>IF($AG670="","",SUMIFS('ORDENES'!$M$4:$M$1203,'ORDENES'!$AG$4:$AG$1203,$AG670,'ORDENES'!$O$4:$O$1203,$O670,'ORDENES'!$S$4:$S$1203,$S670))</f>
        <v/>
      </c>
      <c r="AJ670" s="25">
        <f>IF($AI670="","",p_factor_productividad*IFERROR(INDEX('ASIGNACIONES'!$M$4:$M$451,MATCH($O670&amp;"|"&amp;$S670&amp;"|"&amp;$AG670,'ASIGNACIONES'!$N$4:$N$451,0)),0)-$AI670)</f>
        <v/>
      </c>
      <c r="AK670" s="18">
        <f>IF($A670="","",IFERROR(INDEX('2_IMPORTAR_EJECUCION'!$F$9:$F$1208,MATCH($AT670,'2_IMPORTAR_EJECUCION'!$J$9:$J$1208,0)),0))</f>
        <v/>
      </c>
      <c r="AL670" s="18">
        <f>IF($A670="","",MAX(0,IFERROR(INDEX('2_IMPORTAR_EJECUCION'!$H$9:$H$1208,MATCH($AT670,'2_IMPORTAR_EJECUCION'!$J$9:$J$1208,0)),0)-$AK670))</f>
        <v/>
      </c>
      <c r="AM670" s="18">
        <f>IF($A670="","",$AK670+$AL670)</f>
        <v/>
      </c>
      <c r="AN670" s="5">
        <f>IF($A670="","",IF(OR((IFERROR(INDEX('CAT_ACTIVIDADES'!$D$4:$D$11,MATCH($H670,'CAT_ACTIVIDADES'!$A$4:$A$11,0)),""))=0,(IFERROR(INDEX('CAT_ACTIVIDADES'!$D$4:$D$11,MATCH($H670,'CAT_ACTIVIDADES'!$A$4:$A$11,0)),""))=""),"SIN CLASIFICAR",IFERROR(INDEX('CAT_ACTIVIDADES'!$D$4:$D$11,MATCH($H670,'CAT_ACTIVIDADES'!$A$4:$A$11,0)),"")))</f>
        <v/>
      </c>
      <c r="AO670" s="4" t="n"/>
      <c r="AP670" s="4" t="n"/>
      <c r="AQ670" s="4" t="n"/>
      <c r="AR670" s="5">
        <f>IF($AQ670="","",HYPERLINK(p_ruta_base_checklists&amp;$AQ670,"abrir"))</f>
        <v/>
      </c>
      <c r="AS670" s="4" t="n"/>
      <c r="AT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2" t="n"/>
      <c r="K671" s="5" t="n"/>
      <c r="L671" s="18" t="n"/>
      <c r="M671" s="5">
        <f>IF($A671="","",IFERROR(INDEX('AJUSTES'!$B$4:$B$303,MATCH($AT671,'AJUSTES'!$A$4:$A$303,0)),IF($K671="","",$K671)))</f>
        <v/>
      </c>
      <c r="N671" s="5">
        <f>IF($A671="","",IFERROR(INDEX('CAT_ESTADOS_ERP'!$B$4:$B$7,MATCH(IFERROR(INDEX('2_IMPORTAR_EJECUCION'!$C$9:$C$1208,MATCH($AT671,'2_IMPORTAR_EJECUCION'!$J$9:$J$1208,0)),""),'CAT_ESTADOS_ERP'!$A$4:$A$7,0)),"Pendiente"))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IF($J671="","",$P671&amp;"-"&amp;TEXT($Q671,"00"))</f>
        <v/>
      </c>
      <c r="S671" s="5">
        <f>IF($J671="","",INDEX(lista_dias,WEEKDAY($J671,2)))</f>
        <v/>
      </c>
      <c r="T671" s="5">
        <f>IF($J671="","",IFERROR(INDEX('CALENDARIO'!$C$15:$C$214,MATCH(TEXT($J671,"yyyy-mm-dd")&amp;"|"&amp;$X671&amp;"|"&amp;$Y671,'CALENDARIO'!$G$15:$G$214,0)),IFERROR(INDEX('CALENDARIO'!$C$15:$C$214,MATCH(TEXT($J671,"yyyy-mm-dd")&amp;"|"&amp;$X671&amp;"|",'CALENDARIO'!$G$15:$G$214,0)),IFERROR(INDEX('CALENDARIO'!$C$15:$C$214,MATCH(TEXT($J671,"yyyy-mm-dd")&amp;"||",'CALENDARIO'!$G$15:$G$214,0)),INDEX(patronHabil,WEEKDAY($J671,2))))))</f>
        <v/>
      </c>
      <c r="U671" s="5">
        <f>IF($I671="","",IFERROR(INDEX('CAT_TIPOS_OT'!$C$4:$C$8,MATCH($I671,'CAT_TIPOS_OT'!$A$4:$A$8,0)),"sin_clasificar"))</f>
        <v/>
      </c>
      <c r="V671" s="5">
        <f>IF($I671="","",IF(IFERROR(INDEX('CAT_TIPOS_OT'!$D$4:$D$8,MATCH($I671,'CAT_TIPOS_OT'!$A$4:$A$8,0)),"SIN CLASIFICAR")="","SIN CLASIFICAR",IFERROR(INDEX('CAT_TIPOS_OT'!$D$4:$D$8,MATCH($I671,'CAT_TIPOS_OT'!$A$4:$A$8,0)),"SIN CLASIFICAR")))</f>
        <v/>
      </c>
      <c r="W671" s="5">
        <f>IF($F671="","",IFERROR(INDEX('CAT_CENTROS_COSTO'!$F$4:$F$13,MATCH($F671,'CAT_CENTROS_COSTO'!$A$4:$A$13,0)),"(sin catálogo)"))</f>
        <v/>
      </c>
      <c r="X671" s="5">
        <f>IF($F671="","",IFERROR(INDEX('CAT_CENTROS_COSTO'!$D$4:$D$13,MATCH($F671,'CAT_CENTROS_COSTO'!$A$4:$A$13,0)),"(sin catálogo)"))</f>
        <v/>
      </c>
      <c r="Y671" s="5">
        <f>IF($F671="","",IF((IFERROR(INDEX('CAT_CENTROS_COSTO'!$E$4:$E$13,MATCH($F671,'CAT_CENTROS_COSTO'!$A$4:$A$13,0)),""))&lt;&gt;"",IFERROR(INDEX('CAT_CENTROS_COSTO'!$E$4:$E$13,MATCH($F671,'CAT_CENTROS_COSTO'!$A$4:$A$13,0)),""),$X671))</f>
        <v/>
      </c>
      <c r="Z671" s="5">
        <f>IF($F671="","",IFERROR(INDEX('CAT_CENTROS_COSTO'!$G$4:$G$13,MATCH($F671,'CAT_CENTROS_COSTO'!$A$4:$A$13,0)),"(sin catálogo)"))</f>
        <v/>
      </c>
      <c r="AA671" s="5">
        <f>IF($G671="","",IFERROR(INDEX('CAT_PUESTOS'!$B$4:$B$8,MATCH($G671,'CAT_PUESTOS'!$A$4:$A$8,0)),"(sin catálogo)"))</f>
        <v/>
      </c>
      <c r="AB671" s="5">
        <f>IF($H671="","",IFERROR(INDEX('CAT_ACTIVIDADES'!$B$4:$B$11,MATCH($H671,'CAT_ACTIVIDADES'!$A$4:$A$11,0)),"(sin catálogo)"))</f>
        <v/>
      </c>
      <c r="AC671" s="20">
        <f>IF($J671="","",TODAY()-$J671)</f>
        <v/>
      </c>
      <c r="AD671" s="20">
        <f>IF($J671="","",IF($J671&lt;=TODAY(),COUNTIFS(cal_fechas,"&gt;="&amp;$J671,cal_fechas,"&lt;"&amp;TODAY(),cal_habil,"sí"),-COUNTIFS(cal_fechas,"&gt;="&amp;TODAY(),cal_fechas,"&lt;"&amp;$J671,cal_habil,"sí")))</f>
        <v/>
      </c>
      <c r="AE671" s="5">
        <f>IF($AD671="","",IF($AD671&lt;0,"FUTURO",IF($AD671&gt;p_dias_backlog_max,"BACKLOG","MES CORRIENTE")))</f>
        <v/>
      </c>
      <c r="AF671" s="5">
        <f>IF($AD671="",FALSE,AND($AD671&gt;p_dias_backlog_min,$AD671&lt;=p_dias_backlog_max))</f>
        <v/>
      </c>
      <c r="AG671" s="4" t="n"/>
      <c r="AH671" s="5">
        <f>IF($AG671="","",IF((IFERROR(INDEX('ASIGNACIONES'!$J$4:$J$451,MATCH($O671&amp;"|"&amp;$S671&amp;"|"&amp;$AG671,'ASIGNACIONES'!$N$4:$N$451,0)),""))=0,"",IFERROR(INDEX('ASIGNACIONES'!$J$4:$J$451,MATCH($O671&amp;"|"&amp;$S671&amp;"|"&amp;$AG671,'ASIGNACIONES'!$N$4:$N$451,0)),"")))</f>
        <v/>
      </c>
      <c r="AI671" s="25">
        <f>IF($AG671="","",SUMIFS('ORDENES'!$M$4:$M$1203,'ORDENES'!$AG$4:$AG$1203,$AG671,'ORDENES'!$O$4:$O$1203,$O671,'ORDENES'!$S$4:$S$1203,$S671))</f>
        <v/>
      </c>
      <c r="AJ671" s="25">
        <f>IF($AI671="","",p_factor_productividad*IFERROR(INDEX('ASIGNACIONES'!$M$4:$M$451,MATCH($O671&amp;"|"&amp;$S671&amp;"|"&amp;$AG671,'ASIGNACIONES'!$N$4:$N$451,0)),0)-$AI671)</f>
        <v/>
      </c>
      <c r="AK671" s="18">
        <f>IF($A671="","",IFERROR(INDEX('2_IMPORTAR_EJECUCION'!$F$9:$F$1208,MATCH($AT671,'2_IMPORTAR_EJECUCION'!$J$9:$J$1208,0)),0))</f>
        <v/>
      </c>
      <c r="AL671" s="18">
        <f>IF($A671="","",MAX(0,IFERROR(INDEX('2_IMPORTAR_EJECUCION'!$H$9:$H$1208,MATCH($AT671,'2_IMPORTAR_EJECUCION'!$J$9:$J$1208,0)),0)-$AK671))</f>
        <v/>
      </c>
      <c r="AM671" s="18">
        <f>IF($A671="","",$AK671+$AL671)</f>
        <v/>
      </c>
      <c r="AN671" s="5">
        <f>IF($A671="","",IF(OR((IFERROR(INDEX('CAT_ACTIVIDADES'!$D$4:$D$11,MATCH($H671,'CAT_ACTIVIDADES'!$A$4:$A$11,0)),""))=0,(IFERROR(INDEX('CAT_ACTIVIDADES'!$D$4:$D$11,MATCH($H671,'CAT_ACTIVIDADES'!$A$4:$A$11,0)),""))=""),"SIN CLASIFICAR",IFERROR(INDEX('CAT_ACTIVIDADES'!$D$4:$D$11,MATCH($H671,'CAT_ACTIVIDADES'!$A$4:$A$11,0)),"")))</f>
        <v/>
      </c>
      <c r="AO671" s="4" t="n"/>
      <c r="AP671" s="4" t="n"/>
      <c r="AQ671" s="4" t="n"/>
      <c r="AR671" s="5">
        <f>IF($AQ671="","",HYPERLINK(p_ruta_base_checklists&amp;$AQ671,"abrir"))</f>
        <v/>
      </c>
      <c r="AS671" s="4" t="n"/>
      <c r="AT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2" t="n"/>
      <c r="K672" s="5" t="n"/>
      <c r="L672" s="18" t="n"/>
      <c r="M672" s="5">
        <f>IF($A672="","",IFERROR(INDEX('AJUSTES'!$B$4:$B$303,MATCH($AT672,'AJUSTES'!$A$4:$A$303,0)),IF($K672="","",$K672)))</f>
        <v/>
      </c>
      <c r="N672" s="5">
        <f>IF($A672="","",IFERROR(INDEX('CAT_ESTADOS_ERP'!$B$4:$B$7,MATCH(IFERROR(INDEX('2_IMPORTAR_EJECUCION'!$C$9:$C$1208,MATCH($AT672,'2_IMPORTAR_EJECUCION'!$J$9:$J$1208,0)),""),'CAT_ESTADOS_ERP'!$A$4:$A$7,0)),"Pendiente"))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IF($J672="","",$P672&amp;"-"&amp;TEXT($Q672,"00"))</f>
        <v/>
      </c>
      <c r="S672" s="5">
        <f>IF($J672="","",INDEX(lista_dias,WEEKDAY($J672,2)))</f>
        <v/>
      </c>
      <c r="T672" s="5">
        <f>IF($J672="","",IFERROR(INDEX('CALENDARIO'!$C$15:$C$214,MATCH(TEXT($J672,"yyyy-mm-dd")&amp;"|"&amp;$X672&amp;"|"&amp;$Y672,'CALENDARIO'!$G$15:$G$214,0)),IFERROR(INDEX('CALENDARIO'!$C$15:$C$214,MATCH(TEXT($J672,"yyyy-mm-dd")&amp;"|"&amp;$X672&amp;"|",'CALENDARIO'!$G$15:$G$214,0)),IFERROR(INDEX('CALENDARIO'!$C$15:$C$214,MATCH(TEXT($J672,"yyyy-mm-dd")&amp;"||",'CALENDARIO'!$G$15:$G$214,0)),INDEX(patronHabil,WEEKDAY($J672,2))))))</f>
        <v/>
      </c>
      <c r="U672" s="5">
        <f>IF($I672="","",IFERROR(INDEX('CAT_TIPOS_OT'!$C$4:$C$8,MATCH($I672,'CAT_TIPOS_OT'!$A$4:$A$8,0)),"sin_clasificar"))</f>
        <v/>
      </c>
      <c r="V672" s="5">
        <f>IF($I672="","",IF(IFERROR(INDEX('CAT_TIPOS_OT'!$D$4:$D$8,MATCH($I672,'CAT_TIPOS_OT'!$A$4:$A$8,0)),"SIN CLASIFICAR")="","SIN CLASIFICAR",IFERROR(INDEX('CAT_TIPOS_OT'!$D$4:$D$8,MATCH($I672,'CAT_TIPOS_OT'!$A$4:$A$8,0)),"SIN CLASIFICAR")))</f>
        <v/>
      </c>
      <c r="W672" s="5">
        <f>IF($F672="","",IFERROR(INDEX('CAT_CENTROS_COSTO'!$F$4:$F$13,MATCH($F672,'CAT_CENTROS_COSTO'!$A$4:$A$13,0)),"(sin catálogo)"))</f>
        <v/>
      </c>
      <c r="X672" s="5">
        <f>IF($F672="","",IFERROR(INDEX('CAT_CENTROS_COSTO'!$D$4:$D$13,MATCH($F672,'CAT_CENTROS_COSTO'!$A$4:$A$13,0)),"(sin catálogo)"))</f>
        <v/>
      </c>
      <c r="Y672" s="5">
        <f>IF($F672="","",IF((IFERROR(INDEX('CAT_CENTROS_COSTO'!$E$4:$E$13,MATCH($F672,'CAT_CENTROS_COSTO'!$A$4:$A$13,0)),""))&lt;&gt;"",IFERROR(INDEX('CAT_CENTROS_COSTO'!$E$4:$E$13,MATCH($F672,'CAT_CENTROS_COSTO'!$A$4:$A$13,0)),""),$X672))</f>
        <v/>
      </c>
      <c r="Z672" s="5">
        <f>IF($F672="","",IFERROR(INDEX('CAT_CENTROS_COSTO'!$G$4:$G$13,MATCH($F672,'CAT_CENTROS_COSTO'!$A$4:$A$13,0)),"(sin catálogo)"))</f>
        <v/>
      </c>
      <c r="AA672" s="5">
        <f>IF($G672="","",IFERROR(INDEX('CAT_PUESTOS'!$B$4:$B$8,MATCH($G672,'CAT_PUESTOS'!$A$4:$A$8,0)),"(sin catálogo)"))</f>
        <v/>
      </c>
      <c r="AB672" s="5">
        <f>IF($H672="","",IFERROR(INDEX('CAT_ACTIVIDADES'!$B$4:$B$11,MATCH($H672,'CAT_ACTIVIDADES'!$A$4:$A$11,0)),"(sin catálogo)"))</f>
        <v/>
      </c>
      <c r="AC672" s="20">
        <f>IF($J672="","",TODAY()-$J672)</f>
        <v/>
      </c>
      <c r="AD672" s="20">
        <f>IF($J672="","",IF($J672&lt;=TODAY(),COUNTIFS(cal_fechas,"&gt;="&amp;$J672,cal_fechas,"&lt;"&amp;TODAY(),cal_habil,"sí"),-COUNTIFS(cal_fechas,"&gt;="&amp;TODAY(),cal_fechas,"&lt;"&amp;$J672,cal_habil,"sí")))</f>
        <v/>
      </c>
      <c r="AE672" s="5">
        <f>IF($AD672="","",IF($AD672&lt;0,"FUTURO",IF($AD672&gt;p_dias_backlog_max,"BACKLOG","MES CORRIENTE")))</f>
        <v/>
      </c>
      <c r="AF672" s="5">
        <f>IF($AD672="",FALSE,AND($AD672&gt;p_dias_backlog_min,$AD672&lt;=p_dias_backlog_max))</f>
        <v/>
      </c>
      <c r="AG672" s="4" t="n"/>
      <c r="AH672" s="5">
        <f>IF($AG672="","",IF((IFERROR(INDEX('ASIGNACIONES'!$J$4:$J$451,MATCH($O672&amp;"|"&amp;$S672&amp;"|"&amp;$AG672,'ASIGNACIONES'!$N$4:$N$451,0)),""))=0,"",IFERROR(INDEX('ASIGNACIONES'!$J$4:$J$451,MATCH($O672&amp;"|"&amp;$S672&amp;"|"&amp;$AG672,'ASIGNACIONES'!$N$4:$N$451,0)),"")))</f>
        <v/>
      </c>
      <c r="AI672" s="25">
        <f>IF($AG672="","",SUMIFS('ORDENES'!$M$4:$M$1203,'ORDENES'!$AG$4:$AG$1203,$AG672,'ORDENES'!$O$4:$O$1203,$O672,'ORDENES'!$S$4:$S$1203,$S672))</f>
        <v/>
      </c>
      <c r="AJ672" s="25">
        <f>IF($AI672="","",p_factor_productividad*IFERROR(INDEX('ASIGNACIONES'!$M$4:$M$451,MATCH($O672&amp;"|"&amp;$S672&amp;"|"&amp;$AG672,'ASIGNACIONES'!$N$4:$N$451,0)),0)-$AI672)</f>
        <v/>
      </c>
      <c r="AK672" s="18">
        <f>IF($A672="","",IFERROR(INDEX('2_IMPORTAR_EJECUCION'!$F$9:$F$1208,MATCH($AT672,'2_IMPORTAR_EJECUCION'!$J$9:$J$1208,0)),0))</f>
        <v/>
      </c>
      <c r="AL672" s="18">
        <f>IF($A672="","",MAX(0,IFERROR(INDEX('2_IMPORTAR_EJECUCION'!$H$9:$H$1208,MATCH($AT672,'2_IMPORTAR_EJECUCION'!$J$9:$J$1208,0)),0)-$AK672))</f>
        <v/>
      </c>
      <c r="AM672" s="18">
        <f>IF($A672="","",$AK672+$AL672)</f>
        <v/>
      </c>
      <c r="AN672" s="5">
        <f>IF($A672="","",IF(OR((IFERROR(INDEX('CAT_ACTIVIDADES'!$D$4:$D$11,MATCH($H672,'CAT_ACTIVIDADES'!$A$4:$A$11,0)),""))=0,(IFERROR(INDEX('CAT_ACTIVIDADES'!$D$4:$D$11,MATCH($H672,'CAT_ACTIVIDADES'!$A$4:$A$11,0)),""))=""),"SIN CLASIFICAR",IFERROR(INDEX('CAT_ACTIVIDADES'!$D$4:$D$11,MATCH($H672,'CAT_ACTIVIDADES'!$A$4:$A$11,0)),"")))</f>
        <v/>
      </c>
      <c r="AO672" s="4" t="n"/>
      <c r="AP672" s="4" t="n"/>
      <c r="AQ672" s="4" t="n"/>
      <c r="AR672" s="5">
        <f>IF($AQ672="","",HYPERLINK(p_ruta_base_checklists&amp;$AQ672,"abrir"))</f>
        <v/>
      </c>
      <c r="AS672" s="4" t="n"/>
      <c r="AT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2" t="n"/>
      <c r="K673" s="5" t="n"/>
      <c r="L673" s="18" t="n"/>
      <c r="M673" s="5">
        <f>IF($A673="","",IFERROR(INDEX('AJUSTES'!$B$4:$B$303,MATCH($AT673,'AJUSTES'!$A$4:$A$303,0)),IF($K673="","",$K673)))</f>
        <v/>
      </c>
      <c r="N673" s="5">
        <f>IF($A673="","",IFERROR(INDEX('CAT_ESTADOS_ERP'!$B$4:$B$7,MATCH(IFERROR(INDEX('2_IMPORTAR_EJECUCION'!$C$9:$C$1208,MATCH($AT673,'2_IMPORTAR_EJECUCION'!$J$9:$J$1208,0)),""),'CAT_ESTADOS_ERP'!$A$4:$A$7,0)),"Pendiente"))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IF($J673="","",$P673&amp;"-"&amp;TEXT($Q673,"00"))</f>
        <v/>
      </c>
      <c r="S673" s="5">
        <f>IF($J673="","",INDEX(lista_dias,WEEKDAY($J673,2)))</f>
        <v/>
      </c>
      <c r="T673" s="5">
        <f>IF($J673="","",IFERROR(INDEX('CALENDARIO'!$C$15:$C$214,MATCH(TEXT($J673,"yyyy-mm-dd")&amp;"|"&amp;$X673&amp;"|"&amp;$Y673,'CALENDARIO'!$G$15:$G$214,0)),IFERROR(INDEX('CALENDARIO'!$C$15:$C$214,MATCH(TEXT($J673,"yyyy-mm-dd")&amp;"|"&amp;$X673&amp;"|",'CALENDARIO'!$G$15:$G$214,0)),IFERROR(INDEX('CALENDARIO'!$C$15:$C$214,MATCH(TEXT($J673,"yyyy-mm-dd")&amp;"||",'CALENDARIO'!$G$15:$G$214,0)),INDEX(patronHabil,WEEKDAY($J673,2))))))</f>
        <v/>
      </c>
      <c r="U673" s="5">
        <f>IF($I673="","",IFERROR(INDEX('CAT_TIPOS_OT'!$C$4:$C$8,MATCH($I673,'CAT_TIPOS_OT'!$A$4:$A$8,0)),"sin_clasificar"))</f>
        <v/>
      </c>
      <c r="V673" s="5">
        <f>IF($I673="","",IF(IFERROR(INDEX('CAT_TIPOS_OT'!$D$4:$D$8,MATCH($I673,'CAT_TIPOS_OT'!$A$4:$A$8,0)),"SIN CLASIFICAR")="","SIN CLASIFICAR",IFERROR(INDEX('CAT_TIPOS_OT'!$D$4:$D$8,MATCH($I673,'CAT_TIPOS_OT'!$A$4:$A$8,0)),"SIN CLASIFICAR")))</f>
        <v/>
      </c>
      <c r="W673" s="5">
        <f>IF($F673="","",IFERROR(INDEX('CAT_CENTROS_COSTO'!$F$4:$F$13,MATCH($F673,'CAT_CENTROS_COSTO'!$A$4:$A$13,0)),"(sin catálogo)"))</f>
        <v/>
      </c>
      <c r="X673" s="5">
        <f>IF($F673="","",IFERROR(INDEX('CAT_CENTROS_COSTO'!$D$4:$D$13,MATCH($F673,'CAT_CENTROS_COSTO'!$A$4:$A$13,0)),"(sin catálogo)"))</f>
        <v/>
      </c>
      <c r="Y673" s="5">
        <f>IF($F673="","",IF((IFERROR(INDEX('CAT_CENTROS_COSTO'!$E$4:$E$13,MATCH($F673,'CAT_CENTROS_COSTO'!$A$4:$A$13,0)),""))&lt;&gt;"",IFERROR(INDEX('CAT_CENTROS_COSTO'!$E$4:$E$13,MATCH($F673,'CAT_CENTROS_COSTO'!$A$4:$A$13,0)),""),$X673))</f>
        <v/>
      </c>
      <c r="Z673" s="5">
        <f>IF($F673="","",IFERROR(INDEX('CAT_CENTROS_COSTO'!$G$4:$G$13,MATCH($F673,'CAT_CENTROS_COSTO'!$A$4:$A$13,0)),"(sin catálogo)"))</f>
        <v/>
      </c>
      <c r="AA673" s="5">
        <f>IF($G673="","",IFERROR(INDEX('CAT_PUESTOS'!$B$4:$B$8,MATCH($G673,'CAT_PUESTOS'!$A$4:$A$8,0)),"(sin catálogo)"))</f>
        <v/>
      </c>
      <c r="AB673" s="5">
        <f>IF($H673="","",IFERROR(INDEX('CAT_ACTIVIDADES'!$B$4:$B$11,MATCH($H673,'CAT_ACTIVIDADES'!$A$4:$A$11,0)),"(sin catálogo)"))</f>
        <v/>
      </c>
      <c r="AC673" s="20">
        <f>IF($J673="","",TODAY()-$J673)</f>
        <v/>
      </c>
      <c r="AD673" s="20">
        <f>IF($J673="","",IF($J673&lt;=TODAY(),COUNTIFS(cal_fechas,"&gt;="&amp;$J673,cal_fechas,"&lt;"&amp;TODAY(),cal_habil,"sí"),-COUNTIFS(cal_fechas,"&gt;="&amp;TODAY(),cal_fechas,"&lt;"&amp;$J673,cal_habil,"sí")))</f>
        <v/>
      </c>
      <c r="AE673" s="5">
        <f>IF($AD673="","",IF($AD673&lt;0,"FUTURO",IF($AD673&gt;p_dias_backlog_max,"BACKLOG","MES CORRIENTE")))</f>
        <v/>
      </c>
      <c r="AF673" s="5">
        <f>IF($AD673="",FALSE,AND($AD673&gt;p_dias_backlog_min,$AD673&lt;=p_dias_backlog_max))</f>
        <v/>
      </c>
      <c r="AG673" s="4" t="n"/>
      <c r="AH673" s="5">
        <f>IF($AG673="","",IF((IFERROR(INDEX('ASIGNACIONES'!$J$4:$J$451,MATCH($O673&amp;"|"&amp;$S673&amp;"|"&amp;$AG673,'ASIGNACIONES'!$N$4:$N$451,0)),""))=0,"",IFERROR(INDEX('ASIGNACIONES'!$J$4:$J$451,MATCH($O673&amp;"|"&amp;$S673&amp;"|"&amp;$AG673,'ASIGNACIONES'!$N$4:$N$451,0)),"")))</f>
        <v/>
      </c>
      <c r="AI673" s="25">
        <f>IF($AG673="","",SUMIFS('ORDENES'!$M$4:$M$1203,'ORDENES'!$AG$4:$AG$1203,$AG673,'ORDENES'!$O$4:$O$1203,$O673,'ORDENES'!$S$4:$S$1203,$S673))</f>
        <v/>
      </c>
      <c r="AJ673" s="25">
        <f>IF($AI673="","",p_factor_productividad*IFERROR(INDEX('ASIGNACIONES'!$M$4:$M$451,MATCH($O673&amp;"|"&amp;$S673&amp;"|"&amp;$AG673,'ASIGNACIONES'!$N$4:$N$451,0)),0)-$AI673)</f>
        <v/>
      </c>
      <c r="AK673" s="18">
        <f>IF($A673="","",IFERROR(INDEX('2_IMPORTAR_EJECUCION'!$F$9:$F$1208,MATCH($AT673,'2_IMPORTAR_EJECUCION'!$J$9:$J$1208,0)),0))</f>
        <v/>
      </c>
      <c r="AL673" s="18">
        <f>IF($A673="","",MAX(0,IFERROR(INDEX('2_IMPORTAR_EJECUCION'!$H$9:$H$1208,MATCH($AT673,'2_IMPORTAR_EJECUCION'!$J$9:$J$1208,0)),0)-$AK673))</f>
        <v/>
      </c>
      <c r="AM673" s="18">
        <f>IF($A673="","",$AK673+$AL673)</f>
        <v/>
      </c>
      <c r="AN673" s="5">
        <f>IF($A673="","",IF(OR((IFERROR(INDEX('CAT_ACTIVIDADES'!$D$4:$D$11,MATCH($H673,'CAT_ACTIVIDADES'!$A$4:$A$11,0)),""))=0,(IFERROR(INDEX('CAT_ACTIVIDADES'!$D$4:$D$11,MATCH($H673,'CAT_ACTIVIDADES'!$A$4:$A$11,0)),""))=""),"SIN CLASIFICAR",IFERROR(INDEX('CAT_ACTIVIDADES'!$D$4:$D$11,MATCH($H673,'CAT_ACTIVIDADES'!$A$4:$A$11,0)),"")))</f>
        <v/>
      </c>
      <c r="AO673" s="4" t="n"/>
      <c r="AP673" s="4" t="n"/>
      <c r="AQ673" s="4" t="n"/>
      <c r="AR673" s="5">
        <f>IF($AQ673="","",HYPERLINK(p_ruta_base_checklists&amp;$AQ673,"abrir"))</f>
        <v/>
      </c>
      <c r="AS673" s="4" t="n"/>
      <c r="AT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2" t="n"/>
      <c r="K674" s="5" t="n"/>
      <c r="L674" s="18" t="n"/>
      <c r="M674" s="5">
        <f>IF($A674="","",IFERROR(INDEX('AJUSTES'!$B$4:$B$303,MATCH($AT674,'AJUSTES'!$A$4:$A$303,0)),IF($K674="","",$K674)))</f>
        <v/>
      </c>
      <c r="N674" s="5">
        <f>IF($A674="","",IFERROR(INDEX('CAT_ESTADOS_ERP'!$B$4:$B$7,MATCH(IFERROR(INDEX('2_IMPORTAR_EJECUCION'!$C$9:$C$1208,MATCH($AT674,'2_IMPORTAR_EJECUCION'!$J$9:$J$1208,0)),""),'CAT_ESTADOS_ERP'!$A$4:$A$7,0)),"Pendiente"))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IF($J674="","",$P674&amp;"-"&amp;TEXT($Q674,"00"))</f>
        <v/>
      </c>
      <c r="S674" s="5">
        <f>IF($J674="","",INDEX(lista_dias,WEEKDAY($J674,2)))</f>
        <v/>
      </c>
      <c r="T674" s="5">
        <f>IF($J674="","",IFERROR(INDEX('CALENDARIO'!$C$15:$C$214,MATCH(TEXT($J674,"yyyy-mm-dd")&amp;"|"&amp;$X674&amp;"|"&amp;$Y674,'CALENDARIO'!$G$15:$G$214,0)),IFERROR(INDEX('CALENDARIO'!$C$15:$C$214,MATCH(TEXT($J674,"yyyy-mm-dd")&amp;"|"&amp;$X674&amp;"|",'CALENDARIO'!$G$15:$G$214,0)),IFERROR(INDEX('CALENDARIO'!$C$15:$C$214,MATCH(TEXT($J674,"yyyy-mm-dd")&amp;"||",'CALENDARIO'!$G$15:$G$214,0)),INDEX(patronHabil,WEEKDAY($J674,2))))))</f>
        <v/>
      </c>
      <c r="U674" s="5">
        <f>IF($I674="","",IFERROR(INDEX('CAT_TIPOS_OT'!$C$4:$C$8,MATCH($I674,'CAT_TIPOS_OT'!$A$4:$A$8,0)),"sin_clasificar"))</f>
        <v/>
      </c>
      <c r="V674" s="5">
        <f>IF($I674="","",IF(IFERROR(INDEX('CAT_TIPOS_OT'!$D$4:$D$8,MATCH($I674,'CAT_TIPOS_OT'!$A$4:$A$8,0)),"SIN CLASIFICAR")="","SIN CLASIFICAR",IFERROR(INDEX('CAT_TIPOS_OT'!$D$4:$D$8,MATCH($I674,'CAT_TIPOS_OT'!$A$4:$A$8,0)),"SIN CLASIFICAR")))</f>
        <v/>
      </c>
      <c r="W674" s="5">
        <f>IF($F674="","",IFERROR(INDEX('CAT_CENTROS_COSTO'!$F$4:$F$13,MATCH($F674,'CAT_CENTROS_COSTO'!$A$4:$A$13,0)),"(sin catálogo)"))</f>
        <v/>
      </c>
      <c r="X674" s="5">
        <f>IF($F674="","",IFERROR(INDEX('CAT_CENTROS_COSTO'!$D$4:$D$13,MATCH($F674,'CAT_CENTROS_COSTO'!$A$4:$A$13,0)),"(sin catálogo)"))</f>
        <v/>
      </c>
      <c r="Y674" s="5">
        <f>IF($F674="","",IF((IFERROR(INDEX('CAT_CENTROS_COSTO'!$E$4:$E$13,MATCH($F674,'CAT_CENTROS_COSTO'!$A$4:$A$13,0)),""))&lt;&gt;"",IFERROR(INDEX('CAT_CENTROS_COSTO'!$E$4:$E$13,MATCH($F674,'CAT_CENTROS_COSTO'!$A$4:$A$13,0)),""),$X674))</f>
        <v/>
      </c>
      <c r="Z674" s="5">
        <f>IF($F674="","",IFERROR(INDEX('CAT_CENTROS_COSTO'!$G$4:$G$13,MATCH($F674,'CAT_CENTROS_COSTO'!$A$4:$A$13,0)),"(sin catálogo)"))</f>
        <v/>
      </c>
      <c r="AA674" s="5">
        <f>IF($G674="","",IFERROR(INDEX('CAT_PUESTOS'!$B$4:$B$8,MATCH($G674,'CAT_PUESTOS'!$A$4:$A$8,0)),"(sin catálogo)"))</f>
        <v/>
      </c>
      <c r="AB674" s="5">
        <f>IF($H674="","",IFERROR(INDEX('CAT_ACTIVIDADES'!$B$4:$B$11,MATCH($H674,'CAT_ACTIVIDADES'!$A$4:$A$11,0)),"(sin catálogo)"))</f>
        <v/>
      </c>
      <c r="AC674" s="20">
        <f>IF($J674="","",TODAY()-$J674)</f>
        <v/>
      </c>
      <c r="AD674" s="20">
        <f>IF($J674="","",IF($J674&lt;=TODAY(),COUNTIFS(cal_fechas,"&gt;="&amp;$J674,cal_fechas,"&lt;"&amp;TODAY(),cal_habil,"sí"),-COUNTIFS(cal_fechas,"&gt;="&amp;TODAY(),cal_fechas,"&lt;"&amp;$J674,cal_habil,"sí")))</f>
        <v/>
      </c>
      <c r="AE674" s="5">
        <f>IF($AD674="","",IF($AD674&lt;0,"FUTURO",IF($AD674&gt;p_dias_backlog_max,"BACKLOG","MES CORRIENTE")))</f>
        <v/>
      </c>
      <c r="AF674" s="5">
        <f>IF($AD674="",FALSE,AND($AD674&gt;p_dias_backlog_min,$AD674&lt;=p_dias_backlog_max))</f>
        <v/>
      </c>
      <c r="AG674" s="4" t="n"/>
      <c r="AH674" s="5">
        <f>IF($AG674="","",IF((IFERROR(INDEX('ASIGNACIONES'!$J$4:$J$451,MATCH($O674&amp;"|"&amp;$S674&amp;"|"&amp;$AG674,'ASIGNACIONES'!$N$4:$N$451,0)),""))=0,"",IFERROR(INDEX('ASIGNACIONES'!$J$4:$J$451,MATCH($O674&amp;"|"&amp;$S674&amp;"|"&amp;$AG674,'ASIGNACIONES'!$N$4:$N$451,0)),"")))</f>
        <v/>
      </c>
      <c r="AI674" s="25">
        <f>IF($AG674="","",SUMIFS('ORDENES'!$M$4:$M$1203,'ORDENES'!$AG$4:$AG$1203,$AG674,'ORDENES'!$O$4:$O$1203,$O674,'ORDENES'!$S$4:$S$1203,$S674))</f>
        <v/>
      </c>
      <c r="AJ674" s="25">
        <f>IF($AI674="","",p_factor_productividad*IFERROR(INDEX('ASIGNACIONES'!$M$4:$M$451,MATCH($O674&amp;"|"&amp;$S674&amp;"|"&amp;$AG674,'ASIGNACIONES'!$N$4:$N$451,0)),0)-$AI674)</f>
        <v/>
      </c>
      <c r="AK674" s="18">
        <f>IF($A674="","",IFERROR(INDEX('2_IMPORTAR_EJECUCION'!$F$9:$F$1208,MATCH($AT674,'2_IMPORTAR_EJECUCION'!$J$9:$J$1208,0)),0))</f>
        <v/>
      </c>
      <c r="AL674" s="18">
        <f>IF($A674="","",MAX(0,IFERROR(INDEX('2_IMPORTAR_EJECUCION'!$H$9:$H$1208,MATCH($AT674,'2_IMPORTAR_EJECUCION'!$J$9:$J$1208,0)),0)-$AK674))</f>
        <v/>
      </c>
      <c r="AM674" s="18">
        <f>IF($A674="","",$AK674+$AL674)</f>
        <v/>
      </c>
      <c r="AN674" s="5">
        <f>IF($A674="","",IF(OR((IFERROR(INDEX('CAT_ACTIVIDADES'!$D$4:$D$11,MATCH($H674,'CAT_ACTIVIDADES'!$A$4:$A$11,0)),""))=0,(IFERROR(INDEX('CAT_ACTIVIDADES'!$D$4:$D$11,MATCH($H674,'CAT_ACTIVIDADES'!$A$4:$A$11,0)),""))=""),"SIN CLASIFICAR",IFERROR(INDEX('CAT_ACTIVIDADES'!$D$4:$D$11,MATCH($H674,'CAT_ACTIVIDADES'!$A$4:$A$11,0)),"")))</f>
        <v/>
      </c>
      <c r="AO674" s="4" t="n"/>
      <c r="AP674" s="4" t="n"/>
      <c r="AQ674" s="4" t="n"/>
      <c r="AR674" s="5">
        <f>IF($AQ674="","",HYPERLINK(p_ruta_base_checklists&amp;$AQ674,"abrir"))</f>
        <v/>
      </c>
      <c r="AS674" s="4" t="n"/>
      <c r="AT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2" t="n"/>
      <c r="K675" s="5" t="n"/>
      <c r="L675" s="18" t="n"/>
      <c r="M675" s="5">
        <f>IF($A675="","",IFERROR(INDEX('AJUSTES'!$B$4:$B$303,MATCH($AT675,'AJUSTES'!$A$4:$A$303,0)),IF($K675="","",$K675)))</f>
        <v/>
      </c>
      <c r="N675" s="5">
        <f>IF($A675="","",IFERROR(INDEX('CAT_ESTADOS_ERP'!$B$4:$B$7,MATCH(IFERROR(INDEX('2_IMPORTAR_EJECUCION'!$C$9:$C$1208,MATCH($AT675,'2_IMPORTAR_EJECUCION'!$J$9:$J$1208,0)),""),'CAT_ESTADOS_ERP'!$A$4:$A$7,0)),"Pendiente"))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IF($J675="","",$P675&amp;"-"&amp;TEXT($Q675,"00"))</f>
        <v/>
      </c>
      <c r="S675" s="5">
        <f>IF($J675="","",INDEX(lista_dias,WEEKDAY($J675,2)))</f>
        <v/>
      </c>
      <c r="T675" s="5">
        <f>IF($J675="","",IFERROR(INDEX('CALENDARIO'!$C$15:$C$214,MATCH(TEXT($J675,"yyyy-mm-dd")&amp;"|"&amp;$X675&amp;"|"&amp;$Y675,'CALENDARIO'!$G$15:$G$214,0)),IFERROR(INDEX('CALENDARIO'!$C$15:$C$214,MATCH(TEXT($J675,"yyyy-mm-dd")&amp;"|"&amp;$X675&amp;"|",'CALENDARIO'!$G$15:$G$214,0)),IFERROR(INDEX('CALENDARIO'!$C$15:$C$214,MATCH(TEXT($J675,"yyyy-mm-dd")&amp;"||",'CALENDARIO'!$G$15:$G$214,0)),INDEX(patronHabil,WEEKDAY($J675,2))))))</f>
        <v/>
      </c>
      <c r="U675" s="5">
        <f>IF($I675="","",IFERROR(INDEX('CAT_TIPOS_OT'!$C$4:$C$8,MATCH($I675,'CAT_TIPOS_OT'!$A$4:$A$8,0)),"sin_clasificar"))</f>
        <v/>
      </c>
      <c r="V675" s="5">
        <f>IF($I675="","",IF(IFERROR(INDEX('CAT_TIPOS_OT'!$D$4:$D$8,MATCH($I675,'CAT_TIPOS_OT'!$A$4:$A$8,0)),"SIN CLASIFICAR")="","SIN CLASIFICAR",IFERROR(INDEX('CAT_TIPOS_OT'!$D$4:$D$8,MATCH($I675,'CAT_TIPOS_OT'!$A$4:$A$8,0)),"SIN CLASIFICAR")))</f>
        <v/>
      </c>
      <c r="W675" s="5">
        <f>IF($F675="","",IFERROR(INDEX('CAT_CENTROS_COSTO'!$F$4:$F$13,MATCH($F675,'CAT_CENTROS_COSTO'!$A$4:$A$13,0)),"(sin catálogo)"))</f>
        <v/>
      </c>
      <c r="X675" s="5">
        <f>IF($F675="","",IFERROR(INDEX('CAT_CENTROS_COSTO'!$D$4:$D$13,MATCH($F675,'CAT_CENTROS_COSTO'!$A$4:$A$13,0)),"(sin catálogo)"))</f>
        <v/>
      </c>
      <c r="Y675" s="5">
        <f>IF($F675="","",IF((IFERROR(INDEX('CAT_CENTROS_COSTO'!$E$4:$E$13,MATCH($F675,'CAT_CENTROS_COSTO'!$A$4:$A$13,0)),""))&lt;&gt;"",IFERROR(INDEX('CAT_CENTROS_COSTO'!$E$4:$E$13,MATCH($F675,'CAT_CENTROS_COSTO'!$A$4:$A$13,0)),""),$X675))</f>
        <v/>
      </c>
      <c r="Z675" s="5">
        <f>IF($F675="","",IFERROR(INDEX('CAT_CENTROS_COSTO'!$G$4:$G$13,MATCH($F675,'CAT_CENTROS_COSTO'!$A$4:$A$13,0)),"(sin catálogo)"))</f>
        <v/>
      </c>
      <c r="AA675" s="5">
        <f>IF($G675="","",IFERROR(INDEX('CAT_PUESTOS'!$B$4:$B$8,MATCH($G675,'CAT_PUESTOS'!$A$4:$A$8,0)),"(sin catálogo)"))</f>
        <v/>
      </c>
      <c r="AB675" s="5">
        <f>IF($H675="","",IFERROR(INDEX('CAT_ACTIVIDADES'!$B$4:$B$11,MATCH($H675,'CAT_ACTIVIDADES'!$A$4:$A$11,0)),"(sin catálogo)"))</f>
        <v/>
      </c>
      <c r="AC675" s="20">
        <f>IF($J675="","",TODAY()-$J675)</f>
        <v/>
      </c>
      <c r="AD675" s="20">
        <f>IF($J675="","",IF($J675&lt;=TODAY(),COUNTIFS(cal_fechas,"&gt;="&amp;$J675,cal_fechas,"&lt;"&amp;TODAY(),cal_habil,"sí"),-COUNTIFS(cal_fechas,"&gt;="&amp;TODAY(),cal_fechas,"&lt;"&amp;$J675,cal_habil,"sí")))</f>
        <v/>
      </c>
      <c r="AE675" s="5">
        <f>IF($AD675="","",IF($AD675&lt;0,"FUTURO",IF($AD675&gt;p_dias_backlog_max,"BACKLOG","MES CORRIENTE")))</f>
        <v/>
      </c>
      <c r="AF675" s="5">
        <f>IF($AD675="",FALSE,AND($AD675&gt;p_dias_backlog_min,$AD675&lt;=p_dias_backlog_max))</f>
        <v/>
      </c>
      <c r="AG675" s="4" t="n"/>
      <c r="AH675" s="5">
        <f>IF($AG675="","",IF((IFERROR(INDEX('ASIGNACIONES'!$J$4:$J$451,MATCH($O675&amp;"|"&amp;$S675&amp;"|"&amp;$AG675,'ASIGNACIONES'!$N$4:$N$451,0)),""))=0,"",IFERROR(INDEX('ASIGNACIONES'!$J$4:$J$451,MATCH($O675&amp;"|"&amp;$S675&amp;"|"&amp;$AG675,'ASIGNACIONES'!$N$4:$N$451,0)),"")))</f>
        <v/>
      </c>
      <c r="AI675" s="25">
        <f>IF($AG675="","",SUMIFS('ORDENES'!$M$4:$M$1203,'ORDENES'!$AG$4:$AG$1203,$AG675,'ORDENES'!$O$4:$O$1203,$O675,'ORDENES'!$S$4:$S$1203,$S675))</f>
        <v/>
      </c>
      <c r="AJ675" s="25">
        <f>IF($AI675="","",p_factor_productividad*IFERROR(INDEX('ASIGNACIONES'!$M$4:$M$451,MATCH($O675&amp;"|"&amp;$S675&amp;"|"&amp;$AG675,'ASIGNACIONES'!$N$4:$N$451,0)),0)-$AI675)</f>
        <v/>
      </c>
      <c r="AK675" s="18">
        <f>IF($A675="","",IFERROR(INDEX('2_IMPORTAR_EJECUCION'!$F$9:$F$1208,MATCH($AT675,'2_IMPORTAR_EJECUCION'!$J$9:$J$1208,0)),0))</f>
        <v/>
      </c>
      <c r="AL675" s="18">
        <f>IF($A675="","",MAX(0,IFERROR(INDEX('2_IMPORTAR_EJECUCION'!$H$9:$H$1208,MATCH($AT675,'2_IMPORTAR_EJECUCION'!$J$9:$J$1208,0)),0)-$AK675))</f>
        <v/>
      </c>
      <c r="AM675" s="18">
        <f>IF($A675="","",$AK675+$AL675)</f>
        <v/>
      </c>
      <c r="AN675" s="5">
        <f>IF($A675="","",IF(OR((IFERROR(INDEX('CAT_ACTIVIDADES'!$D$4:$D$11,MATCH($H675,'CAT_ACTIVIDADES'!$A$4:$A$11,0)),""))=0,(IFERROR(INDEX('CAT_ACTIVIDADES'!$D$4:$D$11,MATCH($H675,'CAT_ACTIVIDADES'!$A$4:$A$11,0)),""))=""),"SIN CLASIFICAR",IFERROR(INDEX('CAT_ACTIVIDADES'!$D$4:$D$11,MATCH($H675,'CAT_ACTIVIDADES'!$A$4:$A$11,0)),"")))</f>
        <v/>
      </c>
      <c r="AO675" s="4" t="n"/>
      <c r="AP675" s="4" t="n"/>
      <c r="AQ675" s="4" t="n"/>
      <c r="AR675" s="5">
        <f>IF($AQ675="","",HYPERLINK(p_ruta_base_checklists&amp;$AQ675,"abrir"))</f>
        <v/>
      </c>
      <c r="AS675" s="4" t="n"/>
      <c r="AT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2" t="n"/>
      <c r="K676" s="5" t="n"/>
      <c r="L676" s="18" t="n"/>
      <c r="M676" s="5">
        <f>IF($A676="","",IFERROR(INDEX('AJUSTES'!$B$4:$B$303,MATCH($AT676,'AJUSTES'!$A$4:$A$303,0)),IF($K676="","",$K676)))</f>
        <v/>
      </c>
      <c r="N676" s="5">
        <f>IF($A676="","",IFERROR(INDEX('CAT_ESTADOS_ERP'!$B$4:$B$7,MATCH(IFERROR(INDEX('2_IMPORTAR_EJECUCION'!$C$9:$C$1208,MATCH($AT676,'2_IMPORTAR_EJECUCION'!$J$9:$J$1208,0)),""),'CAT_ESTADOS_ERP'!$A$4:$A$7,0)),"Pendiente"))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IF($J676="","",$P676&amp;"-"&amp;TEXT($Q676,"00"))</f>
        <v/>
      </c>
      <c r="S676" s="5">
        <f>IF($J676="","",INDEX(lista_dias,WEEKDAY($J676,2)))</f>
        <v/>
      </c>
      <c r="T676" s="5">
        <f>IF($J676="","",IFERROR(INDEX('CALENDARIO'!$C$15:$C$214,MATCH(TEXT($J676,"yyyy-mm-dd")&amp;"|"&amp;$X676&amp;"|"&amp;$Y676,'CALENDARIO'!$G$15:$G$214,0)),IFERROR(INDEX('CALENDARIO'!$C$15:$C$214,MATCH(TEXT($J676,"yyyy-mm-dd")&amp;"|"&amp;$X676&amp;"|",'CALENDARIO'!$G$15:$G$214,0)),IFERROR(INDEX('CALENDARIO'!$C$15:$C$214,MATCH(TEXT($J676,"yyyy-mm-dd")&amp;"||",'CALENDARIO'!$G$15:$G$214,0)),INDEX(patronHabil,WEEKDAY($J676,2))))))</f>
        <v/>
      </c>
      <c r="U676" s="5">
        <f>IF($I676="","",IFERROR(INDEX('CAT_TIPOS_OT'!$C$4:$C$8,MATCH($I676,'CAT_TIPOS_OT'!$A$4:$A$8,0)),"sin_clasificar"))</f>
        <v/>
      </c>
      <c r="V676" s="5">
        <f>IF($I676="","",IF(IFERROR(INDEX('CAT_TIPOS_OT'!$D$4:$D$8,MATCH($I676,'CAT_TIPOS_OT'!$A$4:$A$8,0)),"SIN CLASIFICAR")="","SIN CLASIFICAR",IFERROR(INDEX('CAT_TIPOS_OT'!$D$4:$D$8,MATCH($I676,'CAT_TIPOS_OT'!$A$4:$A$8,0)),"SIN CLASIFICAR")))</f>
        <v/>
      </c>
      <c r="W676" s="5">
        <f>IF($F676="","",IFERROR(INDEX('CAT_CENTROS_COSTO'!$F$4:$F$13,MATCH($F676,'CAT_CENTROS_COSTO'!$A$4:$A$13,0)),"(sin catálogo)"))</f>
        <v/>
      </c>
      <c r="X676" s="5">
        <f>IF($F676="","",IFERROR(INDEX('CAT_CENTROS_COSTO'!$D$4:$D$13,MATCH($F676,'CAT_CENTROS_COSTO'!$A$4:$A$13,0)),"(sin catálogo)"))</f>
        <v/>
      </c>
      <c r="Y676" s="5">
        <f>IF($F676="","",IF((IFERROR(INDEX('CAT_CENTROS_COSTO'!$E$4:$E$13,MATCH($F676,'CAT_CENTROS_COSTO'!$A$4:$A$13,0)),""))&lt;&gt;"",IFERROR(INDEX('CAT_CENTROS_COSTO'!$E$4:$E$13,MATCH($F676,'CAT_CENTROS_COSTO'!$A$4:$A$13,0)),""),$X676))</f>
        <v/>
      </c>
      <c r="Z676" s="5">
        <f>IF($F676="","",IFERROR(INDEX('CAT_CENTROS_COSTO'!$G$4:$G$13,MATCH($F676,'CAT_CENTROS_COSTO'!$A$4:$A$13,0)),"(sin catálogo)"))</f>
        <v/>
      </c>
      <c r="AA676" s="5">
        <f>IF($G676="","",IFERROR(INDEX('CAT_PUESTOS'!$B$4:$B$8,MATCH($G676,'CAT_PUESTOS'!$A$4:$A$8,0)),"(sin catálogo)"))</f>
        <v/>
      </c>
      <c r="AB676" s="5">
        <f>IF($H676="","",IFERROR(INDEX('CAT_ACTIVIDADES'!$B$4:$B$11,MATCH($H676,'CAT_ACTIVIDADES'!$A$4:$A$11,0)),"(sin catálogo)"))</f>
        <v/>
      </c>
      <c r="AC676" s="20">
        <f>IF($J676="","",TODAY()-$J676)</f>
        <v/>
      </c>
      <c r="AD676" s="20">
        <f>IF($J676="","",IF($J676&lt;=TODAY(),COUNTIFS(cal_fechas,"&gt;="&amp;$J676,cal_fechas,"&lt;"&amp;TODAY(),cal_habil,"sí"),-COUNTIFS(cal_fechas,"&gt;="&amp;TODAY(),cal_fechas,"&lt;"&amp;$J676,cal_habil,"sí")))</f>
        <v/>
      </c>
      <c r="AE676" s="5">
        <f>IF($AD676="","",IF($AD676&lt;0,"FUTURO",IF($AD676&gt;p_dias_backlog_max,"BACKLOG","MES CORRIENTE")))</f>
        <v/>
      </c>
      <c r="AF676" s="5">
        <f>IF($AD676="",FALSE,AND($AD676&gt;p_dias_backlog_min,$AD676&lt;=p_dias_backlog_max))</f>
        <v/>
      </c>
      <c r="AG676" s="4" t="n"/>
      <c r="AH676" s="5">
        <f>IF($AG676="","",IF((IFERROR(INDEX('ASIGNACIONES'!$J$4:$J$451,MATCH($O676&amp;"|"&amp;$S676&amp;"|"&amp;$AG676,'ASIGNACIONES'!$N$4:$N$451,0)),""))=0,"",IFERROR(INDEX('ASIGNACIONES'!$J$4:$J$451,MATCH($O676&amp;"|"&amp;$S676&amp;"|"&amp;$AG676,'ASIGNACIONES'!$N$4:$N$451,0)),"")))</f>
        <v/>
      </c>
      <c r="AI676" s="25">
        <f>IF($AG676="","",SUMIFS('ORDENES'!$M$4:$M$1203,'ORDENES'!$AG$4:$AG$1203,$AG676,'ORDENES'!$O$4:$O$1203,$O676,'ORDENES'!$S$4:$S$1203,$S676))</f>
        <v/>
      </c>
      <c r="AJ676" s="25">
        <f>IF($AI676="","",p_factor_productividad*IFERROR(INDEX('ASIGNACIONES'!$M$4:$M$451,MATCH($O676&amp;"|"&amp;$S676&amp;"|"&amp;$AG676,'ASIGNACIONES'!$N$4:$N$451,0)),0)-$AI676)</f>
        <v/>
      </c>
      <c r="AK676" s="18">
        <f>IF($A676="","",IFERROR(INDEX('2_IMPORTAR_EJECUCION'!$F$9:$F$1208,MATCH($AT676,'2_IMPORTAR_EJECUCION'!$J$9:$J$1208,0)),0))</f>
        <v/>
      </c>
      <c r="AL676" s="18">
        <f>IF($A676="","",MAX(0,IFERROR(INDEX('2_IMPORTAR_EJECUCION'!$H$9:$H$1208,MATCH($AT676,'2_IMPORTAR_EJECUCION'!$J$9:$J$1208,0)),0)-$AK676))</f>
        <v/>
      </c>
      <c r="AM676" s="18">
        <f>IF($A676="","",$AK676+$AL676)</f>
        <v/>
      </c>
      <c r="AN676" s="5">
        <f>IF($A676="","",IF(OR((IFERROR(INDEX('CAT_ACTIVIDADES'!$D$4:$D$11,MATCH($H676,'CAT_ACTIVIDADES'!$A$4:$A$11,0)),""))=0,(IFERROR(INDEX('CAT_ACTIVIDADES'!$D$4:$D$11,MATCH($H676,'CAT_ACTIVIDADES'!$A$4:$A$11,0)),""))=""),"SIN CLASIFICAR",IFERROR(INDEX('CAT_ACTIVIDADES'!$D$4:$D$11,MATCH($H676,'CAT_ACTIVIDADES'!$A$4:$A$11,0)),"")))</f>
        <v/>
      </c>
      <c r="AO676" s="4" t="n"/>
      <c r="AP676" s="4" t="n"/>
      <c r="AQ676" s="4" t="n"/>
      <c r="AR676" s="5">
        <f>IF($AQ676="","",HYPERLINK(p_ruta_base_checklists&amp;$AQ676,"abrir"))</f>
        <v/>
      </c>
      <c r="AS676" s="4" t="n"/>
      <c r="AT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2" t="n"/>
      <c r="K677" s="5" t="n"/>
      <c r="L677" s="18" t="n"/>
      <c r="M677" s="5">
        <f>IF($A677="","",IFERROR(INDEX('AJUSTES'!$B$4:$B$303,MATCH($AT677,'AJUSTES'!$A$4:$A$303,0)),IF($K677="","",$K677)))</f>
        <v/>
      </c>
      <c r="N677" s="5">
        <f>IF($A677="","",IFERROR(INDEX('CAT_ESTADOS_ERP'!$B$4:$B$7,MATCH(IFERROR(INDEX('2_IMPORTAR_EJECUCION'!$C$9:$C$1208,MATCH($AT677,'2_IMPORTAR_EJECUCION'!$J$9:$J$1208,0)),""),'CAT_ESTADOS_ERP'!$A$4:$A$7,0)),"Pendiente"))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IF($J677="","",$P677&amp;"-"&amp;TEXT($Q677,"00"))</f>
        <v/>
      </c>
      <c r="S677" s="5">
        <f>IF($J677="","",INDEX(lista_dias,WEEKDAY($J677,2)))</f>
        <v/>
      </c>
      <c r="T677" s="5">
        <f>IF($J677="","",IFERROR(INDEX('CALENDARIO'!$C$15:$C$214,MATCH(TEXT($J677,"yyyy-mm-dd")&amp;"|"&amp;$X677&amp;"|"&amp;$Y677,'CALENDARIO'!$G$15:$G$214,0)),IFERROR(INDEX('CALENDARIO'!$C$15:$C$214,MATCH(TEXT($J677,"yyyy-mm-dd")&amp;"|"&amp;$X677&amp;"|",'CALENDARIO'!$G$15:$G$214,0)),IFERROR(INDEX('CALENDARIO'!$C$15:$C$214,MATCH(TEXT($J677,"yyyy-mm-dd")&amp;"||",'CALENDARIO'!$G$15:$G$214,0)),INDEX(patronHabil,WEEKDAY($J677,2))))))</f>
        <v/>
      </c>
      <c r="U677" s="5">
        <f>IF($I677="","",IFERROR(INDEX('CAT_TIPOS_OT'!$C$4:$C$8,MATCH($I677,'CAT_TIPOS_OT'!$A$4:$A$8,0)),"sin_clasificar"))</f>
        <v/>
      </c>
      <c r="V677" s="5">
        <f>IF($I677="","",IF(IFERROR(INDEX('CAT_TIPOS_OT'!$D$4:$D$8,MATCH($I677,'CAT_TIPOS_OT'!$A$4:$A$8,0)),"SIN CLASIFICAR")="","SIN CLASIFICAR",IFERROR(INDEX('CAT_TIPOS_OT'!$D$4:$D$8,MATCH($I677,'CAT_TIPOS_OT'!$A$4:$A$8,0)),"SIN CLASIFICAR")))</f>
        <v/>
      </c>
      <c r="W677" s="5">
        <f>IF($F677="","",IFERROR(INDEX('CAT_CENTROS_COSTO'!$F$4:$F$13,MATCH($F677,'CAT_CENTROS_COSTO'!$A$4:$A$13,0)),"(sin catálogo)"))</f>
        <v/>
      </c>
      <c r="X677" s="5">
        <f>IF($F677="","",IFERROR(INDEX('CAT_CENTROS_COSTO'!$D$4:$D$13,MATCH($F677,'CAT_CENTROS_COSTO'!$A$4:$A$13,0)),"(sin catálogo)"))</f>
        <v/>
      </c>
      <c r="Y677" s="5">
        <f>IF($F677="","",IF((IFERROR(INDEX('CAT_CENTROS_COSTO'!$E$4:$E$13,MATCH($F677,'CAT_CENTROS_COSTO'!$A$4:$A$13,0)),""))&lt;&gt;"",IFERROR(INDEX('CAT_CENTROS_COSTO'!$E$4:$E$13,MATCH($F677,'CAT_CENTROS_COSTO'!$A$4:$A$13,0)),""),$X677))</f>
        <v/>
      </c>
      <c r="Z677" s="5">
        <f>IF($F677="","",IFERROR(INDEX('CAT_CENTROS_COSTO'!$G$4:$G$13,MATCH($F677,'CAT_CENTROS_COSTO'!$A$4:$A$13,0)),"(sin catálogo)"))</f>
        <v/>
      </c>
      <c r="AA677" s="5">
        <f>IF($G677="","",IFERROR(INDEX('CAT_PUESTOS'!$B$4:$B$8,MATCH($G677,'CAT_PUESTOS'!$A$4:$A$8,0)),"(sin catálogo)"))</f>
        <v/>
      </c>
      <c r="AB677" s="5">
        <f>IF($H677="","",IFERROR(INDEX('CAT_ACTIVIDADES'!$B$4:$B$11,MATCH($H677,'CAT_ACTIVIDADES'!$A$4:$A$11,0)),"(sin catálogo)"))</f>
        <v/>
      </c>
      <c r="AC677" s="20">
        <f>IF($J677="","",TODAY()-$J677)</f>
        <v/>
      </c>
      <c r="AD677" s="20">
        <f>IF($J677="","",IF($J677&lt;=TODAY(),COUNTIFS(cal_fechas,"&gt;="&amp;$J677,cal_fechas,"&lt;"&amp;TODAY(),cal_habil,"sí"),-COUNTIFS(cal_fechas,"&gt;="&amp;TODAY(),cal_fechas,"&lt;"&amp;$J677,cal_habil,"sí")))</f>
        <v/>
      </c>
      <c r="AE677" s="5">
        <f>IF($AD677="","",IF($AD677&lt;0,"FUTURO",IF($AD677&gt;p_dias_backlog_max,"BACKLOG","MES CORRIENTE")))</f>
        <v/>
      </c>
      <c r="AF677" s="5">
        <f>IF($AD677="",FALSE,AND($AD677&gt;p_dias_backlog_min,$AD677&lt;=p_dias_backlog_max))</f>
        <v/>
      </c>
      <c r="AG677" s="4" t="n"/>
      <c r="AH677" s="5">
        <f>IF($AG677="","",IF((IFERROR(INDEX('ASIGNACIONES'!$J$4:$J$451,MATCH($O677&amp;"|"&amp;$S677&amp;"|"&amp;$AG677,'ASIGNACIONES'!$N$4:$N$451,0)),""))=0,"",IFERROR(INDEX('ASIGNACIONES'!$J$4:$J$451,MATCH($O677&amp;"|"&amp;$S677&amp;"|"&amp;$AG677,'ASIGNACIONES'!$N$4:$N$451,0)),"")))</f>
        <v/>
      </c>
      <c r="AI677" s="25">
        <f>IF($AG677="","",SUMIFS('ORDENES'!$M$4:$M$1203,'ORDENES'!$AG$4:$AG$1203,$AG677,'ORDENES'!$O$4:$O$1203,$O677,'ORDENES'!$S$4:$S$1203,$S677))</f>
        <v/>
      </c>
      <c r="AJ677" s="25">
        <f>IF($AI677="","",p_factor_productividad*IFERROR(INDEX('ASIGNACIONES'!$M$4:$M$451,MATCH($O677&amp;"|"&amp;$S677&amp;"|"&amp;$AG677,'ASIGNACIONES'!$N$4:$N$451,0)),0)-$AI677)</f>
        <v/>
      </c>
      <c r="AK677" s="18">
        <f>IF($A677="","",IFERROR(INDEX('2_IMPORTAR_EJECUCION'!$F$9:$F$1208,MATCH($AT677,'2_IMPORTAR_EJECUCION'!$J$9:$J$1208,0)),0))</f>
        <v/>
      </c>
      <c r="AL677" s="18">
        <f>IF($A677="","",MAX(0,IFERROR(INDEX('2_IMPORTAR_EJECUCION'!$H$9:$H$1208,MATCH($AT677,'2_IMPORTAR_EJECUCION'!$J$9:$J$1208,0)),0)-$AK677))</f>
        <v/>
      </c>
      <c r="AM677" s="18">
        <f>IF($A677="","",$AK677+$AL677)</f>
        <v/>
      </c>
      <c r="AN677" s="5">
        <f>IF($A677="","",IF(OR((IFERROR(INDEX('CAT_ACTIVIDADES'!$D$4:$D$11,MATCH($H677,'CAT_ACTIVIDADES'!$A$4:$A$11,0)),""))=0,(IFERROR(INDEX('CAT_ACTIVIDADES'!$D$4:$D$11,MATCH($H677,'CAT_ACTIVIDADES'!$A$4:$A$11,0)),""))=""),"SIN CLASIFICAR",IFERROR(INDEX('CAT_ACTIVIDADES'!$D$4:$D$11,MATCH($H677,'CAT_ACTIVIDADES'!$A$4:$A$11,0)),"")))</f>
        <v/>
      </c>
      <c r="AO677" s="4" t="n"/>
      <c r="AP677" s="4" t="n"/>
      <c r="AQ677" s="4" t="n"/>
      <c r="AR677" s="5">
        <f>IF($AQ677="","",HYPERLINK(p_ruta_base_checklists&amp;$AQ677,"abrir"))</f>
        <v/>
      </c>
      <c r="AS677" s="4" t="n"/>
      <c r="AT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2" t="n"/>
      <c r="K678" s="5" t="n"/>
      <c r="L678" s="18" t="n"/>
      <c r="M678" s="5">
        <f>IF($A678="","",IFERROR(INDEX('AJUSTES'!$B$4:$B$303,MATCH($AT678,'AJUSTES'!$A$4:$A$303,0)),IF($K678="","",$K678)))</f>
        <v/>
      </c>
      <c r="N678" s="5">
        <f>IF($A678="","",IFERROR(INDEX('CAT_ESTADOS_ERP'!$B$4:$B$7,MATCH(IFERROR(INDEX('2_IMPORTAR_EJECUCION'!$C$9:$C$1208,MATCH($AT678,'2_IMPORTAR_EJECUCION'!$J$9:$J$1208,0)),""),'CAT_ESTADOS_ERP'!$A$4:$A$7,0)),"Pendiente"))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IF($J678="","",$P678&amp;"-"&amp;TEXT($Q678,"00"))</f>
        <v/>
      </c>
      <c r="S678" s="5">
        <f>IF($J678="","",INDEX(lista_dias,WEEKDAY($J678,2)))</f>
        <v/>
      </c>
      <c r="T678" s="5">
        <f>IF($J678="","",IFERROR(INDEX('CALENDARIO'!$C$15:$C$214,MATCH(TEXT($J678,"yyyy-mm-dd")&amp;"|"&amp;$X678&amp;"|"&amp;$Y678,'CALENDARIO'!$G$15:$G$214,0)),IFERROR(INDEX('CALENDARIO'!$C$15:$C$214,MATCH(TEXT($J678,"yyyy-mm-dd")&amp;"|"&amp;$X678&amp;"|",'CALENDARIO'!$G$15:$G$214,0)),IFERROR(INDEX('CALENDARIO'!$C$15:$C$214,MATCH(TEXT($J678,"yyyy-mm-dd")&amp;"||",'CALENDARIO'!$G$15:$G$214,0)),INDEX(patronHabil,WEEKDAY($J678,2))))))</f>
        <v/>
      </c>
      <c r="U678" s="5">
        <f>IF($I678="","",IFERROR(INDEX('CAT_TIPOS_OT'!$C$4:$C$8,MATCH($I678,'CAT_TIPOS_OT'!$A$4:$A$8,0)),"sin_clasificar"))</f>
        <v/>
      </c>
      <c r="V678" s="5">
        <f>IF($I678="","",IF(IFERROR(INDEX('CAT_TIPOS_OT'!$D$4:$D$8,MATCH($I678,'CAT_TIPOS_OT'!$A$4:$A$8,0)),"SIN CLASIFICAR")="","SIN CLASIFICAR",IFERROR(INDEX('CAT_TIPOS_OT'!$D$4:$D$8,MATCH($I678,'CAT_TIPOS_OT'!$A$4:$A$8,0)),"SIN CLASIFICAR")))</f>
        <v/>
      </c>
      <c r="W678" s="5">
        <f>IF($F678="","",IFERROR(INDEX('CAT_CENTROS_COSTO'!$F$4:$F$13,MATCH($F678,'CAT_CENTROS_COSTO'!$A$4:$A$13,0)),"(sin catálogo)"))</f>
        <v/>
      </c>
      <c r="X678" s="5">
        <f>IF($F678="","",IFERROR(INDEX('CAT_CENTROS_COSTO'!$D$4:$D$13,MATCH($F678,'CAT_CENTROS_COSTO'!$A$4:$A$13,0)),"(sin catálogo)"))</f>
        <v/>
      </c>
      <c r="Y678" s="5">
        <f>IF($F678="","",IF((IFERROR(INDEX('CAT_CENTROS_COSTO'!$E$4:$E$13,MATCH($F678,'CAT_CENTROS_COSTO'!$A$4:$A$13,0)),""))&lt;&gt;"",IFERROR(INDEX('CAT_CENTROS_COSTO'!$E$4:$E$13,MATCH($F678,'CAT_CENTROS_COSTO'!$A$4:$A$13,0)),""),$X678))</f>
        <v/>
      </c>
      <c r="Z678" s="5">
        <f>IF($F678="","",IFERROR(INDEX('CAT_CENTROS_COSTO'!$G$4:$G$13,MATCH($F678,'CAT_CENTROS_COSTO'!$A$4:$A$13,0)),"(sin catálogo)"))</f>
        <v/>
      </c>
      <c r="AA678" s="5">
        <f>IF($G678="","",IFERROR(INDEX('CAT_PUESTOS'!$B$4:$B$8,MATCH($G678,'CAT_PUESTOS'!$A$4:$A$8,0)),"(sin catálogo)"))</f>
        <v/>
      </c>
      <c r="AB678" s="5">
        <f>IF($H678="","",IFERROR(INDEX('CAT_ACTIVIDADES'!$B$4:$B$11,MATCH($H678,'CAT_ACTIVIDADES'!$A$4:$A$11,0)),"(sin catálogo)"))</f>
        <v/>
      </c>
      <c r="AC678" s="20">
        <f>IF($J678="","",TODAY()-$J678)</f>
        <v/>
      </c>
      <c r="AD678" s="20">
        <f>IF($J678="","",IF($J678&lt;=TODAY(),COUNTIFS(cal_fechas,"&gt;="&amp;$J678,cal_fechas,"&lt;"&amp;TODAY(),cal_habil,"sí"),-COUNTIFS(cal_fechas,"&gt;="&amp;TODAY(),cal_fechas,"&lt;"&amp;$J678,cal_habil,"sí")))</f>
        <v/>
      </c>
      <c r="AE678" s="5">
        <f>IF($AD678="","",IF($AD678&lt;0,"FUTURO",IF($AD678&gt;p_dias_backlog_max,"BACKLOG","MES CORRIENTE")))</f>
        <v/>
      </c>
      <c r="AF678" s="5">
        <f>IF($AD678="",FALSE,AND($AD678&gt;p_dias_backlog_min,$AD678&lt;=p_dias_backlog_max))</f>
        <v/>
      </c>
      <c r="AG678" s="4" t="n"/>
      <c r="AH678" s="5">
        <f>IF($AG678="","",IF((IFERROR(INDEX('ASIGNACIONES'!$J$4:$J$451,MATCH($O678&amp;"|"&amp;$S678&amp;"|"&amp;$AG678,'ASIGNACIONES'!$N$4:$N$451,0)),""))=0,"",IFERROR(INDEX('ASIGNACIONES'!$J$4:$J$451,MATCH($O678&amp;"|"&amp;$S678&amp;"|"&amp;$AG678,'ASIGNACIONES'!$N$4:$N$451,0)),"")))</f>
        <v/>
      </c>
      <c r="AI678" s="25">
        <f>IF($AG678="","",SUMIFS('ORDENES'!$M$4:$M$1203,'ORDENES'!$AG$4:$AG$1203,$AG678,'ORDENES'!$O$4:$O$1203,$O678,'ORDENES'!$S$4:$S$1203,$S678))</f>
        <v/>
      </c>
      <c r="AJ678" s="25">
        <f>IF($AI678="","",p_factor_productividad*IFERROR(INDEX('ASIGNACIONES'!$M$4:$M$451,MATCH($O678&amp;"|"&amp;$S678&amp;"|"&amp;$AG678,'ASIGNACIONES'!$N$4:$N$451,0)),0)-$AI678)</f>
        <v/>
      </c>
      <c r="AK678" s="18">
        <f>IF($A678="","",IFERROR(INDEX('2_IMPORTAR_EJECUCION'!$F$9:$F$1208,MATCH($AT678,'2_IMPORTAR_EJECUCION'!$J$9:$J$1208,0)),0))</f>
        <v/>
      </c>
      <c r="AL678" s="18">
        <f>IF($A678="","",MAX(0,IFERROR(INDEX('2_IMPORTAR_EJECUCION'!$H$9:$H$1208,MATCH($AT678,'2_IMPORTAR_EJECUCION'!$J$9:$J$1208,0)),0)-$AK678))</f>
        <v/>
      </c>
      <c r="AM678" s="18">
        <f>IF($A678="","",$AK678+$AL678)</f>
        <v/>
      </c>
      <c r="AN678" s="5">
        <f>IF($A678="","",IF(OR((IFERROR(INDEX('CAT_ACTIVIDADES'!$D$4:$D$11,MATCH($H678,'CAT_ACTIVIDADES'!$A$4:$A$11,0)),""))=0,(IFERROR(INDEX('CAT_ACTIVIDADES'!$D$4:$D$11,MATCH($H678,'CAT_ACTIVIDADES'!$A$4:$A$11,0)),""))=""),"SIN CLASIFICAR",IFERROR(INDEX('CAT_ACTIVIDADES'!$D$4:$D$11,MATCH($H678,'CAT_ACTIVIDADES'!$A$4:$A$11,0)),"")))</f>
        <v/>
      </c>
      <c r="AO678" s="4" t="n"/>
      <c r="AP678" s="4" t="n"/>
      <c r="AQ678" s="4" t="n"/>
      <c r="AR678" s="5">
        <f>IF($AQ678="","",HYPERLINK(p_ruta_base_checklists&amp;$AQ678,"abrir"))</f>
        <v/>
      </c>
      <c r="AS678" s="4" t="n"/>
      <c r="AT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2" t="n"/>
      <c r="K679" s="5" t="n"/>
      <c r="L679" s="18" t="n"/>
      <c r="M679" s="5">
        <f>IF($A679="","",IFERROR(INDEX('AJUSTES'!$B$4:$B$303,MATCH($AT679,'AJUSTES'!$A$4:$A$303,0)),IF($K679="","",$K679)))</f>
        <v/>
      </c>
      <c r="N679" s="5">
        <f>IF($A679="","",IFERROR(INDEX('CAT_ESTADOS_ERP'!$B$4:$B$7,MATCH(IFERROR(INDEX('2_IMPORTAR_EJECUCION'!$C$9:$C$1208,MATCH($AT679,'2_IMPORTAR_EJECUCION'!$J$9:$J$1208,0)),""),'CAT_ESTADOS_ERP'!$A$4:$A$7,0)),"Pendiente"))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IF($J679="","",$P679&amp;"-"&amp;TEXT($Q679,"00"))</f>
        <v/>
      </c>
      <c r="S679" s="5">
        <f>IF($J679="","",INDEX(lista_dias,WEEKDAY($J679,2)))</f>
        <v/>
      </c>
      <c r="T679" s="5">
        <f>IF($J679="","",IFERROR(INDEX('CALENDARIO'!$C$15:$C$214,MATCH(TEXT($J679,"yyyy-mm-dd")&amp;"|"&amp;$X679&amp;"|"&amp;$Y679,'CALENDARIO'!$G$15:$G$214,0)),IFERROR(INDEX('CALENDARIO'!$C$15:$C$214,MATCH(TEXT($J679,"yyyy-mm-dd")&amp;"|"&amp;$X679&amp;"|",'CALENDARIO'!$G$15:$G$214,0)),IFERROR(INDEX('CALENDARIO'!$C$15:$C$214,MATCH(TEXT($J679,"yyyy-mm-dd")&amp;"||",'CALENDARIO'!$G$15:$G$214,0)),INDEX(patronHabil,WEEKDAY($J679,2))))))</f>
        <v/>
      </c>
      <c r="U679" s="5">
        <f>IF($I679="","",IFERROR(INDEX('CAT_TIPOS_OT'!$C$4:$C$8,MATCH($I679,'CAT_TIPOS_OT'!$A$4:$A$8,0)),"sin_clasificar"))</f>
        <v/>
      </c>
      <c r="V679" s="5">
        <f>IF($I679="","",IF(IFERROR(INDEX('CAT_TIPOS_OT'!$D$4:$D$8,MATCH($I679,'CAT_TIPOS_OT'!$A$4:$A$8,0)),"SIN CLASIFICAR")="","SIN CLASIFICAR",IFERROR(INDEX('CAT_TIPOS_OT'!$D$4:$D$8,MATCH($I679,'CAT_TIPOS_OT'!$A$4:$A$8,0)),"SIN CLASIFICAR")))</f>
        <v/>
      </c>
      <c r="W679" s="5">
        <f>IF($F679="","",IFERROR(INDEX('CAT_CENTROS_COSTO'!$F$4:$F$13,MATCH($F679,'CAT_CENTROS_COSTO'!$A$4:$A$13,0)),"(sin catálogo)"))</f>
        <v/>
      </c>
      <c r="X679" s="5">
        <f>IF($F679="","",IFERROR(INDEX('CAT_CENTROS_COSTO'!$D$4:$D$13,MATCH($F679,'CAT_CENTROS_COSTO'!$A$4:$A$13,0)),"(sin catálogo)"))</f>
        <v/>
      </c>
      <c r="Y679" s="5">
        <f>IF($F679="","",IF((IFERROR(INDEX('CAT_CENTROS_COSTO'!$E$4:$E$13,MATCH($F679,'CAT_CENTROS_COSTO'!$A$4:$A$13,0)),""))&lt;&gt;"",IFERROR(INDEX('CAT_CENTROS_COSTO'!$E$4:$E$13,MATCH($F679,'CAT_CENTROS_COSTO'!$A$4:$A$13,0)),""),$X679))</f>
        <v/>
      </c>
      <c r="Z679" s="5">
        <f>IF($F679="","",IFERROR(INDEX('CAT_CENTROS_COSTO'!$G$4:$G$13,MATCH($F679,'CAT_CENTROS_COSTO'!$A$4:$A$13,0)),"(sin catálogo)"))</f>
        <v/>
      </c>
      <c r="AA679" s="5">
        <f>IF($G679="","",IFERROR(INDEX('CAT_PUESTOS'!$B$4:$B$8,MATCH($G679,'CAT_PUESTOS'!$A$4:$A$8,0)),"(sin catálogo)"))</f>
        <v/>
      </c>
      <c r="AB679" s="5">
        <f>IF($H679="","",IFERROR(INDEX('CAT_ACTIVIDADES'!$B$4:$B$11,MATCH($H679,'CAT_ACTIVIDADES'!$A$4:$A$11,0)),"(sin catálogo)"))</f>
        <v/>
      </c>
      <c r="AC679" s="20">
        <f>IF($J679="","",TODAY()-$J679)</f>
        <v/>
      </c>
      <c r="AD679" s="20">
        <f>IF($J679="","",IF($J679&lt;=TODAY(),COUNTIFS(cal_fechas,"&gt;="&amp;$J679,cal_fechas,"&lt;"&amp;TODAY(),cal_habil,"sí"),-COUNTIFS(cal_fechas,"&gt;="&amp;TODAY(),cal_fechas,"&lt;"&amp;$J679,cal_habil,"sí")))</f>
        <v/>
      </c>
      <c r="AE679" s="5">
        <f>IF($AD679="","",IF($AD679&lt;0,"FUTURO",IF($AD679&gt;p_dias_backlog_max,"BACKLOG","MES CORRIENTE")))</f>
        <v/>
      </c>
      <c r="AF679" s="5">
        <f>IF($AD679="",FALSE,AND($AD679&gt;p_dias_backlog_min,$AD679&lt;=p_dias_backlog_max))</f>
        <v/>
      </c>
      <c r="AG679" s="4" t="n"/>
      <c r="AH679" s="5">
        <f>IF($AG679="","",IF((IFERROR(INDEX('ASIGNACIONES'!$J$4:$J$451,MATCH($O679&amp;"|"&amp;$S679&amp;"|"&amp;$AG679,'ASIGNACIONES'!$N$4:$N$451,0)),""))=0,"",IFERROR(INDEX('ASIGNACIONES'!$J$4:$J$451,MATCH($O679&amp;"|"&amp;$S679&amp;"|"&amp;$AG679,'ASIGNACIONES'!$N$4:$N$451,0)),"")))</f>
        <v/>
      </c>
      <c r="AI679" s="25">
        <f>IF($AG679="","",SUMIFS('ORDENES'!$M$4:$M$1203,'ORDENES'!$AG$4:$AG$1203,$AG679,'ORDENES'!$O$4:$O$1203,$O679,'ORDENES'!$S$4:$S$1203,$S679))</f>
        <v/>
      </c>
      <c r="AJ679" s="25">
        <f>IF($AI679="","",p_factor_productividad*IFERROR(INDEX('ASIGNACIONES'!$M$4:$M$451,MATCH($O679&amp;"|"&amp;$S679&amp;"|"&amp;$AG679,'ASIGNACIONES'!$N$4:$N$451,0)),0)-$AI679)</f>
        <v/>
      </c>
      <c r="AK679" s="18">
        <f>IF($A679="","",IFERROR(INDEX('2_IMPORTAR_EJECUCION'!$F$9:$F$1208,MATCH($AT679,'2_IMPORTAR_EJECUCION'!$J$9:$J$1208,0)),0))</f>
        <v/>
      </c>
      <c r="AL679" s="18">
        <f>IF($A679="","",MAX(0,IFERROR(INDEX('2_IMPORTAR_EJECUCION'!$H$9:$H$1208,MATCH($AT679,'2_IMPORTAR_EJECUCION'!$J$9:$J$1208,0)),0)-$AK679))</f>
        <v/>
      </c>
      <c r="AM679" s="18">
        <f>IF($A679="","",$AK679+$AL679)</f>
        <v/>
      </c>
      <c r="AN679" s="5">
        <f>IF($A679="","",IF(OR((IFERROR(INDEX('CAT_ACTIVIDADES'!$D$4:$D$11,MATCH($H679,'CAT_ACTIVIDADES'!$A$4:$A$11,0)),""))=0,(IFERROR(INDEX('CAT_ACTIVIDADES'!$D$4:$D$11,MATCH($H679,'CAT_ACTIVIDADES'!$A$4:$A$11,0)),""))=""),"SIN CLASIFICAR",IFERROR(INDEX('CAT_ACTIVIDADES'!$D$4:$D$11,MATCH($H679,'CAT_ACTIVIDADES'!$A$4:$A$11,0)),"")))</f>
        <v/>
      </c>
      <c r="AO679" s="4" t="n"/>
      <c r="AP679" s="4" t="n"/>
      <c r="AQ679" s="4" t="n"/>
      <c r="AR679" s="5">
        <f>IF($AQ679="","",HYPERLINK(p_ruta_base_checklists&amp;$AQ679,"abrir"))</f>
        <v/>
      </c>
      <c r="AS679" s="4" t="n"/>
      <c r="AT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2" t="n"/>
      <c r="K680" s="5" t="n"/>
      <c r="L680" s="18" t="n"/>
      <c r="M680" s="5">
        <f>IF($A680="","",IFERROR(INDEX('AJUSTES'!$B$4:$B$303,MATCH($AT680,'AJUSTES'!$A$4:$A$303,0)),IF($K680="","",$K680)))</f>
        <v/>
      </c>
      <c r="N680" s="5">
        <f>IF($A680="","",IFERROR(INDEX('CAT_ESTADOS_ERP'!$B$4:$B$7,MATCH(IFERROR(INDEX('2_IMPORTAR_EJECUCION'!$C$9:$C$1208,MATCH($AT680,'2_IMPORTAR_EJECUCION'!$J$9:$J$1208,0)),""),'CAT_ESTADOS_ERP'!$A$4:$A$7,0)),"Pendiente"))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IF($J680="","",$P680&amp;"-"&amp;TEXT($Q680,"00"))</f>
        <v/>
      </c>
      <c r="S680" s="5">
        <f>IF($J680="","",INDEX(lista_dias,WEEKDAY($J680,2)))</f>
        <v/>
      </c>
      <c r="T680" s="5">
        <f>IF($J680="","",IFERROR(INDEX('CALENDARIO'!$C$15:$C$214,MATCH(TEXT($J680,"yyyy-mm-dd")&amp;"|"&amp;$X680&amp;"|"&amp;$Y680,'CALENDARIO'!$G$15:$G$214,0)),IFERROR(INDEX('CALENDARIO'!$C$15:$C$214,MATCH(TEXT($J680,"yyyy-mm-dd")&amp;"|"&amp;$X680&amp;"|",'CALENDARIO'!$G$15:$G$214,0)),IFERROR(INDEX('CALENDARIO'!$C$15:$C$214,MATCH(TEXT($J680,"yyyy-mm-dd")&amp;"||",'CALENDARIO'!$G$15:$G$214,0)),INDEX(patronHabil,WEEKDAY($J680,2))))))</f>
        <v/>
      </c>
      <c r="U680" s="5">
        <f>IF($I680="","",IFERROR(INDEX('CAT_TIPOS_OT'!$C$4:$C$8,MATCH($I680,'CAT_TIPOS_OT'!$A$4:$A$8,0)),"sin_clasificar"))</f>
        <v/>
      </c>
      <c r="V680" s="5">
        <f>IF($I680="","",IF(IFERROR(INDEX('CAT_TIPOS_OT'!$D$4:$D$8,MATCH($I680,'CAT_TIPOS_OT'!$A$4:$A$8,0)),"SIN CLASIFICAR")="","SIN CLASIFICAR",IFERROR(INDEX('CAT_TIPOS_OT'!$D$4:$D$8,MATCH($I680,'CAT_TIPOS_OT'!$A$4:$A$8,0)),"SIN CLASIFICAR")))</f>
        <v/>
      </c>
      <c r="W680" s="5">
        <f>IF($F680="","",IFERROR(INDEX('CAT_CENTROS_COSTO'!$F$4:$F$13,MATCH($F680,'CAT_CENTROS_COSTO'!$A$4:$A$13,0)),"(sin catálogo)"))</f>
        <v/>
      </c>
      <c r="X680" s="5">
        <f>IF($F680="","",IFERROR(INDEX('CAT_CENTROS_COSTO'!$D$4:$D$13,MATCH($F680,'CAT_CENTROS_COSTO'!$A$4:$A$13,0)),"(sin catálogo)"))</f>
        <v/>
      </c>
      <c r="Y680" s="5">
        <f>IF($F680="","",IF((IFERROR(INDEX('CAT_CENTROS_COSTO'!$E$4:$E$13,MATCH($F680,'CAT_CENTROS_COSTO'!$A$4:$A$13,0)),""))&lt;&gt;"",IFERROR(INDEX('CAT_CENTROS_COSTO'!$E$4:$E$13,MATCH($F680,'CAT_CENTROS_COSTO'!$A$4:$A$13,0)),""),$X680))</f>
        <v/>
      </c>
      <c r="Z680" s="5">
        <f>IF($F680="","",IFERROR(INDEX('CAT_CENTROS_COSTO'!$G$4:$G$13,MATCH($F680,'CAT_CENTROS_COSTO'!$A$4:$A$13,0)),"(sin catálogo)"))</f>
        <v/>
      </c>
      <c r="AA680" s="5">
        <f>IF($G680="","",IFERROR(INDEX('CAT_PUESTOS'!$B$4:$B$8,MATCH($G680,'CAT_PUESTOS'!$A$4:$A$8,0)),"(sin catálogo)"))</f>
        <v/>
      </c>
      <c r="AB680" s="5">
        <f>IF($H680="","",IFERROR(INDEX('CAT_ACTIVIDADES'!$B$4:$B$11,MATCH($H680,'CAT_ACTIVIDADES'!$A$4:$A$11,0)),"(sin catálogo)"))</f>
        <v/>
      </c>
      <c r="AC680" s="20">
        <f>IF($J680="","",TODAY()-$J680)</f>
        <v/>
      </c>
      <c r="AD680" s="20">
        <f>IF($J680="","",IF($J680&lt;=TODAY(),COUNTIFS(cal_fechas,"&gt;="&amp;$J680,cal_fechas,"&lt;"&amp;TODAY(),cal_habil,"sí"),-COUNTIFS(cal_fechas,"&gt;="&amp;TODAY(),cal_fechas,"&lt;"&amp;$J680,cal_habil,"sí")))</f>
        <v/>
      </c>
      <c r="AE680" s="5">
        <f>IF($AD680="","",IF($AD680&lt;0,"FUTURO",IF($AD680&gt;p_dias_backlog_max,"BACKLOG","MES CORRIENTE")))</f>
        <v/>
      </c>
      <c r="AF680" s="5">
        <f>IF($AD680="",FALSE,AND($AD680&gt;p_dias_backlog_min,$AD680&lt;=p_dias_backlog_max))</f>
        <v/>
      </c>
      <c r="AG680" s="4" t="n"/>
      <c r="AH680" s="5">
        <f>IF($AG680="","",IF((IFERROR(INDEX('ASIGNACIONES'!$J$4:$J$451,MATCH($O680&amp;"|"&amp;$S680&amp;"|"&amp;$AG680,'ASIGNACIONES'!$N$4:$N$451,0)),""))=0,"",IFERROR(INDEX('ASIGNACIONES'!$J$4:$J$451,MATCH($O680&amp;"|"&amp;$S680&amp;"|"&amp;$AG680,'ASIGNACIONES'!$N$4:$N$451,0)),"")))</f>
        <v/>
      </c>
      <c r="AI680" s="25">
        <f>IF($AG680="","",SUMIFS('ORDENES'!$M$4:$M$1203,'ORDENES'!$AG$4:$AG$1203,$AG680,'ORDENES'!$O$4:$O$1203,$O680,'ORDENES'!$S$4:$S$1203,$S680))</f>
        <v/>
      </c>
      <c r="AJ680" s="25">
        <f>IF($AI680="","",p_factor_productividad*IFERROR(INDEX('ASIGNACIONES'!$M$4:$M$451,MATCH($O680&amp;"|"&amp;$S680&amp;"|"&amp;$AG680,'ASIGNACIONES'!$N$4:$N$451,0)),0)-$AI680)</f>
        <v/>
      </c>
      <c r="AK680" s="18">
        <f>IF($A680="","",IFERROR(INDEX('2_IMPORTAR_EJECUCION'!$F$9:$F$1208,MATCH($AT680,'2_IMPORTAR_EJECUCION'!$J$9:$J$1208,0)),0))</f>
        <v/>
      </c>
      <c r="AL680" s="18">
        <f>IF($A680="","",MAX(0,IFERROR(INDEX('2_IMPORTAR_EJECUCION'!$H$9:$H$1208,MATCH($AT680,'2_IMPORTAR_EJECUCION'!$J$9:$J$1208,0)),0)-$AK680))</f>
        <v/>
      </c>
      <c r="AM680" s="18">
        <f>IF($A680="","",$AK680+$AL680)</f>
        <v/>
      </c>
      <c r="AN680" s="5">
        <f>IF($A680="","",IF(OR((IFERROR(INDEX('CAT_ACTIVIDADES'!$D$4:$D$11,MATCH($H680,'CAT_ACTIVIDADES'!$A$4:$A$11,0)),""))=0,(IFERROR(INDEX('CAT_ACTIVIDADES'!$D$4:$D$11,MATCH($H680,'CAT_ACTIVIDADES'!$A$4:$A$11,0)),""))=""),"SIN CLASIFICAR",IFERROR(INDEX('CAT_ACTIVIDADES'!$D$4:$D$11,MATCH($H680,'CAT_ACTIVIDADES'!$A$4:$A$11,0)),"")))</f>
        <v/>
      </c>
      <c r="AO680" s="4" t="n"/>
      <c r="AP680" s="4" t="n"/>
      <c r="AQ680" s="4" t="n"/>
      <c r="AR680" s="5">
        <f>IF($AQ680="","",HYPERLINK(p_ruta_base_checklists&amp;$AQ680,"abrir"))</f>
        <v/>
      </c>
      <c r="AS680" s="4" t="n"/>
      <c r="AT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2" t="n"/>
      <c r="K681" s="5" t="n"/>
      <c r="L681" s="18" t="n"/>
      <c r="M681" s="5">
        <f>IF($A681="","",IFERROR(INDEX('AJUSTES'!$B$4:$B$303,MATCH($AT681,'AJUSTES'!$A$4:$A$303,0)),IF($K681="","",$K681)))</f>
        <v/>
      </c>
      <c r="N681" s="5">
        <f>IF($A681="","",IFERROR(INDEX('CAT_ESTADOS_ERP'!$B$4:$B$7,MATCH(IFERROR(INDEX('2_IMPORTAR_EJECUCION'!$C$9:$C$1208,MATCH($AT681,'2_IMPORTAR_EJECUCION'!$J$9:$J$1208,0)),""),'CAT_ESTADOS_ERP'!$A$4:$A$7,0)),"Pendiente"))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IF($J681="","",$P681&amp;"-"&amp;TEXT($Q681,"00"))</f>
        <v/>
      </c>
      <c r="S681" s="5">
        <f>IF($J681="","",INDEX(lista_dias,WEEKDAY($J681,2)))</f>
        <v/>
      </c>
      <c r="T681" s="5">
        <f>IF($J681="","",IFERROR(INDEX('CALENDARIO'!$C$15:$C$214,MATCH(TEXT($J681,"yyyy-mm-dd")&amp;"|"&amp;$X681&amp;"|"&amp;$Y681,'CALENDARIO'!$G$15:$G$214,0)),IFERROR(INDEX('CALENDARIO'!$C$15:$C$214,MATCH(TEXT($J681,"yyyy-mm-dd")&amp;"|"&amp;$X681&amp;"|",'CALENDARIO'!$G$15:$G$214,0)),IFERROR(INDEX('CALENDARIO'!$C$15:$C$214,MATCH(TEXT($J681,"yyyy-mm-dd")&amp;"||",'CALENDARIO'!$G$15:$G$214,0)),INDEX(patronHabil,WEEKDAY($J681,2))))))</f>
        <v/>
      </c>
      <c r="U681" s="5">
        <f>IF($I681="","",IFERROR(INDEX('CAT_TIPOS_OT'!$C$4:$C$8,MATCH($I681,'CAT_TIPOS_OT'!$A$4:$A$8,0)),"sin_clasificar"))</f>
        <v/>
      </c>
      <c r="V681" s="5">
        <f>IF($I681="","",IF(IFERROR(INDEX('CAT_TIPOS_OT'!$D$4:$D$8,MATCH($I681,'CAT_TIPOS_OT'!$A$4:$A$8,0)),"SIN CLASIFICAR")="","SIN CLASIFICAR",IFERROR(INDEX('CAT_TIPOS_OT'!$D$4:$D$8,MATCH($I681,'CAT_TIPOS_OT'!$A$4:$A$8,0)),"SIN CLASIFICAR")))</f>
        <v/>
      </c>
      <c r="W681" s="5">
        <f>IF($F681="","",IFERROR(INDEX('CAT_CENTROS_COSTO'!$F$4:$F$13,MATCH($F681,'CAT_CENTROS_COSTO'!$A$4:$A$13,0)),"(sin catálogo)"))</f>
        <v/>
      </c>
      <c r="X681" s="5">
        <f>IF($F681="","",IFERROR(INDEX('CAT_CENTROS_COSTO'!$D$4:$D$13,MATCH($F681,'CAT_CENTROS_COSTO'!$A$4:$A$13,0)),"(sin catálogo)"))</f>
        <v/>
      </c>
      <c r="Y681" s="5">
        <f>IF($F681="","",IF((IFERROR(INDEX('CAT_CENTROS_COSTO'!$E$4:$E$13,MATCH($F681,'CAT_CENTROS_COSTO'!$A$4:$A$13,0)),""))&lt;&gt;"",IFERROR(INDEX('CAT_CENTROS_COSTO'!$E$4:$E$13,MATCH($F681,'CAT_CENTROS_COSTO'!$A$4:$A$13,0)),""),$X681))</f>
        <v/>
      </c>
      <c r="Z681" s="5">
        <f>IF($F681="","",IFERROR(INDEX('CAT_CENTROS_COSTO'!$G$4:$G$13,MATCH($F681,'CAT_CENTROS_COSTO'!$A$4:$A$13,0)),"(sin catálogo)"))</f>
        <v/>
      </c>
      <c r="AA681" s="5">
        <f>IF($G681="","",IFERROR(INDEX('CAT_PUESTOS'!$B$4:$B$8,MATCH($G681,'CAT_PUESTOS'!$A$4:$A$8,0)),"(sin catálogo)"))</f>
        <v/>
      </c>
      <c r="AB681" s="5">
        <f>IF($H681="","",IFERROR(INDEX('CAT_ACTIVIDADES'!$B$4:$B$11,MATCH($H681,'CAT_ACTIVIDADES'!$A$4:$A$11,0)),"(sin catálogo)"))</f>
        <v/>
      </c>
      <c r="AC681" s="20">
        <f>IF($J681="","",TODAY()-$J681)</f>
        <v/>
      </c>
      <c r="AD681" s="20">
        <f>IF($J681="","",IF($J681&lt;=TODAY(),COUNTIFS(cal_fechas,"&gt;="&amp;$J681,cal_fechas,"&lt;"&amp;TODAY(),cal_habil,"sí"),-COUNTIFS(cal_fechas,"&gt;="&amp;TODAY(),cal_fechas,"&lt;"&amp;$J681,cal_habil,"sí")))</f>
        <v/>
      </c>
      <c r="AE681" s="5">
        <f>IF($AD681="","",IF($AD681&lt;0,"FUTURO",IF($AD681&gt;p_dias_backlog_max,"BACKLOG","MES CORRIENTE")))</f>
        <v/>
      </c>
      <c r="AF681" s="5">
        <f>IF($AD681="",FALSE,AND($AD681&gt;p_dias_backlog_min,$AD681&lt;=p_dias_backlog_max))</f>
        <v/>
      </c>
      <c r="AG681" s="4" t="n"/>
      <c r="AH681" s="5">
        <f>IF($AG681="","",IF((IFERROR(INDEX('ASIGNACIONES'!$J$4:$J$451,MATCH($O681&amp;"|"&amp;$S681&amp;"|"&amp;$AG681,'ASIGNACIONES'!$N$4:$N$451,0)),""))=0,"",IFERROR(INDEX('ASIGNACIONES'!$J$4:$J$451,MATCH($O681&amp;"|"&amp;$S681&amp;"|"&amp;$AG681,'ASIGNACIONES'!$N$4:$N$451,0)),"")))</f>
        <v/>
      </c>
      <c r="AI681" s="25">
        <f>IF($AG681="","",SUMIFS('ORDENES'!$M$4:$M$1203,'ORDENES'!$AG$4:$AG$1203,$AG681,'ORDENES'!$O$4:$O$1203,$O681,'ORDENES'!$S$4:$S$1203,$S681))</f>
        <v/>
      </c>
      <c r="AJ681" s="25">
        <f>IF($AI681="","",p_factor_productividad*IFERROR(INDEX('ASIGNACIONES'!$M$4:$M$451,MATCH($O681&amp;"|"&amp;$S681&amp;"|"&amp;$AG681,'ASIGNACIONES'!$N$4:$N$451,0)),0)-$AI681)</f>
        <v/>
      </c>
      <c r="AK681" s="18">
        <f>IF($A681="","",IFERROR(INDEX('2_IMPORTAR_EJECUCION'!$F$9:$F$1208,MATCH($AT681,'2_IMPORTAR_EJECUCION'!$J$9:$J$1208,0)),0))</f>
        <v/>
      </c>
      <c r="AL681" s="18">
        <f>IF($A681="","",MAX(0,IFERROR(INDEX('2_IMPORTAR_EJECUCION'!$H$9:$H$1208,MATCH($AT681,'2_IMPORTAR_EJECUCION'!$J$9:$J$1208,0)),0)-$AK681))</f>
        <v/>
      </c>
      <c r="AM681" s="18">
        <f>IF($A681="","",$AK681+$AL681)</f>
        <v/>
      </c>
      <c r="AN681" s="5">
        <f>IF($A681="","",IF(OR((IFERROR(INDEX('CAT_ACTIVIDADES'!$D$4:$D$11,MATCH($H681,'CAT_ACTIVIDADES'!$A$4:$A$11,0)),""))=0,(IFERROR(INDEX('CAT_ACTIVIDADES'!$D$4:$D$11,MATCH($H681,'CAT_ACTIVIDADES'!$A$4:$A$11,0)),""))=""),"SIN CLASIFICAR",IFERROR(INDEX('CAT_ACTIVIDADES'!$D$4:$D$11,MATCH($H681,'CAT_ACTIVIDADES'!$A$4:$A$11,0)),"")))</f>
        <v/>
      </c>
      <c r="AO681" s="4" t="n"/>
      <c r="AP681" s="4" t="n"/>
      <c r="AQ681" s="4" t="n"/>
      <c r="AR681" s="5">
        <f>IF($AQ681="","",HYPERLINK(p_ruta_base_checklists&amp;$AQ681,"abrir"))</f>
        <v/>
      </c>
      <c r="AS681" s="4" t="n"/>
      <c r="AT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2" t="n"/>
      <c r="K682" s="5" t="n"/>
      <c r="L682" s="18" t="n"/>
      <c r="M682" s="5">
        <f>IF($A682="","",IFERROR(INDEX('AJUSTES'!$B$4:$B$303,MATCH($AT682,'AJUSTES'!$A$4:$A$303,0)),IF($K682="","",$K682)))</f>
        <v/>
      </c>
      <c r="N682" s="5">
        <f>IF($A682="","",IFERROR(INDEX('CAT_ESTADOS_ERP'!$B$4:$B$7,MATCH(IFERROR(INDEX('2_IMPORTAR_EJECUCION'!$C$9:$C$1208,MATCH($AT682,'2_IMPORTAR_EJECUCION'!$J$9:$J$1208,0)),""),'CAT_ESTADOS_ERP'!$A$4:$A$7,0)),"Pendiente"))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IF($J682="","",$P682&amp;"-"&amp;TEXT($Q682,"00"))</f>
        <v/>
      </c>
      <c r="S682" s="5">
        <f>IF($J682="","",INDEX(lista_dias,WEEKDAY($J682,2)))</f>
        <v/>
      </c>
      <c r="T682" s="5">
        <f>IF($J682="","",IFERROR(INDEX('CALENDARIO'!$C$15:$C$214,MATCH(TEXT($J682,"yyyy-mm-dd")&amp;"|"&amp;$X682&amp;"|"&amp;$Y682,'CALENDARIO'!$G$15:$G$214,0)),IFERROR(INDEX('CALENDARIO'!$C$15:$C$214,MATCH(TEXT($J682,"yyyy-mm-dd")&amp;"|"&amp;$X682&amp;"|",'CALENDARIO'!$G$15:$G$214,0)),IFERROR(INDEX('CALENDARIO'!$C$15:$C$214,MATCH(TEXT($J682,"yyyy-mm-dd")&amp;"||",'CALENDARIO'!$G$15:$G$214,0)),INDEX(patronHabil,WEEKDAY($J682,2))))))</f>
        <v/>
      </c>
      <c r="U682" s="5">
        <f>IF($I682="","",IFERROR(INDEX('CAT_TIPOS_OT'!$C$4:$C$8,MATCH($I682,'CAT_TIPOS_OT'!$A$4:$A$8,0)),"sin_clasificar"))</f>
        <v/>
      </c>
      <c r="V682" s="5">
        <f>IF($I682="","",IF(IFERROR(INDEX('CAT_TIPOS_OT'!$D$4:$D$8,MATCH($I682,'CAT_TIPOS_OT'!$A$4:$A$8,0)),"SIN CLASIFICAR")="","SIN CLASIFICAR",IFERROR(INDEX('CAT_TIPOS_OT'!$D$4:$D$8,MATCH($I682,'CAT_TIPOS_OT'!$A$4:$A$8,0)),"SIN CLASIFICAR")))</f>
        <v/>
      </c>
      <c r="W682" s="5">
        <f>IF($F682="","",IFERROR(INDEX('CAT_CENTROS_COSTO'!$F$4:$F$13,MATCH($F682,'CAT_CENTROS_COSTO'!$A$4:$A$13,0)),"(sin catálogo)"))</f>
        <v/>
      </c>
      <c r="X682" s="5">
        <f>IF($F682="","",IFERROR(INDEX('CAT_CENTROS_COSTO'!$D$4:$D$13,MATCH($F682,'CAT_CENTROS_COSTO'!$A$4:$A$13,0)),"(sin catálogo)"))</f>
        <v/>
      </c>
      <c r="Y682" s="5">
        <f>IF($F682="","",IF((IFERROR(INDEX('CAT_CENTROS_COSTO'!$E$4:$E$13,MATCH($F682,'CAT_CENTROS_COSTO'!$A$4:$A$13,0)),""))&lt;&gt;"",IFERROR(INDEX('CAT_CENTROS_COSTO'!$E$4:$E$13,MATCH($F682,'CAT_CENTROS_COSTO'!$A$4:$A$13,0)),""),$X682))</f>
        <v/>
      </c>
      <c r="Z682" s="5">
        <f>IF($F682="","",IFERROR(INDEX('CAT_CENTROS_COSTO'!$G$4:$G$13,MATCH($F682,'CAT_CENTROS_COSTO'!$A$4:$A$13,0)),"(sin catálogo)"))</f>
        <v/>
      </c>
      <c r="AA682" s="5">
        <f>IF($G682="","",IFERROR(INDEX('CAT_PUESTOS'!$B$4:$B$8,MATCH($G682,'CAT_PUESTOS'!$A$4:$A$8,0)),"(sin catálogo)"))</f>
        <v/>
      </c>
      <c r="AB682" s="5">
        <f>IF($H682="","",IFERROR(INDEX('CAT_ACTIVIDADES'!$B$4:$B$11,MATCH($H682,'CAT_ACTIVIDADES'!$A$4:$A$11,0)),"(sin catálogo)"))</f>
        <v/>
      </c>
      <c r="AC682" s="20">
        <f>IF($J682="","",TODAY()-$J682)</f>
        <v/>
      </c>
      <c r="AD682" s="20">
        <f>IF($J682="","",IF($J682&lt;=TODAY(),COUNTIFS(cal_fechas,"&gt;="&amp;$J682,cal_fechas,"&lt;"&amp;TODAY(),cal_habil,"sí"),-COUNTIFS(cal_fechas,"&gt;="&amp;TODAY(),cal_fechas,"&lt;"&amp;$J682,cal_habil,"sí")))</f>
        <v/>
      </c>
      <c r="AE682" s="5">
        <f>IF($AD682="","",IF($AD682&lt;0,"FUTURO",IF($AD682&gt;p_dias_backlog_max,"BACKLOG","MES CORRIENTE")))</f>
        <v/>
      </c>
      <c r="AF682" s="5">
        <f>IF($AD682="",FALSE,AND($AD682&gt;p_dias_backlog_min,$AD682&lt;=p_dias_backlog_max))</f>
        <v/>
      </c>
      <c r="AG682" s="4" t="n"/>
      <c r="AH682" s="5">
        <f>IF($AG682="","",IF((IFERROR(INDEX('ASIGNACIONES'!$J$4:$J$451,MATCH($O682&amp;"|"&amp;$S682&amp;"|"&amp;$AG682,'ASIGNACIONES'!$N$4:$N$451,0)),""))=0,"",IFERROR(INDEX('ASIGNACIONES'!$J$4:$J$451,MATCH($O682&amp;"|"&amp;$S682&amp;"|"&amp;$AG682,'ASIGNACIONES'!$N$4:$N$451,0)),"")))</f>
        <v/>
      </c>
      <c r="AI682" s="25">
        <f>IF($AG682="","",SUMIFS('ORDENES'!$M$4:$M$1203,'ORDENES'!$AG$4:$AG$1203,$AG682,'ORDENES'!$O$4:$O$1203,$O682,'ORDENES'!$S$4:$S$1203,$S682))</f>
        <v/>
      </c>
      <c r="AJ682" s="25">
        <f>IF($AI682="","",p_factor_productividad*IFERROR(INDEX('ASIGNACIONES'!$M$4:$M$451,MATCH($O682&amp;"|"&amp;$S682&amp;"|"&amp;$AG682,'ASIGNACIONES'!$N$4:$N$451,0)),0)-$AI682)</f>
        <v/>
      </c>
      <c r="AK682" s="18">
        <f>IF($A682="","",IFERROR(INDEX('2_IMPORTAR_EJECUCION'!$F$9:$F$1208,MATCH($AT682,'2_IMPORTAR_EJECUCION'!$J$9:$J$1208,0)),0))</f>
        <v/>
      </c>
      <c r="AL682" s="18">
        <f>IF($A682="","",MAX(0,IFERROR(INDEX('2_IMPORTAR_EJECUCION'!$H$9:$H$1208,MATCH($AT682,'2_IMPORTAR_EJECUCION'!$J$9:$J$1208,0)),0)-$AK682))</f>
        <v/>
      </c>
      <c r="AM682" s="18">
        <f>IF($A682="","",$AK682+$AL682)</f>
        <v/>
      </c>
      <c r="AN682" s="5">
        <f>IF($A682="","",IF(OR((IFERROR(INDEX('CAT_ACTIVIDADES'!$D$4:$D$11,MATCH($H682,'CAT_ACTIVIDADES'!$A$4:$A$11,0)),""))=0,(IFERROR(INDEX('CAT_ACTIVIDADES'!$D$4:$D$11,MATCH($H682,'CAT_ACTIVIDADES'!$A$4:$A$11,0)),""))=""),"SIN CLASIFICAR",IFERROR(INDEX('CAT_ACTIVIDADES'!$D$4:$D$11,MATCH($H682,'CAT_ACTIVIDADES'!$A$4:$A$11,0)),"")))</f>
        <v/>
      </c>
      <c r="AO682" s="4" t="n"/>
      <c r="AP682" s="4" t="n"/>
      <c r="AQ682" s="4" t="n"/>
      <c r="AR682" s="5">
        <f>IF($AQ682="","",HYPERLINK(p_ruta_base_checklists&amp;$AQ682,"abrir"))</f>
        <v/>
      </c>
      <c r="AS682" s="4" t="n"/>
      <c r="AT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2" t="n"/>
      <c r="K683" s="5" t="n"/>
      <c r="L683" s="18" t="n"/>
      <c r="M683" s="5">
        <f>IF($A683="","",IFERROR(INDEX('AJUSTES'!$B$4:$B$303,MATCH($AT683,'AJUSTES'!$A$4:$A$303,0)),IF($K683="","",$K683)))</f>
        <v/>
      </c>
      <c r="N683" s="5">
        <f>IF($A683="","",IFERROR(INDEX('CAT_ESTADOS_ERP'!$B$4:$B$7,MATCH(IFERROR(INDEX('2_IMPORTAR_EJECUCION'!$C$9:$C$1208,MATCH($AT683,'2_IMPORTAR_EJECUCION'!$J$9:$J$1208,0)),""),'CAT_ESTADOS_ERP'!$A$4:$A$7,0)),"Pendiente"))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IF($J683="","",$P683&amp;"-"&amp;TEXT($Q683,"00"))</f>
        <v/>
      </c>
      <c r="S683" s="5">
        <f>IF($J683="","",INDEX(lista_dias,WEEKDAY($J683,2)))</f>
        <v/>
      </c>
      <c r="T683" s="5">
        <f>IF($J683="","",IFERROR(INDEX('CALENDARIO'!$C$15:$C$214,MATCH(TEXT($J683,"yyyy-mm-dd")&amp;"|"&amp;$X683&amp;"|"&amp;$Y683,'CALENDARIO'!$G$15:$G$214,0)),IFERROR(INDEX('CALENDARIO'!$C$15:$C$214,MATCH(TEXT($J683,"yyyy-mm-dd")&amp;"|"&amp;$X683&amp;"|",'CALENDARIO'!$G$15:$G$214,0)),IFERROR(INDEX('CALENDARIO'!$C$15:$C$214,MATCH(TEXT($J683,"yyyy-mm-dd")&amp;"||",'CALENDARIO'!$G$15:$G$214,0)),INDEX(patronHabil,WEEKDAY($J683,2))))))</f>
        <v/>
      </c>
      <c r="U683" s="5">
        <f>IF($I683="","",IFERROR(INDEX('CAT_TIPOS_OT'!$C$4:$C$8,MATCH($I683,'CAT_TIPOS_OT'!$A$4:$A$8,0)),"sin_clasificar"))</f>
        <v/>
      </c>
      <c r="V683" s="5">
        <f>IF($I683="","",IF(IFERROR(INDEX('CAT_TIPOS_OT'!$D$4:$D$8,MATCH($I683,'CAT_TIPOS_OT'!$A$4:$A$8,0)),"SIN CLASIFICAR")="","SIN CLASIFICAR",IFERROR(INDEX('CAT_TIPOS_OT'!$D$4:$D$8,MATCH($I683,'CAT_TIPOS_OT'!$A$4:$A$8,0)),"SIN CLASIFICAR")))</f>
        <v/>
      </c>
      <c r="W683" s="5">
        <f>IF($F683="","",IFERROR(INDEX('CAT_CENTROS_COSTO'!$F$4:$F$13,MATCH($F683,'CAT_CENTROS_COSTO'!$A$4:$A$13,0)),"(sin catálogo)"))</f>
        <v/>
      </c>
      <c r="X683" s="5">
        <f>IF($F683="","",IFERROR(INDEX('CAT_CENTROS_COSTO'!$D$4:$D$13,MATCH($F683,'CAT_CENTROS_COSTO'!$A$4:$A$13,0)),"(sin catálogo)"))</f>
        <v/>
      </c>
      <c r="Y683" s="5">
        <f>IF($F683="","",IF((IFERROR(INDEX('CAT_CENTROS_COSTO'!$E$4:$E$13,MATCH($F683,'CAT_CENTROS_COSTO'!$A$4:$A$13,0)),""))&lt;&gt;"",IFERROR(INDEX('CAT_CENTROS_COSTO'!$E$4:$E$13,MATCH($F683,'CAT_CENTROS_COSTO'!$A$4:$A$13,0)),""),$X683))</f>
        <v/>
      </c>
      <c r="Z683" s="5">
        <f>IF($F683="","",IFERROR(INDEX('CAT_CENTROS_COSTO'!$G$4:$G$13,MATCH($F683,'CAT_CENTROS_COSTO'!$A$4:$A$13,0)),"(sin catálogo)"))</f>
        <v/>
      </c>
      <c r="AA683" s="5">
        <f>IF($G683="","",IFERROR(INDEX('CAT_PUESTOS'!$B$4:$B$8,MATCH($G683,'CAT_PUESTOS'!$A$4:$A$8,0)),"(sin catálogo)"))</f>
        <v/>
      </c>
      <c r="AB683" s="5">
        <f>IF($H683="","",IFERROR(INDEX('CAT_ACTIVIDADES'!$B$4:$B$11,MATCH($H683,'CAT_ACTIVIDADES'!$A$4:$A$11,0)),"(sin catálogo)"))</f>
        <v/>
      </c>
      <c r="AC683" s="20">
        <f>IF($J683="","",TODAY()-$J683)</f>
        <v/>
      </c>
      <c r="AD683" s="20">
        <f>IF($J683="","",IF($J683&lt;=TODAY(),COUNTIFS(cal_fechas,"&gt;="&amp;$J683,cal_fechas,"&lt;"&amp;TODAY(),cal_habil,"sí"),-COUNTIFS(cal_fechas,"&gt;="&amp;TODAY(),cal_fechas,"&lt;"&amp;$J683,cal_habil,"sí")))</f>
        <v/>
      </c>
      <c r="AE683" s="5">
        <f>IF($AD683="","",IF($AD683&lt;0,"FUTURO",IF($AD683&gt;p_dias_backlog_max,"BACKLOG","MES CORRIENTE")))</f>
        <v/>
      </c>
      <c r="AF683" s="5">
        <f>IF($AD683="",FALSE,AND($AD683&gt;p_dias_backlog_min,$AD683&lt;=p_dias_backlog_max))</f>
        <v/>
      </c>
      <c r="AG683" s="4" t="n"/>
      <c r="AH683" s="5">
        <f>IF($AG683="","",IF((IFERROR(INDEX('ASIGNACIONES'!$J$4:$J$451,MATCH($O683&amp;"|"&amp;$S683&amp;"|"&amp;$AG683,'ASIGNACIONES'!$N$4:$N$451,0)),""))=0,"",IFERROR(INDEX('ASIGNACIONES'!$J$4:$J$451,MATCH($O683&amp;"|"&amp;$S683&amp;"|"&amp;$AG683,'ASIGNACIONES'!$N$4:$N$451,0)),"")))</f>
        <v/>
      </c>
      <c r="AI683" s="25">
        <f>IF($AG683="","",SUMIFS('ORDENES'!$M$4:$M$1203,'ORDENES'!$AG$4:$AG$1203,$AG683,'ORDENES'!$O$4:$O$1203,$O683,'ORDENES'!$S$4:$S$1203,$S683))</f>
        <v/>
      </c>
      <c r="AJ683" s="25">
        <f>IF($AI683="","",p_factor_productividad*IFERROR(INDEX('ASIGNACIONES'!$M$4:$M$451,MATCH($O683&amp;"|"&amp;$S683&amp;"|"&amp;$AG683,'ASIGNACIONES'!$N$4:$N$451,0)),0)-$AI683)</f>
        <v/>
      </c>
      <c r="AK683" s="18">
        <f>IF($A683="","",IFERROR(INDEX('2_IMPORTAR_EJECUCION'!$F$9:$F$1208,MATCH($AT683,'2_IMPORTAR_EJECUCION'!$J$9:$J$1208,0)),0))</f>
        <v/>
      </c>
      <c r="AL683" s="18">
        <f>IF($A683="","",MAX(0,IFERROR(INDEX('2_IMPORTAR_EJECUCION'!$H$9:$H$1208,MATCH($AT683,'2_IMPORTAR_EJECUCION'!$J$9:$J$1208,0)),0)-$AK683))</f>
        <v/>
      </c>
      <c r="AM683" s="18">
        <f>IF($A683="","",$AK683+$AL683)</f>
        <v/>
      </c>
      <c r="AN683" s="5">
        <f>IF($A683="","",IF(OR((IFERROR(INDEX('CAT_ACTIVIDADES'!$D$4:$D$11,MATCH($H683,'CAT_ACTIVIDADES'!$A$4:$A$11,0)),""))=0,(IFERROR(INDEX('CAT_ACTIVIDADES'!$D$4:$D$11,MATCH($H683,'CAT_ACTIVIDADES'!$A$4:$A$11,0)),""))=""),"SIN CLASIFICAR",IFERROR(INDEX('CAT_ACTIVIDADES'!$D$4:$D$11,MATCH($H683,'CAT_ACTIVIDADES'!$A$4:$A$11,0)),"")))</f>
        <v/>
      </c>
      <c r="AO683" s="4" t="n"/>
      <c r="AP683" s="4" t="n"/>
      <c r="AQ683" s="4" t="n"/>
      <c r="AR683" s="5">
        <f>IF($AQ683="","",HYPERLINK(p_ruta_base_checklists&amp;$AQ683,"abrir"))</f>
        <v/>
      </c>
      <c r="AS683" s="4" t="n"/>
      <c r="AT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2" t="n"/>
      <c r="K684" s="5" t="n"/>
      <c r="L684" s="18" t="n"/>
      <c r="M684" s="5">
        <f>IF($A684="","",IFERROR(INDEX('AJUSTES'!$B$4:$B$303,MATCH($AT684,'AJUSTES'!$A$4:$A$303,0)),IF($K684="","",$K684)))</f>
        <v/>
      </c>
      <c r="N684" s="5">
        <f>IF($A684="","",IFERROR(INDEX('CAT_ESTADOS_ERP'!$B$4:$B$7,MATCH(IFERROR(INDEX('2_IMPORTAR_EJECUCION'!$C$9:$C$1208,MATCH($AT684,'2_IMPORTAR_EJECUCION'!$J$9:$J$1208,0)),""),'CAT_ESTADOS_ERP'!$A$4:$A$7,0)),"Pendiente"))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IF($J684="","",$P684&amp;"-"&amp;TEXT($Q684,"00"))</f>
        <v/>
      </c>
      <c r="S684" s="5">
        <f>IF($J684="","",INDEX(lista_dias,WEEKDAY($J684,2)))</f>
        <v/>
      </c>
      <c r="T684" s="5">
        <f>IF($J684="","",IFERROR(INDEX('CALENDARIO'!$C$15:$C$214,MATCH(TEXT($J684,"yyyy-mm-dd")&amp;"|"&amp;$X684&amp;"|"&amp;$Y684,'CALENDARIO'!$G$15:$G$214,0)),IFERROR(INDEX('CALENDARIO'!$C$15:$C$214,MATCH(TEXT($J684,"yyyy-mm-dd")&amp;"|"&amp;$X684&amp;"|",'CALENDARIO'!$G$15:$G$214,0)),IFERROR(INDEX('CALENDARIO'!$C$15:$C$214,MATCH(TEXT($J684,"yyyy-mm-dd")&amp;"||",'CALENDARIO'!$G$15:$G$214,0)),INDEX(patronHabil,WEEKDAY($J684,2))))))</f>
        <v/>
      </c>
      <c r="U684" s="5">
        <f>IF($I684="","",IFERROR(INDEX('CAT_TIPOS_OT'!$C$4:$C$8,MATCH($I684,'CAT_TIPOS_OT'!$A$4:$A$8,0)),"sin_clasificar"))</f>
        <v/>
      </c>
      <c r="V684" s="5">
        <f>IF($I684="","",IF(IFERROR(INDEX('CAT_TIPOS_OT'!$D$4:$D$8,MATCH($I684,'CAT_TIPOS_OT'!$A$4:$A$8,0)),"SIN CLASIFICAR")="","SIN CLASIFICAR",IFERROR(INDEX('CAT_TIPOS_OT'!$D$4:$D$8,MATCH($I684,'CAT_TIPOS_OT'!$A$4:$A$8,0)),"SIN CLASIFICAR")))</f>
        <v/>
      </c>
      <c r="W684" s="5">
        <f>IF($F684="","",IFERROR(INDEX('CAT_CENTROS_COSTO'!$F$4:$F$13,MATCH($F684,'CAT_CENTROS_COSTO'!$A$4:$A$13,0)),"(sin catálogo)"))</f>
        <v/>
      </c>
      <c r="X684" s="5">
        <f>IF($F684="","",IFERROR(INDEX('CAT_CENTROS_COSTO'!$D$4:$D$13,MATCH($F684,'CAT_CENTROS_COSTO'!$A$4:$A$13,0)),"(sin catálogo)"))</f>
        <v/>
      </c>
      <c r="Y684" s="5">
        <f>IF($F684="","",IF((IFERROR(INDEX('CAT_CENTROS_COSTO'!$E$4:$E$13,MATCH($F684,'CAT_CENTROS_COSTO'!$A$4:$A$13,0)),""))&lt;&gt;"",IFERROR(INDEX('CAT_CENTROS_COSTO'!$E$4:$E$13,MATCH($F684,'CAT_CENTROS_COSTO'!$A$4:$A$13,0)),""),$X684))</f>
        <v/>
      </c>
      <c r="Z684" s="5">
        <f>IF($F684="","",IFERROR(INDEX('CAT_CENTROS_COSTO'!$G$4:$G$13,MATCH($F684,'CAT_CENTROS_COSTO'!$A$4:$A$13,0)),"(sin catálogo)"))</f>
        <v/>
      </c>
      <c r="AA684" s="5">
        <f>IF($G684="","",IFERROR(INDEX('CAT_PUESTOS'!$B$4:$B$8,MATCH($G684,'CAT_PUESTOS'!$A$4:$A$8,0)),"(sin catálogo)"))</f>
        <v/>
      </c>
      <c r="AB684" s="5">
        <f>IF($H684="","",IFERROR(INDEX('CAT_ACTIVIDADES'!$B$4:$B$11,MATCH($H684,'CAT_ACTIVIDADES'!$A$4:$A$11,0)),"(sin catálogo)"))</f>
        <v/>
      </c>
      <c r="AC684" s="20">
        <f>IF($J684="","",TODAY()-$J684)</f>
        <v/>
      </c>
      <c r="AD684" s="20">
        <f>IF($J684="","",IF($J684&lt;=TODAY(),COUNTIFS(cal_fechas,"&gt;="&amp;$J684,cal_fechas,"&lt;"&amp;TODAY(),cal_habil,"sí"),-COUNTIFS(cal_fechas,"&gt;="&amp;TODAY(),cal_fechas,"&lt;"&amp;$J684,cal_habil,"sí")))</f>
        <v/>
      </c>
      <c r="AE684" s="5">
        <f>IF($AD684="","",IF($AD684&lt;0,"FUTURO",IF($AD684&gt;p_dias_backlog_max,"BACKLOG","MES CORRIENTE")))</f>
        <v/>
      </c>
      <c r="AF684" s="5">
        <f>IF($AD684="",FALSE,AND($AD684&gt;p_dias_backlog_min,$AD684&lt;=p_dias_backlog_max))</f>
        <v/>
      </c>
      <c r="AG684" s="4" t="n"/>
      <c r="AH684" s="5">
        <f>IF($AG684="","",IF((IFERROR(INDEX('ASIGNACIONES'!$J$4:$J$451,MATCH($O684&amp;"|"&amp;$S684&amp;"|"&amp;$AG684,'ASIGNACIONES'!$N$4:$N$451,0)),""))=0,"",IFERROR(INDEX('ASIGNACIONES'!$J$4:$J$451,MATCH($O684&amp;"|"&amp;$S684&amp;"|"&amp;$AG684,'ASIGNACIONES'!$N$4:$N$451,0)),"")))</f>
        <v/>
      </c>
      <c r="AI684" s="25">
        <f>IF($AG684="","",SUMIFS('ORDENES'!$M$4:$M$1203,'ORDENES'!$AG$4:$AG$1203,$AG684,'ORDENES'!$O$4:$O$1203,$O684,'ORDENES'!$S$4:$S$1203,$S684))</f>
        <v/>
      </c>
      <c r="AJ684" s="25">
        <f>IF($AI684="","",p_factor_productividad*IFERROR(INDEX('ASIGNACIONES'!$M$4:$M$451,MATCH($O684&amp;"|"&amp;$S684&amp;"|"&amp;$AG684,'ASIGNACIONES'!$N$4:$N$451,0)),0)-$AI684)</f>
        <v/>
      </c>
      <c r="AK684" s="18">
        <f>IF($A684="","",IFERROR(INDEX('2_IMPORTAR_EJECUCION'!$F$9:$F$1208,MATCH($AT684,'2_IMPORTAR_EJECUCION'!$J$9:$J$1208,0)),0))</f>
        <v/>
      </c>
      <c r="AL684" s="18">
        <f>IF($A684="","",MAX(0,IFERROR(INDEX('2_IMPORTAR_EJECUCION'!$H$9:$H$1208,MATCH($AT684,'2_IMPORTAR_EJECUCION'!$J$9:$J$1208,0)),0)-$AK684))</f>
        <v/>
      </c>
      <c r="AM684" s="18">
        <f>IF($A684="","",$AK684+$AL684)</f>
        <v/>
      </c>
      <c r="AN684" s="5">
        <f>IF($A684="","",IF(OR((IFERROR(INDEX('CAT_ACTIVIDADES'!$D$4:$D$11,MATCH($H684,'CAT_ACTIVIDADES'!$A$4:$A$11,0)),""))=0,(IFERROR(INDEX('CAT_ACTIVIDADES'!$D$4:$D$11,MATCH($H684,'CAT_ACTIVIDADES'!$A$4:$A$11,0)),""))=""),"SIN CLASIFICAR",IFERROR(INDEX('CAT_ACTIVIDADES'!$D$4:$D$11,MATCH($H684,'CAT_ACTIVIDADES'!$A$4:$A$11,0)),"")))</f>
        <v/>
      </c>
      <c r="AO684" s="4" t="n"/>
      <c r="AP684" s="4" t="n"/>
      <c r="AQ684" s="4" t="n"/>
      <c r="AR684" s="5">
        <f>IF($AQ684="","",HYPERLINK(p_ruta_base_checklists&amp;$AQ684,"abrir"))</f>
        <v/>
      </c>
      <c r="AS684" s="4" t="n"/>
      <c r="AT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2" t="n"/>
      <c r="K685" s="5" t="n"/>
      <c r="L685" s="18" t="n"/>
      <c r="M685" s="5">
        <f>IF($A685="","",IFERROR(INDEX('AJUSTES'!$B$4:$B$303,MATCH($AT685,'AJUSTES'!$A$4:$A$303,0)),IF($K685="","",$K685)))</f>
        <v/>
      </c>
      <c r="N685" s="5">
        <f>IF($A685="","",IFERROR(INDEX('CAT_ESTADOS_ERP'!$B$4:$B$7,MATCH(IFERROR(INDEX('2_IMPORTAR_EJECUCION'!$C$9:$C$1208,MATCH($AT685,'2_IMPORTAR_EJECUCION'!$J$9:$J$1208,0)),""),'CAT_ESTADOS_ERP'!$A$4:$A$7,0)),"Pendiente"))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IF($J685="","",$P685&amp;"-"&amp;TEXT($Q685,"00"))</f>
        <v/>
      </c>
      <c r="S685" s="5">
        <f>IF($J685="","",INDEX(lista_dias,WEEKDAY($J685,2)))</f>
        <v/>
      </c>
      <c r="T685" s="5">
        <f>IF($J685="","",IFERROR(INDEX('CALENDARIO'!$C$15:$C$214,MATCH(TEXT($J685,"yyyy-mm-dd")&amp;"|"&amp;$X685&amp;"|"&amp;$Y685,'CALENDARIO'!$G$15:$G$214,0)),IFERROR(INDEX('CALENDARIO'!$C$15:$C$214,MATCH(TEXT($J685,"yyyy-mm-dd")&amp;"|"&amp;$X685&amp;"|",'CALENDARIO'!$G$15:$G$214,0)),IFERROR(INDEX('CALENDARIO'!$C$15:$C$214,MATCH(TEXT($J685,"yyyy-mm-dd")&amp;"||",'CALENDARIO'!$G$15:$G$214,0)),INDEX(patronHabil,WEEKDAY($J685,2))))))</f>
        <v/>
      </c>
      <c r="U685" s="5">
        <f>IF($I685="","",IFERROR(INDEX('CAT_TIPOS_OT'!$C$4:$C$8,MATCH($I685,'CAT_TIPOS_OT'!$A$4:$A$8,0)),"sin_clasificar"))</f>
        <v/>
      </c>
      <c r="V685" s="5">
        <f>IF($I685="","",IF(IFERROR(INDEX('CAT_TIPOS_OT'!$D$4:$D$8,MATCH($I685,'CAT_TIPOS_OT'!$A$4:$A$8,0)),"SIN CLASIFICAR")="","SIN CLASIFICAR",IFERROR(INDEX('CAT_TIPOS_OT'!$D$4:$D$8,MATCH($I685,'CAT_TIPOS_OT'!$A$4:$A$8,0)),"SIN CLASIFICAR")))</f>
        <v/>
      </c>
      <c r="W685" s="5">
        <f>IF($F685="","",IFERROR(INDEX('CAT_CENTROS_COSTO'!$F$4:$F$13,MATCH($F685,'CAT_CENTROS_COSTO'!$A$4:$A$13,0)),"(sin catálogo)"))</f>
        <v/>
      </c>
      <c r="X685" s="5">
        <f>IF($F685="","",IFERROR(INDEX('CAT_CENTROS_COSTO'!$D$4:$D$13,MATCH($F685,'CAT_CENTROS_COSTO'!$A$4:$A$13,0)),"(sin catálogo)"))</f>
        <v/>
      </c>
      <c r="Y685" s="5">
        <f>IF($F685="","",IF((IFERROR(INDEX('CAT_CENTROS_COSTO'!$E$4:$E$13,MATCH($F685,'CAT_CENTROS_COSTO'!$A$4:$A$13,0)),""))&lt;&gt;"",IFERROR(INDEX('CAT_CENTROS_COSTO'!$E$4:$E$13,MATCH($F685,'CAT_CENTROS_COSTO'!$A$4:$A$13,0)),""),$X685))</f>
        <v/>
      </c>
      <c r="Z685" s="5">
        <f>IF($F685="","",IFERROR(INDEX('CAT_CENTROS_COSTO'!$G$4:$G$13,MATCH($F685,'CAT_CENTROS_COSTO'!$A$4:$A$13,0)),"(sin catálogo)"))</f>
        <v/>
      </c>
      <c r="AA685" s="5">
        <f>IF($G685="","",IFERROR(INDEX('CAT_PUESTOS'!$B$4:$B$8,MATCH($G685,'CAT_PUESTOS'!$A$4:$A$8,0)),"(sin catálogo)"))</f>
        <v/>
      </c>
      <c r="AB685" s="5">
        <f>IF($H685="","",IFERROR(INDEX('CAT_ACTIVIDADES'!$B$4:$B$11,MATCH($H685,'CAT_ACTIVIDADES'!$A$4:$A$11,0)),"(sin catálogo)"))</f>
        <v/>
      </c>
      <c r="AC685" s="20">
        <f>IF($J685="","",TODAY()-$J685)</f>
        <v/>
      </c>
      <c r="AD685" s="20">
        <f>IF($J685="","",IF($J685&lt;=TODAY(),COUNTIFS(cal_fechas,"&gt;="&amp;$J685,cal_fechas,"&lt;"&amp;TODAY(),cal_habil,"sí"),-COUNTIFS(cal_fechas,"&gt;="&amp;TODAY(),cal_fechas,"&lt;"&amp;$J685,cal_habil,"sí")))</f>
        <v/>
      </c>
      <c r="AE685" s="5">
        <f>IF($AD685="","",IF($AD685&lt;0,"FUTURO",IF($AD685&gt;p_dias_backlog_max,"BACKLOG","MES CORRIENTE")))</f>
        <v/>
      </c>
      <c r="AF685" s="5">
        <f>IF($AD685="",FALSE,AND($AD685&gt;p_dias_backlog_min,$AD685&lt;=p_dias_backlog_max))</f>
        <v/>
      </c>
      <c r="AG685" s="4" t="n"/>
      <c r="AH685" s="5">
        <f>IF($AG685="","",IF((IFERROR(INDEX('ASIGNACIONES'!$J$4:$J$451,MATCH($O685&amp;"|"&amp;$S685&amp;"|"&amp;$AG685,'ASIGNACIONES'!$N$4:$N$451,0)),""))=0,"",IFERROR(INDEX('ASIGNACIONES'!$J$4:$J$451,MATCH($O685&amp;"|"&amp;$S685&amp;"|"&amp;$AG685,'ASIGNACIONES'!$N$4:$N$451,0)),"")))</f>
        <v/>
      </c>
      <c r="AI685" s="25">
        <f>IF($AG685="","",SUMIFS('ORDENES'!$M$4:$M$1203,'ORDENES'!$AG$4:$AG$1203,$AG685,'ORDENES'!$O$4:$O$1203,$O685,'ORDENES'!$S$4:$S$1203,$S685))</f>
        <v/>
      </c>
      <c r="AJ685" s="25">
        <f>IF($AI685="","",p_factor_productividad*IFERROR(INDEX('ASIGNACIONES'!$M$4:$M$451,MATCH($O685&amp;"|"&amp;$S685&amp;"|"&amp;$AG685,'ASIGNACIONES'!$N$4:$N$451,0)),0)-$AI685)</f>
        <v/>
      </c>
      <c r="AK685" s="18">
        <f>IF($A685="","",IFERROR(INDEX('2_IMPORTAR_EJECUCION'!$F$9:$F$1208,MATCH($AT685,'2_IMPORTAR_EJECUCION'!$J$9:$J$1208,0)),0))</f>
        <v/>
      </c>
      <c r="AL685" s="18">
        <f>IF($A685="","",MAX(0,IFERROR(INDEX('2_IMPORTAR_EJECUCION'!$H$9:$H$1208,MATCH($AT685,'2_IMPORTAR_EJECUCION'!$J$9:$J$1208,0)),0)-$AK685))</f>
        <v/>
      </c>
      <c r="AM685" s="18">
        <f>IF($A685="","",$AK685+$AL685)</f>
        <v/>
      </c>
      <c r="AN685" s="5">
        <f>IF($A685="","",IF(OR((IFERROR(INDEX('CAT_ACTIVIDADES'!$D$4:$D$11,MATCH($H685,'CAT_ACTIVIDADES'!$A$4:$A$11,0)),""))=0,(IFERROR(INDEX('CAT_ACTIVIDADES'!$D$4:$D$11,MATCH($H685,'CAT_ACTIVIDADES'!$A$4:$A$11,0)),""))=""),"SIN CLASIFICAR",IFERROR(INDEX('CAT_ACTIVIDADES'!$D$4:$D$11,MATCH($H685,'CAT_ACTIVIDADES'!$A$4:$A$11,0)),"")))</f>
        <v/>
      </c>
      <c r="AO685" s="4" t="n"/>
      <c r="AP685" s="4" t="n"/>
      <c r="AQ685" s="4" t="n"/>
      <c r="AR685" s="5">
        <f>IF($AQ685="","",HYPERLINK(p_ruta_base_checklists&amp;$AQ685,"abrir"))</f>
        <v/>
      </c>
      <c r="AS685" s="4" t="n"/>
      <c r="AT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2" t="n"/>
      <c r="K686" s="5" t="n"/>
      <c r="L686" s="18" t="n"/>
      <c r="M686" s="5">
        <f>IF($A686="","",IFERROR(INDEX('AJUSTES'!$B$4:$B$303,MATCH($AT686,'AJUSTES'!$A$4:$A$303,0)),IF($K686="","",$K686)))</f>
        <v/>
      </c>
      <c r="N686" s="5">
        <f>IF($A686="","",IFERROR(INDEX('CAT_ESTADOS_ERP'!$B$4:$B$7,MATCH(IFERROR(INDEX('2_IMPORTAR_EJECUCION'!$C$9:$C$1208,MATCH($AT686,'2_IMPORTAR_EJECUCION'!$J$9:$J$1208,0)),""),'CAT_ESTADOS_ERP'!$A$4:$A$7,0)),"Pendiente"))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IF($J686="","",$P686&amp;"-"&amp;TEXT($Q686,"00"))</f>
        <v/>
      </c>
      <c r="S686" s="5">
        <f>IF($J686="","",INDEX(lista_dias,WEEKDAY($J686,2)))</f>
        <v/>
      </c>
      <c r="T686" s="5">
        <f>IF($J686="","",IFERROR(INDEX('CALENDARIO'!$C$15:$C$214,MATCH(TEXT($J686,"yyyy-mm-dd")&amp;"|"&amp;$X686&amp;"|"&amp;$Y686,'CALENDARIO'!$G$15:$G$214,0)),IFERROR(INDEX('CALENDARIO'!$C$15:$C$214,MATCH(TEXT($J686,"yyyy-mm-dd")&amp;"|"&amp;$X686&amp;"|",'CALENDARIO'!$G$15:$G$214,0)),IFERROR(INDEX('CALENDARIO'!$C$15:$C$214,MATCH(TEXT($J686,"yyyy-mm-dd")&amp;"||",'CALENDARIO'!$G$15:$G$214,0)),INDEX(patronHabil,WEEKDAY($J686,2))))))</f>
        <v/>
      </c>
      <c r="U686" s="5">
        <f>IF($I686="","",IFERROR(INDEX('CAT_TIPOS_OT'!$C$4:$C$8,MATCH($I686,'CAT_TIPOS_OT'!$A$4:$A$8,0)),"sin_clasificar"))</f>
        <v/>
      </c>
      <c r="V686" s="5">
        <f>IF($I686="","",IF(IFERROR(INDEX('CAT_TIPOS_OT'!$D$4:$D$8,MATCH($I686,'CAT_TIPOS_OT'!$A$4:$A$8,0)),"SIN CLASIFICAR")="","SIN CLASIFICAR",IFERROR(INDEX('CAT_TIPOS_OT'!$D$4:$D$8,MATCH($I686,'CAT_TIPOS_OT'!$A$4:$A$8,0)),"SIN CLASIFICAR")))</f>
        <v/>
      </c>
      <c r="W686" s="5">
        <f>IF($F686="","",IFERROR(INDEX('CAT_CENTROS_COSTO'!$F$4:$F$13,MATCH($F686,'CAT_CENTROS_COSTO'!$A$4:$A$13,0)),"(sin catálogo)"))</f>
        <v/>
      </c>
      <c r="X686" s="5">
        <f>IF($F686="","",IFERROR(INDEX('CAT_CENTROS_COSTO'!$D$4:$D$13,MATCH($F686,'CAT_CENTROS_COSTO'!$A$4:$A$13,0)),"(sin catálogo)"))</f>
        <v/>
      </c>
      <c r="Y686" s="5">
        <f>IF($F686="","",IF((IFERROR(INDEX('CAT_CENTROS_COSTO'!$E$4:$E$13,MATCH($F686,'CAT_CENTROS_COSTO'!$A$4:$A$13,0)),""))&lt;&gt;"",IFERROR(INDEX('CAT_CENTROS_COSTO'!$E$4:$E$13,MATCH($F686,'CAT_CENTROS_COSTO'!$A$4:$A$13,0)),""),$X686))</f>
        <v/>
      </c>
      <c r="Z686" s="5">
        <f>IF($F686="","",IFERROR(INDEX('CAT_CENTROS_COSTO'!$G$4:$G$13,MATCH($F686,'CAT_CENTROS_COSTO'!$A$4:$A$13,0)),"(sin catálogo)"))</f>
        <v/>
      </c>
      <c r="AA686" s="5">
        <f>IF($G686="","",IFERROR(INDEX('CAT_PUESTOS'!$B$4:$B$8,MATCH($G686,'CAT_PUESTOS'!$A$4:$A$8,0)),"(sin catálogo)"))</f>
        <v/>
      </c>
      <c r="AB686" s="5">
        <f>IF($H686="","",IFERROR(INDEX('CAT_ACTIVIDADES'!$B$4:$B$11,MATCH($H686,'CAT_ACTIVIDADES'!$A$4:$A$11,0)),"(sin catálogo)"))</f>
        <v/>
      </c>
      <c r="AC686" s="20">
        <f>IF($J686="","",TODAY()-$J686)</f>
        <v/>
      </c>
      <c r="AD686" s="20">
        <f>IF($J686="","",IF($J686&lt;=TODAY(),COUNTIFS(cal_fechas,"&gt;="&amp;$J686,cal_fechas,"&lt;"&amp;TODAY(),cal_habil,"sí"),-COUNTIFS(cal_fechas,"&gt;="&amp;TODAY(),cal_fechas,"&lt;"&amp;$J686,cal_habil,"sí")))</f>
        <v/>
      </c>
      <c r="AE686" s="5">
        <f>IF($AD686="","",IF($AD686&lt;0,"FUTURO",IF($AD686&gt;p_dias_backlog_max,"BACKLOG","MES CORRIENTE")))</f>
        <v/>
      </c>
      <c r="AF686" s="5">
        <f>IF($AD686="",FALSE,AND($AD686&gt;p_dias_backlog_min,$AD686&lt;=p_dias_backlog_max))</f>
        <v/>
      </c>
      <c r="AG686" s="4" t="n"/>
      <c r="AH686" s="5">
        <f>IF($AG686="","",IF((IFERROR(INDEX('ASIGNACIONES'!$J$4:$J$451,MATCH($O686&amp;"|"&amp;$S686&amp;"|"&amp;$AG686,'ASIGNACIONES'!$N$4:$N$451,0)),""))=0,"",IFERROR(INDEX('ASIGNACIONES'!$J$4:$J$451,MATCH($O686&amp;"|"&amp;$S686&amp;"|"&amp;$AG686,'ASIGNACIONES'!$N$4:$N$451,0)),"")))</f>
        <v/>
      </c>
      <c r="AI686" s="25">
        <f>IF($AG686="","",SUMIFS('ORDENES'!$M$4:$M$1203,'ORDENES'!$AG$4:$AG$1203,$AG686,'ORDENES'!$O$4:$O$1203,$O686,'ORDENES'!$S$4:$S$1203,$S686))</f>
        <v/>
      </c>
      <c r="AJ686" s="25">
        <f>IF($AI686="","",p_factor_productividad*IFERROR(INDEX('ASIGNACIONES'!$M$4:$M$451,MATCH($O686&amp;"|"&amp;$S686&amp;"|"&amp;$AG686,'ASIGNACIONES'!$N$4:$N$451,0)),0)-$AI686)</f>
        <v/>
      </c>
      <c r="AK686" s="18">
        <f>IF($A686="","",IFERROR(INDEX('2_IMPORTAR_EJECUCION'!$F$9:$F$1208,MATCH($AT686,'2_IMPORTAR_EJECUCION'!$J$9:$J$1208,0)),0))</f>
        <v/>
      </c>
      <c r="AL686" s="18">
        <f>IF($A686="","",MAX(0,IFERROR(INDEX('2_IMPORTAR_EJECUCION'!$H$9:$H$1208,MATCH($AT686,'2_IMPORTAR_EJECUCION'!$J$9:$J$1208,0)),0)-$AK686))</f>
        <v/>
      </c>
      <c r="AM686" s="18">
        <f>IF($A686="","",$AK686+$AL686)</f>
        <v/>
      </c>
      <c r="AN686" s="5">
        <f>IF($A686="","",IF(OR((IFERROR(INDEX('CAT_ACTIVIDADES'!$D$4:$D$11,MATCH($H686,'CAT_ACTIVIDADES'!$A$4:$A$11,0)),""))=0,(IFERROR(INDEX('CAT_ACTIVIDADES'!$D$4:$D$11,MATCH($H686,'CAT_ACTIVIDADES'!$A$4:$A$11,0)),""))=""),"SIN CLASIFICAR",IFERROR(INDEX('CAT_ACTIVIDADES'!$D$4:$D$11,MATCH($H686,'CAT_ACTIVIDADES'!$A$4:$A$11,0)),"")))</f>
        <v/>
      </c>
      <c r="AO686" s="4" t="n"/>
      <c r="AP686" s="4" t="n"/>
      <c r="AQ686" s="4" t="n"/>
      <c r="AR686" s="5">
        <f>IF($AQ686="","",HYPERLINK(p_ruta_base_checklists&amp;$AQ686,"abrir"))</f>
        <v/>
      </c>
      <c r="AS686" s="4" t="n"/>
      <c r="AT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2" t="n"/>
      <c r="K687" s="5" t="n"/>
      <c r="L687" s="18" t="n"/>
      <c r="M687" s="5">
        <f>IF($A687="","",IFERROR(INDEX('AJUSTES'!$B$4:$B$303,MATCH($AT687,'AJUSTES'!$A$4:$A$303,0)),IF($K687="","",$K687)))</f>
        <v/>
      </c>
      <c r="N687" s="5">
        <f>IF($A687="","",IFERROR(INDEX('CAT_ESTADOS_ERP'!$B$4:$B$7,MATCH(IFERROR(INDEX('2_IMPORTAR_EJECUCION'!$C$9:$C$1208,MATCH($AT687,'2_IMPORTAR_EJECUCION'!$J$9:$J$1208,0)),""),'CAT_ESTADOS_ERP'!$A$4:$A$7,0)),"Pendiente"))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IF($J687="","",$P687&amp;"-"&amp;TEXT($Q687,"00"))</f>
        <v/>
      </c>
      <c r="S687" s="5">
        <f>IF($J687="","",INDEX(lista_dias,WEEKDAY($J687,2)))</f>
        <v/>
      </c>
      <c r="T687" s="5">
        <f>IF($J687="","",IFERROR(INDEX('CALENDARIO'!$C$15:$C$214,MATCH(TEXT($J687,"yyyy-mm-dd")&amp;"|"&amp;$X687&amp;"|"&amp;$Y687,'CALENDARIO'!$G$15:$G$214,0)),IFERROR(INDEX('CALENDARIO'!$C$15:$C$214,MATCH(TEXT($J687,"yyyy-mm-dd")&amp;"|"&amp;$X687&amp;"|",'CALENDARIO'!$G$15:$G$214,0)),IFERROR(INDEX('CALENDARIO'!$C$15:$C$214,MATCH(TEXT($J687,"yyyy-mm-dd")&amp;"||",'CALENDARIO'!$G$15:$G$214,0)),INDEX(patronHabil,WEEKDAY($J687,2))))))</f>
        <v/>
      </c>
      <c r="U687" s="5">
        <f>IF($I687="","",IFERROR(INDEX('CAT_TIPOS_OT'!$C$4:$C$8,MATCH($I687,'CAT_TIPOS_OT'!$A$4:$A$8,0)),"sin_clasificar"))</f>
        <v/>
      </c>
      <c r="V687" s="5">
        <f>IF($I687="","",IF(IFERROR(INDEX('CAT_TIPOS_OT'!$D$4:$D$8,MATCH($I687,'CAT_TIPOS_OT'!$A$4:$A$8,0)),"SIN CLASIFICAR")="","SIN CLASIFICAR",IFERROR(INDEX('CAT_TIPOS_OT'!$D$4:$D$8,MATCH($I687,'CAT_TIPOS_OT'!$A$4:$A$8,0)),"SIN CLASIFICAR")))</f>
        <v/>
      </c>
      <c r="W687" s="5">
        <f>IF($F687="","",IFERROR(INDEX('CAT_CENTROS_COSTO'!$F$4:$F$13,MATCH($F687,'CAT_CENTROS_COSTO'!$A$4:$A$13,0)),"(sin catálogo)"))</f>
        <v/>
      </c>
      <c r="X687" s="5">
        <f>IF($F687="","",IFERROR(INDEX('CAT_CENTROS_COSTO'!$D$4:$D$13,MATCH($F687,'CAT_CENTROS_COSTO'!$A$4:$A$13,0)),"(sin catálogo)"))</f>
        <v/>
      </c>
      <c r="Y687" s="5">
        <f>IF($F687="","",IF((IFERROR(INDEX('CAT_CENTROS_COSTO'!$E$4:$E$13,MATCH($F687,'CAT_CENTROS_COSTO'!$A$4:$A$13,0)),""))&lt;&gt;"",IFERROR(INDEX('CAT_CENTROS_COSTO'!$E$4:$E$13,MATCH($F687,'CAT_CENTROS_COSTO'!$A$4:$A$13,0)),""),$X687))</f>
        <v/>
      </c>
      <c r="Z687" s="5">
        <f>IF($F687="","",IFERROR(INDEX('CAT_CENTROS_COSTO'!$G$4:$G$13,MATCH($F687,'CAT_CENTROS_COSTO'!$A$4:$A$13,0)),"(sin catálogo)"))</f>
        <v/>
      </c>
      <c r="AA687" s="5">
        <f>IF($G687="","",IFERROR(INDEX('CAT_PUESTOS'!$B$4:$B$8,MATCH($G687,'CAT_PUESTOS'!$A$4:$A$8,0)),"(sin catálogo)"))</f>
        <v/>
      </c>
      <c r="AB687" s="5">
        <f>IF($H687="","",IFERROR(INDEX('CAT_ACTIVIDADES'!$B$4:$B$11,MATCH($H687,'CAT_ACTIVIDADES'!$A$4:$A$11,0)),"(sin catálogo)"))</f>
        <v/>
      </c>
      <c r="AC687" s="20">
        <f>IF($J687="","",TODAY()-$J687)</f>
        <v/>
      </c>
      <c r="AD687" s="20">
        <f>IF($J687="","",IF($J687&lt;=TODAY(),COUNTIFS(cal_fechas,"&gt;="&amp;$J687,cal_fechas,"&lt;"&amp;TODAY(),cal_habil,"sí"),-COUNTIFS(cal_fechas,"&gt;="&amp;TODAY(),cal_fechas,"&lt;"&amp;$J687,cal_habil,"sí")))</f>
        <v/>
      </c>
      <c r="AE687" s="5">
        <f>IF($AD687="","",IF($AD687&lt;0,"FUTURO",IF($AD687&gt;p_dias_backlog_max,"BACKLOG","MES CORRIENTE")))</f>
        <v/>
      </c>
      <c r="AF687" s="5">
        <f>IF($AD687="",FALSE,AND($AD687&gt;p_dias_backlog_min,$AD687&lt;=p_dias_backlog_max))</f>
        <v/>
      </c>
      <c r="AG687" s="4" t="n"/>
      <c r="AH687" s="5">
        <f>IF($AG687="","",IF((IFERROR(INDEX('ASIGNACIONES'!$J$4:$J$451,MATCH($O687&amp;"|"&amp;$S687&amp;"|"&amp;$AG687,'ASIGNACIONES'!$N$4:$N$451,0)),""))=0,"",IFERROR(INDEX('ASIGNACIONES'!$J$4:$J$451,MATCH($O687&amp;"|"&amp;$S687&amp;"|"&amp;$AG687,'ASIGNACIONES'!$N$4:$N$451,0)),"")))</f>
        <v/>
      </c>
      <c r="AI687" s="25">
        <f>IF($AG687="","",SUMIFS('ORDENES'!$M$4:$M$1203,'ORDENES'!$AG$4:$AG$1203,$AG687,'ORDENES'!$O$4:$O$1203,$O687,'ORDENES'!$S$4:$S$1203,$S687))</f>
        <v/>
      </c>
      <c r="AJ687" s="25">
        <f>IF($AI687="","",p_factor_productividad*IFERROR(INDEX('ASIGNACIONES'!$M$4:$M$451,MATCH($O687&amp;"|"&amp;$S687&amp;"|"&amp;$AG687,'ASIGNACIONES'!$N$4:$N$451,0)),0)-$AI687)</f>
        <v/>
      </c>
      <c r="AK687" s="18">
        <f>IF($A687="","",IFERROR(INDEX('2_IMPORTAR_EJECUCION'!$F$9:$F$1208,MATCH($AT687,'2_IMPORTAR_EJECUCION'!$J$9:$J$1208,0)),0))</f>
        <v/>
      </c>
      <c r="AL687" s="18">
        <f>IF($A687="","",MAX(0,IFERROR(INDEX('2_IMPORTAR_EJECUCION'!$H$9:$H$1208,MATCH($AT687,'2_IMPORTAR_EJECUCION'!$J$9:$J$1208,0)),0)-$AK687))</f>
        <v/>
      </c>
      <c r="AM687" s="18">
        <f>IF($A687="","",$AK687+$AL687)</f>
        <v/>
      </c>
      <c r="AN687" s="5">
        <f>IF($A687="","",IF(OR((IFERROR(INDEX('CAT_ACTIVIDADES'!$D$4:$D$11,MATCH($H687,'CAT_ACTIVIDADES'!$A$4:$A$11,0)),""))=0,(IFERROR(INDEX('CAT_ACTIVIDADES'!$D$4:$D$11,MATCH($H687,'CAT_ACTIVIDADES'!$A$4:$A$11,0)),""))=""),"SIN CLASIFICAR",IFERROR(INDEX('CAT_ACTIVIDADES'!$D$4:$D$11,MATCH($H687,'CAT_ACTIVIDADES'!$A$4:$A$11,0)),"")))</f>
        <v/>
      </c>
      <c r="AO687" s="4" t="n"/>
      <c r="AP687" s="4" t="n"/>
      <c r="AQ687" s="4" t="n"/>
      <c r="AR687" s="5">
        <f>IF($AQ687="","",HYPERLINK(p_ruta_base_checklists&amp;$AQ687,"abrir"))</f>
        <v/>
      </c>
      <c r="AS687" s="4" t="n"/>
      <c r="AT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2" t="n"/>
      <c r="K688" s="5" t="n"/>
      <c r="L688" s="18" t="n"/>
      <c r="M688" s="5">
        <f>IF($A688="","",IFERROR(INDEX('AJUSTES'!$B$4:$B$303,MATCH($AT688,'AJUSTES'!$A$4:$A$303,0)),IF($K688="","",$K688)))</f>
        <v/>
      </c>
      <c r="N688" s="5">
        <f>IF($A688="","",IFERROR(INDEX('CAT_ESTADOS_ERP'!$B$4:$B$7,MATCH(IFERROR(INDEX('2_IMPORTAR_EJECUCION'!$C$9:$C$1208,MATCH($AT688,'2_IMPORTAR_EJECUCION'!$J$9:$J$1208,0)),""),'CAT_ESTADOS_ERP'!$A$4:$A$7,0)),"Pendiente"))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IF($J688="","",$P688&amp;"-"&amp;TEXT($Q688,"00"))</f>
        <v/>
      </c>
      <c r="S688" s="5">
        <f>IF($J688="","",INDEX(lista_dias,WEEKDAY($J688,2)))</f>
        <v/>
      </c>
      <c r="T688" s="5">
        <f>IF($J688="","",IFERROR(INDEX('CALENDARIO'!$C$15:$C$214,MATCH(TEXT($J688,"yyyy-mm-dd")&amp;"|"&amp;$X688&amp;"|"&amp;$Y688,'CALENDARIO'!$G$15:$G$214,0)),IFERROR(INDEX('CALENDARIO'!$C$15:$C$214,MATCH(TEXT($J688,"yyyy-mm-dd")&amp;"|"&amp;$X688&amp;"|",'CALENDARIO'!$G$15:$G$214,0)),IFERROR(INDEX('CALENDARIO'!$C$15:$C$214,MATCH(TEXT($J688,"yyyy-mm-dd")&amp;"||",'CALENDARIO'!$G$15:$G$214,0)),INDEX(patronHabil,WEEKDAY($J688,2))))))</f>
        <v/>
      </c>
      <c r="U688" s="5">
        <f>IF($I688="","",IFERROR(INDEX('CAT_TIPOS_OT'!$C$4:$C$8,MATCH($I688,'CAT_TIPOS_OT'!$A$4:$A$8,0)),"sin_clasificar"))</f>
        <v/>
      </c>
      <c r="V688" s="5">
        <f>IF($I688="","",IF(IFERROR(INDEX('CAT_TIPOS_OT'!$D$4:$D$8,MATCH($I688,'CAT_TIPOS_OT'!$A$4:$A$8,0)),"SIN CLASIFICAR")="","SIN CLASIFICAR",IFERROR(INDEX('CAT_TIPOS_OT'!$D$4:$D$8,MATCH($I688,'CAT_TIPOS_OT'!$A$4:$A$8,0)),"SIN CLASIFICAR")))</f>
        <v/>
      </c>
      <c r="W688" s="5">
        <f>IF($F688="","",IFERROR(INDEX('CAT_CENTROS_COSTO'!$F$4:$F$13,MATCH($F688,'CAT_CENTROS_COSTO'!$A$4:$A$13,0)),"(sin catálogo)"))</f>
        <v/>
      </c>
      <c r="X688" s="5">
        <f>IF($F688="","",IFERROR(INDEX('CAT_CENTROS_COSTO'!$D$4:$D$13,MATCH($F688,'CAT_CENTROS_COSTO'!$A$4:$A$13,0)),"(sin catálogo)"))</f>
        <v/>
      </c>
      <c r="Y688" s="5">
        <f>IF($F688="","",IF((IFERROR(INDEX('CAT_CENTROS_COSTO'!$E$4:$E$13,MATCH($F688,'CAT_CENTROS_COSTO'!$A$4:$A$13,0)),""))&lt;&gt;"",IFERROR(INDEX('CAT_CENTROS_COSTO'!$E$4:$E$13,MATCH($F688,'CAT_CENTROS_COSTO'!$A$4:$A$13,0)),""),$X688))</f>
        <v/>
      </c>
      <c r="Z688" s="5">
        <f>IF($F688="","",IFERROR(INDEX('CAT_CENTROS_COSTO'!$G$4:$G$13,MATCH($F688,'CAT_CENTROS_COSTO'!$A$4:$A$13,0)),"(sin catálogo)"))</f>
        <v/>
      </c>
      <c r="AA688" s="5">
        <f>IF($G688="","",IFERROR(INDEX('CAT_PUESTOS'!$B$4:$B$8,MATCH($G688,'CAT_PUESTOS'!$A$4:$A$8,0)),"(sin catálogo)"))</f>
        <v/>
      </c>
      <c r="AB688" s="5">
        <f>IF($H688="","",IFERROR(INDEX('CAT_ACTIVIDADES'!$B$4:$B$11,MATCH($H688,'CAT_ACTIVIDADES'!$A$4:$A$11,0)),"(sin catálogo)"))</f>
        <v/>
      </c>
      <c r="AC688" s="20">
        <f>IF($J688="","",TODAY()-$J688)</f>
        <v/>
      </c>
      <c r="AD688" s="20">
        <f>IF($J688="","",IF($J688&lt;=TODAY(),COUNTIFS(cal_fechas,"&gt;="&amp;$J688,cal_fechas,"&lt;"&amp;TODAY(),cal_habil,"sí"),-COUNTIFS(cal_fechas,"&gt;="&amp;TODAY(),cal_fechas,"&lt;"&amp;$J688,cal_habil,"sí")))</f>
        <v/>
      </c>
      <c r="AE688" s="5">
        <f>IF($AD688="","",IF($AD688&lt;0,"FUTURO",IF($AD688&gt;p_dias_backlog_max,"BACKLOG","MES CORRIENTE")))</f>
        <v/>
      </c>
      <c r="AF688" s="5">
        <f>IF($AD688="",FALSE,AND($AD688&gt;p_dias_backlog_min,$AD688&lt;=p_dias_backlog_max))</f>
        <v/>
      </c>
      <c r="AG688" s="4" t="n"/>
      <c r="AH688" s="5">
        <f>IF($AG688="","",IF((IFERROR(INDEX('ASIGNACIONES'!$J$4:$J$451,MATCH($O688&amp;"|"&amp;$S688&amp;"|"&amp;$AG688,'ASIGNACIONES'!$N$4:$N$451,0)),""))=0,"",IFERROR(INDEX('ASIGNACIONES'!$J$4:$J$451,MATCH($O688&amp;"|"&amp;$S688&amp;"|"&amp;$AG688,'ASIGNACIONES'!$N$4:$N$451,0)),"")))</f>
        <v/>
      </c>
      <c r="AI688" s="25">
        <f>IF($AG688="","",SUMIFS('ORDENES'!$M$4:$M$1203,'ORDENES'!$AG$4:$AG$1203,$AG688,'ORDENES'!$O$4:$O$1203,$O688,'ORDENES'!$S$4:$S$1203,$S688))</f>
        <v/>
      </c>
      <c r="AJ688" s="25">
        <f>IF($AI688="","",p_factor_productividad*IFERROR(INDEX('ASIGNACIONES'!$M$4:$M$451,MATCH($O688&amp;"|"&amp;$S688&amp;"|"&amp;$AG688,'ASIGNACIONES'!$N$4:$N$451,0)),0)-$AI688)</f>
        <v/>
      </c>
      <c r="AK688" s="18">
        <f>IF($A688="","",IFERROR(INDEX('2_IMPORTAR_EJECUCION'!$F$9:$F$1208,MATCH($AT688,'2_IMPORTAR_EJECUCION'!$J$9:$J$1208,0)),0))</f>
        <v/>
      </c>
      <c r="AL688" s="18">
        <f>IF($A688="","",MAX(0,IFERROR(INDEX('2_IMPORTAR_EJECUCION'!$H$9:$H$1208,MATCH($AT688,'2_IMPORTAR_EJECUCION'!$J$9:$J$1208,0)),0)-$AK688))</f>
        <v/>
      </c>
      <c r="AM688" s="18">
        <f>IF($A688="","",$AK688+$AL688)</f>
        <v/>
      </c>
      <c r="AN688" s="5">
        <f>IF($A688="","",IF(OR((IFERROR(INDEX('CAT_ACTIVIDADES'!$D$4:$D$11,MATCH($H688,'CAT_ACTIVIDADES'!$A$4:$A$11,0)),""))=0,(IFERROR(INDEX('CAT_ACTIVIDADES'!$D$4:$D$11,MATCH($H688,'CAT_ACTIVIDADES'!$A$4:$A$11,0)),""))=""),"SIN CLASIFICAR",IFERROR(INDEX('CAT_ACTIVIDADES'!$D$4:$D$11,MATCH($H688,'CAT_ACTIVIDADES'!$A$4:$A$11,0)),"")))</f>
        <v/>
      </c>
      <c r="AO688" s="4" t="n"/>
      <c r="AP688" s="4" t="n"/>
      <c r="AQ688" s="4" t="n"/>
      <c r="AR688" s="5">
        <f>IF($AQ688="","",HYPERLINK(p_ruta_base_checklists&amp;$AQ688,"abrir"))</f>
        <v/>
      </c>
      <c r="AS688" s="4" t="n"/>
      <c r="AT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2" t="n"/>
      <c r="K689" s="5" t="n"/>
      <c r="L689" s="18" t="n"/>
      <c r="M689" s="5">
        <f>IF($A689="","",IFERROR(INDEX('AJUSTES'!$B$4:$B$303,MATCH($AT689,'AJUSTES'!$A$4:$A$303,0)),IF($K689="","",$K689)))</f>
        <v/>
      </c>
      <c r="N689" s="5">
        <f>IF($A689="","",IFERROR(INDEX('CAT_ESTADOS_ERP'!$B$4:$B$7,MATCH(IFERROR(INDEX('2_IMPORTAR_EJECUCION'!$C$9:$C$1208,MATCH($AT689,'2_IMPORTAR_EJECUCION'!$J$9:$J$1208,0)),""),'CAT_ESTADOS_ERP'!$A$4:$A$7,0)),"Pendiente"))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IF($J689="","",$P689&amp;"-"&amp;TEXT($Q689,"00"))</f>
        <v/>
      </c>
      <c r="S689" s="5">
        <f>IF($J689="","",INDEX(lista_dias,WEEKDAY($J689,2)))</f>
        <v/>
      </c>
      <c r="T689" s="5">
        <f>IF($J689="","",IFERROR(INDEX('CALENDARIO'!$C$15:$C$214,MATCH(TEXT($J689,"yyyy-mm-dd")&amp;"|"&amp;$X689&amp;"|"&amp;$Y689,'CALENDARIO'!$G$15:$G$214,0)),IFERROR(INDEX('CALENDARIO'!$C$15:$C$214,MATCH(TEXT($J689,"yyyy-mm-dd")&amp;"|"&amp;$X689&amp;"|",'CALENDARIO'!$G$15:$G$214,0)),IFERROR(INDEX('CALENDARIO'!$C$15:$C$214,MATCH(TEXT($J689,"yyyy-mm-dd")&amp;"||",'CALENDARIO'!$G$15:$G$214,0)),INDEX(patronHabil,WEEKDAY($J689,2))))))</f>
        <v/>
      </c>
      <c r="U689" s="5">
        <f>IF($I689="","",IFERROR(INDEX('CAT_TIPOS_OT'!$C$4:$C$8,MATCH($I689,'CAT_TIPOS_OT'!$A$4:$A$8,0)),"sin_clasificar"))</f>
        <v/>
      </c>
      <c r="V689" s="5">
        <f>IF($I689="","",IF(IFERROR(INDEX('CAT_TIPOS_OT'!$D$4:$D$8,MATCH($I689,'CAT_TIPOS_OT'!$A$4:$A$8,0)),"SIN CLASIFICAR")="","SIN CLASIFICAR",IFERROR(INDEX('CAT_TIPOS_OT'!$D$4:$D$8,MATCH($I689,'CAT_TIPOS_OT'!$A$4:$A$8,0)),"SIN CLASIFICAR")))</f>
        <v/>
      </c>
      <c r="W689" s="5">
        <f>IF($F689="","",IFERROR(INDEX('CAT_CENTROS_COSTO'!$F$4:$F$13,MATCH($F689,'CAT_CENTROS_COSTO'!$A$4:$A$13,0)),"(sin catálogo)"))</f>
        <v/>
      </c>
      <c r="X689" s="5">
        <f>IF($F689="","",IFERROR(INDEX('CAT_CENTROS_COSTO'!$D$4:$D$13,MATCH($F689,'CAT_CENTROS_COSTO'!$A$4:$A$13,0)),"(sin catálogo)"))</f>
        <v/>
      </c>
      <c r="Y689" s="5">
        <f>IF($F689="","",IF((IFERROR(INDEX('CAT_CENTROS_COSTO'!$E$4:$E$13,MATCH($F689,'CAT_CENTROS_COSTO'!$A$4:$A$13,0)),""))&lt;&gt;"",IFERROR(INDEX('CAT_CENTROS_COSTO'!$E$4:$E$13,MATCH($F689,'CAT_CENTROS_COSTO'!$A$4:$A$13,0)),""),$X689))</f>
        <v/>
      </c>
      <c r="Z689" s="5">
        <f>IF($F689="","",IFERROR(INDEX('CAT_CENTROS_COSTO'!$G$4:$G$13,MATCH($F689,'CAT_CENTROS_COSTO'!$A$4:$A$13,0)),"(sin catálogo)"))</f>
        <v/>
      </c>
      <c r="AA689" s="5">
        <f>IF($G689="","",IFERROR(INDEX('CAT_PUESTOS'!$B$4:$B$8,MATCH($G689,'CAT_PUESTOS'!$A$4:$A$8,0)),"(sin catálogo)"))</f>
        <v/>
      </c>
      <c r="AB689" s="5">
        <f>IF($H689="","",IFERROR(INDEX('CAT_ACTIVIDADES'!$B$4:$B$11,MATCH($H689,'CAT_ACTIVIDADES'!$A$4:$A$11,0)),"(sin catálogo)"))</f>
        <v/>
      </c>
      <c r="AC689" s="20">
        <f>IF($J689="","",TODAY()-$J689)</f>
        <v/>
      </c>
      <c r="AD689" s="20">
        <f>IF($J689="","",IF($J689&lt;=TODAY(),COUNTIFS(cal_fechas,"&gt;="&amp;$J689,cal_fechas,"&lt;"&amp;TODAY(),cal_habil,"sí"),-COUNTIFS(cal_fechas,"&gt;="&amp;TODAY(),cal_fechas,"&lt;"&amp;$J689,cal_habil,"sí")))</f>
        <v/>
      </c>
      <c r="AE689" s="5">
        <f>IF($AD689="","",IF($AD689&lt;0,"FUTURO",IF($AD689&gt;p_dias_backlog_max,"BACKLOG","MES CORRIENTE")))</f>
        <v/>
      </c>
      <c r="AF689" s="5">
        <f>IF($AD689="",FALSE,AND($AD689&gt;p_dias_backlog_min,$AD689&lt;=p_dias_backlog_max))</f>
        <v/>
      </c>
      <c r="AG689" s="4" t="n"/>
      <c r="AH689" s="5">
        <f>IF($AG689="","",IF((IFERROR(INDEX('ASIGNACIONES'!$J$4:$J$451,MATCH($O689&amp;"|"&amp;$S689&amp;"|"&amp;$AG689,'ASIGNACIONES'!$N$4:$N$451,0)),""))=0,"",IFERROR(INDEX('ASIGNACIONES'!$J$4:$J$451,MATCH($O689&amp;"|"&amp;$S689&amp;"|"&amp;$AG689,'ASIGNACIONES'!$N$4:$N$451,0)),"")))</f>
        <v/>
      </c>
      <c r="AI689" s="25">
        <f>IF($AG689="","",SUMIFS('ORDENES'!$M$4:$M$1203,'ORDENES'!$AG$4:$AG$1203,$AG689,'ORDENES'!$O$4:$O$1203,$O689,'ORDENES'!$S$4:$S$1203,$S689))</f>
        <v/>
      </c>
      <c r="AJ689" s="25">
        <f>IF($AI689="","",p_factor_productividad*IFERROR(INDEX('ASIGNACIONES'!$M$4:$M$451,MATCH($O689&amp;"|"&amp;$S689&amp;"|"&amp;$AG689,'ASIGNACIONES'!$N$4:$N$451,0)),0)-$AI689)</f>
        <v/>
      </c>
      <c r="AK689" s="18">
        <f>IF($A689="","",IFERROR(INDEX('2_IMPORTAR_EJECUCION'!$F$9:$F$1208,MATCH($AT689,'2_IMPORTAR_EJECUCION'!$J$9:$J$1208,0)),0))</f>
        <v/>
      </c>
      <c r="AL689" s="18">
        <f>IF($A689="","",MAX(0,IFERROR(INDEX('2_IMPORTAR_EJECUCION'!$H$9:$H$1208,MATCH($AT689,'2_IMPORTAR_EJECUCION'!$J$9:$J$1208,0)),0)-$AK689))</f>
        <v/>
      </c>
      <c r="AM689" s="18">
        <f>IF($A689="","",$AK689+$AL689)</f>
        <v/>
      </c>
      <c r="AN689" s="5">
        <f>IF($A689="","",IF(OR((IFERROR(INDEX('CAT_ACTIVIDADES'!$D$4:$D$11,MATCH($H689,'CAT_ACTIVIDADES'!$A$4:$A$11,0)),""))=0,(IFERROR(INDEX('CAT_ACTIVIDADES'!$D$4:$D$11,MATCH($H689,'CAT_ACTIVIDADES'!$A$4:$A$11,0)),""))=""),"SIN CLASIFICAR",IFERROR(INDEX('CAT_ACTIVIDADES'!$D$4:$D$11,MATCH($H689,'CAT_ACTIVIDADES'!$A$4:$A$11,0)),"")))</f>
        <v/>
      </c>
      <c r="AO689" s="4" t="n"/>
      <c r="AP689" s="4" t="n"/>
      <c r="AQ689" s="4" t="n"/>
      <c r="AR689" s="5">
        <f>IF($AQ689="","",HYPERLINK(p_ruta_base_checklists&amp;$AQ689,"abrir"))</f>
        <v/>
      </c>
      <c r="AS689" s="4" t="n"/>
      <c r="AT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2" t="n"/>
      <c r="K690" s="5" t="n"/>
      <c r="L690" s="18" t="n"/>
      <c r="M690" s="5">
        <f>IF($A690="","",IFERROR(INDEX('AJUSTES'!$B$4:$B$303,MATCH($AT690,'AJUSTES'!$A$4:$A$303,0)),IF($K690="","",$K690)))</f>
        <v/>
      </c>
      <c r="N690" s="5">
        <f>IF($A690="","",IFERROR(INDEX('CAT_ESTADOS_ERP'!$B$4:$B$7,MATCH(IFERROR(INDEX('2_IMPORTAR_EJECUCION'!$C$9:$C$1208,MATCH($AT690,'2_IMPORTAR_EJECUCION'!$J$9:$J$1208,0)),""),'CAT_ESTADOS_ERP'!$A$4:$A$7,0)),"Pendiente"))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IF($J690="","",$P690&amp;"-"&amp;TEXT($Q690,"00"))</f>
        <v/>
      </c>
      <c r="S690" s="5">
        <f>IF($J690="","",INDEX(lista_dias,WEEKDAY($J690,2)))</f>
        <v/>
      </c>
      <c r="T690" s="5">
        <f>IF($J690="","",IFERROR(INDEX('CALENDARIO'!$C$15:$C$214,MATCH(TEXT($J690,"yyyy-mm-dd")&amp;"|"&amp;$X690&amp;"|"&amp;$Y690,'CALENDARIO'!$G$15:$G$214,0)),IFERROR(INDEX('CALENDARIO'!$C$15:$C$214,MATCH(TEXT($J690,"yyyy-mm-dd")&amp;"|"&amp;$X690&amp;"|",'CALENDARIO'!$G$15:$G$214,0)),IFERROR(INDEX('CALENDARIO'!$C$15:$C$214,MATCH(TEXT($J690,"yyyy-mm-dd")&amp;"||",'CALENDARIO'!$G$15:$G$214,0)),INDEX(patronHabil,WEEKDAY($J690,2))))))</f>
        <v/>
      </c>
      <c r="U690" s="5">
        <f>IF($I690="","",IFERROR(INDEX('CAT_TIPOS_OT'!$C$4:$C$8,MATCH($I690,'CAT_TIPOS_OT'!$A$4:$A$8,0)),"sin_clasificar"))</f>
        <v/>
      </c>
      <c r="V690" s="5">
        <f>IF($I690="","",IF(IFERROR(INDEX('CAT_TIPOS_OT'!$D$4:$D$8,MATCH($I690,'CAT_TIPOS_OT'!$A$4:$A$8,0)),"SIN CLASIFICAR")="","SIN CLASIFICAR",IFERROR(INDEX('CAT_TIPOS_OT'!$D$4:$D$8,MATCH($I690,'CAT_TIPOS_OT'!$A$4:$A$8,0)),"SIN CLASIFICAR")))</f>
        <v/>
      </c>
      <c r="W690" s="5">
        <f>IF($F690="","",IFERROR(INDEX('CAT_CENTROS_COSTO'!$F$4:$F$13,MATCH($F690,'CAT_CENTROS_COSTO'!$A$4:$A$13,0)),"(sin catálogo)"))</f>
        <v/>
      </c>
      <c r="X690" s="5">
        <f>IF($F690="","",IFERROR(INDEX('CAT_CENTROS_COSTO'!$D$4:$D$13,MATCH($F690,'CAT_CENTROS_COSTO'!$A$4:$A$13,0)),"(sin catálogo)"))</f>
        <v/>
      </c>
      <c r="Y690" s="5">
        <f>IF($F690="","",IF((IFERROR(INDEX('CAT_CENTROS_COSTO'!$E$4:$E$13,MATCH($F690,'CAT_CENTROS_COSTO'!$A$4:$A$13,0)),""))&lt;&gt;"",IFERROR(INDEX('CAT_CENTROS_COSTO'!$E$4:$E$13,MATCH($F690,'CAT_CENTROS_COSTO'!$A$4:$A$13,0)),""),$X690))</f>
        <v/>
      </c>
      <c r="Z690" s="5">
        <f>IF($F690="","",IFERROR(INDEX('CAT_CENTROS_COSTO'!$G$4:$G$13,MATCH($F690,'CAT_CENTROS_COSTO'!$A$4:$A$13,0)),"(sin catálogo)"))</f>
        <v/>
      </c>
      <c r="AA690" s="5">
        <f>IF($G690="","",IFERROR(INDEX('CAT_PUESTOS'!$B$4:$B$8,MATCH($G690,'CAT_PUESTOS'!$A$4:$A$8,0)),"(sin catálogo)"))</f>
        <v/>
      </c>
      <c r="AB690" s="5">
        <f>IF($H690="","",IFERROR(INDEX('CAT_ACTIVIDADES'!$B$4:$B$11,MATCH($H690,'CAT_ACTIVIDADES'!$A$4:$A$11,0)),"(sin catálogo)"))</f>
        <v/>
      </c>
      <c r="AC690" s="20">
        <f>IF($J690="","",TODAY()-$J690)</f>
        <v/>
      </c>
      <c r="AD690" s="20">
        <f>IF($J690="","",IF($J690&lt;=TODAY(),COUNTIFS(cal_fechas,"&gt;="&amp;$J690,cal_fechas,"&lt;"&amp;TODAY(),cal_habil,"sí"),-COUNTIFS(cal_fechas,"&gt;="&amp;TODAY(),cal_fechas,"&lt;"&amp;$J690,cal_habil,"sí")))</f>
        <v/>
      </c>
      <c r="AE690" s="5">
        <f>IF($AD690="","",IF($AD690&lt;0,"FUTURO",IF($AD690&gt;p_dias_backlog_max,"BACKLOG","MES CORRIENTE")))</f>
        <v/>
      </c>
      <c r="AF690" s="5">
        <f>IF($AD690="",FALSE,AND($AD690&gt;p_dias_backlog_min,$AD690&lt;=p_dias_backlog_max))</f>
        <v/>
      </c>
      <c r="AG690" s="4" t="n"/>
      <c r="AH690" s="5">
        <f>IF($AG690="","",IF((IFERROR(INDEX('ASIGNACIONES'!$J$4:$J$451,MATCH($O690&amp;"|"&amp;$S690&amp;"|"&amp;$AG690,'ASIGNACIONES'!$N$4:$N$451,0)),""))=0,"",IFERROR(INDEX('ASIGNACIONES'!$J$4:$J$451,MATCH($O690&amp;"|"&amp;$S690&amp;"|"&amp;$AG690,'ASIGNACIONES'!$N$4:$N$451,0)),"")))</f>
        <v/>
      </c>
      <c r="AI690" s="25">
        <f>IF($AG690="","",SUMIFS('ORDENES'!$M$4:$M$1203,'ORDENES'!$AG$4:$AG$1203,$AG690,'ORDENES'!$O$4:$O$1203,$O690,'ORDENES'!$S$4:$S$1203,$S690))</f>
        <v/>
      </c>
      <c r="AJ690" s="25">
        <f>IF($AI690="","",p_factor_productividad*IFERROR(INDEX('ASIGNACIONES'!$M$4:$M$451,MATCH($O690&amp;"|"&amp;$S690&amp;"|"&amp;$AG690,'ASIGNACIONES'!$N$4:$N$451,0)),0)-$AI690)</f>
        <v/>
      </c>
      <c r="AK690" s="18">
        <f>IF($A690="","",IFERROR(INDEX('2_IMPORTAR_EJECUCION'!$F$9:$F$1208,MATCH($AT690,'2_IMPORTAR_EJECUCION'!$J$9:$J$1208,0)),0))</f>
        <v/>
      </c>
      <c r="AL690" s="18">
        <f>IF($A690="","",MAX(0,IFERROR(INDEX('2_IMPORTAR_EJECUCION'!$H$9:$H$1208,MATCH($AT690,'2_IMPORTAR_EJECUCION'!$J$9:$J$1208,0)),0)-$AK690))</f>
        <v/>
      </c>
      <c r="AM690" s="18">
        <f>IF($A690="","",$AK690+$AL690)</f>
        <v/>
      </c>
      <c r="AN690" s="5">
        <f>IF($A690="","",IF(OR((IFERROR(INDEX('CAT_ACTIVIDADES'!$D$4:$D$11,MATCH($H690,'CAT_ACTIVIDADES'!$A$4:$A$11,0)),""))=0,(IFERROR(INDEX('CAT_ACTIVIDADES'!$D$4:$D$11,MATCH($H690,'CAT_ACTIVIDADES'!$A$4:$A$11,0)),""))=""),"SIN CLASIFICAR",IFERROR(INDEX('CAT_ACTIVIDADES'!$D$4:$D$11,MATCH($H690,'CAT_ACTIVIDADES'!$A$4:$A$11,0)),"")))</f>
        <v/>
      </c>
      <c r="AO690" s="4" t="n"/>
      <c r="AP690" s="4" t="n"/>
      <c r="AQ690" s="4" t="n"/>
      <c r="AR690" s="5">
        <f>IF($AQ690="","",HYPERLINK(p_ruta_base_checklists&amp;$AQ690,"abrir"))</f>
        <v/>
      </c>
      <c r="AS690" s="4" t="n"/>
      <c r="AT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2" t="n"/>
      <c r="K691" s="5" t="n"/>
      <c r="L691" s="18" t="n"/>
      <c r="M691" s="5">
        <f>IF($A691="","",IFERROR(INDEX('AJUSTES'!$B$4:$B$303,MATCH($AT691,'AJUSTES'!$A$4:$A$303,0)),IF($K691="","",$K691)))</f>
        <v/>
      </c>
      <c r="N691" s="5">
        <f>IF($A691="","",IFERROR(INDEX('CAT_ESTADOS_ERP'!$B$4:$B$7,MATCH(IFERROR(INDEX('2_IMPORTAR_EJECUCION'!$C$9:$C$1208,MATCH($AT691,'2_IMPORTAR_EJECUCION'!$J$9:$J$1208,0)),""),'CAT_ESTADOS_ERP'!$A$4:$A$7,0)),"Pendiente"))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IF($J691="","",$P691&amp;"-"&amp;TEXT($Q691,"00"))</f>
        <v/>
      </c>
      <c r="S691" s="5">
        <f>IF($J691="","",INDEX(lista_dias,WEEKDAY($J691,2)))</f>
        <v/>
      </c>
      <c r="T691" s="5">
        <f>IF($J691="","",IFERROR(INDEX('CALENDARIO'!$C$15:$C$214,MATCH(TEXT($J691,"yyyy-mm-dd")&amp;"|"&amp;$X691&amp;"|"&amp;$Y691,'CALENDARIO'!$G$15:$G$214,0)),IFERROR(INDEX('CALENDARIO'!$C$15:$C$214,MATCH(TEXT($J691,"yyyy-mm-dd")&amp;"|"&amp;$X691&amp;"|",'CALENDARIO'!$G$15:$G$214,0)),IFERROR(INDEX('CALENDARIO'!$C$15:$C$214,MATCH(TEXT($J691,"yyyy-mm-dd")&amp;"||",'CALENDARIO'!$G$15:$G$214,0)),INDEX(patronHabil,WEEKDAY($J691,2))))))</f>
        <v/>
      </c>
      <c r="U691" s="5">
        <f>IF($I691="","",IFERROR(INDEX('CAT_TIPOS_OT'!$C$4:$C$8,MATCH($I691,'CAT_TIPOS_OT'!$A$4:$A$8,0)),"sin_clasificar"))</f>
        <v/>
      </c>
      <c r="V691" s="5">
        <f>IF($I691="","",IF(IFERROR(INDEX('CAT_TIPOS_OT'!$D$4:$D$8,MATCH($I691,'CAT_TIPOS_OT'!$A$4:$A$8,0)),"SIN CLASIFICAR")="","SIN CLASIFICAR",IFERROR(INDEX('CAT_TIPOS_OT'!$D$4:$D$8,MATCH($I691,'CAT_TIPOS_OT'!$A$4:$A$8,0)),"SIN CLASIFICAR")))</f>
        <v/>
      </c>
      <c r="W691" s="5">
        <f>IF($F691="","",IFERROR(INDEX('CAT_CENTROS_COSTO'!$F$4:$F$13,MATCH($F691,'CAT_CENTROS_COSTO'!$A$4:$A$13,0)),"(sin catálogo)"))</f>
        <v/>
      </c>
      <c r="X691" s="5">
        <f>IF($F691="","",IFERROR(INDEX('CAT_CENTROS_COSTO'!$D$4:$D$13,MATCH($F691,'CAT_CENTROS_COSTO'!$A$4:$A$13,0)),"(sin catálogo)"))</f>
        <v/>
      </c>
      <c r="Y691" s="5">
        <f>IF($F691="","",IF((IFERROR(INDEX('CAT_CENTROS_COSTO'!$E$4:$E$13,MATCH($F691,'CAT_CENTROS_COSTO'!$A$4:$A$13,0)),""))&lt;&gt;"",IFERROR(INDEX('CAT_CENTROS_COSTO'!$E$4:$E$13,MATCH($F691,'CAT_CENTROS_COSTO'!$A$4:$A$13,0)),""),$X691))</f>
        <v/>
      </c>
      <c r="Z691" s="5">
        <f>IF($F691="","",IFERROR(INDEX('CAT_CENTROS_COSTO'!$G$4:$G$13,MATCH($F691,'CAT_CENTROS_COSTO'!$A$4:$A$13,0)),"(sin catálogo)"))</f>
        <v/>
      </c>
      <c r="AA691" s="5">
        <f>IF($G691="","",IFERROR(INDEX('CAT_PUESTOS'!$B$4:$B$8,MATCH($G691,'CAT_PUESTOS'!$A$4:$A$8,0)),"(sin catálogo)"))</f>
        <v/>
      </c>
      <c r="AB691" s="5">
        <f>IF($H691="","",IFERROR(INDEX('CAT_ACTIVIDADES'!$B$4:$B$11,MATCH($H691,'CAT_ACTIVIDADES'!$A$4:$A$11,0)),"(sin catálogo)"))</f>
        <v/>
      </c>
      <c r="AC691" s="20">
        <f>IF($J691="","",TODAY()-$J691)</f>
        <v/>
      </c>
      <c r="AD691" s="20">
        <f>IF($J691="","",IF($J691&lt;=TODAY(),COUNTIFS(cal_fechas,"&gt;="&amp;$J691,cal_fechas,"&lt;"&amp;TODAY(),cal_habil,"sí"),-COUNTIFS(cal_fechas,"&gt;="&amp;TODAY(),cal_fechas,"&lt;"&amp;$J691,cal_habil,"sí")))</f>
        <v/>
      </c>
      <c r="AE691" s="5">
        <f>IF($AD691="","",IF($AD691&lt;0,"FUTURO",IF($AD691&gt;p_dias_backlog_max,"BACKLOG","MES CORRIENTE")))</f>
        <v/>
      </c>
      <c r="AF691" s="5">
        <f>IF($AD691="",FALSE,AND($AD691&gt;p_dias_backlog_min,$AD691&lt;=p_dias_backlog_max))</f>
        <v/>
      </c>
      <c r="AG691" s="4" t="n"/>
      <c r="AH691" s="5">
        <f>IF($AG691="","",IF((IFERROR(INDEX('ASIGNACIONES'!$J$4:$J$451,MATCH($O691&amp;"|"&amp;$S691&amp;"|"&amp;$AG691,'ASIGNACIONES'!$N$4:$N$451,0)),""))=0,"",IFERROR(INDEX('ASIGNACIONES'!$J$4:$J$451,MATCH($O691&amp;"|"&amp;$S691&amp;"|"&amp;$AG691,'ASIGNACIONES'!$N$4:$N$451,0)),"")))</f>
        <v/>
      </c>
      <c r="AI691" s="25">
        <f>IF($AG691="","",SUMIFS('ORDENES'!$M$4:$M$1203,'ORDENES'!$AG$4:$AG$1203,$AG691,'ORDENES'!$O$4:$O$1203,$O691,'ORDENES'!$S$4:$S$1203,$S691))</f>
        <v/>
      </c>
      <c r="AJ691" s="25">
        <f>IF($AI691="","",p_factor_productividad*IFERROR(INDEX('ASIGNACIONES'!$M$4:$M$451,MATCH($O691&amp;"|"&amp;$S691&amp;"|"&amp;$AG691,'ASIGNACIONES'!$N$4:$N$451,0)),0)-$AI691)</f>
        <v/>
      </c>
      <c r="AK691" s="18">
        <f>IF($A691="","",IFERROR(INDEX('2_IMPORTAR_EJECUCION'!$F$9:$F$1208,MATCH($AT691,'2_IMPORTAR_EJECUCION'!$J$9:$J$1208,0)),0))</f>
        <v/>
      </c>
      <c r="AL691" s="18">
        <f>IF($A691="","",MAX(0,IFERROR(INDEX('2_IMPORTAR_EJECUCION'!$H$9:$H$1208,MATCH($AT691,'2_IMPORTAR_EJECUCION'!$J$9:$J$1208,0)),0)-$AK691))</f>
        <v/>
      </c>
      <c r="AM691" s="18">
        <f>IF($A691="","",$AK691+$AL691)</f>
        <v/>
      </c>
      <c r="AN691" s="5">
        <f>IF($A691="","",IF(OR((IFERROR(INDEX('CAT_ACTIVIDADES'!$D$4:$D$11,MATCH($H691,'CAT_ACTIVIDADES'!$A$4:$A$11,0)),""))=0,(IFERROR(INDEX('CAT_ACTIVIDADES'!$D$4:$D$11,MATCH($H691,'CAT_ACTIVIDADES'!$A$4:$A$11,0)),""))=""),"SIN CLASIFICAR",IFERROR(INDEX('CAT_ACTIVIDADES'!$D$4:$D$11,MATCH($H691,'CAT_ACTIVIDADES'!$A$4:$A$11,0)),"")))</f>
        <v/>
      </c>
      <c r="AO691" s="4" t="n"/>
      <c r="AP691" s="4" t="n"/>
      <c r="AQ691" s="4" t="n"/>
      <c r="AR691" s="5">
        <f>IF($AQ691="","",HYPERLINK(p_ruta_base_checklists&amp;$AQ691,"abrir"))</f>
        <v/>
      </c>
      <c r="AS691" s="4" t="n"/>
      <c r="AT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2" t="n"/>
      <c r="K692" s="5" t="n"/>
      <c r="L692" s="18" t="n"/>
      <c r="M692" s="5">
        <f>IF($A692="","",IFERROR(INDEX('AJUSTES'!$B$4:$B$303,MATCH($AT692,'AJUSTES'!$A$4:$A$303,0)),IF($K692="","",$K692)))</f>
        <v/>
      </c>
      <c r="N692" s="5">
        <f>IF($A692="","",IFERROR(INDEX('CAT_ESTADOS_ERP'!$B$4:$B$7,MATCH(IFERROR(INDEX('2_IMPORTAR_EJECUCION'!$C$9:$C$1208,MATCH($AT692,'2_IMPORTAR_EJECUCION'!$J$9:$J$1208,0)),""),'CAT_ESTADOS_ERP'!$A$4:$A$7,0)),"Pendiente"))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IF($J692="","",$P692&amp;"-"&amp;TEXT($Q692,"00"))</f>
        <v/>
      </c>
      <c r="S692" s="5">
        <f>IF($J692="","",INDEX(lista_dias,WEEKDAY($J692,2)))</f>
        <v/>
      </c>
      <c r="T692" s="5">
        <f>IF($J692="","",IFERROR(INDEX('CALENDARIO'!$C$15:$C$214,MATCH(TEXT($J692,"yyyy-mm-dd")&amp;"|"&amp;$X692&amp;"|"&amp;$Y692,'CALENDARIO'!$G$15:$G$214,0)),IFERROR(INDEX('CALENDARIO'!$C$15:$C$214,MATCH(TEXT($J692,"yyyy-mm-dd")&amp;"|"&amp;$X692&amp;"|",'CALENDARIO'!$G$15:$G$214,0)),IFERROR(INDEX('CALENDARIO'!$C$15:$C$214,MATCH(TEXT($J692,"yyyy-mm-dd")&amp;"||",'CALENDARIO'!$G$15:$G$214,0)),INDEX(patronHabil,WEEKDAY($J692,2))))))</f>
        <v/>
      </c>
      <c r="U692" s="5">
        <f>IF($I692="","",IFERROR(INDEX('CAT_TIPOS_OT'!$C$4:$C$8,MATCH($I692,'CAT_TIPOS_OT'!$A$4:$A$8,0)),"sin_clasificar"))</f>
        <v/>
      </c>
      <c r="V692" s="5">
        <f>IF($I692="","",IF(IFERROR(INDEX('CAT_TIPOS_OT'!$D$4:$D$8,MATCH($I692,'CAT_TIPOS_OT'!$A$4:$A$8,0)),"SIN CLASIFICAR")="","SIN CLASIFICAR",IFERROR(INDEX('CAT_TIPOS_OT'!$D$4:$D$8,MATCH($I692,'CAT_TIPOS_OT'!$A$4:$A$8,0)),"SIN CLASIFICAR")))</f>
        <v/>
      </c>
      <c r="W692" s="5">
        <f>IF($F692="","",IFERROR(INDEX('CAT_CENTROS_COSTO'!$F$4:$F$13,MATCH($F692,'CAT_CENTROS_COSTO'!$A$4:$A$13,0)),"(sin catálogo)"))</f>
        <v/>
      </c>
      <c r="X692" s="5">
        <f>IF($F692="","",IFERROR(INDEX('CAT_CENTROS_COSTO'!$D$4:$D$13,MATCH($F692,'CAT_CENTROS_COSTO'!$A$4:$A$13,0)),"(sin catálogo)"))</f>
        <v/>
      </c>
      <c r="Y692" s="5">
        <f>IF($F692="","",IF((IFERROR(INDEX('CAT_CENTROS_COSTO'!$E$4:$E$13,MATCH($F692,'CAT_CENTROS_COSTO'!$A$4:$A$13,0)),""))&lt;&gt;"",IFERROR(INDEX('CAT_CENTROS_COSTO'!$E$4:$E$13,MATCH($F692,'CAT_CENTROS_COSTO'!$A$4:$A$13,0)),""),$X692))</f>
        <v/>
      </c>
      <c r="Z692" s="5">
        <f>IF($F692="","",IFERROR(INDEX('CAT_CENTROS_COSTO'!$G$4:$G$13,MATCH($F692,'CAT_CENTROS_COSTO'!$A$4:$A$13,0)),"(sin catálogo)"))</f>
        <v/>
      </c>
      <c r="AA692" s="5">
        <f>IF($G692="","",IFERROR(INDEX('CAT_PUESTOS'!$B$4:$B$8,MATCH($G692,'CAT_PUESTOS'!$A$4:$A$8,0)),"(sin catálogo)"))</f>
        <v/>
      </c>
      <c r="AB692" s="5">
        <f>IF($H692="","",IFERROR(INDEX('CAT_ACTIVIDADES'!$B$4:$B$11,MATCH($H692,'CAT_ACTIVIDADES'!$A$4:$A$11,0)),"(sin catálogo)"))</f>
        <v/>
      </c>
      <c r="AC692" s="20">
        <f>IF($J692="","",TODAY()-$J692)</f>
        <v/>
      </c>
      <c r="AD692" s="20">
        <f>IF($J692="","",IF($J692&lt;=TODAY(),COUNTIFS(cal_fechas,"&gt;="&amp;$J692,cal_fechas,"&lt;"&amp;TODAY(),cal_habil,"sí"),-COUNTIFS(cal_fechas,"&gt;="&amp;TODAY(),cal_fechas,"&lt;"&amp;$J692,cal_habil,"sí")))</f>
        <v/>
      </c>
      <c r="AE692" s="5">
        <f>IF($AD692="","",IF($AD692&lt;0,"FUTURO",IF($AD692&gt;p_dias_backlog_max,"BACKLOG","MES CORRIENTE")))</f>
        <v/>
      </c>
      <c r="AF692" s="5">
        <f>IF($AD692="",FALSE,AND($AD692&gt;p_dias_backlog_min,$AD692&lt;=p_dias_backlog_max))</f>
        <v/>
      </c>
      <c r="AG692" s="4" t="n"/>
      <c r="AH692" s="5">
        <f>IF($AG692="","",IF((IFERROR(INDEX('ASIGNACIONES'!$J$4:$J$451,MATCH($O692&amp;"|"&amp;$S692&amp;"|"&amp;$AG692,'ASIGNACIONES'!$N$4:$N$451,0)),""))=0,"",IFERROR(INDEX('ASIGNACIONES'!$J$4:$J$451,MATCH($O692&amp;"|"&amp;$S692&amp;"|"&amp;$AG692,'ASIGNACIONES'!$N$4:$N$451,0)),"")))</f>
        <v/>
      </c>
      <c r="AI692" s="25">
        <f>IF($AG692="","",SUMIFS('ORDENES'!$M$4:$M$1203,'ORDENES'!$AG$4:$AG$1203,$AG692,'ORDENES'!$O$4:$O$1203,$O692,'ORDENES'!$S$4:$S$1203,$S692))</f>
        <v/>
      </c>
      <c r="AJ692" s="25">
        <f>IF($AI692="","",p_factor_productividad*IFERROR(INDEX('ASIGNACIONES'!$M$4:$M$451,MATCH($O692&amp;"|"&amp;$S692&amp;"|"&amp;$AG692,'ASIGNACIONES'!$N$4:$N$451,0)),0)-$AI692)</f>
        <v/>
      </c>
      <c r="AK692" s="18">
        <f>IF($A692="","",IFERROR(INDEX('2_IMPORTAR_EJECUCION'!$F$9:$F$1208,MATCH($AT692,'2_IMPORTAR_EJECUCION'!$J$9:$J$1208,0)),0))</f>
        <v/>
      </c>
      <c r="AL692" s="18">
        <f>IF($A692="","",MAX(0,IFERROR(INDEX('2_IMPORTAR_EJECUCION'!$H$9:$H$1208,MATCH($AT692,'2_IMPORTAR_EJECUCION'!$J$9:$J$1208,0)),0)-$AK692))</f>
        <v/>
      </c>
      <c r="AM692" s="18">
        <f>IF($A692="","",$AK692+$AL692)</f>
        <v/>
      </c>
      <c r="AN692" s="5">
        <f>IF($A692="","",IF(OR((IFERROR(INDEX('CAT_ACTIVIDADES'!$D$4:$D$11,MATCH($H692,'CAT_ACTIVIDADES'!$A$4:$A$11,0)),""))=0,(IFERROR(INDEX('CAT_ACTIVIDADES'!$D$4:$D$11,MATCH($H692,'CAT_ACTIVIDADES'!$A$4:$A$11,0)),""))=""),"SIN CLASIFICAR",IFERROR(INDEX('CAT_ACTIVIDADES'!$D$4:$D$11,MATCH($H692,'CAT_ACTIVIDADES'!$A$4:$A$11,0)),"")))</f>
        <v/>
      </c>
      <c r="AO692" s="4" t="n"/>
      <c r="AP692" s="4" t="n"/>
      <c r="AQ692" s="4" t="n"/>
      <c r="AR692" s="5">
        <f>IF($AQ692="","",HYPERLINK(p_ruta_base_checklists&amp;$AQ692,"abrir"))</f>
        <v/>
      </c>
      <c r="AS692" s="4" t="n"/>
      <c r="AT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2" t="n"/>
      <c r="K693" s="5" t="n"/>
      <c r="L693" s="18" t="n"/>
      <c r="M693" s="5">
        <f>IF($A693="","",IFERROR(INDEX('AJUSTES'!$B$4:$B$303,MATCH($AT693,'AJUSTES'!$A$4:$A$303,0)),IF($K693="","",$K693)))</f>
        <v/>
      </c>
      <c r="N693" s="5">
        <f>IF($A693="","",IFERROR(INDEX('CAT_ESTADOS_ERP'!$B$4:$B$7,MATCH(IFERROR(INDEX('2_IMPORTAR_EJECUCION'!$C$9:$C$1208,MATCH($AT693,'2_IMPORTAR_EJECUCION'!$J$9:$J$1208,0)),""),'CAT_ESTADOS_ERP'!$A$4:$A$7,0)),"Pendiente"))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IF($J693="","",$P693&amp;"-"&amp;TEXT($Q693,"00"))</f>
        <v/>
      </c>
      <c r="S693" s="5">
        <f>IF($J693="","",INDEX(lista_dias,WEEKDAY($J693,2)))</f>
        <v/>
      </c>
      <c r="T693" s="5">
        <f>IF($J693="","",IFERROR(INDEX('CALENDARIO'!$C$15:$C$214,MATCH(TEXT($J693,"yyyy-mm-dd")&amp;"|"&amp;$X693&amp;"|"&amp;$Y693,'CALENDARIO'!$G$15:$G$214,0)),IFERROR(INDEX('CALENDARIO'!$C$15:$C$214,MATCH(TEXT($J693,"yyyy-mm-dd")&amp;"|"&amp;$X693&amp;"|",'CALENDARIO'!$G$15:$G$214,0)),IFERROR(INDEX('CALENDARIO'!$C$15:$C$214,MATCH(TEXT($J693,"yyyy-mm-dd")&amp;"||",'CALENDARIO'!$G$15:$G$214,0)),INDEX(patronHabil,WEEKDAY($J693,2))))))</f>
        <v/>
      </c>
      <c r="U693" s="5">
        <f>IF($I693="","",IFERROR(INDEX('CAT_TIPOS_OT'!$C$4:$C$8,MATCH($I693,'CAT_TIPOS_OT'!$A$4:$A$8,0)),"sin_clasificar"))</f>
        <v/>
      </c>
      <c r="V693" s="5">
        <f>IF($I693="","",IF(IFERROR(INDEX('CAT_TIPOS_OT'!$D$4:$D$8,MATCH($I693,'CAT_TIPOS_OT'!$A$4:$A$8,0)),"SIN CLASIFICAR")="","SIN CLASIFICAR",IFERROR(INDEX('CAT_TIPOS_OT'!$D$4:$D$8,MATCH($I693,'CAT_TIPOS_OT'!$A$4:$A$8,0)),"SIN CLASIFICAR")))</f>
        <v/>
      </c>
      <c r="W693" s="5">
        <f>IF($F693="","",IFERROR(INDEX('CAT_CENTROS_COSTO'!$F$4:$F$13,MATCH($F693,'CAT_CENTROS_COSTO'!$A$4:$A$13,0)),"(sin catálogo)"))</f>
        <v/>
      </c>
      <c r="X693" s="5">
        <f>IF($F693="","",IFERROR(INDEX('CAT_CENTROS_COSTO'!$D$4:$D$13,MATCH($F693,'CAT_CENTROS_COSTO'!$A$4:$A$13,0)),"(sin catálogo)"))</f>
        <v/>
      </c>
      <c r="Y693" s="5">
        <f>IF($F693="","",IF((IFERROR(INDEX('CAT_CENTROS_COSTO'!$E$4:$E$13,MATCH($F693,'CAT_CENTROS_COSTO'!$A$4:$A$13,0)),""))&lt;&gt;"",IFERROR(INDEX('CAT_CENTROS_COSTO'!$E$4:$E$13,MATCH($F693,'CAT_CENTROS_COSTO'!$A$4:$A$13,0)),""),$X693))</f>
        <v/>
      </c>
      <c r="Z693" s="5">
        <f>IF($F693="","",IFERROR(INDEX('CAT_CENTROS_COSTO'!$G$4:$G$13,MATCH($F693,'CAT_CENTROS_COSTO'!$A$4:$A$13,0)),"(sin catálogo)"))</f>
        <v/>
      </c>
      <c r="AA693" s="5">
        <f>IF($G693="","",IFERROR(INDEX('CAT_PUESTOS'!$B$4:$B$8,MATCH($G693,'CAT_PUESTOS'!$A$4:$A$8,0)),"(sin catálogo)"))</f>
        <v/>
      </c>
      <c r="AB693" s="5">
        <f>IF($H693="","",IFERROR(INDEX('CAT_ACTIVIDADES'!$B$4:$B$11,MATCH($H693,'CAT_ACTIVIDADES'!$A$4:$A$11,0)),"(sin catálogo)"))</f>
        <v/>
      </c>
      <c r="AC693" s="20">
        <f>IF($J693="","",TODAY()-$J693)</f>
        <v/>
      </c>
      <c r="AD693" s="20">
        <f>IF($J693="","",IF($J693&lt;=TODAY(),COUNTIFS(cal_fechas,"&gt;="&amp;$J693,cal_fechas,"&lt;"&amp;TODAY(),cal_habil,"sí"),-COUNTIFS(cal_fechas,"&gt;="&amp;TODAY(),cal_fechas,"&lt;"&amp;$J693,cal_habil,"sí")))</f>
        <v/>
      </c>
      <c r="AE693" s="5">
        <f>IF($AD693="","",IF($AD693&lt;0,"FUTURO",IF($AD693&gt;p_dias_backlog_max,"BACKLOG","MES CORRIENTE")))</f>
        <v/>
      </c>
      <c r="AF693" s="5">
        <f>IF($AD693="",FALSE,AND($AD693&gt;p_dias_backlog_min,$AD693&lt;=p_dias_backlog_max))</f>
        <v/>
      </c>
      <c r="AG693" s="4" t="n"/>
      <c r="AH693" s="5">
        <f>IF($AG693="","",IF((IFERROR(INDEX('ASIGNACIONES'!$J$4:$J$451,MATCH($O693&amp;"|"&amp;$S693&amp;"|"&amp;$AG693,'ASIGNACIONES'!$N$4:$N$451,0)),""))=0,"",IFERROR(INDEX('ASIGNACIONES'!$J$4:$J$451,MATCH($O693&amp;"|"&amp;$S693&amp;"|"&amp;$AG693,'ASIGNACIONES'!$N$4:$N$451,0)),"")))</f>
        <v/>
      </c>
      <c r="AI693" s="25">
        <f>IF($AG693="","",SUMIFS('ORDENES'!$M$4:$M$1203,'ORDENES'!$AG$4:$AG$1203,$AG693,'ORDENES'!$O$4:$O$1203,$O693,'ORDENES'!$S$4:$S$1203,$S693))</f>
        <v/>
      </c>
      <c r="AJ693" s="25">
        <f>IF($AI693="","",p_factor_productividad*IFERROR(INDEX('ASIGNACIONES'!$M$4:$M$451,MATCH($O693&amp;"|"&amp;$S693&amp;"|"&amp;$AG693,'ASIGNACIONES'!$N$4:$N$451,0)),0)-$AI693)</f>
        <v/>
      </c>
      <c r="AK693" s="18">
        <f>IF($A693="","",IFERROR(INDEX('2_IMPORTAR_EJECUCION'!$F$9:$F$1208,MATCH($AT693,'2_IMPORTAR_EJECUCION'!$J$9:$J$1208,0)),0))</f>
        <v/>
      </c>
      <c r="AL693" s="18">
        <f>IF($A693="","",MAX(0,IFERROR(INDEX('2_IMPORTAR_EJECUCION'!$H$9:$H$1208,MATCH($AT693,'2_IMPORTAR_EJECUCION'!$J$9:$J$1208,0)),0)-$AK693))</f>
        <v/>
      </c>
      <c r="AM693" s="18">
        <f>IF($A693="","",$AK693+$AL693)</f>
        <v/>
      </c>
      <c r="AN693" s="5">
        <f>IF($A693="","",IF(OR((IFERROR(INDEX('CAT_ACTIVIDADES'!$D$4:$D$11,MATCH($H693,'CAT_ACTIVIDADES'!$A$4:$A$11,0)),""))=0,(IFERROR(INDEX('CAT_ACTIVIDADES'!$D$4:$D$11,MATCH($H693,'CAT_ACTIVIDADES'!$A$4:$A$11,0)),""))=""),"SIN CLASIFICAR",IFERROR(INDEX('CAT_ACTIVIDADES'!$D$4:$D$11,MATCH($H693,'CAT_ACTIVIDADES'!$A$4:$A$11,0)),"")))</f>
        <v/>
      </c>
      <c r="AO693" s="4" t="n"/>
      <c r="AP693" s="4" t="n"/>
      <c r="AQ693" s="4" t="n"/>
      <c r="AR693" s="5">
        <f>IF($AQ693="","",HYPERLINK(p_ruta_base_checklists&amp;$AQ693,"abrir"))</f>
        <v/>
      </c>
      <c r="AS693" s="4" t="n"/>
      <c r="AT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2" t="n"/>
      <c r="K694" s="5" t="n"/>
      <c r="L694" s="18" t="n"/>
      <c r="M694" s="5">
        <f>IF($A694="","",IFERROR(INDEX('AJUSTES'!$B$4:$B$303,MATCH($AT694,'AJUSTES'!$A$4:$A$303,0)),IF($K694="","",$K694)))</f>
        <v/>
      </c>
      <c r="N694" s="5">
        <f>IF($A694="","",IFERROR(INDEX('CAT_ESTADOS_ERP'!$B$4:$B$7,MATCH(IFERROR(INDEX('2_IMPORTAR_EJECUCION'!$C$9:$C$1208,MATCH($AT694,'2_IMPORTAR_EJECUCION'!$J$9:$J$1208,0)),""),'CAT_ESTADOS_ERP'!$A$4:$A$7,0)),"Pendiente"))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IF($J694="","",$P694&amp;"-"&amp;TEXT($Q694,"00"))</f>
        <v/>
      </c>
      <c r="S694" s="5">
        <f>IF($J694="","",INDEX(lista_dias,WEEKDAY($J694,2)))</f>
        <v/>
      </c>
      <c r="T694" s="5">
        <f>IF($J694="","",IFERROR(INDEX('CALENDARIO'!$C$15:$C$214,MATCH(TEXT($J694,"yyyy-mm-dd")&amp;"|"&amp;$X694&amp;"|"&amp;$Y694,'CALENDARIO'!$G$15:$G$214,0)),IFERROR(INDEX('CALENDARIO'!$C$15:$C$214,MATCH(TEXT($J694,"yyyy-mm-dd")&amp;"|"&amp;$X694&amp;"|",'CALENDARIO'!$G$15:$G$214,0)),IFERROR(INDEX('CALENDARIO'!$C$15:$C$214,MATCH(TEXT($J694,"yyyy-mm-dd")&amp;"||",'CALENDARIO'!$G$15:$G$214,0)),INDEX(patronHabil,WEEKDAY($J694,2))))))</f>
        <v/>
      </c>
      <c r="U694" s="5">
        <f>IF($I694="","",IFERROR(INDEX('CAT_TIPOS_OT'!$C$4:$C$8,MATCH($I694,'CAT_TIPOS_OT'!$A$4:$A$8,0)),"sin_clasificar"))</f>
        <v/>
      </c>
      <c r="V694" s="5">
        <f>IF($I694="","",IF(IFERROR(INDEX('CAT_TIPOS_OT'!$D$4:$D$8,MATCH($I694,'CAT_TIPOS_OT'!$A$4:$A$8,0)),"SIN CLASIFICAR")="","SIN CLASIFICAR",IFERROR(INDEX('CAT_TIPOS_OT'!$D$4:$D$8,MATCH($I694,'CAT_TIPOS_OT'!$A$4:$A$8,0)),"SIN CLASIFICAR")))</f>
        <v/>
      </c>
      <c r="W694" s="5">
        <f>IF($F694="","",IFERROR(INDEX('CAT_CENTROS_COSTO'!$F$4:$F$13,MATCH($F694,'CAT_CENTROS_COSTO'!$A$4:$A$13,0)),"(sin catálogo)"))</f>
        <v/>
      </c>
      <c r="X694" s="5">
        <f>IF($F694="","",IFERROR(INDEX('CAT_CENTROS_COSTO'!$D$4:$D$13,MATCH($F694,'CAT_CENTROS_COSTO'!$A$4:$A$13,0)),"(sin catálogo)"))</f>
        <v/>
      </c>
      <c r="Y694" s="5">
        <f>IF($F694="","",IF((IFERROR(INDEX('CAT_CENTROS_COSTO'!$E$4:$E$13,MATCH($F694,'CAT_CENTROS_COSTO'!$A$4:$A$13,0)),""))&lt;&gt;"",IFERROR(INDEX('CAT_CENTROS_COSTO'!$E$4:$E$13,MATCH($F694,'CAT_CENTROS_COSTO'!$A$4:$A$13,0)),""),$X694))</f>
        <v/>
      </c>
      <c r="Z694" s="5">
        <f>IF($F694="","",IFERROR(INDEX('CAT_CENTROS_COSTO'!$G$4:$G$13,MATCH($F694,'CAT_CENTROS_COSTO'!$A$4:$A$13,0)),"(sin catálogo)"))</f>
        <v/>
      </c>
      <c r="AA694" s="5">
        <f>IF($G694="","",IFERROR(INDEX('CAT_PUESTOS'!$B$4:$B$8,MATCH($G694,'CAT_PUESTOS'!$A$4:$A$8,0)),"(sin catálogo)"))</f>
        <v/>
      </c>
      <c r="AB694" s="5">
        <f>IF($H694="","",IFERROR(INDEX('CAT_ACTIVIDADES'!$B$4:$B$11,MATCH($H694,'CAT_ACTIVIDADES'!$A$4:$A$11,0)),"(sin catálogo)"))</f>
        <v/>
      </c>
      <c r="AC694" s="20">
        <f>IF($J694="","",TODAY()-$J694)</f>
        <v/>
      </c>
      <c r="AD694" s="20">
        <f>IF($J694="","",IF($J694&lt;=TODAY(),COUNTIFS(cal_fechas,"&gt;="&amp;$J694,cal_fechas,"&lt;"&amp;TODAY(),cal_habil,"sí"),-COUNTIFS(cal_fechas,"&gt;="&amp;TODAY(),cal_fechas,"&lt;"&amp;$J694,cal_habil,"sí")))</f>
        <v/>
      </c>
      <c r="AE694" s="5">
        <f>IF($AD694="","",IF($AD694&lt;0,"FUTURO",IF($AD694&gt;p_dias_backlog_max,"BACKLOG","MES CORRIENTE")))</f>
        <v/>
      </c>
      <c r="AF694" s="5">
        <f>IF($AD694="",FALSE,AND($AD694&gt;p_dias_backlog_min,$AD694&lt;=p_dias_backlog_max))</f>
        <v/>
      </c>
      <c r="AG694" s="4" t="n"/>
      <c r="AH694" s="5">
        <f>IF($AG694="","",IF((IFERROR(INDEX('ASIGNACIONES'!$J$4:$J$451,MATCH($O694&amp;"|"&amp;$S694&amp;"|"&amp;$AG694,'ASIGNACIONES'!$N$4:$N$451,0)),""))=0,"",IFERROR(INDEX('ASIGNACIONES'!$J$4:$J$451,MATCH($O694&amp;"|"&amp;$S694&amp;"|"&amp;$AG694,'ASIGNACIONES'!$N$4:$N$451,0)),"")))</f>
        <v/>
      </c>
      <c r="AI694" s="25">
        <f>IF($AG694="","",SUMIFS('ORDENES'!$M$4:$M$1203,'ORDENES'!$AG$4:$AG$1203,$AG694,'ORDENES'!$O$4:$O$1203,$O694,'ORDENES'!$S$4:$S$1203,$S694))</f>
        <v/>
      </c>
      <c r="AJ694" s="25">
        <f>IF($AI694="","",p_factor_productividad*IFERROR(INDEX('ASIGNACIONES'!$M$4:$M$451,MATCH($O694&amp;"|"&amp;$S694&amp;"|"&amp;$AG694,'ASIGNACIONES'!$N$4:$N$451,0)),0)-$AI694)</f>
        <v/>
      </c>
      <c r="AK694" s="18">
        <f>IF($A694="","",IFERROR(INDEX('2_IMPORTAR_EJECUCION'!$F$9:$F$1208,MATCH($AT694,'2_IMPORTAR_EJECUCION'!$J$9:$J$1208,0)),0))</f>
        <v/>
      </c>
      <c r="AL694" s="18">
        <f>IF($A694="","",MAX(0,IFERROR(INDEX('2_IMPORTAR_EJECUCION'!$H$9:$H$1208,MATCH($AT694,'2_IMPORTAR_EJECUCION'!$J$9:$J$1208,0)),0)-$AK694))</f>
        <v/>
      </c>
      <c r="AM694" s="18">
        <f>IF($A694="","",$AK694+$AL694)</f>
        <v/>
      </c>
      <c r="AN694" s="5">
        <f>IF($A694="","",IF(OR((IFERROR(INDEX('CAT_ACTIVIDADES'!$D$4:$D$11,MATCH($H694,'CAT_ACTIVIDADES'!$A$4:$A$11,0)),""))=0,(IFERROR(INDEX('CAT_ACTIVIDADES'!$D$4:$D$11,MATCH($H694,'CAT_ACTIVIDADES'!$A$4:$A$11,0)),""))=""),"SIN CLASIFICAR",IFERROR(INDEX('CAT_ACTIVIDADES'!$D$4:$D$11,MATCH($H694,'CAT_ACTIVIDADES'!$A$4:$A$11,0)),"")))</f>
        <v/>
      </c>
      <c r="AO694" s="4" t="n"/>
      <c r="AP694" s="4" t="n"/>
      <c r="AQ694" s="4" t="n"/>
      <c r="AR694" s="5">
        <f>IF($AQ694="","",HYPERLINK(p_ruta_base_checklists&amp;$AQ694,"abrir"))</f>
        <v/>
      </c>
      <c r="AS694" s="4" t="n"/>
      <c r="AT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2" t="n"/>
      <c r="K695" s="5" t="n"/>
      <c r="L695" s="18" t="n"/>
      <c r="M695" s="5">
        <f>IF($A695="","",IFERROR(INDEX('AJUSTES'!$B$4:$B$303,MATCH($AT695,'AJUSTES'!$A$4:$A$303,0)),IF($K695="","",$K695)))</f>
        <v/>
      </c>
      <c r="N695" s="5">
        <f>IF($A695="","",IFERROR(INDEX('CAT_ESTADOS_ERP'!$B$4:$B$7,MATCH(IFERROR(INDEX('2_IMPORTAR_EJECUCION'!$C$9:$C$1208,MATCH($AT695,'2_IMPORTAR_EJECUCION'!$J$9:$J$1208,0)),""),'CAT_ESTADOS_ERP'!$A$4:$A$7,0)),"Pendiente"))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IF($J695="","",$P695&amp;"-"&amp;TEXT($Q695,"00"))</f>
        <v/>
      </c>
      <c r="S695" s="5">
        <f>IF($J695="","",INDEX(lista_dias,WEEKDAY($J695,2)))</f>
        <v/>
      </c>
      <c r="T695" s="5">
        <f>IF($J695="","",IFERROR(INDEX('CALENDARIO'!$C$15:$C$214,MATCH(TEXT($J695,"yyyy-mm-dd")&amp;"|"&amp;$X695&amp;"|"&amp;$Y695,'CALENDARIO'!$G$15:$G$214,0)),IFERROR(INDEX('CALENDARIO'!$C$15:$C$214,MATCH(TEXT($J695,"yyyy-mm-dd")&amp;"|"&amp;$X695&amp;"|",'CALENDARIO'!$G$15:$G$214,0)),IFERROR(INDEX('CALENDARIO'!$C$15:$C$214,MATCH(TEXT($J695,"yyyy-mm-dd")&amp;"||",'CALENDARIO'!$G$15:$G$214,0)),INDEX(patronHabil,WEEKDAY($J695,2))))))</f>
        <v/>
      </c>
      <c r="U695" s="5">
        <f>IF($I695="","",IFERROR(INDEX('CAT_TIPOS_OT'!$C$4:$C$8,MATCH($I695,'CAT_TIPOS_OT'!$A$4:$A$8,0)),"sin_clasificar"))</f>
        <v/>
      </c>
      <c r="V695" s="5">
        <f>IF($I695="","",IF(IFERROR(INDEX('CAT_TIPOS_OT'!$D$4:$D$8,MATCH($I695,'CAT_TIPOS_OT'!$A$4:$A$8,0)),"SIN CLASIFICAR")="","SIN CLASIFICAR",IFERROR(INDEX('CAT_TIPOS_OT'!$D$4:$D$8,MATCH($I695,'CAT_TIPOS_OT'!$A$4:$A$8,0)),"SIN CLASIFICAR")))</f>
        <v/>
      </c>
      <c r="W695" s="5">
        <f>IF($F695="","",IFERROR(INDEX('CAT_CENTROS_COSTO'!$F$4:$F$13,MATCH($F695,'CAT_CENTROS_COSTO'!$A$4:$A$13,0)),"(sin catálogo)"))</f>
        <v/>
      </c>
      <c r="X695" s="5">
        <f>IF($F695="","",IFERROR(INDEX('CAT_CENTROS_COSTO'!$D$4:$D$13,MATCH($F695,'CAT_CENTROS_COSTO'!$A$4:$A$13,0)),"(sin catálogo)"))</f>
        <v/>
      </c>
      <c r="Y695" s="5">
        <f>IF($F695="","",IF((IFERROR(INDEX('CAT_CENTROS_COSTO'!$E$4:$E$13,MATCH($F695,'CAT_CENTROS_COSTO'!$A$4:$A$13,0)),""))&lt;&gt;"",IFERROR(INDEX('CAT_CENTROS_COSTO'!$E$4:$E$13,MATCH($F695,'CAT_CENTROS_COSTO'!$A$4:$A$13,0)),""),$X695))</f>
        <v/>
      </c>
      <c r="Z695" s="5">
        <f>IF($F695="","",IFERROR(INDEX('CAT_CENTROS_COSTO'!$G$4:$G$13,MATCH($F695,'CAT_CENTROS_COSTO'!$A$4:$A$13,0)),"(sin catálogo)"))</f>
        <v/>
      </c>
      <c r="AA695" s="5">
        <f>IF($G695="","",IFERROR(INDEX('CAT_PUESTOS'!$B$4:$B$8,MATCH($G695,'CAT_PUESTOS'!$A$4:$A$8,0)),"(sin catálogo)"))</f>
        <v/>
      </c>
      <c r="AB695" s="5">
        <f>IF($H695="","",IFERROR(INDEX('CAT_ACTIVIDADES'!$B$4:$B$11,MATCH($H695,'CAT_ACTIVIDADES'!$A$4:$A$11,0)),"(sin catálogo)"))</f>
        <v/>
      </c>
      <c r="AC695" s="20">
        <f>IF($J695="","",TODAY()-$J695)</f>
        <v/>
      </c>
      <c r="AD695" s="20">
        <f>IF($J695="","",IF($J695&lt;=TODAY(),COUNTIFS(cal_fechas,"&gt;="&amp;$J695,cal_fechas,"&lt;"&amp;TODAY(),cal_habil,"sí"),-COUNTIFS(cal_fechas,"&gt;="&amp;TODAY(),cal_fechas,"&lt;"&amp;$J695,cal_habil,"sí")))</f>
        <v/>
      </c>
      <c r="AE695" s="5">
        <f>IF($AD695="","",IF($AD695&lt;0,"FUTURO",IF($AD695&gt;p_dias_backlog_max,"BACKLOG","MES CORRIENTE")))</f>
        <v/>
      </c>
      <c r="AF695" s="5">
        <f>IF($AD695="",FALSE,AND($AD695&gt;p_dias_backlog_min,$AD695&lt;=p_dias_backlog_max))</f>
        <v/>
      </c>
      <c r="AG695" s="4" t="n"/>
      <c r="AH695" s="5">
        <f>IF($AG695="","",IF((IFERROR(INDEX('ASIGNACIONES'!$J$4:$J$451,MATCH($O695&amp;"|"&amp;$S695&amp;"|"&amp;$AG695,'ASIGNACIONES'!$N$4:$N$451,0)),""))=0,"",IFERROR(INDEX('ASIGNACIONES'!$J$4:$J$451,MATCH($O695&amp;"|"&amp;$S695&amp;"|"&amp;$AG695,'ASIGNACIONES'!$N$4:$N$451,0)),"")))</f>
        <v/>
      </c>
      <c r="AI695" s="25">
        <f>IF($AG695="","",SUMIFS('ORDENES'!$M$4:$M$1203,'ORDENES'!$AG$4:$AG$1203,$AG695,'ORDENES'!$O$4:$O$1203,$O695,'ORDENES'!$S$4:$S$1203,$S695))</f>
        <v/>
      </c>
      <c r="AJ695" s="25">
        <f>IF($AI695="","",p_factor_productividad*IFERROR(INDEX('ASIGNACIONES'!$M$4:$M$451,MATCH($O695&amp;"|"&amp;$S695&amp;"|"&amp;$AG695,'ASIGNACIONES'!$N$4:$N$451,0)),0)-$AI695)</f>
        <v/>
      </c>
      <c r="AK695" s="18">
        <f>IF($A695="","",IFERROR(INDEX('2_IMPORTAR_EJECUCION'!$F$9:$F$1208,MATCH($AT695,'2_IMPORTAR_EJECUCION'!$J$9:$J$1208,0)),0))</f>
        <v/>
      </c>
      <c r="AL695" s="18">
        <f>IF($A695="","",MAX(0,IFERROR(INDEX('2_IMPORTAR_EJECUCION'!$H$9:$H$1208,MATCH($AT695,'2_IMPORTAR_EJECUCION'!$J$9:$J$1208,0)),0)-$AK695))</f>
        <v/>
      </c>
      <c r="AM695" s="18">
        <f>IF($A695="","",$AK695+$AL695)</f>
        <v/>
      </c>
      <c r="AN695" s="5">
        <f>IF($A695="","",IF(OR((IFERROR(INDEX('CAT_ACTIVIDADES'!$D$4:$D$11,MATCH($H695,'CAT_ACTIVIDADES'!$A$4:$A$11,0)),""))=0,(IFERROR(INDEX('CAT_ACTIVIDADES'!$D$4:$D$11,MATCH($H695,'CAT_ACTIVIDADES'!$A$4:$A$11,0)),""))=""),"SIN CLASIFICAR",IFERROR(INDEX('CAT_ACTIVIDADES'!$D$4:$D$11,MATCH($H695,'CAT_ACTIVIDADES'!$A$4:$A$11,0)),"")))</f>
        <v/>
      </c>
      <c r="AO695" s="4" t="n"/>
      <c r="AP695" s="4" t="n"/>
      <c r="AQ695" s="4" t="n"/>
      <c r="AR695" s="5">
        <f>IF($AQ695="","",HYPERLINK(p_ruta_base_checklists&amp;$AQ695,"abrir"))</f>
        <v/>
      </c>
      <c r="AS695" s="4" t="n"/>
      <c r="AT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2" t="n"/>
      <c r="K696" s="5" t="n"/>
      <c r="L696" s="18" t="n"/>
      <c r="M696" s="5">
        <f>IF($A696="","",IFERROR(INDEX('AJUSTES'!$B$4:$B$303,MATCH($AT696,'AJUSTES'!$A$4:$A$303,0)),IF($K696="","",$K696)))</f>
        <v/>
      </c>
      <c r="N696" s="5">
        <f>IF($A696="","",IFERROR(INDEX('CAT_ESTADOS_ERP'!$B$4:$B$7,MATCH(IFERROR(INDEX('2_IMPORTAR_EJECUCION'!$C$9:$C$1208,MATCH($AT696,'2_IMPORTAR_EJECUCION'!$J$9:$J$1208,0)),""),'CAT_ESTADOS_ERP'!$A$4:$A$7,0)),"Pendiente"))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IF($J696="","",$P696&amp;"-"&amp;TEXT($Q696,"00"))</f>
        <v/>
      </c>
      <c r="S696" s="5">
        <f>IF($J696="","",INDEX(lista_dias,WEEKDAY($J696,2)))</f>
        <v/>
      </c>
      <c r="T696" s="5">
        <f>IF($J696="","",IFERROR(INDEX('CALENDARIO'!$C$15:$C$214,MATCH(TEXT($J696,"yyyy-mm-dd")&amp;"|"&amp;$X696&amp;"|"&amp;$Y696,'CALENDARIO'!$G$15:$G$214,0)),IFERROR(INDEX('CALENDARIO'!$C$15:$C$214,MATCH(TEXT($J696,"yyyy-mm-dd")&amp;"|"&amp;$X696&amp;"|",'CALENDARIO'!$G$15:$G$214,0)),IFERROR(INDEX('CALENDARIO'!$C$15:$C$214,MATCH(TEXT($J696,"yyyy-mm-dd")&amp;"||",'CALENDARIO'!$G$15:$G$214,0)),INDEX(patronHabil,WEEKDAY($J696,2))))))</f>
        <v/>
      </c>
      <c r="U696" s="5">
        <f>IF($I696="","",IFERROR(INDEX('CAT_TIPOS_OT'!$C$4:$C$8,MATCH($I696,'CAT_TIPOS_OT'!$A$4:$A$8,0)),"sin_clasificar"))</f>
        <v/>
      </c>
      <c r="V696" s="5">
        <f>IF($I696="","",IF(IFERROR(INDEX('CAT_TIPOS_OT'!$D$4:$D$8,MATCH($I696,'CAT_TIPOS_OT'!$A$4:$A$8,0)),"SIN CLASIFICAR")="","SIN CLASIFICAR",IFERROR(INDEX('CAT_TIPOS_OT'!$D$4:$D$8,MATCH($I696,'CAT_TIPOS_OT'!$A$4:$A$8,0)),"SIN CLASIFICAR")))</f>
        <v/>
      </c>
      <c r="W696" s="5">
        <f>IF($F696="","",IFERROR(INDEX('CAT_CENTROS_COSTO'!$F$4:$F$13,MATCH($F696,'CAT_CENTROS_COSTO'!$A$4:$A$13,0)),"(sin catálogo)"))</f>
        <v/>
      </c>
      <c r="X696" s="5">
        <f>IF($F696="","",IFERROR(INDEX('CAT_CENTROS_COSTO'!$D$4:$D$13,MATCH($F696,'CAT_CENTROS_COSTO'!$A$4:$A$13,0)),"(sin catálogo)"))</f>
        <v/>
      </c>
      <c r="Y696" s="5">
        <f>IF($F696="","",IF((IFERROR(INDEX('CAT_CENTROS_COSTO'!$E$4:$E$13,MATCH($F696,'CAT_CENTROS_COSTO'!$A$4:$A$13,0)),""))&lt;&gt;"",IFERROR(INDEX('CAT_CENTROS_COSTO'!$E$4:$E$13,MATCH($F696,'CAT_CENTROS_COSTO'!$A$4:$A$13,0)),""),$X696))</f>
        <v/>
      </c>
      <c r="Z696" s="5">
        <f>IF($F696="","",IFERROR(INDEX('CAT_CENTROS_COSTO'!$G$4:$G$13,MATCH($F696,'CAT_CENTROS_COSTO'!$A$4:$A$13,0)),"(sin catálogo)"))</f>
        <v/>
      </c>
      <c r="AA696" s="5">
        <f>IF($G696="","",IFERROR(INDEX('CAT_PUESTOS'!$B$4:$B$8,MATCH($G696,'CAT_PUESTOS'!$A$4:$A$8,0)),"(sin catálogo)"))</f>
        <v/>
      </c>
      <c r="AB696" s="5">
        <f>IF($H696="","",IFERROR(INDEX('CAT_ACTIVIDADES'!$B$4:$B$11,MATCH($H696,'CAT_ACTIVIDADES'!$A$4:$A$11,0)),"(sin catálogo)"))</f>
        <v/>
      </c>
      <c r="AC696" s="20">
        <f>IF($J696="","",TODAY()-$J696)</f>
        <v/>
      </c>
      <c r="AD696" s="20">
        <f>IF($J696="","",IF($J696&lt;=TODAY(),COUNTIFS(cal_fechas,"&gt;="&amp;$J696,cal_fechas,"&lt;"&amp;TODAY(),cal_habil,"sí"),-COUNTIFS(cal_fechas,"&gt;="&amp;TODAY(),cal_fechas,"&lt;"&amp;$J696,cal_habil,"sí")))</f>
        <v/>
      </c>
      <c r="AE696" s="5">
        <f>IF($AD696="","",IF($AD696&lt;0,"FUTURO",IF($AD696&gt;p_dias_backlog_max,"BACKLOG","MES CORRIENTE")))</f>
        <v/>
      </c>
      <c r="AF696" s="5">
        <f>IF($AD696="",FALSE,AND($AD696&gt;p_dias_backlog_min,$AD696&lt;=p_dias_backlog_max))</f>
        <v/>
      </c>
      <c r="AG696" s="4" t="n"/>
      <c r="AH696" s="5">
        <f>IF($AG696="","",IF((IFERROR(INDEX('ASIGNACIONES'!$J$4:$J$451,MATCH($O696&amp;"|"&amp;$S696&amp;"|"&amp;$AG696,'ASIGNACIONES'!$N$4:$N$451,0)),""))=0,"",IFERROR(INDEX('ASIGNACIONES'!$J$4:$J$451,MATCH($O696&amp;"|"&amp;$S696&amp;"|"&amp;$AG696,'ASIGNACIONES'!$N$4:$N$451,0)),"")))</f>
        <v/>
      </c>
      <c r="AI696" s="25">
        <f>IF($AG696="","",SUMIFS('ORDENES'!$M$4:$M$1203,'ORDENES'!$AG$4:$AG$1203,$AG696,'ORDENES'!$O$4:$O$1203,$O696,'ORDENES'!$S$4:$S$1203,$S696))</f>
        <v/>
      </c>
      <c r="AJ696" s="25">
        <f>IF($AI696="","",p_factor_productividad*IFERROR(INDEX('ASIGNACIONES'!$M$4:$M$451,MATCH($O696&amp;"|"&amp;$S696&amp;"|"&amp;$AG696,'ASIGNACIONES'!$N$4:$N$451,0)),0)-$AI696)</f>
        <v/>
      </c>
      <c r="AK696" s="18">
        <f>IF($A696="","",IFERROR(INDEX('2_IMPORTAR_EJECUCION'!$F$9:$F$1208,MATCH($AT696,'2_IMPORTAR_EJECUCION'!$J$9:$J$1208,0)),0))</f>
        <v/>
      </c>
      <c r="AL696" s="18">
        <f>IF($A696="","",MAX(0,IFERROR(INDEX('2_IMPORTAR_EJECUCION'!$H$9:$H$1208,MATCH($AT696,'2_IMPORTAR_EJECUCION'!$J$9:$J$1208,0)),0)-$AK696))</f>
        <v/>
      </c>
      <c r="AM696" s="18">
        <f>IF($A696="","",$AK696+$AL696)</f>
        <v/>
      </c>
      <c r="AN696" s="5">
        <f>IF($A696="","",IF(OR((IFERROR(INDEX('CAT_ACTIVIDADES'!$D$4:$D$11,MATCH($H696,'CAT_ACTIVIDADES'!$A$4:$A$11,0)),""))=0,(IFERROR(INDEX('CAT_ACTIVIDADES'!$D$4:$D$11,MATCH($H696,'CAT_ACTIVIDADES'!$A$4:$A$11,0)),""))=""),"SIN CLASIFICAR",IFERROR(INDEX('CAT_ACTIVIDADES'!$D$4:$D$11,MATCH($H696,'CAT_ACTIVIDADES'!$A$4:$A$11,0)),"")))</f>
        <v/>
      </c>
      <c r="AO696" s="4" t="n"/>
      <c r="AP696" s="4" t="n"/>
      <c r="AQ696" s="4" t="n"/>
      <c r="AR696" s="5">
        <f>IF($AQ696="","",HYPERLINK(p_ruta_base_checklists&amp;$AQ696,"abrir"))</f>
        <v/>
      </c>
      <c r="AS696" s="4" t="n"/>
      <c r="AT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2" t="n"/>
      <c r="K697" s="5" t="n"/>
      <c r="L697" s="18" t="n"/>
      <c r="M697" s="5">
        <f>IF($A697="","",IFERROR(INDEX('AJUSTES'!$B$4:$B$303,MATCH($AT697,'AJUSTES'!$A$4:$A$303,0)),IF($K697="","",$K697)))</f>
        <v/>
      </c>
      <c r="N697" s="5">
        <f>IF($A697="","",IFERROR(INDEX('CAT_ESTADOS_ERP'!$B$4:$B$7,MATCH(IFERROR(INDEX('2_IMPORTAR_EJECUCION'!$C$9:$C$1208,MATCH($AT697,'2_IMPORTAR_EJECUCION'!$J$9:$J$1208,0)),""),'CAT_ESTADOS_ERP'!$A$4:$A$7,0)),"Pendiente"))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IF($J697="","",$P697&amp;"-"&amp;TEXT($Q697,"00"))</f>
        <v/>
      </c>
      <c r="S697" s="5">
        <f>IF($J697="","",INDEX(lista_dias,WEEKDAY($J697,2)))</f>
        <v/>
      </c>
      <c r="T697" s="5">
        <f>IF($J697="","",IFERROR(INDEX('CALENDARIO'!$C$15:$C$214,MATCH(TEXT($J697,"yyyy-mm-dd")&amp;"|"&amp;$X697&amp;"|"&amp;$Y697,'CALENDARIO'!$G$15:$G$214,0)),IFERROR(INDEX('CALENDARIO'!$C$15:$C$214,MATCH(TEXT($J697,"yyyy-mm-dd")&amp;"|"&amp;$X697&amp;"|",'CALENDARIO'!$G$15:$G$214,0)),IFERROR(INDEX('CALENDARIO'!$C$15:$C$214,MATCH(TEXT($J697,"yyyy-mm-dd")&amp;"||",'CALENDARIO'!$G$15:$G$214,0)),INDEX(patronHabil,WEEKDAY($J697,2))))))</f>
        <v/>
      </c>
      <c r="U697" s="5">
        <f>IF($I697="","",IFERROR(INDEX('CAT_TIPOS_OT'!$C$4:$C$8,MATCH($I697,'CAT_TIPOS_OT'!$A$4:$A$8,0)),"sin_clasificar"))</f>
        <v/>
      </c>
      <c r="V697" s="5">
        <f>IF($I697="","",IF(IFERROR(INDEX('CAT_TIPOS_OT'!$D$4:$D$8,MATCH($I697,'CAT_TIPOS_OT'!$A$4:$A$8,0)),"SIN CLASIFICAR")="","SIN CLASIFICAR",IFERROR(INDEX('CAT_TIPOS_OT'!$D$4:$D$8,MATCH($I697,'CAT_TIPOS_OT'!$A$4:$A$8,0)),"SIN CLASIFICAR")))</f>
        <v/>
      </c>
      <c r="W697" s="5">
        <f>IF($F697="","",IFERROR(INDEX('CAT_CENTROS_COSTO'!$F$4:$F$13,MATCH($F697,'CAT_CENTROS_COSTO'!$A$4:$A$13,0)),"(sin catálogo)"))</f>
        <v/>
      </c>
      <c r="X697" s="5">
        <f>IF($F697="","",IFERROR(INDEX('CAT_CENTROS_COSTO'!$D$4:$D$13,MATCH($F697,'CAT_CENTROS_COSTO'!$A$4:$A$13,0)),"(sin catálogo)"))</f>
        <v/>
      </c>
      <c r="Y697" s="5">
        <f>IF($F697="","",IF((IFERROR(INDEX('CAT_CENTROS_COSTO'!$E$4:$E$13,MATCH($F697,'CAT_CENTROS_COSTO'!$A$4:$A$13,0)),""))&lt;&gt;"",IFERROR(INDEX('CAT_CENTROS_COSTO'!$E$4:$E$13,MATCH($F697,'CAT_CENTROS_COSTO'!$A$4:$A$13,0)),""),$X697))</f>
        <v/>
      </c>
      <c r="Z697" s="5">
        <f>IF($F697="","",IFERROR(INDEX('CAT_CENTROS_COSTO'!$G$4:$G$13,MATCH($F697,'CAT_CENTROS_COSTO'!$A$4:$A$13,0)),"(sin catálogo)"))</f>
        <v/>
      </c>
      <c r="AA697" s="5">
        <f>IF($G697="","",IFERROR(INDEX('CAT_PUESTOS'!$B$4:$B$8,MATCH($G697,'CAT_PUESTOS'!$A$4:$A$8,0)),"(sin catálogo)"))</f>
        <v/>
      </c>
      <c r="AB697" s="5">
        <f>IF($H697="","",IFERROR(INDEX('CAT_ACTIVIDADES'!$B$4:$B$11,MATCH($H697,'CAT_ACTIVIDADES'!$A$4:$A$11,0)),"(sin catálogo)"))</f>
        <v/>
      </c>
      <c r="AC697" s="20">
        <f>IF($J697="","",TODAY()-$J697)</f>
        <v/>
      </c>
      <c r="AD697" s="20">
        <f>IF($J697="","",IF($J697&lt;=TODAY(),COUNTIFS(cal_fechas,"&gt;="&amp;$J697,cal_fechas,"&lt;"&amp;TODAY(),cal_habil,"sí"),-COUNTIFS(cal_fechas,"&gt;="&amp;TODAY(),cal_fechas,"&lt;"&amp;$J697,cal_habil,"sí")))</f>
        <v/>
      </c>
      <c r="AE697" s="5">
        <f>IF($AD697="","",IF($AD697&lt;0,"FUTURO",IF($AD697&gt;p_dias_backlog_max,"BACKLOG","MES CORRIENTE")))</f>
        <v/>
      </c>
      <c r="AF697" s="5">
        <f>IF($AD697="",FALSE,AND($AD697&gt;p_dias_backlog_min,$AD697&lt;=p_dias_backlog_max))</f>
        <v/>
      </c>
      <c r="AG697" s="4" t="n"/>
      <c r="AH697" s="5">
        <f>IF($AG697="","",IF((IFERROR(INDEX('ASIGNACIONES'!$J$4:$J$451,MATCH($O697&amp;"|"&amp;$S697&amp;"|"&amp;$AG697,'ASIGNACIONES'!$N$4:$N$451,0)),""))=0,"",IFERROR(INDEX('ASIGNACIONES'!$J$4:$J$451,MATCH($O697&amp;"|"&amp;$S697&amp;"|"&amp;$AG697,'ASIGNACIONES'!$N$4:$N$451,0)),"")))</f>
        <v/>
      </c>
      <c r="AI697" s="25">
        <f>IF($AG697="","",SUMIFS('ORDENES'!$M$4:$M$1203,'ORDENES'!$AG$4:$AG$1203,$AG697,'ORDENES'!$O$4:$O$1203,$O697,'ORDENES'!$S$4:$S$1203,$S697))</f>
        <v/>
      </c>
      <c r="AJ697" s="25">
        <f>IF($AI697="","",p_factor_productividad*IFERROR(INDEX('ASIGNACIONES'!$M$4:$M$451,MATCH($O697&amp;"|"&amp;$S697&amp;"|"&amp;$AG697,'ASIGNACIONES'!$N$4:$N$451,0)),0)-$AI697)</f>
        <v/>
      </c>
      <c r="AK697" s="18">
        <f>IF($A697="","",IFERROR(INDEX('2_IMPORTAR_EJECUCION'!$F$9:$F$1208,MATCH($AT697,'2_IMPORTAR_EJECUCION'!$J$9:$J$1208,0)),0))</f>
        <v/>
      </c>
      <c r="AL697" s="18">
        <f>IF($A697="","",MAX(0,IFERROR(INDEX('2_IMPORTAR_EJECUCION'!$H$9:$H$1208,MATCH($AT697,'2_IMPORTAR_EJECUCION'!$J$9:$J$1208,0)),0)-$AK697))</f>
        <v/>
      </c>
      <c r="AM697" s="18">
        <f>IF($A697="","",$AK697+$AL697)</f>
        <v/>
      </c>
      <c r="AN697" s="5">
        <f>IF($A697="","",IF(OR((IFERROR(INDEX('CAT_ACTIVIDADES'!$D$4:$D$11,MATCH($H697,'CAT_ACTIVIDADES'!$A$4:$A$11,0)),""))=0,(IFERROR(INDEX('CAT_ACTIVIDADES'!$D$4:$D$11,MATCH($H697,'CAT_ACTIVIDADES'!$A$4:$A$11,0)),""))=""),"SIN CLASIFICAR",IFERROR(INDEX('CAT_ACTIVIDADES'!$D$4:$D$11,MATCH($H697,'CAT_ACTIVIDADES'!$A$4:$A$11,0)),"")))</f>
        <v/>
      </c>
      <c r="AO697" s="4" t="n"/>
      <c r="AP697" s="4" t="n"/>
      <c r="AQ697" s="4" t="n"/>
      <c r="AR697" s="5">
        <f>IF($AQ697="","",HYPERLINK(p_ruta_base_checklists&amp;$AQ697,"abrir"))</f>
        <v/>
      </c>
      <c r="AS697" s="4" t="n"/>
      <c r="AT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2" t="n"/>
      <c r="K698" s="5" t="n"/>
      <c r="L698" s="18" t="n"/>
      <c r="M698" s="5">
        <f>IF($A698="","",IFERROR(INDEX('AJUSTES'!$B$4:$B$303,MATCH($AT698,'AJUSTES'!$A$4:$A$303,0)),IF($K698="","",$K698)))</f>
        <v/>
      </c>
      <c r="N698" s="5">
        <f>IF($A698="","",IFERROR(INDEX('CAT_ESTADOS_ERP'!$B$4:$B$7,MATCH(IFERROR(INDEX('2_IMPORTAR_EJECUCION'!$C$9:$C$1208,MATCH($AT698,'2_IMPORTAR_EJECUCION'!$J$9:$J$1208,0)),""),'CAT_ESTADOS_ERP'!$A$4:$A$7,0)),"Pendiente"))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IF($J698="","",$P698&amp;"-"&amp;TEXT($Q698,"00"))</f>
        <v/>
      </c>
      <c r="S698" s="5">
        <f>IF($J698="","",INDEX(lista_dias,WEEKDAY($J698,2)))</f>
        <v/>
      </c>
      <c r="T698" s="5">
        <f>IF($J698="","",IFERROR(INDEX('CALENDARIO'!$C$15:$C$214,MATCH(TEXT($J698,"yyyy-mm-dd")&amp;"|"&amp;$X698&amp;"|"&amp;$Y698,'CALENDARIO'!$G$15:$G$214,0)),IFERROR(INDEX('CALENDARIO'!$C$15:$C$214,MATCH(TEXT($J698,"yyyy-mm-dd")&amp;"|"&amp;$X698&amp;"|",'CALENDARIO'!$G$15:$G$214,0)),IFERROR(INDEX('CALENDARIO'!$C$15:$C$214,MATCH(TEXT($J698,"yyyy-mm-dd")&amp;"||",'CALENDARIO'!$G$15:$G$214,0)),INDEX(patronHabil,WEEKDAY($J698,2))))))</f>
        <v/>
      </c>
      <c r="U698" s="5">
        <f>IF($I698="","",IFERROR(INDEX('CAT_TIPOS_OT'!$C$4:$C$8,MATCH($I698,'CAT_TIPOS_OT'!$A$4:$A$8,0)),"sin_clasificar"))</f>
        <v/>
      </c>
      <c r="V698" s="5">
        <f>IF($I698="","",IF(IFERROR(INDEX('CAT_TIPOS_OT'!$D$4:$D$8,MATCH($I698,'CAT_TIPOS_OT'!$A$4:$A$8,0)),"SIN CLASIFICAR")="","SIN CLASIFICAR",IFERROR(INDEX('CAT_TIPOS_OT'!$D$4:$D$8,MATCH($I698,'CAT_TIPOS_OT'!$A$4:$A$8,0)),"SIN CLASIFICAR")))</f>
        <v/>
      </c>
      <c r="W698" s="5">
        <f>IF($F698="","",IFERROR(INDEX('CAT_CENTROS_COSTO'!$F$4:$F$13,MATCH($F698,'CAT_CENTROS_COSTO'!$A$4:$A$13,0)),"(sin catálogo)"))</f>
        <v/>
      </c>
      <c r="X698" s="5">
        <f>IF($F698="","",IFERROR(INDEX('CAT_CENTROS_COSTO'!$D$4:$D$13,MATCH($F698,'CAT_CENTROS_COSTO'!$A$4:$A$13,0)),"(sin catálogo)"))</f>
        <v/>
      </c>
      <c r="Y698" s="5">
        <f>IF($F698="","",IF((IFERROR(INDEX('CAT_CENTROS_COSTO'!$E$4:$E$13,MATCH($F698,'CAT_CENTROS_COSTO'!$A$4:$A$13,0)),""))&lt;&gt;"",IFERROR(INDEX('CAT_CENTROS_COSTO'!$E$4:$E$13,MATCH($F698,'CAT_CENTROS_COSTO'!$A$4:$A$13,0)),""),$X698))</f>
        <v/>
      </c>
      <c r="Z698" s="5">
        <f>IF($F698="","",IFERROR(INDEX('CAT_CENTROS_COSTO'!$G$4:$G$13,MATCH($F698,'CAT_CENTROS_COSTO'!$A$4:$A$13,0)),"(sin catálogo)"))</f>
        <v/>
      </c>
      <c r="AA698" s="5">
        <f>IF($G698="","",IFERROR(INDEX('CAT_PUESTOS'!$B$4:$B$8,MATCH($G698,'CAT_PUESTOS'!$A$4:$A$8,0)),"(sin catálogo)"))</f>
        <v/>
      </c>
      <c r="AB698" s="5">
        <f>IF($H698="","",IFERROR(INDEX('CAT_ACTIVIDADES'!$B$4:$B$11,MATCH($H698,'CAT_ACTIVIDADES'!$A$4:$A$11,0)),"(sin catálogo)"))</f>
        <v/>
      </c>
      <c r="AC698" s="20">
        <f>IF($J698="","",TODAY()-$J698)</f>
        <v/>
      </c>
      <c r="AD698" s="20">
        <f>IF($J698="","",IF($J698&lt;=TODAY(),COUNTIFS(cal_fechas,"&gt;="&amp;$J698,cal_fechas,"&lt;"&amp;TODAY(),cal_habil,"sí"),-COUNTIFS(cal_fechas,"&gt;="&amp;TODAY(),cal_fechas,"&lt;"&amp;$J698,cal_habil,"sí")))</f>
        <v/>
      </c>
      <c r="AE698" s="5">
        <f>IF($AD698="","",IF($AD698&lt;0,"FUTURO",IF($AD698&gt;p_dias_backlog_max,"BACKLOG","MES CORRIENTE")))</f>
        <v/>
      </c>
      <c r="AF698" s="5">
        <f>IF($AD698="",FALSE,AND($AD698&gt;p_dias_backlog_min,$AD698&lt;=p_dias_backlog_max))</f>
        <v/>
      </c>
      <c r="AG698" s="4" t="n"/>
      <c r="AH698" s="5">
        <f>IF($AG698="","",IF((IFERROR(INDEX('ASIGNACIONES'!$J$4:$J$451,MATCH($O698&amp;"|"&amp;$S698&amp;"|"&amp;$AG698,'ASIGNACIONES'!$N$4:$N$451,0)),""))=0,"",IFERROR(INDEX('ASIGNACIONES'!$J$4:$J$451,MATCH($O698&amp;"|"&amp;$S698&amp;"|"&amp;$AG698,'ASIGNACIONES'!$N$4:$N$451,0)),"")))</f>
        <v/>
      </c>
      <c r="AI698" s="25">
        <f>IF($AG698="","",SUMIFS('ORDENES'!$M$4:$M$1203,'ORDENES'!$AG$4:$AG$1203,$AG698,'ORDENES'!$O$4:$O$1203,$O698,'ORDENES'!$S$4:$S$1203,$S698))</f>
        <v/>
      </c>
      <c r="AJ698" s="25">
        <f>IF($AI698="","",p_factor_productividad*IFERROR(INDEX('ASIGNACIONES'!$M$4:$M$451,MATCH($O698&amp;"|"&amp;$S698&amp;"|"&amp;$AG698,'ASIGNACIONES'!$N$4:$N$451,0)),0)-$AI698)</f>
        <v/>
      </c>
      <c r="AK698" s="18">
        <f>IF($A698="","",IFERROR(INDEX('2_IMPORTAR_EJECUCION'!$F$9:$F$1208,MATCH($AT698,'2_IMPORTAR_EJECUCION'!$J$9:$J$1208,0)),0))</f>
        <v/>
      </c>
      <c r="AL698" s="18">
        <f>IF($A698="","",MAX(0,IFERROR(INDEX('2_IMPORTAR_EJECUCION'!$H$9:$H$1208,MATCH($AT698,'2_IMPORTAR_EJECUCION'!$J$9:$J$1208,0)),0)-$AK698))</f>
        <v/>
      </c>
      <c r="AM698" s="18">
        <f>IF($A698="","",$AK698+$AL698)</f>
        <v/>
      </c>
      <c r="AN698" s="5">
        <f>IF($A698="","",IF(OR((IFERROR(INDEX('CAT_ACTIVIDADES'!$D$4:$D$11,MATCH($H698,'CAT_ACTIVIDADES'!$A$4:$A$11,0)),""))=0,(IFERROR(INDEX('CAT_ACTIVIDADES'!$D$4:$D$11,MATCH($H698,'CAT_ACTIVIDADES'!$A$4:$A$11,0)),""))=""),"SIN CLASIFICAR",IFERROR(INDEX('CAT_ACTIVIDADES'!$D$4:$D$11,MATCH($H698,'CAT_ACTIVIDADES'!$A$4:$A$11,0)),"")))</f>
        <v/>
      </c>
      <c r="AO698" s="4" t="n"/>
      <c r="AP698" s="4" t="n"/>
      <c r="AQ698" s="4" t="n"/>
      <c r="AR698" s="5">
        <f>IF($AQ698="","",HYPERLINK(p_ruta_base_checklists&amp;$AQ698,"abrir"))</f>
        <v/>
      </c>
      <c r="AS698" s="4" t="n"/>
      <c r="AT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2" t="n"/>
      <c r="K699" s="5" t="n"/>
      <c r="L699" s="18" t="n"/>
      <c r="M699" s="5">
        <f>IF($A699="","",IFERROR(INDEX('AJUSTES'!$B$4:$B$303,MATCH($AT699,'AJUSTES'!$A$4:$A$303,0)),IF($K699="","",$K699)))</f>
        <v/>
      </c>
      <c r="N699" s="5">
        <f>IF($A699="","",IFERROR(INDEX('CAT_ESTADOS_ERP'!$B$4:$B$7,MATCH(IFERROR(INDEX('2_IMPORTAR_EJECUCION'!$C$9:$C$1208,MATCH($AT699,'2_IMPORTAR_EJECUCION'!$J$9:$J$1208,0)),""),'CAT_ESTADOS_ERP'!$A$4:$A$7,0)),"Pendiente"))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IF($J699="","",$P699&amp;"-"&amp;TEXT($Q699,"00"))</f>
        <v/>
      </c>
      <c r="S699" s="5">
        <f>IF($J699="","",INDEX(lista_dias,WEEKDAY($J699,2)))</f>
        <v/>
      </c>
      <c r="T699" s="5">
        <f>IF($J699="","",IFERROR(INDEX('CALENDARIO'!$C$15:$C$214,MATCH(TEXT($J699,"yyyy-mm-dd")&amp;"|"&amp;$X699&amp;"|"&amp;$Y699,'CALENDARIO'!$G$15:$G$214,0)),IFERROR(INDEX('CALENDARIO'!$C$15:$C$214,MATCH(TEXT($J699,"yyyy-mm-dd")&amp;"|"&amp;$X699&amp;"|",'CALENDARIO'!$G$15:$G$214,0)),IFERROR(INDEX('CALENDARIO'!$C$15:$C$214,MATCH(TEXT($J699,"yyyy-mm-dd")&amp;"||",'CALENDARIO'!$G$15:$G$214,0)),INDEX(patronHabil,WEEKDAY($J699,2))))))</f>
        <v/>
      </c>
      <c r="U699" s="5">
        <f>IF($I699="","",IFERROR(INDEX('CAT_TIPOS_OT'!$C$4:$C$8,MATCH($I699,'CAT_TIPOS_OT'!$A$4:$A$8,0)),"sin_clasificar"))</f>
        <v/>
      </c>
      <c r="V699" s="5">
        <f>IF($I699="","",IF(IFERROR(INDEX('CAT_TIPOS_OT'!$D$4:$D$8,MATCH($I699,'CAT_TIPOS_OT'!$A$4:$A$8,0)),"SIN CLASIFICAR")="","SIN CLASIFICAR",IFERROR(INDEX('CAT_TIPOS_OT'!$D$4:$D$8,MATCH($I699,'CAT_TIPOS_OT'!$A$4:$A$8,0)),"SIN CLASIFICAR")))</f>
        <v/>
      </c>
      <c r="W699" s="5">
        <f>IF($F699="","",IFERROR(INDEX('CAT_CENTROS_COSTO'!$F$4:$F$13,MATCH($F699,'CAT_CENTROS_COSTO'!$A$4:$A$13,0)),"(sin catálogo)"))</f>
        <v/>
      </c>
      <c r="X699" s="5">
        <f>IF($F699="","",IFERROR(INDEX('CAT_CENTROS_COSTO'!$D$4:$D$13,MATCH($F699,'CAT_CENTROS_COSTO'!$A$4:$A$13,0)),"(sin catálogo)"))</f>
        <v/>
      </c>
      <c r="Y699" s="5">
        <f>IF($F699="","",IF((IFERROR(INDEX('CAT_CENTROS_COSTO'!$E$4:$E$13,MATCH($F699,'CAT_CENTROS_COSTO'!$A$4:$A$13,0)),""))&lt;&gt;"",IFERROR(INDEX('CAT_CENTROS_COSTO'!$E$4:$E$13,MATCH($F699,'CAT_CENTROS_COSTO'!$A$4:$A$13,0)),""),$X699))</f>
        <v/>
      </c>
      <c r="Z699" s="5">
        <f>IF($F699="","",IFERROR(INDEX('CAT_CENTROS_COSTO'!$G$4:$G$13,MATCH($F699,'CAT_CENTROS_COSTO'!$A$4:$A$13,0)),"(sin catálogo)"))</f>
        <v/>
      </c>
      <c r="AA699" s="5">
        <f>IF($G699="","",IFERROR(INDEX('CAT_PUESTOS'!$B$4:$B$8,MATCH($G699,'CAT_PUESTOS'!$A$4:$A$8,0)),"(sin catálogo)"))</f>
        <v/>
      </c>
      <c r="AB699" s="5">
        <f>IF($H699="","",IFERROR(INDEX('CAT_ACTIVIDADES'!$B$4:$B$11,MATCH($H699,'CAT_ACTIVIDADES'!$A$4:$A$11,0)),"(sin catálogo)"))</f>
        <v/>
      </c>
      <c r="AC699" s="20">
        <f>IF($J699="","",TODAY()-$J699)</f>
        <v/>
      </c>
      <c r="AD699" s="20">
        <f>IF($J699="","",IF($J699&lt;=TODAY(),COUNTIFS(cal_fechas,"&gt;="&amp;$J699,cal_fechas,"&lt;"&amp;TODAY(),cal_habil,"sí"),-COUNTIFS(cal_fechas,"&gt;="&amp;TODAY(),cal_fechas,"&lt;"&amp;$J699,cal_habil,"sí")))</f>
        <v/>
      </c>
      <c r="AE699" s="5">
        <f>IF($AD699="","",IF($AD699&lt;0,"FUTURO",IF($AD699&gt;p_dias_backlog_max,"BACKLOG","MES CORRIENTE")))</f>
        <v/>
      </c>
      <c r="AF699" s="5">
        <f>IF($AD699="",FALSE,AND($AD699&gt;p_dias_backlog_min,$AD699&lt;=p_dias_backlog_max))</f>
        <v/>
      </c>
      <c r="AG699" s="4" t="n"/>
      <c r="AH699" s="5">
        <f>IF($AG699="","",IF((IFERROR(INDEX('ASIGNACIONES'!$J$4:$J$451,MATCH($O699&amp;"|"&amp;$S699&amp;"|"&amp;$AG699,'ASIGNACIONES'!$N$4:$N$451,0)),""))=0,"",IFERROR(INDEX('ASIGNACIONES'!$J$4:$J$451,MATCH($O699&amp;"|"&amp;$S699&amp;"|"&amp;$AG699,'ASIGNACIONES'!$N$4:$N$451,0)),"")))</f>
        <v/>
      </c>
      <c r="AI699" s="25">
        <f>IF($AG699="","",SUMIFS('ORDENES'!$M$4:$M$1203,'ORDENES'!$AG$4:$AG$1203,$AG699,'ORDENES'!$O$4:$O$1203,$O699,'ORDENES'!$S$4:$S$1203,$S699))</f>
        <v/>
      </c>
      <c r="AJ699" s="25">
        <f>IF($AI699="","",p_factor_productividad*IFERROR(INDEX('ASIGNACIONES'!$M$4:$M$451,MATCH($O699&amp;"|"&amp;$S699&amp;"|"&amp;$AG699,'ASIGNACIONES'!$N$4:$N$451,0)),0)-$AI699)</f>
        <v/>
      </c>
      <c r="AK699" s="18">
        <f>IF($A699="","",IFERROR(INDEX('2_IMPORTAR_EJECUCION'!$F$9:$F$1208,MATCH($AT699,'2_IMPORTAR_EJECUCION'!$J$9:$J$1208,0)),0))</f>
        <v/>
      </c>
      <c r="AL699" s="18">
        <f>IF($A699="","",MAX(0,IFERROR(INDEX('2_IMPORTAR_EJECUCION'!$H$9:$H$1208,MATCH($AT699,'2_IMPORTAR_EJECUCION'!$J$9:$J$1208,0)),0)-$AK699))</f>
        <v/>
      </c>
      <c r="AM699" s="18">
        <f>IF($A699="","",$AK699+$AL699)</f>
        <v/>
      </c>
      <c r="AN699" s="5">
        <f>IF($A699="","",IF(OR((IFERROR(INDEX('CAT_ACTIVIDADES'!$D$4:$D$11,MATCH($H699,'CAT_ACTIVIDADES'!$A$4:$A$11,0)),""))=0,(IFERROR(INDEX('CAT_ACTIVIDADES'!$D$4:$D$11,MATCH($H699,'CAT_ACTIVIDADES'!$A$4:$A$11,0)),""))=""),"SIN CLASIFICAR",IFERROR(INDEX('CAT_ACTIVIDADES'!$D$4:$D$11,MATCH($H699,'CAT_ACTIVIDADES'!$A$4:$A$11,0)),"")))</f>
        <v/>
      </c>
      <c r="AO699" s="4" t="n"/>
      <c r="AP699" s="4" t="n"/>
      <c r="AQ699" s="4" t="n"/>
      <c r="AR699" s="5">
        <f>IF($AQ699="","",HYPERLINK(p_ruta_base_checklists&amp;$AQ699,"abrir"))</f>
        <v/>
      </c>
      <c r="AS699" s="4" t="n"/>
      <c r="AT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2" t="n"/>
      <c r="K700" s="5" t="n"/>
      <c r="L700" s="18" t="n"/>
      <c r="M700" s="5">
        <f>IF($A700="","",IFERROR(INDEX('AJUSTES'!$B$4:$B$303,MATCH($AT700,'AJUSTES'!$A$4:$A$303,0)),IF($K700="","",$K700)))</f>
        <v/>
      </c>
      <c r="N700" s="5">
        <f>IF($A700="","",IFERROR(INDEX('CAT_ESTADOS_ERP'!$B$4:$B$7,MATCH(IFERROR(INDEX('2_IMPORTAR_EJECUCION'!$C$9:$C$1208,MATCH($AT700,'2_IMPORTAR_EJECUCION'!$J$9:$J$1208,0)),""),'CAT_ESTADOS_ERP'!$A$4:$A$7,0)),"Pendiente"))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IF($J700="","",$P700&amp;"-"&amp;TEXT($Q700,"00"))</f>
        <v/>
      </c>
      <c r="S700" s="5">
        <f>IF($J700="","",INDEX(lista_dias,WEEKDAY($J700,2)))</f>
        <v/>
      </c>
      <c r="T700" s="5">
        <f>IF($J700="","",IFERROR(INDEX('CALENDARIO'!$C$15:$C$214,MATCH(TEXT($J700,"yyyy-mm-dd")&amp;"|"&amp;$X700&amp;"|"&amp;$Y700,'CALENDARIO'!$G$15:$G$214,0)),IFERROR(INDEX('CALENDARIO'!$C$15:$C$214,MATCH(TEXT($J700,"yyyy-mm-dd")&amp;"|"&amp;$X700&amp;"|",'CALENDARIO'!$G$15:$G$214,0)),IFERROR(INDEX('CALENDARIO'!$C$15:$C$214,MATCH(TEXT($J700,"yyyy-mm-dd")&amp;"||",'CALENDARIO'!$G$15:$G$214,0)),INDEX(patronHabil,WEEKDAY($J700,2))))))</f>
        <v/>
      </c>
      <c r="U700" s="5">
        <f>IF($I700="","",IFERROR(INDEX('CAT_TIPOS_OT'!$C$4:$C$8,MATCH($I700,'CAT_TIPOS_OT'!$A$4:$A$8,0)),"sin_clasificar"))</f>
        <v/>
      </c>
      <c r="V700" s="5">
        <f>IF($I700="","",IF(IFERROR(INDEX('CAT_TIPOS_OT'!$D$4:$D$8,MATCH($I700,'CAT_TIPOS_OT'!$A$4:$A$8,0)),"SIN CLASIFICAR")="","SIN CLASIFICAR",IFERROR(INDEX('CAT_TIPOS_OT'!$D$4:$D$8,MATCH($I700,'CAT_TIPOS_OT'!$A$4:$A$8,0)),"SIN CLASIFICAR")))</f>
        <v/>
      </c>
      <c r="W700" s="5">
        <f>IF($F700="","",IFERROR(INDEX('CAT_CENTROS_COSTO'!$F$4:$F$13,MATCH($F700,'CAT_CENTROS_COSTO'!$A$4:$A$13,0)),"(sin catálogo)"))</f>
        <v/>
      </c>
      <c r="X700" s="5">
        <f>IF($F700="","",IFERROR(INDEX('CAT_CENTROS_COSTO'!$D$4:$D$13,MATCH($F700,'CAT_CENTROS_COSTO'!$A$4:$A$13,0)),"(sin catálogo)"))</f>
        <v/>
      </c>
      <c r="Y700" s="5">
        <f>IF($F700="","",IF((IFERROR(INDEX('CAT_CENTROS_COSTO'!$E$4:$E$13,MATCH($F700,'CAT_CENTROS_COSTO'!$A$4:$A$13,0)),""))&lt;&gt;"",IFERROR(INDEX('CAT_CENTROS_COSTO'!$E$4:$E$13,MATCH($F700,'CAT_CENTROS_COSTO'!$A$4:$A$13,0)),""),$X700))</f>
        <v/>
      </c>
      <c r="Z700" s="5">
        <f>IF($F700="","",IFERROR(INDEX('CAT_CENTROS_COSTO'!$G$4:$G$13,MATCH($F700,'CAT_CENTROS_COSTO'!$A$4:$A$13,0)),"(sin catálogo)"))</f>
        <v/>
      </c>
      <c r="AA700" s="5">
        <f>IF($G700="","",IFERROR(INDEX('CAT_PUESTOS'!$B$4:$B$8,MATCH($G700,'CAT_PUESTOS'!$A$4:$A$8,0)),"(sin catálogo)"))</f>
        <v/>
      </c>
      <c r="AB700" s="5">
        <f>IF($H700="","",IFERROR(INDEX('CAT_ACTIVIDADES'!$B$4:$B$11,MATCH($H700,'CAT_ACTIVIDADES'!$A$4:$A$11,0)),"(sin catálogo)"))</f>
        <v/>
      </c>
      <c r="AC700" s="20">
        <f>IF($J700="","",TODAY()-$J700)</f>
        <v/>
      </c>
      <c r="AD700" s="20">
        <f>IF($J700="","",IF($J700&lt;=TODAY(),COUNTIFS(cal_fechas,"&gt;="&amp;$J700,cal_fechas,"&lt;"&amp;TODAY(),cal_habil,"sí"),-COUNTIFS(cal_fechas,"&gt;="&amp;TODAY(),cal_fechas,"&lt;"&amp;$J700,cal_habil,"sí")))</f>
        <v/>
      </c>
      <c r="AE700" s="5">
        <f>IF($AD700="","",IF($AD700&lt;0,"FUTURO",IF($AD700&gt;p_dias_backlog_max,"BACKLOG","MES CORRIENTE")))</f>
        <v/>
      </c>
      <c r="AF700" s="5">
        <f>IF($AD700="",FALSE,AND($AD700&gt;p_dias_backlog_min,$AD700&lt;=p_dias_backlog_max))</f>
        <v/>
      </c>
      <c r="AG700" s="4" t="n"/>
      <c r="AH700" s="5">
        <f>IF($AG700="","",IF((IFERROR(INDEX('ASIGNACIONES'!$J$4:$J$451,MATCH($O700&amp;"|"&amp;$S700&amp;"|"&amp;$AG700,'ASIGNACIONES'!$N$4:$N$451,0)),""))=0,"",IFERROR(INDEX('ASIGNACIONES'!$J$4:$J$451,MATCH($O700&amp;"|"&amp;$S700&amp;"|"&amp;$AG700,'ASIGNACIONES'!$N$4:$N$451,0)),"")))</f>
        <v/>
      </c>
      <c r="AI700" s="25">
        <f>IF($AG700="","",SUMIFS('ORDENES'!$M$4:$M$1203,'ORDENES'!$AG$4:$AG$1203,$AG700,'ORDENES'!$O$4:$O$1203,$O700,'ORDENES'!$S$4:$S$1203,$S700))</f>
        <v/>
      </c>
      <c r="AJ700" s="25">
        <f>IF($AI700="","",p_factor_productividad*IFERROR(INDEX('ASIGNACIONES'!$M$4:$M$451,MATCH($O700&amp;"|"&amp;$S700&amp;"|"&amp;$AG700,'ASIGNACIONES'!$N$4:$N$451,0)),0)-$AI700)</f>
        <v/>
      </c>
      <c r="AK700" s="18">
        <f>IF($A700="","",IFERROR(INDEX('2_IMPORTAR_EJECUCION'!$F$9:$F$1208,MATCH($AT700,'2_IMPORTAR_EJECUCION'!$J$9:$J$1208,0)),0))</f>
        <v/>
      </c>
      <c r="AL700" s="18">
        <f>IF($A700="","",MAX(0,IFERROR(INDEX('2_IMPORTAR_EJECUCION'!$H$9:$H$1208,MATCH($AT700,'2_IMPORTAR_EJECUCION'!$J$9:$J$1208,0)),0)-$AK700))</f>
        <v/>
      </c>
      <c r="AM700" s="18">
        <f>IF($A700="","",$AK700+$AL700)</f>
        <v/>
      </c>
      <c r="AN700" s="5">
        <f>IF($A700="","",IF(OR((IFERROR(INDEX('CAT_ACTIVIDADES'!$D$4:$D$11,MATCH($H700,'CAT_ACTIVIDADES'!$A$4:$A$11,0)),""))=0,(IFERROR(INDEX('CAT_ACTIVIDADES'!$D$4:$D$11,MATCH($H700,'CAT_ACTIVIDADES'!$A$4:$A$11,0)),""))=""),"SIN CLASIFICAR",IFERROR(INDEX('CAT_ACTIVIDADES'!$D$4:$D$11,MATCH($H700,'CAT_ACTIVIDADES'!$A$4:$A$11,0)),"")))</f>
        <v/>
      </c>
      <c r="AO700" s="4" t="n"/>
      <c r="AP700" s="4" t="n"/>
      <c r="AQ700" s="4" t="n"/>
      <c r="AR700" s="5">
        <f>IF($AQ700="","",HYPERLINK(p_ruta_base_checklists&amp;$AQ700,"abrir"))</f>
        <v/>
      </c>
      <c r="AS700" s="4" t="n"/>
      <c r="AT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2" t="n"/>
      <c r="K701" s="5" t="n"/>
      <c r="L701" s="18" t="n"/>
      <c r="M701" s="5">
        <f>IF($A701="","",IFERROR(INDEX('AJUSTES'!$B$4:$B$303,MATCH($AT701,'AJUSTES'!$A$4:$A$303,0)),IF($K701="","",$K701)))</f>
        <v/>
      </c>
      <c r="N701" s="5">
        <f>IF($A701="","",IFERROR(INDEX('CAT_ESTADOS_ERP'!$B$4:$B$7,MATCH(IFERROR(INDEX('2_IMPORTAR_EJECUCION'!$C$9:$C$1208,MATCH($AT701,'2_IMPORTAR_EJECUCION'!$J$9:$J$1208,0)),""),'CAT_ESTADOS_ERP'!$A$4:$A$7,0)),"Pendiente"))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IF($J701="","",$P701&amp;"-"&amp;TEXT($Q701,"00"))</f>
        <v/>
      </c>
      <c r="S701" s="5">
        <f>IF($J701="","",INDEX(lista_dias,WEEKDAY($J701,2)))</f>
        <v/>
      </c>
      <c r="T701" s="5">
        <f>IF($J701="","",IFERROR(INDEX('CALENDARIO'!$C$15:$C$214,MATCH(TEXT($J701,"yyyy-mm-dd")&amp;"|"&amp;$X701&amp;"|"&amp;$Y701,'CALENDARIO'!$G$15:$G$214,0)),IFERROR(INDEX('CALENDARIO'!$C$15:$C$214,MATCH(TEXT($J701,"yyyy-mm-dd")&amp;"|"&amp;$X701&amp;"|",'CALENDARIO'!$G$15:$G$214,0)),IFERROR(INDEX('CALENDARIO'!$C$15:$C$214,MATCH(TEXT($J701,"yyyy-mm-dd")&amp;"||",'CALENDARIO'!$G$15:$G$214,0)),INDEX(patronHabil,WEEKDAY($J701,2))))))</f>
        <v/>
      </c>
      <c r="U701" s="5">
        <f>IF($I701="","",IFERROR(INDEX('CAT_TIPOS_OT'!$C$4:$C$8,MATCH($I701,'CAT_TIPOS_OT'!$A$4:$A$8,0)),"sin_clasificar"))</f>
        <v/>
      </c>
      <c r="V701" s="5">
        <f>IF($I701="","",IF(IFERROR(INDEX('CAT_TIPOS_OT'!$D$4:$D$8,MATCH($I701,'CAT_TIPOS_OT'!$A$4:$A$8,0)),"SIN CLASIFICAR")="","SIN CLASIFICAR",IFERROR(INDEX('CAT_TIPOS_OT'!$D$4:$D$8,MATCH($I701,'CAT_TIPOS_OT'!$A$4:$A$8,0)),"SIN CLASIFICAR")))</f>
        <v/>
      </c>
      <c r="W701" s="5">
        <f>IF($F701="","",IFERROR(INDEX('CAT_CENTROS_COSTO'!$F$4:$F$13,MATCH($F701,'CAT_CENTROS_COSTO'!$A$4:$A$13,0)),"(sin catálogo)"))</f>
        <v/>
      </c>
      <c r="X701" s="5">
        <f>IF($F701="","",IFERROR(INDEX('CAT_CENTROS_COSTO'!$D$4:$D$13,MATCH($F701,'CAT_CENTROS_COSTO'!$A$4:$A$13,0)),"(sin catálogo)"))</f>
        <v/>
      </c>
      <c r="Y701" s="5">
        <f>IF($F701="","",IF((IFERROR(INDEX('CAT_CENTROS_COSTO'!$E$4:$E$13,MATCH($F701,'CAT_CENTROS_COSTO'!$A$4:$A$13,0)),""))&lt;&gt;"",IFERROR(INDEX('CAT_CENTROS_COSTO'!$E$4:$E$13,MATCH($F701,'CAT_CENTROS_COSTO'!$A$4:$A$13,0)),""),$X701))</f>
        <v/>
      </c>
      <c r="Z701" s="5">
        <f>IF($F701="","",IFERROR(INDEX('CAT_CENTROS_COSTO'!$G$4:$G$13,MATCH($F701,'CAT_CENTROS_COSTO'!$A$4:$A$13,0)),"(sin catálogo)"))</f>
        <v/>
      </c>
      <c r="AA701" s="5">
        <f>IF($G701="","",IFERROR(INDEX('CAT_PUESTOS'!$B$4:$B$8,MATCH($G701,'CAT_PUESTOS'!$A$4:$A$8,0)),"(sin catálogo)"))</f>
        <v/>
      </c>
      <c r="AB701" s="5">
        <f>IF($H701="","",IFERROR(INDEX('CAT_ACTIVIDADES'!$B$4:$B$11,MATCH($H701,'CAT_ACTIVIDADES'!$A$4:$A$11,0)),"(sin catálogo)"))</f>
        <v/>
      </c>
      <c r="AC701" s="20">
        <f>IF($J701="","",TODAY()-$J701)</f>
        <v/>
      </c>
      <c r="AD701" s="20">
        <f>IF($J701="","",IF($J701&lt;=TODAY(),COUNTIFS(cal_fechas,"&gt;="&amp;$J701,cal_fechas,"&lt;"&amp;TODAY(),cal_habil,"sí"),-COUNTIFS(cal_fechas,"&gt;="&amp;TODAY(),cal_fechas,"&lt;"&amp;$J701,cal_habil,"sí")))</f>
        <v/>
      </c>
      <c r="AE701" s="5">
        <f>IF($AD701="","",IF($AD701&lt;0,"FUTURO",IF($AD701&gt;p_dias_backlog_max,"BACKLOG","MES CORRIENTE")))</f>
        <v/>
      </c>
      <c r="AF701" s="5">
        <f>IF($AD701="",FALSE,AND($AD701&gt;p_dias_backlog_min,$AD701&lt;=p_dias_backlog_max))</f>
        <v/>
      </c>
      <c r="AG701" s="4" t="n"/>
      <c r="AH701" s="5">
        <f>IF($AG701="","",IF((IFERROR(INDEX('ASIGNACIONES'!$J$4:$J$451,MATCH($O701&amp;"|"&amp;$S701&amp;"|"&amp;$AG701,'ASIGNACIONES'!$N$4:$N$451,0)),""))=0,"",IFERROR(INDEX('ASIGNACIONES'!$J$4:$J$451,MATCH($O701&amp;"|"&amp;$S701&amp;"|"&amp;$AG701,'ASIGNACIONES'!$N$4:$N$451,0)),"")))</f>
        <v/>
      </c>
      <c r="AI701" s="25">
        <f>IF($AG701="","",SUMIFS('ORDENES'!$M$4:$M$1203,'ORDENES'!$AG$4:$AG$1203,$AG701,'ORDENES'!$O$4:$O$1203,$O701,'ORDENES'!$S$4:$S$1203,$S701))</f>
        <v/>
      </c>
      <c r="AJ701" s="25">
        <f>IF($AI701="","",p_factor_productividad*IFERROR(INDEX('ASIGNACIONES'!$M$4:$M$451,MATCH($O701&amp;"|"&amp;$S701&amp;"|"&amp;$AG701,'ASIGNACIONES'!$N$4:$N$451,0)),0)-$AI701)</f>
        <v/>
      </c>
      <c r="AK701" s="18">
        <f>IF($A701="","",IFERROR(INDEX('2_IMPORTAR_EJECUCION'!$F$9:$F$1208,MATCH($AT701,'2_IMPORTAR_EJECUCION'!$J$9:$J$1208,0)),0))</f>
        <v/>
      </c>
      <c r="AL701" s="18">
        <f>IF($A701="","",MAX(0,IFERROR(INDEX('2_IMPORTAR_EJECUCION'!$H$9:$H$1208,MATCH($AT701,'2_IMPORTAR_EJECUCION'!$J$9:$J$1208,0)),0)-$AK701))</f>
        <v/>
      </c>
      <c r="AM701" s="18">
        <f>IF($A701="","",$AK701+$AL701)</f>
        <v/>
      </c>
      <c r="AN701" s="5">
        <f>IF($A701="","",IF(OR((IFERROR(INDEX('CAT_ACTIVIDADES'!$D$4:$D$11,MATCH($H701,'CAT_ACTIVIDADES'!$A$4:$A$11,0)),""))=0,(IFERROR(INDEX('CAT_ACTIVIDADES'!$D$4:$D$11,MATCH($H701,'CAT_ACTIVIDADES'!$A$4:$A$11,0)),""))=""),"SIN CLASIFICAR",IFERROR(INDEX('CAT_ACTIVIDADES'!$D$4:$D$11,MATCH($H701,'CAT_ACTIVIDADES'!$A$4:$A$11,0)),"")))</f>
        <v/>
      </c>
      <c r="AO701" s="4" t="n"/>
      <c r="AP701" s="4" t="n"/>
      <c r="AQ701" s="4" t="n"/>
      <c r="AR701" s="5">
        <f>IF($AQ701="","",HYPERLINK(p_ruta_base_checklists&amp;$AQ701,"abrir"))</f>
        <v/>
      </c>
      <c r="AS701" s="4" t="n"/>
      <c r="AT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2" t="n"/>
      <c r="K702" s="5" t="n"/>
      <c r="L702" s="18" t="n"/>
      <c r="M702" s="5">
        <f>IF($A702="","",IFERROR(INDEX('AJUSTES'!$B$4:$B$303,MATCH($AT702,'AJUSTES'!$A$4:$A$303,0)),IF($K702="","",$K702)))</f>
        <v/>
      </c>
      <c r="N702" s="5">
        <f>IF($A702="","",IFERROR(INDEX('CAT_ESTADOS_ERP'!$B$4:$B$7,MATCH(IFERROR(INDEX('2_IMPORTAR_EJECUCION'!$C$9:$C$1208,MATCH($AT702,'2_IMPORTAR_EJECUCION'!$J$9:$J$1208,0)),""),'CAT_ESTADOS_ERP'!$A$4:$A$7,0)),"Pendiente"))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IF($J702="","",$P702&amp;"-"&amp;TEXT($Q702,"00"))</f>
        <v/>
      </c>
      <c r="S702" s="5">
        <f>IF($J702="","",INDEX(lista_dias,WEEKDAY($J702,2)))</f>
        <v/>
      </c>
      <c r="T702" s="5">
        <f>IF($J702="","",IFERROR(INDEX('CALENDARIO'!$C$15:$C$214,MATCH(TEXT($J702,"yyyy-mm-dd")&amp;"|"&amp;$X702&amp;"|"&amp;$Y702,'CALENDARIO'!$G$15:$G$214,0)),IFERROR(INDEX('CALENDARIO'!$C$15:$C$214,MATCH(TEXT($J702,"yyyy-mm-dd")&amp;"|"&amp;$X702&amp;"|",'CALENDARIO'!$G$15:$G$214,0)),IFERROR(INDEX('CALENDARIO'!$C$15:$C$214,MATCH(TEXT($J702,"yyyy-mm-dd")&amp;"||",'CALENDARIO'!$G$15:$G$214,0)),INDEX(patronHabil,WEEKDAY($J702,2))))))</f>
        <v/>
      </c>
      <c r="U702" s="5">
        <f>IF($I702="","",IFERROR(INDEX('CAT_TIPOS_OT'!$C$4:$C$8,MATCH($I702,'CAT_TIPOS_OT'!$A$4:$A$8,0)),"sin_clasificar"))</f>
        <v/>
      </c>
      <c r="V702" s="5">
        <f>IF($I702="","",IF(IFERROR(INDEX('CAT_TIPOS_OT'!$D$4:$D$8,MATCH($I702,'CAT_TIPOS_OT'!$A$4:$A$8,0)),"SIN CLASIFICAR")="","SIN CLASIFICAR",IFERROR(INDEX('CAT_TIPOS_OT'!$D$4:$D$8,MATCH($I702,'CAT_TIPOS_OT'!$A$4:$A$8,0)),"SIN CLASIFICAR")))</f>
        <v/>
      </c>
      <c r="W702" s="5">
        <f>IF($F702="","",IFERROR(INDEX('CAT_CENTROS_COSTO'!$F$4:$F$13,MATCH($F702,'CAT_CENTROS_COSTO'!$A$4:$A$13,0)),"(sin catálogo)"))</f>
        <v/>
      </c>
      <c r="X702" s="5">
        <f>IF($F702="","",IFERROR(INDEX('CAT_CENTROS_COSTO'!$D$4:$D$13,MATCH($F702,'CAT_CENTROS_COSTO'!$A$4:$A$13,0)),"(sin catálogo)"))</f>
        <v/>
      </c>
      <c r="Y702" s="5">
        <f>IF($F702="","",IF((IFERROR(INDEX('CAT_CENTROS_COSTO'!$E$4:$E$13,MATCH($F702,'CAT_CENTROS_COSTO'!$A$4:$A$13,0)),""))&lt;&gt;"",IFERROR(INDEX('CAT_CENTROS_COSTO'!$E$4:$E$13,MATCH($F702,'CAT_CENTROS_COSTO'!$A$4:$A$13,0)),""),$X702))</f>
        <v/>
      </c>
      <c r="Z702" s="5">
        <f>IF($F702="","",IFERROR(INDEX('CAT_CENTROS_COSTO'!$G$4:$G$13,MATCH($F702,'CAT_CENTROS_COSTO'!$A$4:$A$13,0)),"(sin catálogo)"))</f>
        <v/>
      </c>
      <c r="AA702" s="5">
        <f>IF($G702="","",IFERROR(INDEX('CAT_PUESTOS'!$B$4:$B$8,MATCH($G702,'CAT_PUESTOS'!$A$4:$A$8,0)),"(sin catálogo)"))</f>
        <v/>
      </c>
      <c r="AB702" s="5">
        <f>IF($H702="","",IFERROR(INDEX('CAT_ACTIVIDADES'!$B$4:$B$11,MATCH($H702,'CAT_ACTIVIDADES'!$A$4:$A$11,0)),"(sin catálogo)"))</f>
        <v/>
      </c>
      <c r="AC702" s="20">
        <f>IF($J702="","",TODAY()-$J702)</f>
        <v/>
      </c>
      <c r="AD702" s="20">
        <f>IF($J702="","",IF($J702&lt;=TODAY(),COUNTIFS(cal_fechas,"&gt;="&amp;$J702,cal_fechas,"&lt;"&amp;TODAY(),cal_habil,"sí"),-COUNTIFS(cal_fechas,"&gt;="&amp;TODAY(),cal_fechas,"&lt;"&amp;$J702,cal_habil,"sí")))</f>
        <v/>
      </c>
      <c r="AE702" s="5">
        <f>IF($AD702="","",IF($AD702&lt;0,"FUTURO",IF($AD702&gt;p_dias_backlog_max,"BACKLOG","MES CORRIENTE")))</f>
        <v/>
      </c>
      <c r="AF702" s="5">
        <f>IF($AD702="",FALSE,AND($AD702&gt;p_dias_backlog_min,$AD702&lt;=p_dias_backlog_max))</f>
        <v/>
      </c>
      <c r="AG702" s="4" t="n"/>
      <c r="AH702" s="5">
        <f>IF($AG702="","",IF((IFERROR(INDEX('ASIGNACIONES'!$J$4:$J$451,MATCH($O702&amp;"|"&amp;$S702&amp;"|"&amp;$AG702,'ASIGNACIONES'!$N$4:$N$451,0)),""))=0,"",IFERROR(INDEX('ASIGNACIONES'!$J$4:$J$451,MATCH($O702&amp;"|"&amp;$S702&amp;"|"&amp;$AG702,'ASIGNACIONES'!$N$4:$N$451,0)),"")))</f>
        <v/>
      </c>
      <c r="AI702" s="25">
        <f>IF($AG702="","",SUMIFS('ORDENES'!$M$4:$M$1203,'ORDENES'!$AG$4:$AG$1203,$AG702,'ORDENES'!$O$4:$O$1203,$O702,'ORDENES'!$S$4:$S$1203,$S702))</f>
        <v/>
      </c>
      <c r="AJ702" s="25">
        <f>IF($AI702="","",p_factor_productividad*IFERROR(INDEX('ASIGNACIONES'!$M$4:$M$451,MATCH($O702&amp;"|"&amp;$S702&amp;"|"&amp;$AG702,'ASIGNACIONES'!$N$4:$N$451,0)),0)-$AI702)</f>
        <v/>
      </c>
      <c r="AK702" s="18">
        <f>IF($A702="","",IFERROR(INDEX('2_IMPORTAR_EJECUCION'!$F$9:$F$1208,MATCH($AT702,'2_IMPORTAR_EJECUCION'!$J$9:$J$1208,0)),0))</f>
        <v/>
      </c>
      <c r="AL702" s="18">
        <f>IF($A702="","",MAX(0,IFERROR(INDEX('2_IMPORTAR_EJECUCION'!$H$9:$H$1208,MATCH($AT702,'2_IMPORTAR_EJECUCION'!$J$9:$J$1208,0)),0)-$AK702))</f>
        <v/>
      </c>
      <c r="AM702" s="18">
        <f>IF($A702="","",$AK702+$AL702)</f>
        <v/>
      </c>
      <c r="AN702" s="5">
        <f>IF($A702="","",IF(OR((IFERROR(INDEX('CAT_ACTIVIDADES'!$D$4:$D$11,MATCH($H702,'CAT_ACTIVIDADES'!$A$4:$A$11,0)),""))=0,(IFERROR(INDEX('CAT_ACTIVIDADES'!$D$4:$D$11,MATCH($H702,'CAT_ACTIVIDADES'!$A$4:$A$11,0)),""))=""),"SIN CLASIFICAR",IFERROR(INDEX('CAT_ACTIVIDADES'!$D$4:$D$11,MATCH($H702,'CAT_ACTIVIDADES'!$A$4:$A$11,0)),"")))</f>
        <v/>
      </c>
      <c r="AO702" s="4" t="n"/>
      <c r="AP702" s="4" t="n"/>
      <c r="AQ702" s="4" t="n"/>
      <c r="AR702" s="5">
        <f>IF($AQ702="","",HYPERLINK(p_ruta_base_checklists&amp;$AQ702,"abrir"))</f>
        <v/>
      </c>
      <c r="AS702" s="4" t="n"/>
      <c r="AT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2" t="n"/>
      <c r="K703" s="5" t="n"/>
      <c r="L703" s="18" t="n"/>
      <c r="M703" s="5">
        <f>IF($A703="","",IFERROR(INDEX('AJUSTES'!$B$4:$B$303,MATCH($AT703,'AJUSTES'!$A$4:$A$303,0)),IF($K703="","",$K703)))</f>
        <v/>
      </c>
      <c r="N703" s="5">
        <f>IF($A703="","",IFERROR(INDEX('CAT_ESTADOS_ERP'!$B$4:$B$7,MATCH(IFERROR(INDEX('2_IMPORTAR_EJECUCION'!$C$9:$C$1208,MATCH($AT703,'2_IMPORTAR_EJECUCION'!$J$9:$J$1208,0)),""),'CAT_ESTADOS_ERP'!$A$4:$A$7,0)),"Pendiente"))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IF($J703="","",$P703&amp;"-"&amp;TEXT($Q703,"00"))</f>
        <v/>
      </c>
      <c r="S703" s="5">
        <f>IF($J703="","",INDEX(lista_dias,WEEKDAY($J703,2)))</f>
        <v/>
      </c>
      <c r="T703" s="5">
        <f>IF($J703="","",IFERROR(INDEX('CALENDARIO'!$C$15:$C$214,MATCH(TEXT($J703,"yyyy-mm-dd")&amp;"|"&amp;$X703&amp;"|"&amp;$Y703,'CALENDARIO'!$G$15:$G$214,0)),IFERROR(INDEX('CALENDARIO'!$C$15:$C$214,MATCH(TEXT($J703,"yyyy-mm-dd")&amp;"|"&amp;$X703&amp;"|",'CALENDARIO'!$G$15:$G$214,0)),IFERROR(INDEX('CALENDARIO'!$C$15:$C$214,MATCH(TEXT($J703,"yyyy-mm-dd")&amp;"||",'CALENDARIO'!$G$15:$G$214,0)),INDEX(patronHabil,WEEKDAY($J703,2))))))</f>
        <v/>
      </c>
      <c r="U703" s="5">
        <f>IF($I703="","",IFERROR(INDEX('CAT_TIPOS_OT'!$C$4:$C$8,MATCH($I703,'CAT_TIPOS_OT'!$A$4:$A$8,0)),"sin_clasificar"))</f>
        <v/>
      </c>
      <c r="V703" s="5">
        <f>IF($I703="","",IF(IFERROR(INDEX('CAT_TIPOS_OT'!$D$4:$D$8,MATCH($I703,'CAT_TIPOS_OT'!$A$4:$A$8,0)),"SIN CLASIFICAR")="","SIN CLASIFICAR",IFERROR(INDEX('CAT_TIPOS_OT'!$D$4:$D$8,MATCH($I703,'CAT_TIPOS_OT'!$A$4:$A$8,0)),"SIN CLASIFICAR")))</f>
        <v/>
      </c>
      <c r="W703" s="5">
        <f>IF($F703="","",IFERROR(INDEX('CAT_CENTROS_COSTO'!$F$4:$F$13,MATCH($F703,'CAT_CENTROS_COSTO'!$A$4:$A$13,0)),"(sin catálogo)"))</f>
        <v/>
      </c>
      <c r="X703" s="5">
        <f>IF($F703="","",IFERROR(INDEX('CAT_CENTROS_COSTO'!$D$4:$D$13,MATCH($F703,'CAT_CENTROS_COSTO'!$A$4:$A$13,0)),"(sin catálogo)"))</f>
        <v/>
      </c>
      <c r="Y703" s="5">
        <f>IF($F703="","",IF((IFERROR(INDEX('CAT_CENTROS_COSTO'!$E$4:$E$13,MATCH($F703,'CAT_CENTROS_COSTO'!$A$4:$A$13,0)),""))&lt;&gt;"",IFERROR(INDEX('CAT_CENTROS_COSTO'!$E$4:$E$13,MATCH($F703,'CAT_CENTROS_COSTO'!$A$4:$A$13,0)),""),$X703))</f>
        <v/>
      </c>
      <c r="Z703" s="5">
        <f>IF($F703="","",IFERROR(INDEX('CAT_CENTROS_COSTO'!$G$4:$G$13,MATCH($F703,'CAT_CENTROS_COSTO'!$A$4:$A$13,0)),"(sin catálogo)"))</f>
        <v/>
      </c>
      <c r="AA703" s="5">
        <f>IF($G703="","",IFERROR(INDEX('CAT_PUESTOS'!$B$4:$B$8,MATCH($G703,'CAT_PUESTOS'!$A$4:$A$8,0)),"(sin catálogo)"))</f>
        <v/>
      </c>
      <c r="AB703" s="5">
        <f>IF($H703="","",IFERROR(INDEX('CAT_ACTIVIDADES'!$B$4:$B$11,MATCH($H703,'CAT_ACTIVIDADES'!$A$4:$A$11,0)),"(sin catálogo)"))</f>
        <v/>
      </c>
      <c r="AC703" s="20">
        <f>IF($J703="","",TODAY()-$J703)</f>
        <v/>
      </c>
      <c r="AD703" s="20">
        <f>IF($J703="","",IF($J703&lt;=TODAY(),COUNTIFS(cal_fechas,"&gt;="&amp;$J703,cal_fechas,"&lt;"&amp;TODAY(),cal_habil,"sí"),-COUNTIFS(cal_fechas,"&gt;="&amp;TODAY(),cal_fechas,"&lt;"&amp;$J703,cal_habil,"sí")))</f>
        <v/>
      </c>
      <c r="AE703" s="5">
        <f>IF($AD703="","",IF($AD703&lt;0,"FUTURO",IF($AD703&gt;p_dias_backlog_max,"BACKLOG","MES CORRIENTE")))</f>
        <v/>
      </c>
      <c r="AF703" s="5">
        <f>IF($AD703="",FALSE,AND($AD703&gt;p_dias_backlog_min,$AD703&lt;=p_dias_backlog_max))</f>
        <v/>
      </c>
      <c r="AG703" s="4" t="n"/>
      <c r="AH703" s="5">
        <f>IF($AG703="","",IF((IFERROR(INDEX('ASIGNACIONES'!$J$4:$J$451,MATCH($O703&amp;"|"&amp;$S703&amp;"|"&amp;$AG703,'ASIGNACIONES'!$N$4:$N$451,0)),""))=0,"",IFERROR(INDEX('ASIGNACIONES'!$J$4:$J$451,MATCH($O703&amp;"|"&amp;$S703&amp;"|"&amp;$AG703,'ASIGNACIONES'!$N$4:$N$451,0)),"")))</f>
        <v/>
      </c>
      <c r="AI703" s="25">
        <f>IF($AG703="","",SUMIFS('ORDENES'!$M$4:$M$1203,'ORDENES'!$AG$4:$AG$1203,$AG703,'ORDENES'!$O$4:$O$1203,$O703,'ORDENES'!$S$4:$S$1203,$S703))</f>
        <v/>
      </c>
      <c r="AJ703" s="25">
        <f>IF($AI703="","",p_factor_productividad*IFERROR(INDEX('ASIGNACIONES'!$M$4:$M$451,MATCH($O703&amp;"|"&amp;$S703&amp;"|"&amp;$AG703,'ASIGNACIONES'!$N$4:$N$451,0)),0)-$AI703)</f>
        <v/>
      </c>
      <c r="AK703" s="18">
        <f>IF($A703="","",IFERROR(INDEX('2_IMPORTAR_EJECUCION'!$F$9:$F$1208,MATCH($AT703,'2_IMPORTAR_EJECUCION'!$J$9:$J$1208,0)),0))</f>
        <v/>
      </c>
      <c r="AL703" s="18">
        <f>IF($A703="","",MAX(0,IFERROR(INDEX('2_IMPORTAR_EJECUCION'!$H$9:$H$1208,MATCH($AT703,'2_IMPORTAR_EJECUCION'!$J$9:$J$1208,0)),0)-$AK703))</f>
        <v/>
      </c>
      <c r="AM703" s="18">
        <f>IF($A703="","",$AK703+$AL703)</f>
        <v/>
      </c>
      <c r="AN703" s="5">
        <f>IF($A703="","",IF(OR((IFERROR(INDEX('CAT_ACTIVIDADES'!$D$4:$D$11,MATCH($H703,'CAT_ACTIVIDADES'!$A$4:$A$11,0)),""))=0,(IFERROR(INDEX('CAT_ACTIVIDADES'!$D$4:$D$11,MATCH($H703,'CAT_ACTIVIDADES'!$A$4:$A$11,0)),""))=""),"SIN CLASIFICAR",IFERROR(INDEX('CAT_ACTIVIDADES'!$D$4:$D$11,MATCH($H703,'CAT_ACTIVIDADES'!$A$4:$A$11,0)),"")))</f>
        <v/>
      </c>
      <c r="AO703" s="4" t="n"/>
      <c r="AP703" s="4" t="n"/>
      <c r="AQ703" s="4" t="n"/>
      <c r="AR703" s="5">
        <f>IF($AQ703="","",HYPERLINK(p_ruta_base_checklists&amp;$AQ703,"abrir"))</f>
        <v/>
      </c>
      <c r="AS703" s="4" t="n"/>
      <c r="AT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2" t="n"/>
      <c r="K704" s="5" t="n"/>
      <c r="L704" s="18" t="n"/>
      <c r="M704" s="5">
        <f>IF($A704="","",IFERROR(INDEX('AJUSTES'!$B$4:$B$303,MATCH($AT704,'AJUSTES'!$A$4:$A$303,0)),IF($K704="","",$K704)))</f>
        <v/>
      </c>
      <c r="N704" s="5">
        <f>IF($A704="","",IFERROR(INDEX('CAT_ESTADOS_ERP'!$B$4:$B$7,MATCH(IFERROR(INDEX('2_IMPORTAR_EJECUCION'!$C$9:$C$1208,MATCH($AT704,'2_IMPORTAR_EJECUCION'!$J$9:$J$1208,0)),""),'CAT_ESTADOS_ERP'!$A$4:$A$7,0)),"Pendiente"))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IF($J704="","",$P704&amp;"-"&amp;TEXT($Q704,"00"))</f>
        <v/>
      </c>
      <c r="S704" s="5">
        <f>IF($J704="","",INDEX(lista_dias,WEEKDAY($J704,2)))</f>
        <v/>
      </c>
      <c r="T704" s="5">
        <f>IF($J704="","",IFERROR(INDEX('CALENDARIO'!$C$15:$C$214,MATCH(TEXT($J704,"yyyy-mm-dd")&amp;"|"&amp;$X704&amp;"|"&amp;$Y704,'CALENDARIO'!$G$15:$G$214,0)),IFERROR(INDEX('CALENDARIO'!$C$15:$C$214,MATCH(TEXT($J704,"yyyy-mm-dd")&amp;"|"&amp;$X704&amp;"|",'CALENDARIO'!$G$15:$G$214,0)),IFERROR(INDEX('CALENDARIO'!$C$15:$C$214,MATCH(TEXT($J704,"yyyy-mm-dd")&amp;"||",'CALENDARIO'!$G$15:$G$214,0)),INDEX(patronHabil,WEEKDAY($J704,2))))))</f>
        <v/>
      </c>
      <c r="U704" s="5">
        <f>IF($I704="","",IFERROR(INDEX('CAT_TIPOS_OT'!$C$4:$C$8,MATCH($I704,'CAT_TIPOS_OT'!$A$4:$A$8,0)),"sin_clasificar"))</f>
        <v/>
      </c>
      <c r="V704" s="5">
        <f>IF($I704="","",IF(IFERROR(INDEX('CAT_TIPOS_OT'!$D$4:$D$8,MATCH($I704,'CAT_TIPOS_OT'!$A$4:$A$8,0)),"SIN CLASIFICAR")="","SIN CLASIFICAR",IFERROR(INDEX('CAT_TIPOS_OT'!$D$4:$D$8,MATCH($I704,'CAT_TIPOS_OT'!$A$4:$A$8,0)),"SIN CLASIFICAR")))</f>
        <v/>
      </c>
      <c r="W704" s="5">
        <f>IF($F704="","",IFERROR(INDEX('CAT_CENTROS_COSTO'!$F$4:$F$13,MATCH($F704,'CAT_CENTROS_COSTO'!$A$4:$A$13,0)),"(sin catálogo)"))</f>
        <v/>
      </c>
      <c r="X704" s="5">
        <f>IF($F704="","",IFERROR(INDEX('CAT_CENTROS_COSTO'!$D$4:$D$13,MATCH($F704,'CAT_CENTROS_COSTO'!$A$4:$A$13,0)),"(sin catálogo)"))</f>
        <v/>
      </c>
      <c r="Y704" s="5">
        <f>IF($F704="","",IF((IFERROR(INDEX('CAT_CENTROS_COSTO'!$E$4:$E$13,MATCH($F704,'CAT_CENTROS_COSTO'!$A$4:$A$13,0)),""))&lt;&gt;"",IFERROR(INDEX('CAT_CENTROS_COSTO'!$E$4:$E$13,MATCH($F704,'CAT_CENTROS_COSTO'!$A$4:$A$13,0)),""),$X704))</f>
        <v/>
      </c>
      <c r="Z704" s="5">
        <f>IF($F704="","",IFERROR(INDEX('CAT_CENTROS_COSTO'!$G$4:$G$13,MATCH($F704,'CAT_CENTROS_COSTO'!$A$4:$A$13,0)),"(sin catálogo)"))</f>
        <v/>
      </c>
      <c r="AA704" s="5">
        <f>IF($G704="","",IFERROR(INDEX('CAT_PUESTOS'!$B$4:$B$8,MATCH($G704,'CAT_PUESTOS'!$A$4:$A$8,0)),"(sin catálogo)"))</f>
        <v/>
      </c>
      <c r="AB704" s="5">
        <f>IF($H704="","",IFERROR(INDEX('CAT_ACTIVIDADES'!$B$4:$B$11,MATCH($H704,'CAT_ACTIVIDADES'!$A$4:$A$11,0)),"(sin catálogo)"))</f>
        <v/>
      </c>
      <c r="AC704" s="20">
        <f>IF($J704="","",TODAY()-$J704)</f>
        <v/>
      </c>
      <c r="AD704" s="20">
        <f>IF($J704="","",IF($J704&lt;=TODAY(),COUNTIFS(cal_fechas,"&gt;="&amp;$J704,cal_fechas,"&lt;"&amp;TODAY(),cal_habil,"sí"),-COUNTIFS(cal_fechas,"&gt;="&amp;TODAY(),cal_fechas,"&lt;"&amp;$J704,cal_habil,"sí")))</f>
        <v/>
      </c>
      <c r="AE704" s="5">
        <f>IF($AD704="","",IF($AD704&lt;0,"FUTURO",IF($AD704&gt;p_dias_backlog_max,"BACKLOG","MES CORRIENTE")))</f>
        <v/>
      </c>
      <c r="AF704" s="5">
        <f>IF($AD704="",FALSE,AND($AD704&gt;p_dias_backlog_min,$AD704&lt;=p_dias_backlog_max))</f>
        <v/>
      </c>
      <c r="AG704" s="4" t="n"/>
      <c r="AH704" s="5">
        <f>IF($AG704="","",IF((IFERROR(INDEX('ASIGNACIONES'!$J$4:$J$451,MATCH($O704&amp;"|"&amp;$S704&amp;"|"&amp;$AG704,'ASIGNACIONES'!$N$4:$N$451,0)),""))=0,"",IFERROR(INDEX('ASIGNACIONES'!$J$4:$J$451,MATCH($O704&amp;"|"&amp;$S704&amp;"|"&amp;$AG704,'ASIGNACIONES'!$N$4:$N$451,0)),"")))</f>
        <v/>
      </c>
      <c r="AI704" s="25">
        <f>IF($AG704="","",SUMIFS('ORDENES'!$M$4:$M$1203,'ORDENES'!$AG$4:$AG$1203,$AG704,'ORDENES'!$O$4:$O$1203,$O704,'ORDENES'!$S$4:$S$1203,$S704))</f>
        <v/>
      </c>
      <c r="AJ704" s="25">
        <f>IF($AI704="","",p_factor_productividad*IFERROR(INDEX('ASIGNACIONES'!$M$4:$M$451,MATCH($O704&amp;"|"&amp;$S704&amp;"|"&amp;$AG704,'ASIGNACIONES'!$N$4:$N$451,0)),0)-$AI704)</f>
        <v/>
      </c>
      <c r="AK704" s="18">
        <f>IF($A704="","",IFERROR(INDEX('2_IMPORTAR_EJECUCION'!$F$9:$F$1208,MATCH($AT704,'2_IMPORTAR_EJECUCION'!$J$9:$J$1208,0)),0))</f>
        <v/>
      </c>
      <c r="AL704" s="18">
        <f>IF($A704="","",MAX(0,IFERROR(INDEX('2_IMPORTAR_EJECUCION'!$H$9:$H$1208,MATCH($AT704,'2_IMPORTAR_EJECUCION'!$J$9:$J$1208,0)),0)-$AK704))</f>
        <v/>
      </c>
      <c r="AM704" s="18">
        <f>IF($A704="","",$AK704+$AL704)</f>
        <v/>
      </c>
      <c r="AN704" s="5">
        <f>IF($A704="","",IF(OR((IFERROR(INDEX('CAT_ACTIVIDADES'!$D$4:$D$11,MATCH($H704,'CAT_ACTIVIDADES'!$A$4:$A$11,0)),""))=0,(IFERROR(INDEX('CAT_ACTIVIDADES'!$D$4:$D$11,MATCH($H704,'CAT_ACTIVIDADES'!$A$4:$A$11,0)),""))=""),"SIN CLASIFICAR",IFERROR(INDEX('CAT_ACTIVIDADES'!$D$4:$D$11,MATCH($H704,'CAT_ACTIVIDADES'!$A$4:$A$11,0)),"")))</f>
        <v/>
      </c>
      <c r="AO704" s="4" t="n"/>
      <c r="AP704" s="4" t="n"/>
      <c r="AQ704" s="4" t="n"/>
      <c r="AR704" s="5">
        <f>IF($AQ704="","",HYPERLINK(p_ruta_base_checklists&amp;$AQ704,"abrir"))</f>
        <v/>
      </c>
      <c r="AS704" s="4" t="n"/>
      <c r="AT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2" t="n"/>
      <c r="K705" s="5" t="n"/>
      <c r="L705" s="18" t="n"/>
      <c r="M705" s="5">
        <f>IF($A705="","",IFERROR(INDEX('AJUSTES'!$B$4:$B$303,MATCH($AT705,'AJUSTES'!$A$4:$A$303,0)),IF($K705="","",$K705)))</f>
        <v/>
      </c>
      <c r="N705" s="5">
        <f>IF($A705="","",IFERROR(INDEX('CAT_ESTADOS_ERP'!$B$4:$B$7,MATCH(IFERROR(INDEX('2_IMPORTAR_EJECUCION'!$C$9:$C$1208,MATCH($AT705,'2_IMPORTAR_EJECUCION'!$J$9:$J$1208,0)),""),'CAT_ESTADOS_ERP'!$A$4:$A$7,0)),"Pendiente"))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IF($J705="","",$P705&amp;"-"&amp;TEXT($Q705,"00"))</f>
        <v/>
      </c>
      <c r="S705" s="5">
        <f>IF($J705="","",INDEX(lista_dias,WEEKDAY($J705,2)))</f>
        <v/>
      </c>
      <c r="T705" s="5">
        <f>IF($J705="","",IFERROR(INDEX('CALENDARIO'!$C$15:$C$214,MATCH(TEXT($J705,"yyyy-mm-dd")&amp;"|"&amp;$X705&amp;"|"&amp;$Y705,'CALENDARIO'!$G$15:$G$214,0)),IFERROR(INDEX('CALENDARIO'!$C$15:$C$214,MATCH(TEXT($J705,"yyyy-mm-dd")&amp;"|"&amp;$X705&amp;"|",'CALENDARIO'!$G$15:$G$214,0)),IFERROR(INDEX('CALENDARIO'!$C$15:$C$214,MATCH(TEXT($J705,"yyyy-mm-dd")&amp;"||",'CALENDARIO'!$G$15:$G$214,0)),INDEX(patronHabil,WEEKDAY($J705,2))))))</f>
        <v/>
      </c>
      <c r="U705" s="5">
        <f>IF($I705="","",IFERROR(INDEX('CAT_TIPOS_OT'!$C$4:$C$8,MATCH($I705,'CAT_TIPOS_OT'!$A$4:$A$8,0)),"sin_clasificar"))</f>
        <v/>
      </c>
      <c r="V705" s="5">
        <f>IF($I705="","",IF(IFERROR(INDEX('CAT_TIPOS_OT'!$D$4:$D$8,MATCH($I705,'CAT_TIPOS_OT'!$A$4:$A$8,0)),"SIN CLASIFICAR")="","SIN CLASIFICAR",IFERROR(INDEX('CAT_TIPOS_OT'!$D$4:$D$8,MATCH($I705,'CAT_TIPOS_OT'!$A$4:$A$8,0)),"SIN CLASIFICAR")))</f>
        <v/>
      </c>
      <c r="W705" s="5">
        <f>IF($F705="","",IFERROR(INDEX('CAT_CENTROS_COSTO'!$F$4:$F$13,MATCH($F705,'CAT_CENTROS_COSTO'!$A$4:$A$13,0)),"(sin catálogo)"))</f>
        <v/>
      </c>
      <c r="X705" s="5">
        <f>IF($F705="","",IFERROR(INDEX('CAT_CENTROS_COSTO'!$D$4:$D$13,MATCH($F705,'CAT_CENTROS_COSTO'!$A$4:$A$13,0)),"(sin catálogo)"))</f>
        <v/>
      </c>
      <c r="Y705" s="5">
        <f>IF($F705="","",IF((IFERROR(INDEX('CAT_CENTROS_COSTO'!$E$4:$E$13,MATCH($F705,'CAT_CENTROS_COSTO'!$A$4:$A$13,0)),""))&lt;&gt;"",IFERROR(INDEX('CAT_CENTROS_COSTO'!$E$4:$E$13,MATCH($F705,'CAT_CENTROS_COSTO'!$A$4:$A$13,0)),""),$X705))</f>
        <v/>
      </c>
      <c r="Z705" s="5">
        <f>IF($F705="","",IFERROR(INDEX('CAT_CENTROS_COSTO'!$G$4:$G$13,MATCH($F705,'CAT_CENTROS_COSTO'!$A$4:$A$13,0)),"(sin catálogo)"))</f>
        <v/>
      </c>
      <c r="AA705" s="5">
        <f>IF($G705="","",IFERROR(INDEX('CAT_PUESTOS'!$B$4:$B$8,MATCH($G705,'CAT_PUESTOS'!$A$4:$A$8,0)),"(sin catálogo)"))</f>
        <v/>
      </c>
      <c r="AB705" s="5">
        <f>IF($H705="","",IFERROR(INDEX('CAT_ACTIVIDADES'!$B$4:$B$11,MATCH($H705,'CAT_ACTIVIDADES'!$A$4:$A$11,0)),"(sin catálogo)"))</f>
        <v/>
      </c>
      <c r="AC705" s="20">
        <f>IF($J705="","",TODAY()-$J705)</f>
        <v/>
      </c>
      <c r="AD705" s="20">
        <f>IF($J705="","",IF($J705&lt;=TODAY(),COUNTIFS(cal_fechas,"&gt;="&amp;$J705,cal_fechas,"&lt;"&amp;TODAY(),cal_habil,"sí"),-COUNTIFS(cal_fechas,"&gt;="&amp;TODAY(),cal_fechas,"&lt;"&amp;$J705,cal_habil,"sí")))</f>
        <v/>
      </c>
      <c r="AE705" s="5">
        <f>IF($AD705="","",IF($AD705&lt;0,"FUTURO",IF($AD705&gt;p_dias_backlog_max,"BACKLOG","MES CORRIENTE")))</f>
        <v/>
      </c>
      <c r="AF705" s="5">
        <f>IF($AD705="",FALSE,AND($AD705&gt;p_dias_backlog_min,$AD705&lt;=p_dias_backlog_max))</f>
        <v/>
      </c>
      <c r="AG705" s="4" t="n"/>
      <c r="AH705" s="5">
        <f>IF($AG705="","",IF((IFERROR(INDEX('ASIGNACIONES'!$J$4:$J$451,MATCH($O705&amp;"|"&amp;$S705&amp;"|"&amp;$AG705,'ASIGNACIONES'!$N$4:$N$451,0)),""))=0,"",IFERROR(INDEX('ASIGNACIONES'!$J$4:$J$451,MATCH($O705&amp;"|"&amp;$S705&amp;"|"&amp;$AG705,'ASIGNACIONES'!$N$4:$N$451,0)),"")))</f>
        <v/>
      </c>
      <c r="AI705" s="25">
        <f>IF($AG705="","",SUMIFS('ORDENES'!$M$4:$M$1203,'ORDENES'!$AG$4:$AG$1203,$AG705,'ORDENES'!$O$4:$O$1203,$O705,'ORDENES'!$S$4:$S$1203,$S705))</f>
        <v/>
      </c>
      <c r="AJ705" s="25">
        <f>IF($AI705="","",p_factor_productividad*IFERROR(INDEX('ASIGNACIONES'!$M$4:$M$451,MATCH($O705&amp;"|"&amp;$S705&amp;"|"&amp;$AG705,'ASIGNACIONES'!$N$4:$N$451,0)),0)-$AI705)</f>
        <v/>
      </c>
      <c r="AK705" s="18">
        <f>IF($A705="","",IFERROR(INDEX('2_IMPORTAR_EJECUCION'!$F$9:$F$1208,MATCH($AT705,'2_IMPORTAR_EJECUCION'!$J$9:$J$1208,0)),0))</f>
        <v/>
      </c>
      <c r="AL705" s="18">
        <f>IF($A705="","",MAX(0,IFERROR(INDEX('2_IMPORTAR_EJECUCION'!$H$9:$H$1208,MATCH($AT705,'2_IMPORTAR_EJECUCION'!$J$9:$J$1208,0)),0)-$AK705))</f>
        <v/>
      </c>
      <c r="AM705" s="18">
        <f>IF($A705="","",$AK705+$AL705)</f>
        <v/>
      </c>
      <c r="AN705" s="5">
        <f>IF($A705="","",IF(OR((IFERROR(INDEX('CAT_ACTIVIDADES'!$D$4:$D$11,MATCH($H705,'CAT_ACTIVIDADES'!$A$4:$A$11,0)),""))=0,(IFERROR(INDEX('CAT_ACTIVIDADES'!$D$4:$D$11,MATCH($H705,'CAT_ACTIVIDADES'!$A$4:$A$11,0)),""))=""),"SIN CLASIFICAR",IFERROR(INDEX('CAT_ACTIVIDADES'!$D$4:$D$11,MATCH($H705,'CAT_ACTIVIDADES'!$A$4:$A$11,0)),"")))</f>
        <v/>
      </c>
      <c r="AO705" s="4" t="n"/>
      <c r="AP705" s="4" t="n"/>
      <c r="AQ705" s="4" t="n"/>
      <c r="AR705" s="5">
        <f>IF($AQ705="","",HYPERLINK(p_ruta_base_checklists&amp;$AQ705,"abrir"))</f>
        <v/>
      </c>
      <c r="AS705" s="4" t="n"/>
      <c r="AT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2" t="n"/>
      <c r="K706" s="5" t="n"/>
      <c r="L706" s="18" t="n"/>
      <c r="M706" s="5">
        <f>IF($A706="","",IFERROR(INDEX('AJUSTES'!$B$4:$B$303,MATCH($AT706,'AJUSTES'!$A$4:$A$303,0)),IF($K706="","",$K706)))</f>
        <v/>
      </c>
      <c r="N706" s="5">
        <f>IF($A706="","",IFERROR(INDEX('CAT_ESTADOS_ERP'!$B$4:$B$7,MATCH(IFERROR(INDEX('2_IMPORTAR_EJECUCION'!$C$9:$C$1208,MATCH($AT706,'2_IMPORTAR_EJECUCION'!$J$9:$J$1208,0)),""),'CAT_ESTADOS_ERP'!$A$4:$A$7,0)),"Pendiente"))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IF($J706="","",$P706&amp;"-"&amp;TEXT($Q706,"00"))</f>
        <v/>
      </c>
      <c r="S706" s="5">
        <f>IF($J706="","",INDEX(lista_dias,WEEKDAY($J706,2)))</f>
        <v/>
      </c>
      <c r="T706" s="5">
        <f>IF($J706="","",IFERROR(INDEX('CALENDARIO'!$C$15:$C$214,MATCH(TEXT($J706,"yyyy-mm-dd")&amp;"|"&amp;$X706&amp;"|"&amp;$Y706,'CALENDARIO'!$G$15:$G$214,0)),IFERROR(INDEX('CALENDARIO'!$C$15:$C$214,MATCH(TEXT($J706,"yyyy-mm-dd")&amp;"|"&amp;$X706&amp;"|",'CALENDARIO'!$G$15:$G$214,0)),IFERROR(INDEX('CALENDARIO'!$C$15:$C$214,MATCH(TEXT($J706,"yyyy-mm-dd")&amp;"||",'CALENDARIO'!$G$15:$G$214,0)),INDEX(patronHabil,WEEKDAY($J706,2))))))</f>
        <v/>
      </c>
      <c r="U706" s="5">
        <f>IF($I706="","",IFERROR(INDEX('CAT_TIPOS_OT'!$C$4:$C$8,MATCH($I706,'CAT_TIPOS_OT'!$A$4:$A$8,0)),"sin_clasificar"))</f>
        <v/>
      </c>
      <c r="V706" s="5">
        <f>IF($I706="","",IF(IFERROR(INDEX('CAT_TIPOS_OT'!$D$4:$D$8,MATCH($I706,'CAT_TIPOS_OT'!$A$4:$A$8,0)),"SIN CLASIFICAR")="","SIN CLASIFICAR",IFERROR(INDEX('CAT_TIPOS_OT'!$D$4:$D$8,MATCH($I706,'CAT_TIPOS_OT'!$A$4:$A$8,0)),"SIN CLASIFICAR")))</f>
        <v/>
      </c>
      <c r="W706" s="5">
        <f>IF($F706="","",IFERROR(INDEX('CAT_CENTROS_COSTO'!$F$4:$F$13,MATCH($F706,'CAT_CENTROS_COSTO'!$A$4:$A$13,0)),"(sin catálogo)"))</f>
        <v/>
      </c>
      <c r="X706" s="5">
        <f>IF($F706="","",IFERROR(INDEX('CAT_CENTROS_COSTO'!$D$4:$D$13,MATCH($F706,'CAT_CENTROS_COSTO'!$A$4:$A$13,0)),"(sin catálogo)"))</f>
        <v/>
      </c>
      <c r="Y706" s="5">
        <f>IF($F706="","",IF((IFERROR(INDEX('CAT_CENTROS_COSTO'!$E$4:$E$13,MATCH($F706,'CAT_CENTROS_COSTO'!$A$4:$A$13,0)),""))&lt;&gt;"",IFERROR(INDEX('CAT_CENTROS_COSTO'!$E$4:$E$13,MATCH($F706,'CAT_CENTROS_COSTO'!$A$4:$A$13,0)),""),$X706))</f>
        <v/>
      </c>
      <c r="Z706" s="5">
        <f>IF($F706="","",IFERROR(INDEX('CAT_CENTROS_COSTO'!$G$4:$G$13,MATCH($F706,'CAT_CENTROS_COSTO'!$A$4:$A$13,0)),"(sin catálogo)"))</f>
        <v/>
      </c>
      <c r="AA706" s="5">
        <f>IF($G706="","",IFERROR(INDEX('CAT_PUESTOS'!$B$4:$B$8,MATCH($G706,'CAT_PUESTOS'!$A$4:$A$8,0)),"(sin catálogo)"))</f>
        <v/>
      </c>
      <c r="AB706" s="5">
        <f>IF($H706="","",IFERROR(INDEX('CAT_ACTIVIDADES'!$B$4:$B$11,MATCH($H706,'CAT_ACTIVIDADES'!$A$4:$A$11,0)),"(sin catálogo)"))</f>
        <v/>
      </c>
      <c r="AC706" s="20">
        <f>IF($J706="","",TODAY()-$J706)</f>
        <v/>
      </c>
      <c r="AD706" s="20">
        <f>IF($J706="","",IF($J706&lt;=TODAY(),COUNTIFS(cal_fechas,"&gt;="&amp;$J706,cal_fechas,"&lt;"&amp;TODAY(),cal_habil,"sí"),-COUNTIFS(cal_fechas,"&gt;="&amp;TODAY(),cal_fechas,"&lt;"&amp;$J706,cal_habil,"sí")))</f>
        <v/>
      </c>
      <c r="AE706" s="5">
        <f>IF($AD706="","",IF($AD706&lt;0,"FUTURO",IF($AD706&gt;p_dias_backlog_max,"BACKLOG","MES CORRIENTE")))</f>
        <v/>
      </c>
      <c r="AF706" s="5">
        <f>IF($AD706="",FALSE,AND($AD706&gt;p_dias_backlog_min,$AD706&lt;=p_dias_backlog_max))</f>
        <v/>
      </c>
      <c r="AG706" s="4" t="n"/>
      <c r="AH706" s="5">
        <f>IF($AG706="","",IF((IFERROR(INDEX('ASIGNACIONES'!$J$4:$J$451,MATCH($O706&amp;"|"&amp;$S706&amp;"|"&amp;$AG706,'ASIGNACIONES'!$N$4:$N$451,0)),""))=0,"",IFERROR(INDEX('ASIGNACIONES'!$J$4:$J$451,MATCH($O706&amp;"|"&amp;$S706&amp;"|"&amp;$AG706,'ASIGNACIONES'!$N$4:$N$451,0)),"")))</f>
        <v/>
      </c>
      <c r="AI706" s="25">
        <f>IF($AG706="","",SUMIFS('ORDENES'!$M$4:$M$1203,'ORDENES'!$AG$4:$AG$1203,$AG706,'ORDENES'!$O$4:$O$1203,$O706,'ORDENES'!$S$4:$S$1203,$S706))</f>
        <v/>
      </c>
      <c r="AJ706" s="25">
        <f>IF($AI706="","",p_factor_productividad*IFERROR(INDEX('ASIGNACIONES'!$M$4:$M$451,MATCH($O706&amp;"|"&amp;$S706&amp;"|"&amp;$AG706,'ASIGNACIONES'!$N$4:$N$451,0)),0)-$AI706)</f>
        <v/>
      </c>
      <c r="AK706" s="18">
        <f>IF($A706="","",IFERROR(INDEX('2_IMPORTAR_EJECUCION'!$F$9:$F$1208,MATCH($AT706,'2_IMPORTAR_EJECUCION'!$J$9:$J$1208,0)),0))</f>
        <v/>
      </c>
      <c r="AL706" s="18">
        <f>IF($A706="","",MAX(0,IFERROR(INDEX('2_IMPORTAR_EJECUCION'!$H$9:$H$1208,MATCH($AT706,'2_IMPORTAR_EJECUCION'!$J$9:$J$1208,0)),0)-$AK706))</f>
        <v/>
      </c>
      <c r="AM706" s="18">
        <f>IF($A706="","",$AK706+$AL706)</f>
        <v/>
      </c>
      <c r="AN706" s="5">
        <f>IF($A706="","",IF(OR((IFERROR(INDEX('CAT_ACTIVIDADES'!$D$4:$D$11,MATCH($H706,'CAT_ACTIVIDADES'!$A$4:$A$11,0)),""))=0,(IFERROR(INDEX('CAT_ACTIVIDADES'!$D$4:$D$11,MATCH($H706,'CAT_ACTIVIDADES'!$A$4:$A$11,0)),""))=""),"SIN CLASIFICAR",IFERROR(INDEX('CAT_ACTIVIDADES'!$D$4:$D$11,MATCH($H706,'CAT_ACTIVIDADES'!$A$4:$A$11,0)),"")))</f>
        <v/>
      </c>
      <c r="AO706" s="4" t="n"/>
      <c r="AP706" s="4" t="n"/>
      <c r="AQ706" s="4" t="n"/>
      <c r="AR706" s="5">
        <f>IF($AQ706="","",HYPERLINK(p_ruta_base_checklists&amp;$AQ706,"abrir"))</f>
        <v/>
      </c>
      <c r="AS706" s="4" t="n"/>
      <c r="AT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2" t="n"/>
      <c r="K707" s="5" t="n"/>
      <c r="L707" s="18" t="n"/>
      <c r="M707" s="5">
        <f>IF($A707="","",IFERROR(INDEX('AJUSTES'!$B$4:$B$303,MATCH($AT707,'AJUSTES'!$A$4:$A$303,0)),IF($K707="","",$K707)))</f>
        <v/>
      </c>
      <c r="N707" s="5">
        <f>IF($A707="","",IFERROR(INDEX('CAT_ESTADOS_ERP'!$B$4:$B$7,MATCH(IFERROR(INDEX('2_IMPORTAR_EJECUCION'!$C$9:$C$1208,MATCH($AT707,'2_IMPORTAR_EJECUCION'!$J$9:$J$1208,0)),""),'CAT_ESTADOS_ERP'!$A$4:$A$7,0)),"Pendiente"))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IF($J707="","",$P707&amp;"-"&amp;TEXT($Q707,"00"))</f>
        <v/>
      </c>
      <c r="S707" s="5">
        <f>IF($J707="","",INDEX(lista_dias,WEEKDAY($J707,2)))</f>
        <v/>
      </c>
      <c r="T707" s="5">
        <f>IF($J707="","",IFERROR(INDEX('CALENDARIO'!$C$15:$C$214,MATCH(TEXT($J707,"yyyy-mm-dd")&amp;"|"&amp;$X707&amp;"|"&amp;$Y707,'CALENDARIO'!$G$15:$G$214,0)),IFERROR(INDEX('CALENDARIO'!$C$15:$C$214,MATCH(TEXT($J707,"yyyy-mm-dd")&amp;"|"&amp;$X707&amp;"|",'CALENDARIO'!$G$15:$G$214,0)),IFERROR(INDEX('CALENDARIO'!$C$15:$C$214,MATCH(TEXT($J707,"yyyy-mm-dd")&amp;"||",'CALENDARIO'!$G$15:$G$214,0)),INDEX(patronHabil,WEEKDAY($J707,2))))))</f>
        <v/>
      </c>
      <c r="U707" s="5">
        <f>IF($I707="","",IFERROR(INDEX('CAT_TIPOS_OT'!$C$4:$C$8,MATCH($I707,'CAT_TIPOS_OT'!$A$4:$A$8,0)),"sin_clasificar"))</f>
        <v/>
      </c>
      <c r="V707" s="5">
        <f>IF($I707="","",IF(IFERROR(INDEX('CAT_TIPOS_OT'!$D$4:$D$8,MATCH($I707,'CAT_TIPOS_OT'!$A$4:$A$8,0)),"SIN CLASIFICAR")="","SIN CLASIFICAR",IFERROR(INDEX('CAT_TIPOS_OT'!$D$4:$D$8,MATCH($I707,'CAT_TIPOS_OT'!$A$4:$A$8,0)),"SIN CLASIFICAR")))</f>
        <v/>
      </c>
      <c r="W707" s="5">
        <f>IF($F707="","",IFERROR(INDEX('CAT_CENTROS_COSTO'!$F$4:$F$13,MATCH($F707,'CAT_CENTROS_COSTO'!$A$4:$A$13,0)),"(sin catálogo)"))</f>
        <v/>
      </c>
      <c r="X707" s="5">
        <f>IF($F707="","",IFERROR(INDEX('CAT_CENTROS_COSTO'!$D$4:$D$13,MATCH($F707,'CAT_CENTROS_COSTO'!$A$4:$A$13,0)),"(sin catálogo)"))</f>
        <v/>
      </c>
      <c r="Y707" s="5">
        <f>IF($F707="","",IF((IFERROR(INDEX('CAT_CENTROS_COSTO'!$E$4:$E$13,MATCH($F707,'CAT_CENTROS_COSTO'!$A$4:$A$13,0)),""))&lt;&gt;"",IFERROR(INDEX('CAT_CENTROS_COSTO'!$E$4:$E$13,MATCH($F707,'CAT_CENTROS_COSTO'!$A$4:$A$13,0)),""),$X707))</f>
        <v/>
      </c>
      <c r="Z707" s="5">
        <f>IF($F707="","",IFERROR(INDEX('CAT_CENTROS_COSTO'!$G$4:$G$13,MATCH($F707,'CAT_CENTROS_COSTO'!$A$4:$A$13,0)),"(sin catálogo)"))</f>
        <v/>
      </c>
      <c r="AA707" s="5">
        <f>IF($G707="","",IFERROR(INDEX('CAT_PUESTOS'!$B$4:$B$8,MATCH($G707,'CAT_PUESTOS'!$A$4:$A$8,0)),"(sin catálogo)"))</f>
        <v/>
      </c>
      <c r="AB707" s="5">
        <f>IF($H707="","",IFERROR(INDEX('CAT_ACTIVIDADES'!$B$4:$B$11,MATCH($H707,'CAT_ACTIVIDADES'!$A$4:$A$11,0)),"(sin catálogo)"))</f>
        <v/>
      </c>
      <c r="AC707" s="20">
        <f>IF($J707="","",TODAY()-$J707)</f>
        <v/>
      </c>
      <c r="AD707" s="20">
        <f>IF($J707="","",IF($J707&lt;=TODAY(),COUNTIFS(cal_fechas,"&gt;="&amp;$J707,cal_fechas,"&lt;"&amp;TODAY(),cal_habil,"sí"),-COUNTIFS(cal_fechas,"&gt;="&amp;TODAY(),cal_fechas,"&lt;"&amp;$J707,cal_habil,"sí")))</f>
        <v/>
      </c>
      <c r="AE707" s="5">
        <f>IF($AD707="","",IF($AD707&lt;0,"FUTURO",IF($AD707&gt;p_dias_backlog_max,"BACKLOG","MES CORRIENTE")))</f>
        <v/>
      </c>
      <c r="AF707" s="5">
        <f>IF($AD707="",FALSE,AND($AD707&gt;p_dias_backlog_min,$AD707&lt;=p_dias_backlog_max))</f>
        <v/>
      </c>
      <c r="AG707" s="4" t="n"/>
      <c r="AH707" s="5">
        <f>IF($AG707="","",IF((IFERROR(INDEX('ASIGNACIONES'!$J$4:$J$451,MATCH($O707&amp;"|"&amp;$S707&amp;"|"&amp;$AG707,'ASIGNACIONES'!$N$4:$N$451,0)),""))=0,"",IFERROR(INDEX('ASIGNACIONES'!$J$4:$J$451,MATCH($O707&amp;"|"&amp;$S707&amp;"|"&amp;$AG707,'ASIGNACIONES'!$N$4:$N$451,0)),"")))</f>
        <v/>
      </c>
      <c r="AI707" s="25">
        <f>IF($AG707="","",SUMIFS('ORDENES'!$M$4:$M$1203,'ORDENES'!$AG$4:$AG$1203,$AG707,'ORDENES'!$O$4:$O$1203,$O707,'ORDENES'!$S$4:$S$1203,$S707))</f>
        <v/>
      </c>
      <c r="AJ707" s="25">
        <f>IF($AI707="","",p_factor_productividad*IFERROR(INDEX('ASIGNACIONES'!$M$4:$M$451,MATCH($O707&amp;"|"&amp;$S707&amp;"|"&amp;$AG707,'ASIGNACIONES'!$N$4:$N$451,0)),0)-$AI707)</f>
        <v/>
      </c>
      <c r="AK707" s="18">
        <f>IF($A707="","",IFERROR(INDEX('2_IMPORTAR_EJECUCION'!$F$9:$F$1208,MATCH($AT707,'2_IMPORTAR_EJECUCION'!$J$9:$J$1208,0)),0))</f>
        <v/>
      </c>
      <c r="AL707" s="18">
        <f>IF($A707="","",MAX(0,IFERROR(INDEX('2_IMPORTAR_EJECUCION'!$H$9:$H$1208,MATCH($AT707,'2_IMPORTAR_EJECUCION'!$J$9:$J$1208,0)),0)-$AK707))</f>
        <v/>
      </c>
      <c r="AM707" s="18">
        <f>IF($A707="","",$AK707+$AL707)</f>
        <v/>
      </c>
      <c r="AN707" s="5">
        <f>IF($A707="","",IF(OR((IFERROR(INDEX('CAT_ACTIVIDADES'!$D$4:$D$11,MATCH($H707,'CAT_ACTIVIDADES'!$A$4:$A$11,0)),""))=0,(IFERROR(INDEX('CAT_ACTIVIDADES'!$D$4:$D$11,MATCH($H707,'CAT_ACTIVIDADES'!$A$4:$A$11,0)),""))=""),"SIN CLASIFICAR",IFERROR(INDEX('CAT_ACTIVIDADES'!$D$4:$D$11,MATCH($H707,'CAT_ACTIVIDADES'!$A$4:$A$11,0)),"")))</f>
        <v/>
      </c>
      <c r="AO707" s="4" t="n"/>
      <c r="AP707" s="4" t="n"/>
      <c r="AQ707" s="4" t="n"/>
      <c r="AR707" s="5">
        <f>IF($AQ707="","",HYPERLINK(p_ruta_base_checklists&amp;$AQ707,"abrir"))</f>
        <v/>
      </c>
      <c r="AS707" s="4" t="n"/>
      <c r="AT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2" t="n"/>
      <c r="K708" s="5" t="n"/>
      <c r="L708" s="18" t="n"/>
      <c r="M708" s="5">
        <f>IF($A708="","",IFERROR(INDEX('AJUSTES'!$B$4:$B$303,MATCH($AT708,'AJUSTES'!$A$4:$A$303,0)),IF($K708="","",$K708)))</f>
        <v/>
      </c>
      <c r="N708" s="5">
        <f>IF($A708="","",IFERROR(INDEX('CAT_ESTADOS_ERP'!$B$4:$B$7,MATCH(IFERROR(INDEX('2_IMPORTAR_EJECUCION'!$C$9:$C$1208,MATCH($AT708,'2_IMPORTAR_EJECUCION'!$J$9:$J$1208,0)),""),'CAT_ESTADOS_ERP'!$A$4:$A$7,0)),"Pendiente"))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IF($J708="","",$P708&amp;"-"&amp;TEXT($Q708,"00"))</f>
        <v/>
      </c>
      <c r="S708" s="5">
        <f>IF($J708="","",INDEX(lista_dias,WEEKDAY($J708,2)))</f>
        <v/>
      </c>
      <c r="T708" s="5">
        <f>IF($J708="","",IFERROR(INDEX('CALENDARIO'!$C$15:$C$214,MATCH(TEXT($J708,"yyyy-mm-dd")&amp;"|"&amp;$X708&amp;"|"&amp;$Y708,'CALENDARIO'!$G$15:$G$214,0)),IFERROR(INDEX('CALENDARIO'!$C$15:$C$214,MATCH(TEXT($J708,"yyyy-mm-dd")&amp;"|"&amp;$X708&amp;"|",'CALENDARIO'!$G$15:$G$214,0)),IFERROR(INDEX('CALENDARIO'!$C$15:$C$214,MATCH(TEXT($J708,"yyyy-mm-dd")&amp;"||",'CALENDARIO'!$G$15:$G$214,0)),INDEX(patronHabil,WEEKDAY($J708,2))))))</f>
        <v/>
      </c>
      <c r="U708" s="5">
        <f>IF($I708="","",IFERROR(INDEX('CAT_TIPOS_OT'!$C$4:$C$8,MATCH($I708,'CAT_TIPOS_OT'!$A$4:$A$8,0)),"sin_clasificar"))</f>
        <v/>
      </c>
      <c r="V708" s="5">
        <f>IF($I708="","",IF(IFERROR(INDEX('CAT_TIPOS_OT'!$D$4:$D$8,MATCH($I708,'CAT_TIPOS_OT'!$A$4:$A$8,0)),"SIN CLASIFICAR")="","SIN CLASIFICAR",IFERROR(INDEX('CAT_TIPOS_OT'!$D$4:$D$8,MATCH($I708,'CAT_TIPOS_OT'!$A$4:$A$8,0)),"SIN CLASIFICAR")))</f>
        <v/>
      </c>
      <c r="W708" s="5">
        <f>IF($F708="","",IFERROR(INDEX('CAT_CENTROS_COSTO'!$F$4:$F$13,MATCH($F708,'CAT_CENTROS_COSTO'!$A$4:$A$13,0)),"(sin catálogo)"))</f>
        <v/>
      </c>
      <c r="X708" s="5">
        <f>IF($F708="","",IFERROR(INDEX('CAT_CENTROS_COSTO'!$D$4:$D$13,MATCH($F708,'CAT_CENTROS_COSTO'!$A$4:$A$13,0)),"(sin catálogo)"))</f>
        <v/>
      </c>
      <c r="Y708" s="5">
        <f>IF($F708="","",IF((IFERROR(INDEX('CAT_CENTROS_COSTO'!$E$4:$E$13,MATCH($F708,'CAT_CENTROS_COSTO'!$A$4:$A$13,0)),""))&lt;&gt;"",IFERROR(INDEX('CAT_CENTROS_COSTO'!$E$4:$E$13,MATCH($F708,'CAT_CENTROS_COSTO'!$A$4:$A$13,0)),""),$X708))</f>
        <v/>
      </c>
      <c r="Z708" s="5">
        <f>IF($F708="","",IFERROR(INDEX('CAT_CENTROS_COSTO'!$G$4:$G$13,MATCH($F708,'CAT_CENTROS_COSTO'!$A$4:$A$13,0)),"(sin catálogo)"))</f>
        <v/>
      </c>
      <c r="AA708" s="5">
        <f>IF($G708="","",IFERROR(INDEX('CAT_PUESTOS'!$B$4:$B$8,MATCH($G708,'CAT_PUESTOS'!$A$4:$A$8,0)),"(sin catálogo)"))</f>
        <v/>
      </c>
      <c r="AB708" s="5">
        <f>IF($H708="","",IFERROR(INDEX('CAT_ACTIVIDADES'!$B$4:$B$11,MATCH($H708,'CAT_ACTIVIDADES'!$A$4:$A$11,0)),"(sin catálogo)"))</f>
        <v/>
      </c>
      <c r="AC708" s="20">
        <f>IF($J708="","",TODAY()-$J708)</f>
        <v/>
      </c>
      <c r="AD708" s="20">
        <f>IF($J708="","",IF($J708&lt;=TODAY(),COUNTIFS(cal_fechas,"&gt;="&amp;$J708,cal_fechas,"&lt;"&amp;TODAY(),cal_habil,"sí"),-COUNTIFS(cal_fechas,"&gt;="&amp;TODAY(),cal_fechas,"&lt;"&amp;$J708,cal_habil,"sí")))</f>
        <v/>
      </c>
      <c r="AE708" s="5">
        <f>IF($AD708="","",IF($AD708&lt;0,"FUTURO",IF($AD708&gt;p_dias_backlog_max,"BACKLOG","MES CORRIENTE")))</f>
        <v/>
      </c>
      <c r="AF708" s="5">
        <f>IF($AD708="",FALSE,AND($AD708&gt;p_dias_backlog_min,$AD708&lt;=p_dias_backlog_max))</f>
        <v/>
      </c>
      <c r="AG708" s="4" t="n"/>
      <c r="AH708" s="5">
        <f>IF($AG708="","",IF((IFERROR(INDEX('ASIGNACIONES'!$J$4:$J$451,MATCH($O708&amp;"|"&amp;$S708&amp;"|"&amp;$AG708,'ASIGNACIONES'!$N$4:$N$451,0)),""))=0,"",IFERROR(INDEX('ASIGNACIONES'!$J$4:$J$451,MATCH($O708&amp;"|"&amp;$S708&amp;"|"&amp;$AG708,'ASIGNACIONES'!$N$4:$N$451,0)),"")))</f>
        <v/>
      </c>
      <c r="AI708" s="25">
        <f>IF($AG708="","",SUMIFS('ORDENES'!$M$4:$M$1203,'ORDENES'!$AG$4:$AG$1203,$AG708,'ORDENES'!$O$4:$O$1203,$O708,'ORDENES'!$S$4:$S$1203,$S708))</f>
        <v/>
      </c>
      <c r="AJ708" s="25">
        <f>IF($AI708="","",p_factor_productividad*IFERROR(INDEX('ASIGNACIONES'!$M$4:$M$451,MATCH($O708&amp;"|"&amp;$S708&amp;"|"&amp;$AG708,'ASIGNACIONES'!$N$4:$N$451,0)),0)-$AI708)</f>
        <v/>
      </c>
      <c r="AK708" s="18">
        <f>IF($A708="","",IFERROR(INDEX('2_IMPORTAR_EJECUCION'!$F$9:$F$1208,MATCH($AT708,'2_IMPORTAR_EJECUCION'!$J$9:$J$1208,0)),0))</f>
        <v/>
      </c>
      <c r="AL708" s="18">
        <f>IF($A708="","",MAX(0,IFERROR(INDEX('2_IMPORTAR_EJECUCION'!$H$9:$H$1208,MATCH($AT708,'2_IMPORTAR_EJECUCION'!$J$9:$J$1208,0)),0)-$AK708))</f>
        <v/>
      </c>
      <c r="AM708" s="18">
        <f>IF($A708="","",$AK708+$AL708)</f>
        <v/>
      </c>
      <c r="AN708" s="5">
        <f>IF($A708="","",IF(OR((IFERROR(INDEX('CAT_ACTIVIDADES'!$D$4:$D$11,MATCH($H708,'CAT_ACTIVIDADES'!$A$4:$A$11,0)),""))=0,(IFERROR(INDEX('CAT_ACTIVIDADES'!$D$4:$D$11,MATCH($H708,'CAT_ACTIVIDADES'!$A$4:$A$11,0)),""))=""),"SIN CLASIFICAR",IFERROR(INDEX('CAT_ACTIVIDADES'!$D$4:$D$11,MATCH($H708,'CAT_ACTIVIDADES'!$A$4:$A$11,0)),"")))</f>
        <v/>
      </c>
      <c r="AO708" s="4" t="n"/>
      <c r="AP708" s="4" t="n"/>
      <c r="AQ708" s="4" t="n"/>
      <c r="AR708" s="5">
        <f>IF($AQ708="","",HYPERLINK(p_ruta_base_checklists&amp;$AQ708,"abrir"))</f>
        <v/>
      </c>
      <c r="AS708" s="4" t="n"/>
      <c r="AT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2" t="n"/>
      <c r="K709" s="5" t="n"/>
      <c r="L709" s="18" t="n"/>
      <c r="M709" s="5">
        <f>IF($A709="","",IFERROR(INDEX('AJUSTES'!$B$4:$B$303,MATCH($AT709,'AJUSTES'!$A$4:$A$303,0)),IF($K709="","",$K709)))</f>
        <v/>
      </c>
      <c r="N709" s="5">
        <f>IF($A709="","",IFERROR(INDEX('CAT_ESTADOS_ERP'!$B$4:$B$7,MATCH(IFERROR(INDEX('2_IMPORTAR_EJECUCION'!$C$9:$C$1208,MATCH($AT709,'2_IMPORTAR_EJECUCION'!$J$9:$J$1208,0)),""),'CAT_ESTADOS_ERP'!$A$4:$A$7,0)),"Pendiente"))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IF($J709="","",$P709&amp;"-"&amp;TEXT($Q709,"00"))</f>
        <v/>
      </c>
      <c r="S709" s="5">
        <f>IF($J709="","",INDEX(lista_dias,WEEKDAY($J709,2)))</f>
        <v/>
      </c>
      <c r="T709" s="5">
        <f>IF($J709="","",IFERROR(INDEX('CALENDARIO'!$C$15:$C$214,MATCH(TEXT($J709,"yyyy-mm-dd")&amp;"|"&amp;$X709&amp;"|"&amp;$Y709,'CALENDARIO'!$G$15:$G$214,0)),IFERROR(INDEX('CALENDARIO'!$C$15:$C$214,MATCH(TEXT($J709,"yyyy-mm-dd")&amp;"|"&amp;$X709&amp;"|",'CALENDARIO'!$G$15:$G$214,0)),IFERROR(INDEX('CALENDARIO'!$C$15:$C$214,MATCH(TEXT($J709,"yyyy-mm-dd")&amp;"||",'CALENDARIO'!$G$15:$G$214,0)),INDEX(patronHabil,WEEKDAY($J709,2))))))</f>
        <v/>
      </c>
      <c r="U709" s="5">
        <f>IF($I709="","",IFERROR(INDEX('CAT_TIPOS_OT'!$C$4:$C$8,MATCH($I709,'CAT_TIPOS_OT'!$A$4:$A$8,0)),"sin_clasificar"))</f>
        <v/>
      </c>
      <c r="V709" s="5">
        <f>IF($I709="","",IF(IFERROR(INDEX('CAT_TIPOS_OT'!$D$4:$D$8,MATCH($I709,'CAT_TIPOS_OT'!$A$4:$A$8,0)),"SIN CLASIFICAR")="","SIN CLASIFICAR",IFERROR(INDEX('CAT_TIPOS_OT'!$D$4:$D$8,MATCH($I709,'CAT_TIPOS_OT'!$A$4:$A$8,0)),"SIN CLASIFICAR")))</f>
        <v/>
      </c>
      <c r="W709" s="5">
        <f>IF($F709="","",IFERROR(INDEX('CAT_CENTROS_COSTO'!$F$4:$F$13,MATCH($F709,'CAT_CENTROS_COSTO'!$A$4:$A$13,0)),"(sin catálogo)"))</f>
        <v/>
      </c>
      <c r="X709" s="5">
        <f>IF($F709="","",IFERROR(INDEX('CAT_CENTROS_COSTO'!$D$4:$D$13,MATCH($F709,'CAT_CENTROS_COSTO'!$A$4:$A$13,0)),"(sin catálogo)"))</f>
        <v/>
      </c>
      <c r="Y709" s="5">
        <f>IF($F709="","",IF((IFERROR(INDEX('CAT_CENTROS_COSTO'!$E$4:$E$13,MATCH($F709,'CAT_CENTROS_COSTO'!$A$4:$A$13,0)),""))&lt;&gt;"",IFERROR(INDEX('CAT_CENTROS_COSTO'!$E$4:$E$13,MATCH($F709,'CAT_CENTROS_COSTO'!$A$4:$A$13,0)),""),$X709))</f>
        <v/>
      </c>
      <c r="Z709" s="5">
        <f>IF($F709="","",IFERROR(INDEX('CAT_CENTROS_COSTO'!$G$4:$G$13,MATCH($F709,'CAT_CENTROS_COSTO'!$A$4:$A$13,0)),"(sin catálogo)"))</f>
        <v/>
      </c>
      <c r="AA709" s="5">
        <f>IF($G709="","",IFERROR(INDEX('CAT_PUESTOS'!$B$4:$B$8,MATCH($G709,'CAT_PUESTOS'!$A$4:$A$8,0)),"(sin catálogo)"))</f>
        <v/>
      </c>
      <c r="AB709" s="5">
        <f>IF($H709="","",IFERROR(INDEX('CAT_ACTIVIDADES'!$B$4:$B$11,MATCH($H709,'CAT_ACTIVIDADES'!$A$4:$A$11,0)),"(sin catálogo)"))</f>
        <v/>
      </c>
      <c r="AC709" s="20">
        <f>IF($J709="","",TODAY()-$J709)</f>
        <v/>
      </c>
      <c r="AD709" s="20">
        <f>IF($J709="","",IF($J709&lt;=TODAY(),COUNTIFS(cal_fechas,"&gt;="&amp;$J709,cal_fechas,"&lt;"&amp;TODAY(),cal_habil,"sí"),-COUNTIFS(cal_fechas,"&gt;="&amp;TODAY(),cal_fechas,"&lt;"&amp;$J709,cal_habil,"sí")))</f>
        <v/>
      </c>
      <c r="AE709" s="5">
        <f>IF($AD709="","",IF($AD709&lt;0,"FUTURO",IF($AD709&gt;p_dias_backlog_max,"BACKLOG","MES CORRIENTE")))</f>
        <v/>
      </c>
      <c r="AF709" s="5">
        <f>IF($AD709="",FALSE,AND($AD709&gt;p_dias_backlog_min,$AD709&lt;=p_dias_backlog_max))</f>
        <v/>
      </c>
      <c r="AG709" s="4" t="n"/>
      <c r="AH709" s="5">
        <f>IF($AG709="","",IF((IFERROR(INDEX('ASIGNACIONES'!$J$4:$J$451,MATCH($O709&amp;"|"&amp;$S709&amp;"|"&amp;$AG709,'ASIGNACIONES'!$N$4:$N$451,0)),""))=0,"",IFERROR(INDEX('ASIGNACIONES'!$J$4:$J$451,MATCH($O709&amp;"|"&amp;$S709&amp;"|"&amp;$AG709,'ASIGNACIONES'!$N$4:$N$451,0)),"")))</f>
        <v/>
      </c>
      <c r="AI709" s="25">
        <f>IF($AG709="","",SUMIFS('ORDENES'!$M$4:$M$1203,'ORDENES'!$AG$4:$AG$1203,$AG709,'ORDENES'!$O$4:$O$1203,$O709,'ORDENES'!$S$4:$S$1203,$S709))</f>
        <v/>
      </c>
      <c r="AJ709" s="25">
        <f>IF($AI709="","",p_factor_productividad*IFERROR(INDEX('ASIGNACIONES'!$M$4:$M$451,MATCH($O709&amp;"|"&amp;$S709&amp;"|"&amp;$AG709,'ASIGNACIONES'!$N$4:$N$451,0)),0)-$AI709)</f>
        <v/>
      </c>
      <c r="AK709" s="18">
        <f>IF($A709="","",IFERROR(INDEX('2_IMPORTAR_EJECUCION'!$F$9:$F$1208,MATCH($AT709,'2_IMPORTAR_EJECUCION'!$J$9:$J$1208,0)),0))</f>
        <v/>
      </c>
      <c r="AL709" s="18">
        <f>IF($A709="","",MAX(0,IFERROR(INDEX('2_IMPORTAR_EJECUCION'!$H$9:$H$1208,MATCH($AT709,'2_IMPORTAR_EJECUCION'!$J$9:$J$1208,0)),0)-$AK709))</f>
        <v/>
      </c>
      <c r="AM709" s="18">
        <f>IF($A709="","",$AK709+$AL709)</f>
        <v/>
      </c>
      <c r="AN709" s="5">
        <f>IF($A709="","",IF(OR((IFERROR(INDEX('CAT_ACTIVIDADES'!$D$4:$D$11,MATCH($H709,'CAT_ACTIVIDADES'!$A$4:$A$11,0)),""))=0,(IFERROR(INDEX('CAT_ACTIVIDADES'!$D$4:$D$11,MATCH($H709,'CAT_ACTIVIDADES'!$A$4:$A$11,0)),""))=""),"SIN CLASIFICAR",IFERROR(INDEX('CAT_ACTIVIDADES'!$D$4:$D$11,MATCH($H709,'CAT_ACTIVIDADES'!$A$4:$A$11,0)),"")))</f>
        <v/>
      </c>
      <c r="AO709" s="4" t="n"/>
      <c r="AP709" s="4" t="n"/>
      <c r="AQ709" s="4" t="n"/>
      <c r="AR709" s="5">
        <f>IF($AQ709="","",HYPERLINK(p_ruta_base_checklists&amp;$AQ709,"abrir"))</f>
        <v/>
      </c>
      <c r="AS709" s="4" t="n"/>
      <c r="AT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2" t="n"/>
      <c r="K710" s="5" t="n"/>
      <c r="L710" s="18" t="n"/>
      <c r="M710" s="5">
        <f>IF($A710="","",IFERROR(INDEX('AJUSTES'!$B$4:$B$303,MATCH($AT710,'AJUSTES'!$A$4:$A$303,0)),IF($K710="","",$K710)))</f>
        <v/>
      </c>
      <c r="N710" s="5">
        <f>IF($A710="","",IFERROR(INDEX('CAT_ESTADOS_ERP'!$B$4:$B$7,MATCH(IFERROR(INDEX('2_IMPORTAR_EJECUCION'!$C$9:$C$1208,MATCH($AT710,'2_IMPORTAR_EJECUCION'!$J$9:$J$1208,0)),""),'CAT_ESTADOS_ERP'!$A$4:$A$7,0)),"Pendiente"))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IF($J710="","",$P710&amp;"-"&amp;TEXT($Q710,"00"))</f>
        <v/>
      </c>
      <c r="S710" s="5">
        <f>IF($J710="","",INDEX(lista_dias,WEEKDAY($J710,2)))</f>
        <v/>
      </c>
      <c r="T710" s="5">
        <f>IF($J710="","",IFERROR(INDEX('CALENDARIO'!$C$15:$C$214,MATCH(TEXT($J710,"yyyy-mm-dd")&amp;"|"&amp;$X710&amp;"|"&amp;$Y710,'CALENDARIO'!$G$15:$G$214,0)),IFERROR(INDEX('CALENDARIO'!$C$15:$C$214,MATCH(TEXT($J710,"yyyy-mm-dd")&amp;"|"&amp;$X710&amp;"|",'CALENDARIO'!$G$15:$G$214,0)),IFERROR(INDEX('CALENDARIO'!$C$15:$C$214,MATCH(TEXT($J710,"yyyy-mm-dd")&amp;"||",'CALENDARIO'!$G$15:$G$214,0)),INDEX(patronHabil,WEEKDAY($J710,2))))))</f>
        <v/>
      </c>
      <c r="U710" s="5">
        <f>IF($I710="","",IFERROR(INDEX('CAT_TIPOS_OT'!$C$4:$C$8,MATCH($I710,'CAT_TIPOS_OT'!$A$4:$A$8,0)),"sin_clasificar"))</f>
        <v/>
      </c>
      <c r="V710" s="5">
        <f>IF($I710="","",IF(IFERROR(INDEX('CAT_TIPOS_OT'!$D$4:$D$8,MATCH($I710,'CAT_TIPOS_OT'!$A$4:$A$8,0)),"SIN CLASIFICAR")="","SIN CLASIFICAR",IFERROR(INDEX('CAT_TIPOS_OT'!$D$4:$D$8,MATCH($I710,'CAT_TIPOS_OT'!$A$4:$A$8,0)),"SIN CLASIFICAR")))</f>
        <v/>
      </c>
      <c r="W710" s="5">
        <f>IF($F710="","",IFERROR(INDEX('CAT_CENTROS_COSTO'!$F$4:$F$13,MATCH($F710,'CAT_CENTROS_COSTO'!$A$4:$A$13,0)),"(sin catálogo)"))</f>
        <v/>
      </c>
      <c r="X710" s="5">
        <f>IF($F710="","",IFERROR(INDEX('CAT_CENTROS_COSTO'!$D$4:$D$13,MATCH($F710,'CAT_CENTROS_COSTO'!$A$4:$A$13,0)),"(sin catálogo)"))</f>
        <v/>
      </c>
      <c r="Y710" s="5">
        <f>IF($F710="","",IF((IFERROR(INDEX('CAT_CENTROS_COSTO'!$E$4:$E$13,MATCH($F710,'CAT_CENTROS_COSTO'!$A$4:$A$13,0)),""))&lt;&gt;"",IFERROR(INDEX('CAT_CENTROS_COSTO'!$E$4:$E$13,MATCH($F710,'CAT_CENTROS_COSTO'!$A$4:$A$13,0)),""),$X710))</f>
        <v/>
      </c>
      <c r="Z710" s="5">
        <f>IF($F710="","",IFERROR(INDEX('CAT_CENTROS_COSTO'!$G$4:$G$13,MATCH($F710,'CAT_CENTROS_COSTO'!$A$4:$A$13,0)),"(sin catálogo)"))</f>
        <v/>
      </c>
      <c r="AA710" s="5">
        <f>IF($G710="","",IFERROR(INDEX('CAT_PUESTOS'!$B$4:$B$8,MATCH($G710,'CAT_PUESTOS'!$A$4:$A$8,0)),"(sin catálogo)"))</f>
        <v/>
      </c>
      <c r="AB710" s="5">
        <f>IF($H710="","",IFERROR(INDEX('CAT_ACTIVIDADES'!$B$4:$B$11,MATCH($H710,'CAT_ACTIVIDADES'!$A$4:$A$11,0)),"(sin catálogo)"))</f>
        <v/>
      </c>
      <c r="AC710" s="20">
        <f>IF($J710="","",TODAY()-$J710)</f>
        <v/>
      </c>
      <c r="AD710" s="20">
        <f>IF($J710="","",IF($J710&lt;=TODAY(),COUNTIFS(cal_fechas,"&gt;="&amp;$J710,cal_fechas,"&lt;"&amp;TODAY(),cal_habil,"sí"),-COUNTIFS(cal_fechas,"&gt;="&amp;TODAY(),cal_fechas,"&lt;"&amp;$J710,cal_habil,"sí")))</f>
        <v/>
      </c>
      <c r="AE710" s="5">
        <f>IF($AD710="","",IF($AD710&lt;0,"FUTURO",IF($AD710&gt;p_dias_backlog_max,"BACKLOG","MES CORRIENTE")))</f>
        <v/>
      </c>
      <c r="AF710" s="5">
        <f>IF($AD710="",FALSE,AND($AD710&gt;p_dias_backlog_min,$AD710&lt;=p_dias_backlog_max))</f>
        <v/>
      </c>
      <c r="AG710" s="4" t="n"/>
      <c r="AH710" s="5">
        <f>IF($AG710="","",IF((IFERROR(INDEX('ASIGNACIONES'!$J$4:$J$451,MATCH($O710&amp;"|"&amp;$S710&amp;"|"&amp;$AG710,'ASIGNACIONES'!$N$4:$N$451,0)),""))=0,"",IFERROR(INDEX('ASIGNACIONES'!$J$4:$J$451,MATCH($O710&amp;"|"&amp;$S710&amp;"|"&amp;$AG710,'ASIGNACIONES'!$N$4:$N$451,0)),"")))</f>
        <v/>
      </c>
      <c r="AI710" s="25">
        <f>IF($AG710="","",SUMIFS('ORDENES'!$M$4:$M$1203,'ORDENES'!$AG$4:$AG$1203,$AG710,'ORDENES'!$O$4:$O$1203,$O710,'ORDENES'!$S$4:$S$1203,$S710))</f>
        <v/>
      </c>
      <c r="AJ710" s="25">
        <f>IF($AI710="","",p_factor_productividad*IFERROR(INDEX('ASIGNACIONES'!$M$4:$M$451,MATCH($O710&amp;"|"&amp;$S710&amp;"|"&amp;$AG710,'ASIGNACIONES'!$N$4:$N$451,0)),0)-$AI710)</f>
        <v/>
      </c>
      <c r="AK710" s="18">
        <f>IF($A710="","",IFERROR(INDEX('2_IMPORTAR_EJECUCION'!$F$9:$F$1208,MATCH($AT710,'2_IMPORTAR_EJECUCION'!$J$9:$J$1208,0)),0))</f>
        <v/>
      </c>
      <c r="AL710" s="18">
        <f>IF($A710="","",MAX(0,IFERROR(INDEX('2_IMPORTAR_EJECUCION'!$H$9:$H$1208,MATCH($AT710,'2_IMPORTAR_EJECUCION'!$J$9:$J$1208,0)),0)-$AK710))</f>
        <v/>
      </c>
      <c r="AM710" s="18">
        <f>IF($A710="","",$AK710+$AL710)</f>
        <v/>
      </c>
      <c r="AN710" s="5">
        <f>IF($A710="","",IF(OR((IFERROR(INDEX('CAT_ACTIVIDADES'!$D$4:$D$11,MATCH($H710,'CAT_ACTIVIDADES'!$A$4:$A$11,0)),""))=0,(IFERROR(INDEX('CAT_ACTIVIDADES'!$D$4:$D$11,MATCH($H710,'CAT_ACTIVIDADES'!$A$4:$A$11,0)),""))=""),"SIN CLASIFICAR",IFERROR(INDEX('CAT_ACTIVIDADES'!$D$4:$D$11,MATCH($H710,'CAT_ACTIVIDADES'!$A$4:$A$11,0)),"")))</f>
        <v/>
      </c>
      <c r="AO710" s="4" t="n"/>
      <c r="AP710" s="4" t="n"/>
      <c r="AQ710" s="4" t="n"/>
      <c r="AR710" s="5">
        <f>IF($AQ710="","",HYPERLINK(p_ruta_base_checklists&amp;$AQ710,"abrir"))</f>
        <v/>
      </c>
      <c r="AS710" s="4" t="n"/>
      <c r="AT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2" t="n"/>
      <c r="K711" s="5" t="n"/>
      <c r="L711" s="18" t="n"/>
      <c r="M711" s="5">
        <f>IF($A711="","",IFERROR(INDEX('AJUSTES'!$B$4:$B$303,MATCH($AT711,'AJUSTES'!$A$4:$A$303,0)),IF($K711="","",$K711)))</f>
        <v/>
      </c>
      <c r="N711" s="5">
        <f>IF($A711="","",IFERROR(INDEX('CAT_ESTADOS_ERP'!$B$4:$B$7,MATCH(IFERROR(INDEX('2_IMPORTAR_EJECUCION'!$C$9:$C$1208,MATCH($AT711,'2_IMPORTAR_EJECUCION'!$J$9:$J$1208,0)),""),'CAT_ESTADOS_ERP'!$A$4:$A$7,0)),"Pendiente"))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IF($J711="","",$P711&amp;"-"&amp;TEXT($Q711,"00"))</f>
        <v/>
      </c>
      <c r="S711" s="5">
        <f>IF($J711="","",INDEX(lista_dias,WEEKDAY($J711,2)))</f>
        <v/>
      </c>
      <c r="T711" s="5">
        <f>IF($J711="","",IFERROR(INDEX('CALENDARIO'!$C$15:$C$214,MATCH(TEXT($J711,"yyyy-mm-dd")&amp;"|"&amp;$X711&amp;"|"&amp;$Y711,'CALENDARIO'!$G$15:$G$214,0)),IFERROR(INDEX('CALENDARIO'!$C$15:$C$214,MATCH(TEXT($J711,"yyyy-mm-dd")&amp;"|"&amp;$X711&amp;"|",'CALENDARIO'!$G$15:$G$214,0)),IFERROR(INDEX('CALENDARIO'!$C$15:$C$214,MATCH(TEXT($J711,"yyyy-mm-dd")&amp;"||",'CALENDARIO'!$G$15:$G$214,0)),INDEX(patronHabil,WEEKDAY($J711,2))))))</f>
        <v/>
      </c>
      <c r="U711" s="5">
        <f>IF($I711="","",IFERROR(INDEX('CAT_TIPOS_OT'!$C$4:$C$8,MATCH($I711,'CAT_TIPOS_OT'!$A$4:$A$8,0)),"sin_clasificar"))</f>
        <v/>
      </c>
      <c r="V711" s="5">
        <f>IF($I711="","",IF(IFERROR(INDEX('CAT_TIPOS_OT'!$D$4:$D$8,MATCH($I711,'CAT_TIPOS_OT'!$A$4:$A$8,0)),"SIN CLASIFICAR")="","SIN CLASIFICAR",IFERROR(INDEX('CAT_TIPOS_OT'!$D$4:$D$8,MATCH($I711,'CAT_TIPOS_OT'!$A$4:$A$8,0)),"SIN CLASIFICAR")))</f>
        <v/>
      </c>
      <c r="W711" s="5">
        <f>IF($F711="","",IFERROR(INDEX('CAT_CENTROS_COSTO'!$F$4:$F$13,MATCH($F711,'CAT_CENTROS_COSTO'!$A$4:$A$13,0)),"(sin catálogo)"))</f>
        <v/>
      </c>
      <c r="X711" s="5">
        <f>IF($F711="","",IFERROR(INDEX('CAT_CENTROS_COSTO'!$D$4:$D$13,MATCH($F711,'CAT_CENTROS_COSTO'!$A$4:$A$13,0)),"(sin catálogo)"))</f>
        <v/>
      </c>
      <c r="Y711" s="5">
        <f>IF($F711="","",IF((IFERROR(INDEX('CAT_CENTROS_COSTO'!$E$4:$E$13,MATCH($F711,'CAT_CENTROS_COSTO'!$A$4:$A$13,0)),""))&lt;&gt;"",IFERROR(INDEX('CAT_CENTROS_COSTO'!$E$4:$E$13,MATCH($F711,'CAT_CENTROS_COSTO'!$A$4:$A$13,0)),""),$X711))</f>
        <v/>
      </c>
      <c r="Z711" s="5">
        <f>IF($F711="","",IFERROR(INDEX('CAT_CENTROS_COSTO'!$G$4:$G$13,MATCH($F711,'CAT_CENTROS_COSTO'!$A$4:$A$13,0)),"(sin catálogo)"))</f>
        <v/>
      </c>
      <c r="AA711" s="5">
        <f>IF($G711="","",IFERROR(INDEX('CAT_PUESTOS'!$B$4:$B$8,MATCH($G711,'CAT_PUESTOS'!$A$4:$A$8,0)),"(sin catálogo)"))</f>
        <v/>
      </c>
      <c r="AB711" s="5">
        <f>IF($H711="","",IFERROR(INDEX('CAT_ACTIVIDADES'!$B$4:$B$11,MATCH($H711,'CAT_ACTIVIDADES'!$A$4:$A$11,0)),"(sin catálogo)"))</f>
        <v/>
      </c>
      <c r="AC711" s="20">
        <f>IF($J711="","",TODAY()-$J711)</f>
        <v/>
      </c>
      <c r="AD711" s="20">
        <f>IF($J711="","",IF($J711&lt;=TODAY(),COUNTIFS(cal_fechas,"&gt;="&amp;$J711,cal_fechas,"&lt;"&amp;TODAY(),cal_habil,"sí"),-COUNTIFS(cal_fechas,"&gt;="&amp;TODAY(),cal_fechas,"&lt;"&amp;$J711,cal_habil,"sí")))</f>
        <v/>
      </c>
      <c r="AE711" s="5">
        <f>IF($AD711="","",IF($AD711&lt;0,"FUTURO",IF($AD711&gt;p_dias_backlog_max,"BACKLOG","MES CORRIENTE")))</f>
        <v/>
      </c>
      <c r="AF711" s="5">
        <f>IF($AD711="",FALSE,AND($AD711&gt;p_dias_backlog_min,$AD711&lt;=p_dias_backlog_max))</f>
        <v/>
      </c>
      <c r="AG711" s="4" t="n"/>
      <c r="AH711" s="5">
        <f>IF($AG711="","",IF((IFERROR(INDEX('ASIGNACIONES'!$J$4:$J$451,MATCH($O711&amp;"|"&amp;$S711&amp;"|"&amp;$AG711,'ASIGNACIONES'!$N$4:$N$451,0)),""))=0,"",IFERROR(INDEX('ASIGNACIONES'!$J$4:$J$451,MATCH($O711&amp;"|"&amp;$S711&amp;"|"&amp;$AG711,'ASIGNACIONES'!$N$4:$N$451,0)),"")))</f>
        <v/>
      </c>
      <c r="AI711" s="25">
        <f>IF($AG711="","",SUMIFS('ORDENES'!$M$4:$M$1203,'ORDENES'!$AG$4:$AG$1203,$AG711,'ORDENES'!$O$4:$O$1203,$O711,'ORDENES'!$S$4:$S$1203,$S711))</f>
        <v/>
      </c>
      <c r="AJ711" s="25">
        <f>IF($AI711="","",p_factor_productividad*IFERROR(INDEX('ASIGNACIONES'!$M$4:$M$451,MATCH($O711&amp;"|"&amp;$S711&amp;"|"&amp;$AG711,'ASIGNACIONES'!$N$4:$N$451,0)),0)-$AI711)</f>
        <v/>
      </c>
      <c r="AK711" s="18">
        <f>IF($A711="","",IFERROR(INDEX('2_IMPORTAR_EJECUCION'!$F$9:$F$1208,MATCH($AT711,'2_IMPORTAR_EJECUCION'!$J$9:$J$1208,0)),0))</f>
        <v/>
      </c>
      <c r="AL711" s="18">
        <f>IF($A711="","",MAX(0,IFERROR(INDEX('2_IMPORTAR_EJECUCION'!$H$9:$H$1208,MATCH($AT711,'2_IMPORTAR_EJECUCION'!$J$9:$J$1208,0)),0)-$AK711))</f>
        <v/>
      </c>
      <c r="AM711" s="18">
        <f>IF($A711="","",$AK711+$AL711)</f>
        <v/>
      </c>
      <c r="AN711" s="5">
        <f>IF($A711="","",IF(OR((IFERROR(INDEX('CAT_ACTIVIDADES'!$D$4:$D$11,MATCH($H711,'CAT_ACTIVIDADES'!$A$4:$A$11,0)),""))=0,(IFERROR(INDEX('CAT_ACTIVIDADES'!$D$4:$D$11,MATCH($H711,'CAT_ACTIVIDADES'!$A$4:$A$11,0)),""))=""),"SIN CLASIFICAR",IFERROR(INDEX('CAT_ACTIVIDADES'!$D$4:$D$11,MATCH($H711,'CAT_ACTIVIDADES'!$A$4:$A$11,0)),"")))</f>
        <v/>
      </c>
      <c r="AO711" s="4" t="n"/>
      <c r="AP711" s="4" t="n"/>
      <c r="AQ711" s="4" t="n"/>
      <c r="AR711" s="5">
        <f>IF($AQ711="","",HYPERLINK(p_ruta_base_checklists&amp;$AQ711,"abrir"))</f>
        <v/>
      </c>
      <c r="AS711" s="4" t="n"/>
      <c r="AT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2" t="n"/>
      <c r="K712" s="5" t="n"/>
      <c r="L712" s="18" t="n"/>
      <c r="M712" s="5">
        <f>IF($A712="","",IFERROR(INDEX('AJUSTES'!$B$4:$B$303,MATCH($AT712,'AJUSTES'!$A$4:$A$303,0)),IF($K712="","",$K712)))</f>
        <v/>
      </c>
      <c r="N712" s="5">
        <f>IF($A712="","",IFERROR(INDEX('CAT_ESTADOS_ERP'!$B$4:$B$7,MATCH(IFERROR(INDEX('2_IMPORTAR_EJECUCION'!$C$9:$C$1208,MATCH($AT712,'2_IMPORTAR_EJECUCION'!$J$9:$J$1208,0)),""),'CAT_ESTADOS_ERP'!$A$4:$A$7,0)),"Pendiente"))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IF($J712="","",$P712&amp;"-"&amp;TEXT($Q712,"00"))</f>
        <v/>
      </c>
      <c r="S712" s="5">
        <f>IF($J712="","",INDEX(lista_dias,WEEKDAY($J712,2)))</f>
        <v/>
      </c>
      <c r="T712" s="5">
        <f>IF($J712="","",IFERROR(INDEX('CALENDARIO'!$C$15:$C$214,MATCH(TEXT($J712,"yyyy-mm-dd")&amp;"|"&amp;$X712&amp;"|"&amp;$Y712,'CALENDARIO'!$G$15:$G$214,0)),IFERROR(INDEX('CALENDARIO'!$C$15:$C$214,MATCH(TEXT($J712,"yyyy-mm-dd")&amp;"|"&amp;$X712&amp;"|",'CALENDARIO'!$G$15:$G$214,0)),IFERROR(INDEX('CALENDARIO'!$C$15:$C$214,MATCH(TEXT($J712,"yyyy-mm-dd")&amp;"||",'CALENDARIO'!$G$15:$G$214,0)),INDEX(patronHabil,WEEKDAY($J712,2))))))</f>
        <v/>
      </c>
      <c r="U712" s="5">
        <f>IF($I712="","",IFERROR(INDEX('CAT_TIPOS_OT'!$C$4:$C$8,MATCH($I712,'CAT_TIPOS_OT'!$A$4:$A$8,0)),"sin_clasificar"))</f>
        <v/>
      </c>
      <c r="V712" s="5">
        <f>IF($I712="","",IF(IFERROR(INDEX('CAT_TIPOS_OT'!$D$4:$D$8,MATCH($I712,'CAT_TIPOS_OT'!$A$4:$A$8,0)),"SIN CLASIFICAR")="","SIN CLASIFICAR",IFERROR(INDEX('CAT_TIPOS_OT'!$D$4:$D$8,MATCH($I712,'CAT_TIPOS_OT'!$A$4:$A$8,0)),"SIN CLASIFICAR")))</f>
        <v/>
      </c>
      <c r="W712" s="5">
        <f>IF($F712="","",IFERROR(INDEX('CAT_CENTROS_COSTO'!$F$4:$F$13,MATCH($F712,'CAT_CENTROS_COSTO'!$A$4:$A$13,0)),"(sin catálogo)"))</f>
        <v/>
      </c>
      <c r="X712" s="5">
        <f>IF($F712="","",IFERROR(INDEX('CAT_CENTROS_COSTO'!$D$4:$D$13,MATCH($F712,'CAT_CENTROS_COSTO'!$A$4:$A$13,0)),"(sin catálogo)"))</f>
        <v/>
      </c>
      <c r="Y712" s="5">
        <f>IF($F712="","",IF((IFERROR(INDEX('CAT_CENTROS_COSTO'!$E$4:$E$13,MATCH($F712,'CAT_CENTROS_COSTO'!$A$4:$A$13,0)),""))&lt;&gt;"",IFERROR(INDEX('CAT_CENTROS_COSTO'!$E$4:$E$13,MATCH($F712,'CAT_CENTROS_COSTO'!$A$4:$A$13,0)),""),$X712))</f>
        <v/>
      </c>
      <c r="Z712" s="5">
        <f>IF($F712="","",IFERROR(INDEX('CAT_CENTROS_COSTO'!$G$4:$G$13,MATCH($F712,'CAT_CENTROS_COSTO'!$A$4:$A$13,0)),"(sin catálogo)"))</f>
        <v/>
      </c>
      <c r="AA712" s="5">
        <f>IF($G712="","",IFERROR(INDEX('CAT_PUESTOS'!$B$4:$B$8,MATCH($G712,'CAT_PUESTOS'!$A$4:$A$8,0)),"(sin catálogo)"))</f>
        <v/>
      </c>
      <c r="AB712" s="5">
        <f>IF($H712="","",IFERROR(INDEX('CAT_ACTIVIDADES'!$B$4:$B$11,MATCH($H712,'CAT_ACTIVIDADES'!$A$4:$A$11,0)),"(sin catálogo)"))</f>
        <v/>
      </c>
      <c r="AC712" s="20">
        <f>IF($J712="","",TODAY()-$J712)</f>
        <v/>
      </c>
      <c r="AD712" s="20">
        <f>IF($J712="","",IF($J712&lt;=TODAY(),COUNTIFS(cal_fechas,"&gt;="&amp;$J712,cal_fechas,"&lt;"&amp;TODAY(),cal_habil,"sí"),-COUNTIFS(cal_fechas,"&gt;="&amp;TODAY(),cal_fechas,"&lt;"&amp;$J712,cal_habil,"sí")))</f>
        <v/>
      </c>
      <c r="AE712" s="5">
        <f>IF($AD712="","",IF($AD712&lt;0,"FUTURO",IF($AD712&gt;p_dias_backlog_max,"BACKLOG","MES CORRIENTE")))</f>
        <v/>
      </c>
      <c r="AF712" s="5">
        <f>IF($AD712="",FALSE,AND($AD712&gt;p_dias_backlog_min,$AD712&lt;=p_dias_backlog_max))</f>
        <v/>
      </c>
      <c r="AG712" s="4" t="n"/>
      <c r="AH712" s="5">
        <f>IF($AG712="","",IF((IFERROR(INDEX('ASIGNACIONES'!$J$4:$J$451,MATCH($O712&amp;"|"&amp;$S712&amp;"|"&amp;$AG712,'ASIGNACIONES'!$N$4:$N$451,0)),""))=0,"",IFERROR(INDEX('ASIGNACIONES'!$J$4:$J$451,MATCH($O712&amp;"|"&amp;$S712&amp;"|"&amp;$AG712,'ASIGNACIONES'!$N$4:$N$451,0)),"")))</f>
        <v/>
      </c>
      <c r="AI712" s="25">
        <f>IF($AG712="","",SUMIFS('ORDENES'!$M$4:$M$1203,'ORDENES'!$AG$4:$AG$1203,$AG712,'ORDENES'!$O$4:$O$1203,$O712,'ORDENES'!$S$4:$S$1203,$S712))</f>
        <v/>
      </c>
      <c r="AJ712" s="25">
        <f>IF($AI712="","",p_factor_productividad*IFERROR(INDEX('ASIGNACIONES'!$M$4:$M$451,MATCH($O712&amp;"|"&amp;$S712&amp;"|"&amp;$AG712,'ASIGNACIONES'!$N$4:$N$451,0)),0)-$AI712)</f>
        <v/>
      </c>
      <c r="AK712" s="18">
        <f>IF($A712="","",IFERROR(INDEX('2_IMPORTAR_EJECUCION'!$F$9:$F$1208,MATCH($AT712,'2_IMPORTAR_EJECUCION'!$J$9:$J$1208,0)),0))</f>
        <v/>
      </c>
      <c r="AL712" s="18">
        <f>IF($A712="","",MAX(0,IFERROR(INDEX('2_IMPORTAR_EJECUCION'!$H$9:$H$1208,MATCH($AT712,'2_IMPORTAR_EJECUCION'!$J$9:$J$1208,0)),0)-$AK712))</f>
        <v/>
      </c>
      <c r="AM712" s="18">
        <f>IF($A712="","",$AK712+$AL712)</f>
        <v/>
      </c>
      <c r="AN712" s="5">
        <f>IF($A712="","",IF(OR((IFERROR(INDEX('CAT_ACTIVIDADES'!$D$4:$D$11,MATCH($H712,'CAT_ACTIVIDADES'!$A$4:$A$11,0)),""))=0,(IFERROR(INDEX('CAT_ACTIVIDADES'!$D$4:$D$11,MATCH($H712,'CAT_ACTIVIDADES'!$A$4:$A$11,0)),""))=""),"SIN CLASIFICAR",IFERROR(INDEX('CAT_ACTIVIDADES'!$D$4:$D$11,MATCH($H712,'CAT_ACTIVIDADES'!$A$4:$A$11,0)),"")))</f>
        <v/>
      </c>
      <c r="AO712" s="4" t="n"/>
      <c r="AP712" s="4" t="n"/>
      <c r="AQ712" s="4" t="n"/>
      <c r="AR712" s="5">
        <f>IF($AQ712="","",HYPERLINK(p_ruta_base_checklists&amp;$AQ712,"abrir"))</f>
        <v/>
      </c>
      <c r="AS712" s="4" t="n"/>
      <c r="AT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2" t="n"/>
      <c r="K713" s="5" t="n"/>
      <c r="L713" s="18" t="n"/>
      <c r="M713" s="5">
        <f>IF($A713="","",IFERROR(INDEX('AJUSTES'!$B$4:$B$303,MATCH($AT713,'AJUSTES'!$A$4:$A$303,0)),IF($K713="","",$K713)))</f>
        <v/>
      </c>
      <c r="N713" s="5">
        <f>IF($A713="","",IFERROR(INDEX('CAT_ESTADOS_ERP'!$B$4:$B$7,MATCH(IFERROR(INDEX('2_IMPORTAR_EJECUCION'!$C$9:$C$1208,MATCH($AT713,'2_IMPORTAR_EJECUCION'!$J$9:$J$1208,0)),""),'CAT_ESTADOS_ERP'!$A$4:$A$7,0)),"Pendiente"))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IF($J713="","",$P713&amp;"-"&amp;TEXT($Q713,"00"))</f>
        <v/>
      </c>
      <c r="S713" s="5">
        <f>IF($J713="","",INDEX(lista_dias,WEEKDAY($J713,2)))</f>
        <v/>
      </c>
      <c r="T713" s="5">
        <f>IF($J713="","",IFERROR(INDEX('CALENDARIO'!$C$15:$C$214,MATCH(TEXT($J713,"yyyy-mm-dd")&amp;"|"&amp;$X713&amp;"|"&amp;$Y713,'CALENDARIO'!$G$15:$G$214,0)),IFERROR(INDEX('CALENDARIO'!$C$15:$C$214,MATCH(TEXT($J713,"yyyy-mm-dd")&amp;"|"&amp;$X713&amp;"|",'CALENDARIO'!$G$15:$G$214,0)),IFERROR(INDEX('CALENDARIO'!$C$15:$C$214,MATCH(TEXT($J713,"yyyy-mm-dd")&amp;"||",'CALENDARIO'!$G$15:$G$214,0)),INDEX(patronHabil,WEEKDAY($J713,2))))))</f>
        <v/>
      </c>
      <c r="U713" s="5">
        <f>IF($I713="","",IFERROR(INDEX('CAT_TIPOS_OT'!$C$4:$C$8,MATCH($I713,'CAT_TIPOS_OT'!$A$4:$A$8,0)),"sin_clasificar"))</f>
        <v/>
      </c>
      <c r="V713" s="5">
        <f>IF($I713="","",IF(IFERROR(INDEX('CAT_TIPOS_OT'!$D$4:$D$8,MATCH($I713,'CAT_TIPOS_OT'!$A$4:$A$8,0)),"SIN CLASIFICAR")="","SIN CLASIFICAR",IFERROR(INDEX('CAT_TIPOS_OT'!$D$4:$D$8,MATCH($I713,'CAT_TIPOS_OT'!$A$4:$A$8,0)),"SIN CLASIFICAR")))</f>
        <v/>
      </c>
      <c r="W713" s="5">
        <f>IF($F713="","",IFERROR(INDEX('CAT_CENTROS_COSTO'!$F$4:$F$13,MATCH($F713,'CAT_CENTROS_COSTO'!$A$4:$A$13,0)),"(sin catálogo)"))</f>
        <v/>
      </c>
      <c r="X713" s="5">
        <f>IF($F713="","",IFERROR(INDEX('CAT_CENTROS_COSTO'!$D$4:$D$13,MATCH($F713,'CAT_CENTROS_COSTO'!$A$4:$A$13,0)),"(sin catálogo)"))</f>
        <v/>
      </c>
      <c r="Y713" s="5">
        <f>IF($F713="","",IF((IFERROR(INDEX('CAT_CENTROS_COSTO'!$E$4:$E$13,MATCH($F713,'CAT_CENTROS_COSTO'!$A$4:$A$13,0)),""))&lt;&gt;"",IFERROR(INDEX('CAT_CENTROS_COSTO'!$E$4:$E$13,MATCH($F713,'CAT_CENTROS_COSTO'!$A$4:$A$13,0)),""),$X713))</f>
        <v/>
      </c>
      <c r="Z713" s="5">
        <f>IF($F713="","",IFERROR(INDEX('CAT_CENTROS_COSTO'!$G$4:$G$13,MATCH($F713,'CAT_CENTROS_COSTO'!$A$4:$A$13,0)),"(sin catálogo)"))</f>
        <v/>
      </c>
      <c r="AA713" s="5">
        <f>IF($G713="","",IFERROR(INDEX('CAT_PUESTOS'!$B$4:$B$8,MATCH($G713,'CAT_PUESTOS'!$A$4:$A$8,0)),"(sin catálogo)"))</f>
        <v/>
      </c>
      <c r="AB713" s="5">
        <f>IF($H713="","",IFERROR(INDEX('CAT_ACTIVIDADES'!$B$4:$B$11,MATCH($H713,'CAT_ACTIVIDADES'!$A$4:$A$11,0)),"(sin catálogo)"))</f>
        <v/>
      </c>
      <c r="AC713" s="20">
        <f>IF($J713="","",TODAY()-$J713)</f>
        <v/>
      </c>
      <c r="AD713" s="20">
        <f>IF($J713="","",IF($J713&lt;=TODAY(),COUNTIFS(cal_fechas,"&gt;="&amp;$J713,cal_fechas,"&lt;"&amp;TODAY(),cal_habil,"sí"),-COUNTIFS(cal_fechas,"&gt;="&amp;TODAY(),cal_fechas,"&lt;"&amp;$J713,cal_habil,"sí")))</f>
        <v/>
      </c>
      <c r="AE713" s="5">
        <f>IF($AD713="","",IF($AD713&lt;0,"FUTURO",IF($AD713&gt;p_dias_backlog_max,"BACKLOG","MES CORRIENTE")))</f>
        <v/>
      </c>
      <c r="AF713" s="5">
        <f>IF($AD713="",FALSE,AND($AD713&gt;p_dias_backlog_min,$AD713&lt;=p_dias_backlog_max))</f>
        <v/>
      </c>
      <c r="AG713" s="4" t="n"/>
      <c r="AH713" s="5">
        <f>IF($AG713="","",IF((IFERROR(INDEX('ASIGNACIONES'!$J$4:$J$451,MATCH($O713&amp;"|"&amp;$S713&amp;"|"&amp;$AG713,'ASIGNACIONES'!$N$4:$N$451,0)),""))=0,"",IFERROR(INDEX('ASIGNACIONES'!$J$4:$J$451,MATCH($O713&amp;"|"&amp;$S713&amp;"|"&amp;$AG713,'ASIGNACIONES'!$N$4:$N$451,0)),"")))</f>
        <v/>
      </c>
      <c r="AI713" s="25">
        <f>IF($AG713="","",SUMIFS('ORDENES'!$M$4:$M$1203,'ORDENES'!$AG$4:$AG$1203,$AG713,'ORDENES'!$O$4:$O$1203,$O713,'ORDENES'!$S$4:$S$1203,$S713))</f>
        <v/>
      </c>
      <c r="AJ713" s="25">
        <f>IF($AI713="","",p_factor_productividad*IFERROR(INDEX('ASIGNACIONES'!$M$4:$M$451,MATCH($O713&amp;"|"&amp;$S713&amp;"|"&amp;$AG713,'ASIGNACIONES'!$N$4:$N$451,0)),0)-$AI713)</f>
        <v/>
      </c>
      <c r="AK713" s="18">
        <f>IF($A713="","",IFERROR(INDEX('2_IMPORTAR_EJECUCION'!$F$9:$F$1208,MATCH($AT713,'2_IMPORTAR_EJECUCION'!$J$9:$J$1208,0)),0))</f>
        <v/>
      </c>
      <c r="AL713" s="18">
        <f>IF($A713="","",MAX(0,IFERROR(INDEX('2_IMPORTAR_EJECUCION'!$H$9:$H$1208,MATCH($AT713,'2_IMPORTAR_EJECUCION'!$J$9:$J$1208,0)),0)-$AK713))</f>
        <v/>
      </c>
      <c r="AM713" s="18">
        <f>IF($A713="","",$AK713+$AL713)</f>
        <v/>
      </c>
      <c r="AN713" s="5">
        <f>IF($A713="","",IF(OR((IFERROR(INDEX('CAT_ACTIVIDADES'!$D$4:$D$11,MATCH($H713,'CAT_ACTIVIDADES'!$A$4:$A$11,0)),""))=0,(IFERROR(INDEX('CAT_ACTIVIDADES'!$D$4:$D$11,MATCH($H713,'CAT_ACTIVIDADES'!$A$4:$A$11,0)),""))=""),"SIN CLASIFICAR",IFERROR(INDEX('CAT_ACTIVIDADES'!$D$4:$D$11,MATCH($H713,'CAT_ACTIVIDADES'!$A$4:$A$11,0)),"")))</f>
        <v/>
      </c>
      <c r="AO713" s="4" t="n"/>
      <c r="AP713" s="4" t="n"/>
      <c r="AQ713" s="4" t="n"/>
      <c r="AR713" s="5">
        <f>IF($AQ713="","",HYPERLINK(p_ruta_base_checklists&amp;$AQ713,"abrir"))</f>
        <v/>
      </c>
      <c r="AS713" s="4" t="n"/>
      <c r="AT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2" t="n"/>
      <c r="K714" s="5" t="n"/>
      <c r="L714" s="18" t="n"/>
      <c r="M714" s="5">
        <f>IF($A714="","",IFERROR(INDEX('AJUSTES'!$B$4:$B$303,MATCH($AT714,'AJUSTES'!$A$4:$A$303,0)),IF($K714="","",$K714)))</f>
        <v/>
      </c>
      <c r="N714" s="5">
        <f>IF($A714="","",IFERROR(INDEX('CAT_ESTADOS_ERP'!$B$4:$B$7,MATCH(IFERROR(INDEX('2_IMPORTAR_EJECUCION'!$C$9:$C$1208,MATCH($AT714,'2_IMPORTAR_EJECUCION'!$J$9:$J$1208,0)),""),'CAT_ESTADOS_ERP'!$A$4:$A$7,0)),"Pendiente"))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IF($J714="","",$P714&amp;"-"&amp;TEXT($Q714,"00"))</f>
        <v/>
      </c>
      <c r="S714" s="5">
        <f>IF($J714="","",INDEX(lista_dias,WEEKDAY($J714,2)))</f>
        <v/>
      </c>
      <c r="T714" s="5">
        <f>IF($J714="","",IFERROR(INDEX('CALENDARIO'!$C$15:$C$214,MATCH(TEXT($J714,"yyyy-mm-dd")&amp;"|"&amp;$X714&amp;"|"&amp;$Y714,'CALENDARIO'!$G$15:$G$214,0)),IFERROR(INDEX('CALENDARIO'!$C$15:$C$214,MATCH(TEXT($J714,"yyyy-mm-dd")&amp;"|"&amp;$X714&amp;"|",'CALENDARIO'!$G$15:$G$214,0)),IFERROR(INDEX('CALENDARIO'!$C$15:$C$214,MATCH(TEXT($J714,"yyyy-mm-dd")&amp;"||",'CALENDARIO'!$G$15:$G$214,0)),INDEX(patronHabil,WEEKDAY($J714,2))))))</f>
        <v/>
      </c>
      <c r="U714" s="5">
        <f>IF($I714="","",IFERROR(INDEX('CAT_TIPOS_OT'!$C$4:$C$8,MATCH($I714,'CAT_TIPOS_OT'!$A$4:$A$8,0)),"sin_clasificar"))</f>
        <v/>
      </c>
      <c r="V714" s="5">
        <f>IF($I714="","",IF(IFERROR(INDEX('CAT_TIPOS_OT'!$D$4:$D$8,MATCH($I714,'CAT_TIPOS_OT'!$A$4:$A$8,0)),"SIN CLASIFICAR")="","SIN CLASIFICAR",IFERROR(INDEX('CAT_TIPOS_OT'!$D$4:$D$8,MATCH($I714,'CAT_TIPOS_OT'!$A$4:$A$8,0)),"SIN CLASIFICAR")))</f>
        <v/>
      </c>
      <c r="W714" s="5">
        <f>IF($F714="","",IFERROR(INDEX('CAT_CENTROS_COSTO'!$F$4:$F$13,MATCH($F714,'CAT_CENTROS_COSTO'!$A$4:$A$13,0)),"(sin catálogo)"))</f>
        <v/>
      </c>
      <c r="X714" s="5">
        <f>IF($F714="","",IFERROR(INDEX('CAT_CENTROS_COSTO'!$D$4:$D$13,MATCH($F714,'CAT_CENTROS_COSTO'!$A$4:$A$13,0)),"(sin catálogo)"))</f>
        <v/>
      </c>
      <c r="Y714" s="5">
        <f>IF($F714="","",IF((IFERROR(INDEX('CAT_CENTROS_COSTO'!$E$4:$E$13,MATCH($F714,'CAT_CENTROS_COSTO'!$A$4:$A$13,0)),""))&lt;&gt;"",IFERROR(INDEX('CAT_CENTROS_COSTO'!$E$4:$E$13,MATCH($F714,'CAT_CENTROS_COSTO'!$A$4:$A$13,0)),""),$X714))</f>
        <v/>
      </c>
      <c r="Z714" s="5">
        <f>IF($F714="","",IFERROR(INDEX('CAT_CENTROS_COSTO'!$G$4:$G$13,MATCH($F714,'CAT_CENTROS_COSTO'!$A$4:$A$13,0)),"(sin catálogo)"))</f>
        <v/>
      </c>
      <c r="AA714" s="5">
        <f>IF($G714="","",IFERROR(INDEX('CAT_PUESTOS'!$B$4:$B$8,MATCH($G714,'CAT_PUESTOS'!$A$4:$A$8,0)),"(sin catálogo)"))</f>
        <v/>
      </c>
      <c r="AB714" s="5">
        <f>IF($H714="","",IFERROR(INDEX('CAT_ACTIVIDADES'!$B$4:$B$11,MATCH($H714,'CAT_ACTIVIDADES'!$A$4:$A$11,0)),"(sin catálogo)"))</f>
        <v/>
      </c>
      <c r="AC714" s="20">
        <f>IF($J714="","",TODAY()-$J714)</f>
        <v/>
      </c>
      <c r="AD714" s="20">
        <f>IF($J714="","",IF($J714&lt;=TODAY(),COUNTIFS(cal_fechas,"&gt;="&amp;$J714,cal_fechas,"&lt;"&amp;TODAY(),cal_habil,"sí"),-COUNTIFS(cal_fechas,"&gt;="&amp;TODAY(),cal_fechas,"&lt;"&amp;$J714,cal_habil,"sí")))</f>
        <v/>
      </c>
      <c r="AE714" s="5">
        <f>IF($AD714="","",IF($AD714&lt;0,"FUTURO",IF($AD714&gt;p_dias_backlog_max,"BACKLOG","MES CORRIENTE")))</f>
        <v/>
      </c>
      <c r="AF714" s="5">
        <f>IF($AD714="",FALSE,AND($AD714&gt;p_dias_backlog_min,$AD714&lt;=p_dias_backlog_max))</f>
        <v/>
      </c>
      <c r="AG714" s="4" t="n"/>
      <c r="AH714" s="5">
        <f>IF($AG714="","",IF((IFERROR(INDEX('ASIGNACIONES'!$J$4:$J$451,MATCH($O714&amp;"|"&amp;$S714&amp;"|"&amp;$AG714,'ASIGNACIONES'!$N$4:$N$451,0)),""))=0,"",IFERROR(INDEX('ASIGNACIONES'!$J$4:$J$451,MATCH($O714&amp;"|"&amp;$S714&amp;"|"&amp;$AG714,'ASIGNACIONES'!$N$4:$N$451,0)),"")))</f>
        <v/>
      </c>
      <c r="AI714" s="25">
        <f>IF($AG714="","",SUMIFS('ORDENES'!$M$4:$M$1203,'ORDENES'!$AG$4:$AG$1203,$AG714,'ORDENES'!$O$4:$O$1203,$O714,'ORDENES'!$S$4:$S$1203,$S714))</f>
        <v/>
      </c>
      <c r="AJ714" s="25">
        <f>IF($AI714="","",p_factor_productividad*IFERROR(INDEX('ASIGNACIONES'!$M$4:$M$451,MATCH($O714&amp;"|"&amp;$S714&amp;"|"&amp;$AG714,'ASIGNACIONES'!$N$4:$N$451,0)),0)-$AI714)</f>
        <v/>
      </c>
      <c r="AK714" s="18">
        <f>IF($A714="","",IFERROR(INDEX('2_IMPORTAR_EJECUCION'!$F$9:$F$1208,MATCH($AT714,'2_IMPORTAR_EJECUCION'!$J$9:$J$1208,0)),0))</f>
        <v/>
      </c>
      <c r="AL714" s="18">
        <f>IF($A714="","",MAX(0,IFERROR(INDEX('2_IMPORTAR_EJECUCION'!$H$9:$H$1208,MATCH($AT714,'2_IMPORTAR_EJECUCION'!$J$9:$J$1208,0)),0)-$AK714))</f>
        <v/>
      </c>
      <c r="AM714" s="18">
        <f>IF($A714="","",$AK714+$AL714)</f>
        <v/>
      </c>
      <c r="AN714" s="5">
        <f>IF($A714="","",IF(OR((IFERROR(INDEX('CAT_ACTIVIDADES'!$D$4:$D$11,MATCH($H714,'CAT_ACTIVIDADES'!$A$4:$A$11,0)),""))=0,(IFERROR(INDEX('CAT_ACTIVIDADES'!$D$4:$D$11,MATCH($H714,'CAT_ACTIVIDADES'!$A$4:$A$11,0)),""))=""),"SIN CLASIFICAR",IFERROR(INDEX('CAT_ACTIVIDADES'!$D$4:$D$11,MATCH($H714,'CAT_ACTIVIDADES'!$A$4:$A$11,0)),"")))</f>
        <v/>
      </c>
      <c r="AO714" s="4" t="n"/>
      <c r="AP714" s="4" t="n"/>
      <c r="AQ714" s="4" t="n"/>
      <c r="AR714" s="5">
        <f>IF($AQ714="","",HYPERLINK(p_ruta_base_checklists&amp;$AQ714,"abrir"))</f>
        <v/>
      </c>
      <c r="AS714" s="4" t="n"/>
      <c r="AT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2" t="n"/>
      <c r="K715" s="5" t="n"/>
      <c r="L715" s="18" t="n"/>
      <c r="M715" s="5">
        <f>IF($A715="","",IFERROR(INDEX('AJUSTES'!$B$4:$B$303,MATCH($AT715,'AJUSTES'!$A$4:$A$303,0)),IF($K715="","",$K715)))</f>
        <v/>
      </c>
      <c r="N715" s="5">
        <f>IF($A715="","",IFERROR(INDEX('CAT_ESTADOS_ERP'!$B$4:$B$7,MATCH(IFERROR(INDEX('2_IMPORTAR_EJECUCION'!$C$9:$C$1208,MATCH($AT715,'2_IMPORTAR_EJECUCION'!$J$9:$J$1208,0)),""),'CAT_ESTADOS_ERP'!$A$4:$A$7,0)),"Pendiente"))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IF($J715="","",$P715&amp;"-"&amp;TEXT($Q715,"00"))</f>
        <v/>
      </c>
      <c r="S715" s="5">
        <f>IF($J715="","",INDEX(lista_dias,WEEKDAY($J715,2)))</f>
        <v/>
      </c>
      <c r="T715" s="5">
        <f>IF($J715="","",IFERROR(INDEX('CALENDARIO'!$C$15:$C$214,MATCH(TEXT($J715,"yyyy-mm-dd")&amp;"|"&amp;$X715&amp;"|"&amp;$Y715,'CALENDARIO'!$G$15:$G$214,0)),IFERROR(INDEX('CALENDARIO'!$C$15:$C$214,MATCH(TEXT($J715,"yyyy-mm-dd")&amp;"|"&amp;$X715&amp;"|",'CALENDARIO'!$G$15:$G$214,0)),IFERROR(INDEX('CALENDARIO'!$C$15:$C$214,MATCH(TEXT($J715,"yyyy-mm-dd")&amp;"||",'CALENDARIO'!$G$15:$G$214,0)),INDEX(patronHabil,WEEKDAY($J715,2))))))</f>
        <v/>
      </c>
      <c r="U715" s="5">
        <f>IF($I715="","",IFERROR(INDEX('CAT_TIPOS_OT'!$C$4:$C$8,MATCH($I715,'CAT_TIPOS_OT'!$A$4:$A$8,0)),"sin_clasificar"))</f>
        <v/>
      </c>
      <c r="V715" s="5">
        <f>IF($I715="","",IF(IFERROR(INDEX('CAT_TIPOS_OT'!$D$4:$D$8,MATCH($I715,'CAT_TIPOS_OT'!$A$4:$A$8,0)),"SIN CLASIFICAR")="","SIN CLASIFICAR",IFERROR(INDEX('CAT_TIPOS_OT'!$D$4:$D$8,MATCH($I715,'CAT_TIPOS_OT'!$A$4:$A$8,0)),"SIN CLASIFICAR")))</f>
        <v/>
      </c>
      <c r="W715" s="5">
        <f>IF($F715="","",IFERROR(INDEX('CAT_CENTROS_COSTO'!$F$4:$F$13,MATCH($F715,'CAT_CENTROS_COSTO'!$A$4:$A$13,0)),"(sin catálogo)"))</f>
        <v/>
      </c>
      <c r="X715" s="5">
        <f>IF($F715="","",IFERROR(INDEX('CAT_CENTROS_COSTO'!$D$4:$D$13,MATCH($F715,'CAT_CENTROS_COSTO'!$A$4:$A$13,0)),"(sin catálogo)"))</f>
        <v/>
      </c>
      <c r="Y715" s="5">
        <f>IF($F715="","",IF((IFERROR(INDEX('CAT_CENTROS_COSTO'!$E$4:$E$13,MATCH($F715,'CAT_CENTROS_COSTO'!$A$4:$A$13,0)),""))&lt;&gt;"",IFERROR(INDEX('CAT_CENTROS_COSTO'!$E$4:$E$13,MATCH($F715,'CAT_CENTROS_COSTO'!$A$4:$A$13,0)),""),$X715))</f>
        <v/>
      </c>
      <c r="Z715" s="5">
        <f>IF($F715="","",IFERROR(INDEX('CAT_CENTROS_COSTO'!$G$4:$G$13,MATCH($F715,'CAT_CENTROS_COSTO'!$A$4:$A$13,0)),"(sin catálogo)"))</f>
        <v/>
      </c>
      <c r="AA715" s="5">
        <f>IF($G715="","",IFERROR(INDEX('CAT_PUESTOS'!$B$4:$B$8,MATCH($G715,'CAT_PUESTOS'!$A$4:$A$8,0)),"(sin catálogo)"))</f>
        <v/>
      </c>
      <c r="AB715" s="5">
        <f>IF($H715="","",IFERROR(INDEX('CAT_ACTIVIDADES'!$B$4:$B$11,MATCH($H715,'CAT_ACTIVIDADES'!$A$4:$A$11,0)),"(sin catálogo)"))</f>
        <v/>
      </c>
      <c r="AC715" s="20">
        <f>IF($J715="","",TODAY()-$J715)</f>
        <v/>
      </c>
      <c r="AD715" s="20">
        <f>IF($J715="","",IF($J715&lt;=TODAY(),COUNTIFS(cal_fechas,"&gt;="&amp;$J715,cal_fechas,"&lt;"&amp;TODAY(),cal_habil,"sí"),-COUNTIFS(cal_fechas,"&gt;="&amp;TODAY(),cal_fechas,"&lt;"&amp;$J715,cal_habil,"sí")))</f>
        <v/>
      </c>
      <c r="AE715" s="5">
        <f>IF($AD715="","",IF($AD715&lt;0,"FUTURO",IF($AD715&gt;p_dias_backlog_max,"BACKLOG","MES CORRIENTE")))</f>
        <v/>
      </c>
      <c r="AF715" s="5">
        <f>IF($AD715="",FALSE,AND($AD715&gt;p_dias_backlog_min,$AD715&lt;=p_dias_backlog_max))</f>
        <v/>
      </c>
      <c r="AG715" s="4" t="n"/>
      <c r="AH715" s="5">
        <f>IF($AG715="","",IF((IFERROR(INDEX('ASIGNACIONES'!$J$4:$J$451,MATCH($O715&amp;"|"&amp;$S715&amp;"|"&amp;$AG715,'ASIGNACIONES'!$N$4:$N$451,0)),""))=0,"",IFERROR(INDEX('ASIGNACIONES'!$J$4:$J$451,MATCH($O715&amp;"|"&amp;$S715&amp;"|"&amp;$AG715,'ASIGNACIONES'!$N$4:$N$451,0)),"")))</f>
        <v/>
      </c>
      <c r="AI715" s="25">
        <f>IF($AG715="","",SUMIFS('ORDENES'!$M$4:$M$1203,'ORDENES'!$AG$4:$AG$1203,$AG715,'ORDENES'!$O$4:$O$1203,$O715,'ORDENES'!$S$4:$S$1203,$S715))</f>
        <v/>
      </c>
      <c r="AJ715" s="25">
        <f>IF($AI715="","",p_factor_productividad*IFERROR(INDEX('ASIGNACIONES'!$M$4:$M$451,MATCH($O715&amp;"|"&amp;$S715&amp;"|"&amp;$AG715,'ASIGNACIONES'!$N$4:$N$451,0)),0)-$AI715)</f>
        <v/>
      </c>
      <c r="AK715" s="18">
        <f>IF($A715="","",IFERROR(INDEX('2_IMPORTAR_EJECUCION'!$F$9:$F$1208,MATCH($AT715,'2_IMPORTAR_EJECUCION'!$J$9:$J$1208,0)),0))</f>
        <v/>
      </c>
      <c r="AL715" s="18">
        <f>IF($A715="","",MAX(0,IFERROR(INDEX('2_IMPORTAR_EJECUCION'!$H$9:$H$1208,MATCH($AT715,'2_IMPORTAR_EJECUCION'!$J$9:$J$1208,0)),0)-$AK715))</f>
        <v/>
      </c>
      <c r="AM715" s="18">
        <f>IF($A715="","",$AK715+$AL715)</f>
        <v/>
      </c>
      <c r="AN715" s="5">
        <f>IF($A715="","",IF(OR((IFERROR(INDEX('CAT_ACTIVIDADES'!$D$4:$D$11,MATCH($H715,'CAT_ACTIVIDADES'!$A$4:$A$11,0)),""))=0,(IFERROR(INDEX('CAT_ACTIVIDADES'!$D$4:$D$11,MATCH($H715,'CAT_ACTIVIDADES'!$A$4:$A$11,0)),""))=""),"SIN CLASIFICAR",IFERROR(INDEX('CAT_ACTIVIDADES'!$D$4:$D$11,MATCH($H715,'CAT_ACTIVIDADES'!$A$4:$A$11,0)),"")))</f>
        <v/>
      </c>
      <c r="AO715" s="4" t="n"/>
      <c r="AP715" s="4" t="n"/>
      <c r="AQ715" s="4" t="n"/>
      <c r="AR715" s="5">
        <f>IF($AQ715="","",HYPERLINK(p_ruta_base_checklists&amp;$AQ715,"abrir"))</f>
        <v/>
      </c>
      <c r="AS715" s="4" t="n"/>
      <c r="AT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2" t="n"/>
      <c r="K716" s="5" t="n"/>
      <c r="L716" s="18" t="n"/>
      <c r="M716" s="5">
        <f>IF($A716="","",IFERROR(INDEX('AJUSTES'!$B$4:$B$303,MATCH($AT716,'AJUSTES'!$A$4:$A$303,0)),IF($K716="","",$K716)))</f>
        <v/>
      </c>
      <c r="N716" s="5">
        <f>IF($A716="","",IFERROR(INDEX('CAT_ESTADOS_ERP'!$B$4:$B$7,MATCH(IFERROR(INDEX('2_IMPORTAR_EJECUCION'!$C$9:$C$1208,MATCH($AT716,'2_IMPORTAR_EJECUCION'!$J$9:$J$1208,0)),""),'CAT_ESTADOS_ERP'!$A$4:$A$7,0)),"Pendiente"))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IF($J716="","",$P716&amp;"-"&amp;TEXT($Q716,"00"))</f>
        <v/>
      </c>
      <c r="S716" s="5">
        <f>IF($J716="","",INDEX(lista_dias,WEEKDAY($J716,2)))</f>
        <v/>
      </c>
      <c r="T716" s="5">
        <f>IF($J716="","",IFERROR(INDEX('CALENDARIO'!$C$15:$C$214,MATCH(TEXT($J716,"yyyy-mm-dd")&amp;"|"&amp;$X716&amp;"|"&amp;$Y716,'CALENDARIO'!$G$15:$G$214,0)),IFERROR(INDEX('CALENDARIO'!$C$15:$C$214,MATCH(TEXT($J716,"yyyy-mm-dd")&amp;"|"&amp;$X716&amp;"|",'CALENDARIO'!$G$15:$G$214,0)),IFERROR(INDEX('CALENDARIO'!$C$15:$C$214,MATCH(TEXT($J716,"yyyy-mm-dd")&amp;"||",'CALENDARIO'!$G$15:$G$214,0)),INDEX(patronHabil,WEEKDAY($J716,2))))))</f>
        <v/>
      </c>
      <c r="U716" s="5">
        <f>IF($I716="","",IFERROR(INDEX('CAT_TIPOS_OT'!$C$4:$C$8,MATCH($I716,'CAT_TIPOS_OT'!$A$4:$A$8,0)),"sin_clasificar"))</f>
        <v/>
      </c>
      <c r="V716" s="5">
        <f>IF($I716="","",IF(IFERROR(INDEX('CAT_TIPOS_OT'!$D$4:$D$8,MATCH($I716,'CAT_TIPOS_OT'!$A$4:$A$8,0)),"SIN CLASIFICAR")="","SIN CLASIFICAR",IFERROR(INDEX('CAT_TIPOS_OT'!$D$4:$D$8,MATCH($I716,'CAT_TIPOS_OT'!$A$4:$A$8,0)),"SIN CLASIFICAR")))</f>
        <v/>
      </c>
      <c r="W716" s="5">
        <f>IF($F716="","",IFERROR(INDEX('CAT_CENTROS_COSTO'!$F$4:$F$13,MATCH($F716,'CAT_CENTROS_COSTO'!$A$4:$A$13,0)),"(sin catálogo)"))</f>
        <v/>
      </c>
      <c r="X716" s="5">
        <f>IF($F716="","",IFERROR(INDEX('CAT_CENTROS_COSTO'!$D$4:$D$13,MATCH($F716,'CAT_CENTROS_COSTO'!$A$4:$A$13,0)),"(sin catálogo)"))</f>
        <v/>
      </c>
      <c r="Y716" s="5">
        <f>IF($F716="","",IF((IFERROR(INDEX('CAT_CENTROS_COSTO'!$E$4:$E$13,MATCH($F716,'CAT_CENTROS_COSTO'!$A$4:$A$13,0)),""))&lt;&gt;"",IFERROR(INDEX('CAT_CENTROS_COSTO'!$E$4:$E$13,MATCH($F716,'CAT_CENTROS_COSTO'!$A$4:$A$13,0)),""),$X716))</f>
        <v/>
      </c>
      <c r="Z716" s="5">
        <f>IF($F716="","",IFERROR(INDEX('CAT_CENTROS_COSTO'!$G$4:$G$13,MATCH($F716,'CAT_CENTROS_COSTO'!$A$4:$A$13,0)),"(sin catálogo)"))</f>
        <v/>
      </c>
      <c r="AA716" s="5">
        <f>IF($G716="","",IFERROR(INDEX('CAT_PUESTOS'!$B$4:$B$8,MATCH($G716,'CAT_PUESTOS'!$A$4:$A$8,0)),"(sin catálogo)"))</f>
        <v/>
      </c>
      <c r="AB716" s="5">
        <f>IF($H716="","",IFERROR(INDEX('CAT_ACTIVIDADES'!$B$4:$B$11,MATCH($H716,'CAT_ACTIVIDADES'!$A$4:$A$11,0)),"(sin catálogo)"))</f>
        <v/>
      </c>
      <c r="AC716" s="20">
        <f>IF($J716="","",TODAY()-$J716)</f>
        <v/>
      </c>
      <c r="AD716" s="20">
        <f>IF($J716="","",IF($J716&lt;=TODAY(),COUNTIFS(cal_fechas,"&gt;="&amp;$J716,cal_fechas,"&lt;"&amp;TODAY(),cal_habil,"sí"),-COUNTIFS(cal_fechas,"&gt;="&amp;TODAY(),cal_fechas,"&lt;"&amp;$J716,cal_habil,"sí")))</f>
        <v/>
      </c>
      <c r="AE716" s="5">
        <f>IF($AD716="","",IF($AD716&lt;0,"FUTURO",IF($AD716&gt;p_dias_backlog_max,"BACKLOG","MES CORRIENTE")))</f>
        <v/>
      </c>
      <c r="AF716" s="5">
        <f>IF($AD716="",FALSE,AND($AD716&gt;p_dias_backlog_min,$AD716&lt;=p_dias_backlog_max))</f>
        <v/>
      </c>
      <c r="AG716" s="4" t="n"/>
      <c r="AH716" s="5">
        <f>IF($AG716="","",IF((IFERROR(INDEX('ASIGNACIONES'!$J$4:$J$451,MATCH($O716&amp;"|"&amp;$S716&amp;"|"&amp;$AG716,'ASIGNACIONES'!$N$4:$N$451,0)),""))=0,"",IFERROR(INDEX('ASIGNACIONES'!$J$4:$J$451,MATCH($O716&amp;"|"&amp;$S716&amp;"|"&amp;$AG716,'ASIGNACIONES'!$N$4:$N$451,0)),"")))</f>
        <v/>
      </c>
      <c r="AI716" s="25">
        <f>IF($AG716="","",SUMIFS('ORDENES'!$M$4:$M$1203,'ORDENES'!$AG$4:$AG$1203,$AG716,'ORDENES'!$O$4:$O$1203,$O716,'ORDENES'!$S$4:$S$1203,$S716))</f>
        <v/>
      </c>
      <c r="AJ716" s="25">
        <f>IF($AI716="","",p_factor_productividad*IFERROR(INDEX('ASIGNACIONES'!$M$4:$M$451,MATCH($O716&amp;"|"&amp;$S716&amp;"|"&amp;$AG716,'ASIGNACIONES'!$N$4:$N$451,0)),0)-$AI716)</f>
        <v/>
      </c>
      <c r="AK716" s="18">
        <f>IF($A716="","",IFERROR(INDEX('2_IMPORTAR_EJECUCION'!$F$9:$F$1208,MATCH($AT716,'2_IMPORTAR_EJECUCION'!$J$9:$J$1208,0)),0))</f>
        <v/>
      </c>
      <c r="AL716" s="18">
        <f>IF($A716="","",MAX(0,IFERROR(INDEX('2_IMPORTAR_EJECUCION'!$H$9:$H$1208,MATCH($AT716,'2_IMPORTAR_EJECUCION'!$J$9:$J$1208,0)),0)-$AK716))</f>
        <v/>
      </c>
      <c r="AM716" s="18">
        <f>IF($A716="","",$AK716+$AL716)</f>
        <v/>
      </c>
      <c r="AN716" s="5">
        <f>IF($A716="","",IF(OR((IFERROR(INDEX('CAT_ACTIVIDADES'!$D$4:$D$11,MATCH($H716,'CAT_ACTIVIDADES'!$A$4:$A$11,0)),""))=0,(IFERROR(INDEX('CAT_ACTIVIDADES'!$D$4:$D$11,MATCH($H716,'CAT_ACTIVIDADES'!$A$4:$A$11,0)),""))=""),"SIN CLASIFICAR",IFERROR(INDEX('CAT_ACTIVIDADES'!$D$4:$D$11,MATCH($H716,'CAT_ACTIVIDADES'!$A$4:$A$11,0)),"")))</f>
        <v/>
      </c>
      <c r="AO716" s="4" t="n"/>
      <c r="AP716" s="4" t="n"/>
      <c r="AQ716" s="4" t="n"/>
      <c r="AR716" s="5">
        <f>IF($AQ716="","",HYPERLINK(p_ruta_base_checklists&amp;$AQ716,"abrir"))</f>
        <v/>
      </c>
      <c r="AS716" s="4" t="n"/>
      <c r="AT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2" t="n"/>
      <c r="K717" s="5" t="n"/>
      <c r="L717" s="18" t="n"/>
      <c r="M717" s="5">
        <f>IF($A717="","",IFERROR(INDEX('AJUSTES'!$B$4:$B$303,MATCH($AT717,'AJUSTES'!$A$4:$A$303,0)),IF($K717="","",$K717)))</f>
        <v/>
      </c>
      <c r="N717" s="5">
        <f>IF($A717="","",IFERROR(INDEX('CAT_ESTADOS_ERP'!$B$4:$B$7,MATCH(IFERROR(INDEX('2_IMPORTAR_EJECUCION'!$C$9:$C$1208,MATCH($AT717,'2_IMPORTAR_EJECUCION'!$J$9:$J$1208,0)),""),'CAT_ESTADOS_ERP'!$A$4:$A$7,0)),"Pendiente"))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IF($J717="","",$P717&amp;"-"&amp;TEXT($Q717,"00"))</f>
        <v/>
      </c>
      <c r="S717" s="5">
        <f>IF($J717="","",INDEX(lista_dias,WEEKDAY($J717,2)))</f>
        <v/>
      </c>
      <c r="T717" s="5">
        <f>IF($J717="","",IFERROR(INDEX('CALENDARIO'!$C$15:$C$214,MATCH(TEXT($J717,"yyyy-mm-dd")&amp;"|"&amp;$X717&amp;"|"&amp;$Y717,'CALENDARIO'!$G$15:$G$214,0)),IFERROR(INDEX('CALENDARIO'!$C$15:$C$214,MATCH(TEXT($J717,"yyyy-mm-dd")&amp;"|"&amp;$X717&amp;"|",'CALENDARIO'!$G$15:$G$214,0)),IFERROR(INDEX('CALENDARIO'!$C$15:$C$214,MATCH(TEXT($J717,"yyyy-mm-dd")&amp;"||",'CALENDARIO'!$G$15:$G$214,0)),INDEX(patronHabil,WEEKDAY($J717,2))))))</f>
        <v/>
      </c>
      <c r="U717" s="5">
        <f>IF($I717="","",IFERROR(INDEX('CAT_TIPOS_OT'!$C$4:$C$8,MATCH($I717,'CAT_TIPOS_OT'!$A$4:$A$8,0)),"sin_clasificar"))</f>
        <v/>
      </c>
      <c r="V717" s="5">
        <f>IF($I717="","",IF(IFERROR(INDEX('CAT_TIPOS_OT'!$D$4:$D$8,MATCH($I717,'CAT_TIPOS_OT'!$A$4:$A$8,0)),"SIN CLASIFICAR")="","SIN CLASIFICAR",IFERROR(INDEX('CAT_TIPOS_OT'!$D$4:$D$8,MATCH($I717,'CAT_TIPOS_OT'!$A$4:$A$8,0)),"SIN CLASIFICAR")))</f>
        <v/>
      </c>
      <c r="W717" s="5">
        <f>IF($F717="","",IFERROR(INDEX('CAT_CENTROS_COSTO'!$F$4:$F$13,MATCH($F717,'CAT_CENTROS_COSTO'!$A$4:$A$13,0)),"(sin catálogo)"))</f>
        <v/>
      </c>
      <c r="X717" s="5">
        <f>IF($F717="","",IFERROR(INDEX('CAT_CENTROS_COSTO'!$D$4:$D$13,MATCH($F717,'CAT_CENTROS_COSTO'!$A$4:$A$13,0)),"(sin catálogo)"))</f>
        <v/>
      </c>
      <c r="Y717" s="5">
        <f>IF($F717="","",IF((IFERROR(INDEX('CAT_CENTROS_COSTO'!$E$4:$E$13,MATCH($F717,'CAT_CENTROS_COSTO'!$A$4:$A$13,0)),""))&lt;&gt;"",IFERROR(INDEX('CAT_CENTROS_COSTO'!$E$4:$E$13,MATCH($F717,'CAT_CENTROS_COSTO'!$A$4:$A$13,0)),""),$X717))</f>
        <v/>
      </c>
      <c r="Z717" s="5">
        <f>IF($F717="","",IFERROR(INDEX('CAT_CENTROS_COSTO'!$G$4:$G$13,MATCH($F717,'CAT_CENTROS_COSTO'!$A$4:$A$13,0)),"(sin catálogo)"))</f>
        <v/>
      </c>
      <c r="AA717" s="5">
        <f>IF($G717="","",IFERROR(INDEX('CAT_PUESTOS'!$B$4:$B$8,MATCH($G717,'CAT_PUESTOS'!$A$4:$A$8,0)),"(sin catálogo)"))</f>
        <v/>
      </c>
      <c r="AB717" s="5">
        <f>IF($H717="","",IFERROR(INDEX('CAT_ACTIVIDADES'!$B$4:$B$11,MATCH($H717,'CAT_ACTIVIDADES'!$A$4:$A$11,0)),"(sin catálogo)"))</f>
        <v/>
      </c>
      <c r="AC717" s="20">
        <f>IF($J717="","",TODAY()-$J717)</f>
        <v/>
      </c>
      <c r="AD717" s="20">
        <f>IF($J717="","",IF($J717&lt;=TODAY(),COUNTIFS(cal_fechas,"&gt;="&amp;$J717,cal_fechas,"&lt;"&amp;TODAY(),cal_habil,"sí"),-COUNTIFS(cal_fechas,"&gt;="&amp;TODAY(),cal_fechas,"&lt;"&amp;$J717,cal_habil,"sí")))</f>
        <v/>
      </c>
      <c r="AE717" s="5">
        <f>IF($AD717="","",IF($AD717&lt;0,"FUTURO",IF($AD717&gt;p_dias_backlog_max,"BACKLOG","MES CORRIENTE")))</f>
        <v/>
      </c>
      <c r="AF717" s="5">
        <f>IF($AD717="",FALSE,AND($AD717&gt;p_dias_backlog_min,$AD717&lt;=p_dias_backlog_max))</f>
        <v/>
      </c>
      <c r="AG717" s="4" t="n"/>
      <c r="AH717" s="5">
        <f>IF($AG717="","",IF((IFERROR(INDEX('ASIGNACIONES'!$J$4:$J$451,MATCH($O717&amp;"|"&amp;$S717&amp;"|"&amp;$AG717,'ASIGNACIONES'!$N$4:$N$451,0)),""))=0,"",IFERROR(INDEX('ASIGNACIONES'!$J$4:$J$451,MATCH($O717&amp;"|"&amp;$S717&amp;"|"&amp;$AG717,'ASIGNACIONES'!$N$4:$N$451,0)),"")))</f>
        <v/>
      </c>
      <c r="AI717" s="25">
        <f>IF($AG717="","",SUMIFS('ORDENES'!$M$4:$M$1203,'ORDENES'!$AG$4:$AG$1203,$AG717,'ORDENES'!$O$4:$O$1203,$O717,'ORDENES'!$S$4:$S$1203,$S717))</f>
        <v/>
      </c>
      <c r="AJ717" s="25">
        <f>IF($AI717="","",p_factor_productividad*IFERROR(INDEX('ASIGNACIONES'!$M$4:$M$451,MATCH($O717&amp;"|"&amp;$S717&amp;"|"&amp;$AG717,'ASIGNACIONES'!$N$4:$N$451,0)),0)-$AI717)</f>
        <v/>
      </c>
      <c r="AK717" s="18">
        <f>IF($A717="","",IFERROR(INDEX('2_IMPORTAR_EJECUCION'!$F$9:$F$1208,MATCH($AT717,'2_IMPORTAR_EJECUCION'!$J$9:$J$1208,0)),0))</f>
        <v/>
      </c>
      <c r="AL717" s="18">
        <f>IF($A717="","",MAX(0,IFERROR(INDEX('2_IMPORTAR_EJECUCION'!$H$9:$H$1208,MATCH($AT717,'2_IMPORTAR_EJECUCION'!$J$9:$J$1208,0)),0)-$AK717))</f>
        <v/>
      </c>
      <c r="AM717" s="18">
        <f>IF($A717="","",$AK717+$AL717)</f>
        <v/>
      </c>
      <c r="AN717" s="5">
        <f>IF($A717="","",IF(OR((IFERROR(INDEX('CAT_ACTIVIDADES'!$D$4:$D$11,MATCH($H717,'CAT_ACTIVIDADES'!$A$4:$A$11,0)),""))=0,(IFERROR(INDEX('CAT_ACTIVIDADES'!$D$4:$D$11,MATCH($H717,'CAT_ACTIVIDADES'!$A$4:$A$11,0)),""))=""),"SIN CLASIFICAR",IFERROR(INDEX('CAT_ACTIVIDADES'!$D$4:$D$11,MATCH($H717,'CAT_ACTIVIDADES'!$A$4:$A$11,0)),"")))</f>
        <v/>
      </c>
      <c r="AO717" s="4" t="n"/>
      <c r="AP717" s="4" t="n"/>
      <c r="AQ717" s="4" t="n"/>
      <c r="AR717" s="5">
        <f>IF($AQ717="","",HYPERLINK(p_ruta_base_checklists&amp;$AQ717,"abrir"))</f>
        <v/>
      </c>
      <c r="AS717" s="4" t="n"/>
      <c r="AT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2" t="n"/>
      <c r="K718" s="5" t="n"/>
      <c r="L718" s="18" t="n"/>
      <c r="M718" s="5">
        <f>IF($A718="","",IFERROR(INDEX('AJUSTES'!$B$4:$B$303,MATCH($AT718,'AJUSTES'!$A$4:$A$303,0)),IF($K718="","",$K718)))</f>
        <v/>
      </c>
      <c r="N718" s="5">
        <f>IF($A718="","",IFERROR(INDEX('CAT_ESTADOS_ERP'!$B$4:$B$7,MATCH(IFERROR(INDEX('2_IMPORTAR_EJECUCION'!$C$9:$C$1208,MATCH($AT718,'2_IMPORTAR_EJECUCION'!$J$9:$J$1208,0)),""),'CAT_ESTADOS_ERP'!$A$4:$A$7,0)),"Pendiente"))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IF($J718="","",$P718&amp;"-"&amp;TEXT($Q718,"00"))</f>
        <v/>
      </c>
      <c r="S718" s="5">
        <f>IF($J718="","",INDEX(lista_dias,WEEKDAY($J718,2)))</f>
        <v/>
      </c>
      <c r="T718" s="5">
        <f>IF($J718="","",IFERROR(INDEX('CALENDARIO'!$C$15:$C$214,MATCH(TEXT($J718,"yyyy-mm-dd")&amp;"|"&amp;$X718&amp;"|"&amp;$Y718,'CALENDARIO'!$G$15:$G$214,0)),IFERROR(INDEX('CALENDARIO'!$C$15:$C$214,MATCH(TEXT($J718,"yyyy-mm-dd")&amp;"|"&amp;$X718&amp;"|",'CALENDARIO'!$G$15:$G$214,0)),IFERROR(INDEX('CALENDARIO'!$C$15:$C$214,MATCH(TEXT($J718,"yyyy-mm-dd")&amp;"||",'CALENDARIO'!$G$15:$G$214,0)),INDEX(patronHabil,WEEKDAY($J718,2))))))</f>
        <v/>
      </c>
      <c r="U718" s="5">
        <f>IF($I718="","",IFERROR(INDEX('CAT_TIPOS_OT'!$C$4:$C$8,MATCH($I718,'CAT_TIPOS_OT'!$A$4:$A$8,0)),"sin_clasificar"))</f>
        <v/>
      </c>
      <c r="V718" s="5">
        <f>IF($I718="","",IF(IFERROR(INDEX('CAT_TIPOS_OT'!$D$4:$D$8,MATCH($I718,'CAT_TIPOS_OT'!$A$4:$A$8,0)),"SIN CLASIFICAR")="","SIN CLASIFICAR",IFERROR(INDEX('CAT_TIPOS_OT'!$D$4:$D$8,MATCH($I718,'CAT_TIPOS_OT'!$A$4:$A$8,0)),"SIN CLASIFICAR")))</f>
        <v/>
      </c>
      <c r="W718" s="5">
        <f>IF($F718="","",IFERROR(INDEX('CAT_CENTROS_COSTO'!$F$4:$F$13,MATCH($F718,'CAT_CENTROS_COSTO'!$A$4:$A$13,0)),"(sin catálogo)"))</f>
        <v/>
      </c>
      <c r="X718" s="5">
        <f>IF($F718="","",IFERROR(INDEX('CAT_CENTROS_COSTO'!$D$4:$D$13,MATCH($F718,'CAT_CENTROS_COSTO'!$A$4:$A$13,0)),"(sin catálogo)"))</f>
        <v/>
      </c>
      <c r="Y718" s="5">
        <f>IF($F718="","",IF((IFERROR(INDEX('CAT_CENTROS_COSTO'!$E$4:$E$13,MATCH($F718,'CAT_CENTROS_COSTO'!$A$4:$A$13,0)),""))&lt;&gt;"",IFERROR(INDEX('CAT_CENTROS_COSTO'!$E$4:$E$13,MATCH($F718,'CAT_CENTROS_COSTO'!$A$4:$A$13,0)),""),$X718))</f>
        <v/>
      </c>
      <c r="Z718" s="5">
        <f>IF($F718="","",IFERROR(INDEX('CAT_CENTROS_COSTO'!$G$4:$G$13,MATCH($F718,'CAT_CENTROS_COSTO'!$A$4:$A$13,0)),"(sin catálogo)"))</f>
        <v/>
      </c>
      <c r="AA718" s="5">
        <f>IF($G718="","",IFERROR(INDEX('CAT_PUESTOS'!$B$4:$B$8,MATCH($G718,'CAT_PUESTOS'!$A$4:$A$8,0)),"(sin catálogo)"))</f>
        <v/>
      </c>
      <c r="AB718" s="5">
        <f>IF($H718="","",IFERROR(INDEX('CAT_ACTIVIDADES'!$B$4:$B$11,MATCH($H718,'CAT_ACTIVIDADES'!$A$4:$A$11,0)),"(sin catálogo)"))</f>
        <v/>
      </c>
      <c r="AC718" s="20">
        <f>IF($J718="","",TODAY()-$J718)</f>
        <v/>
      </c>
      <c r="AD718" s="20">
        <f>IF($J718="","",IF($J718&lt;=TODAY(),COUNTIFS(cal_fechas,"&gt;="&amp;$J718,cal_fechas,"&lt;"&amp;TODAY(),cal_habil,"sí"),-COUNTIFS(cal_fechas,"&gt;="&amp;TODAY(),cal_fechas,"&lt;"&amp;$J718,cal_habil,"sí")))</f>
        <v/>
      </c>
      <c r="AE718" s="5">
        <f>IF($AD718="","",IF($AD718&lt;0,"FUTURO",IF($AD718&gt;p_dias_backlog_max,"BACKLOG","MES CORRIENTE")))</f>
        <v/>
      </c>
      <c r="AF718" s="5">
        <f>IF($AD718="",FALSE,AND($AD718&gt;p_dias_backlog_min,$AD718&lt;=p_dias_backlog_max))</f>
        <v/>
      </c>
      <c r="AG718" s="4" t="n"/>
      <c r="AH718" s="5">
        <f>IF($AG718="","",IF((IFERROR(INDEX('ASIGNACIONES'!$J$4:$J$451,MATCH($O718&amp;"|"&amp;$S718&amp;"|"&amp;$AG718,'ASIGNACIONES'!$N$4:$N$451,0)),""))=0,"",IFERROR(INDEX('ASIGNACIONES'!$J$4:$J$451,MATCH($O718&amp;"|"&amp;$S718&amp;"|"&amp;$AG718,'ASIGNACIONES'!$N$4:$N$451,0)),"")))</f>
        <v/>
      </c>
      <c r="AI718" s="25">
        <f>IF($AG718="","",SUMIFS('ORDENES'!$M$4:$M$1203,'ORDENES'!$AG$4:$AG$1203,$AG718,'ORDENES'!$O$4:$O$1203,$O718,'ORDENES'!$S$4:$S$1203,$S718))</f>
        <v/>
      </c>
      <c r="AJ718" s="25">
        <f>IF($AI718="","",p_factor_productividad*IFERROR(INDEX('ASIGNACIONES'!$M$4:$M$451,MATCH($O718&amp;"|"&amp;$S718&amp;"|"&amp;$AG718,'ASIGNACIONES'!$N$4:$N$451,0)),0)-$AI718)</f>
        <v/>
      </c>
      <c r="AK718" s="18">
        <f>IF($A718="","",IFERROR(INDEX('2_IMPORTAR_EJECUCION'!$F$9:$F$1208,MATCH($AT718,'2_IMPORTAR_EJECUCION'!$J$9:$J$1208,0)),0))</f>
        <v/>
      </c>
      <c r="AL718" s="18">
        <f>IF($A718="","",MAX(0,IFERROR(INDEX('2_IMPORTAR_EJECUCION'!$H$9:$H$1208,MATCH($AT718,'2_IMPORTAR_EJECUCION'!$J$9:$J$1208,0)),0)-$AK718))</f>
        <v/>
      </c>
      <c r="AM718" s="18">
        <f>IF($A718="","",$AK718+$AL718)</f>
        <v/>
      </c>
      <c r="AN718" s="5">
        <f>IF($A718="","",IF(OR((IFERROR(INDEX('CAT_ACTIVIDADES'!$D$4:$D$11,MATCH($H718,'CAT_ACTIVIDADES'!$A$4:$A$11,0)),""))=0,(IFERROR(INDEX('CAT_ACTIVIDADES'!$D$4:$D$11,MATCH($H718,'CAT_ACTIVIDADES'!$A$4:$A$11,0)),""))=""),"SIN CLASIFICAR",IFERROR(INDEX('CAT_ACTIVIDADES'!$D$4:$D$11,MATCH($H718,'CAT_ACTIVIDADES'!$A$4:$A$11,0)),"")))</f>
        <v/>
      </c>
      <c r="AO718" s="4" t="n"/>
      <c r="AP718" s="4" t="n"/>
      <c r="AQ718" s="4" t="n"/>
      <c r="AR718" s="5">
        <f>IF($AQ718="","",HYPERLINK(p_ruta_base_checklists&amp;$AQ718,"abrir"))</f>
        <v/>
      </c>
      <c r="AS718" s="4" t="n"/>
      <c r="AT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2" t="n"/>
      <c r="K719" s="5" t="n"/>
      <c r="L719" s="18" t="n"/>
      <c r="M719" s="5">
        <f>IF($A719="","",IFERROR(INDEX('AJUSTES'!$B$4:$B$303,MATCH($AT719,'AJUSTES'!$A$4:$A$303,0)),IF($K719="","",$K719)))</f>
        <v/>
      </c>
      <c r="N719" s="5">
        <f>IF($A719="","",IFERROR(INDEX('CAT_ESTADOS_ERP'!$B$4:$B$7,MATCH(IFERROR(INDEX('2_IMPORTAR_EJECUCION'!$C$9:$C$1208,MATCH($AT719,'2_IMPORTAR_EJECUCION'!$J$9:$J$1208,0)),""),'CAT_ESTADOS_ERP'!$A$4:$A$7,0)),"Pendiente"))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IF($J719="","",$P719&amp;"-"&amp;TEXT($Q719,"00"))</f>
        <v/>
      </c>
      <c r="S719" s="5">
        <f>IF($J719="","",INDEX(lista_dias,WEEKDAY($J719,2)))</f>
        <v/>
      </c>
      <c r="T719" s="5">
        <f>IF($J719="","",IFERROR(INDEX('CALENDARIO'!$C$15:$C$214,MATCH(TEXT($J719,"yyyy-mm-dd")&amp;"|"&amp;$X719&amp;"|"&amp;$Y719,'CALENDARIO'!$G$15:$G$214,0)),IFERROR(INDEX('CALENDARIO'!$C$15:$C$214,MATCH(TEXT($J719,"yyyy-mm-dd")&amp;"|"&amp;$X719&amp;"|",'CALENDARIO'!$G$15:$G$214,0)),IFERROR(INDEX('CALENDARIO'!$C$15:$C$214,MATCH(TEXT($J719,"yyyy-mm-dd")&amp;"||",'CALENDARIO'!$G$15:$G$214,0)),INDEX(patronHabil,WEEKDAY($J719,2))))))</f>
        <v/>
      </c>
      <c r="U719" s="5">
        <f>IF($I719="","",IFERROR(INDEX('CAT_TIPOS_OT'!$C$4:$C$8,MATCH($I719,'CAT_TIPOS_OT'!$A$4:$A$8,0)),"sin_clasificar"))</f>
        <v/>
      </c>
      <c r="V719" s="5">
        <f>IF($I719="","",IF(IFERROR(INDEX('CAT_TIPOS_OT'!$D$4:$D$8,MATCH($I719,'CAT_TIPOS_OT'!$A$4:$A$8,0)),"SIN CLASIFICAR")="","SIN CLASIFICAR",IFERROR(INDEX('CAT_TIPOS_OT'!$D$4:$D$8,MATCH($I719,'CAT_TIPOS_OT'!$A$4:$A$8,0)),"SIN CLASIFICAR")))</f>
        <v/>
      </c>
      <c r="W719" s="5">
        <f>IF($F719="","",IFERROR(INDEX('CAT_CENTROS_COSTO'!$F$4:$F$13,MATCH($F719,'CAT_CENTROS_COSTO'!$A$4:$A$13,0)),"(sin catálogo)"))</f>
        <v/>
      </c>
      <c r="X719" s="5">
        <f>IF($F719="","",IFERROR(INDEX('CAT_CENTROS_COSTO'!$D$4:$D$13,MATCH($F719,'CAT_CENTROS_COSTO'!$A$4:$A$13,0)),"(sin catálogo)"))</f>
        <v/>
      </c>
      <c r="Y719" s="5">
        <f>IF($F719="","",IF((IFERROR(INDEX('CAT_CENTROS_COSTO'!$E$4:$E$13,MATCH($F719,'CAT_CENTROS_COSTO'!$A$4:$A$13,0)),""))&lt;&gt;"",IFERROR(INDEX('CAT_CENTROS_COSTO'!$E$4:$E$13,MATCH($F719,'CAT_CENTROS_COSTO'!$A$4:$A$13,0)),""),$X719))</f>
        <v/>
      </c>
      <c r="Z719" s="5">
        <f>IF($F719="","",IFERROR(INDEX('CAT_CENTROS_COSTO'!$G$4:$G$13,MATCH($F719,'CAT_CENTROS_COSTO'!$A$4:$A$13,0)),"(sin catálogo)"))</f>
        <v/>
      </c>
      <c r="AA719" s="5">
        <f>IF($G719="","",IFERROR(INDEX('CAT_PUESTOS'!$B$4:$B$8,MATCH($G719,'CAT_PUESTOS'!$A$4:$A$8,0)),"(sin catálogo)"))</f>
        <v/>
      </c>
      <c r="AB719" s="5">
        <f>IF($H719="","",IFERROR(INDEX('CAT_ACTIVIDADES'!$B$4:$B$11,MATCH($H719,'CAT_ACTIVIDADES'!$A$4:$A$11,0)),"(sin catálogo)"))</f>
        <v/>
      </c>
      <c r="AC719" s="20">
        <f>IF($J719="","",TODAY()-$J719)</f>
        <v/>
      </c>
      <c r="AD719" s="20">
        <f>IF($J719="","",IF($J719&lt;=TODAY(),COUNTIFS(cal_fechas,"&gt;="&amp;$J719,cal_fechas,"&lt;"&amp;TODAY(),cal_habil,"sí"),-COUNTIFS(cal_fechas,"&gt;="&amp;TODAY(),cal_fechas,"&lt;"&amp;$J719,cal_habil,"sí")))</f>
        <v/>
      </c>
      <c r="AE719" s="5">
        <f>IF($AD719="","",IF($AD719&lt;0,"FUTURO",IF($AD719&gt;p_dias_backlog_max,"BACKLOG","MES CORRIENTE")))</f>
        <v/>
      </c>
      <c r="AF719" s="5">
        <f>IF($AD719="",FALSE,AND($AD719&gt;p_dias_backlog_min,$AD719&lt;=p_dias_backlog_max))</f>
        <v/>
      </c>
      <c r="AG719" s="4" t="n"/>
      <c r="AH719" s="5">
        <f>IF($AG719="","",IF((IFERROR(INDEX('ASIGNACIONES'!$J$4:$J$451,MATCH($O719&amp;"|"&amp;$S719&amp;"|"&amp;$AG719,'ASIGNACIONES'!$N$4:$N$451,0)),""))=0,"",IFERROR(INDEX('ASIGNACIONES'!$J$4:$J$451,MATCH($O719&amp;"|"&amp;$S719&amp;"|"&amp;$AG719,'ASIGNACIONES'!$N$4:$N$451,0)),"")))</f>
        <v/>
      </c>
      <c r="AI719" s="25">
        <f>IF($AG719="","",SUMIFS('ORDENES'!$M$4:$M$1203,'ORDENES'!$AG$4:$AG$1203,$AG719,'ORDENES'!$O$4:$O$1203,$O719,'ORDENES'!$S$4:$S$1203,$S719))</f>
        <v/>
      </c>
      <c r="AJ719" s="25">
        <f>IF($AI719="","",p_factor_productividad*IFERROR(INDEX('ASIGNACIONES'!$M$4:$M$451,MATCH($O719&amp;"|"&amp;$S719&amp;"|"&amp;$AG719,'ASIGNACIONES'!$N$4:$N$451,0)),0)-$AI719)</f>
        <v/>
      </c>
      <c r="AK719" s="18">
        <f>IF($A719="","",IFERROR(INDEX('2_IMPORTAR_EJECUCION'!$F$9:$F$1208,MATCH($AT719,'2_IMPORTAR_EJECUCION'!$J$9:$J$1208,0)),0))</f>
        <v/>
      </c>
      <c r="AL719" s="18">
        <f>IF($A719="","",MAX(0,IFERROR(INDEX('2_IMPORTAR_EJECUCION'!$H$9:$H$1208,MATCH($AT719,'2_IMPORTAR_EJECUCION'!$J$9:$J$1208,0)),0)-$AK719))</f>
        <v/>
      </c>
      <c r="AM719" s="18">
        <f>IF($A719="","",$AK719+$AL719)</f>
        <v/>
      </c>
      <c r="AN719" s="5">
        <f>IF($A719="","",IF(OR((IFERROR(INDEX('CAT_ACTIVIDADES'!$D$4:$D$11,MATCH($H719,'CAT_ACTIVIDADES'!$A$4:$A$11,0)),""))=0,(IFERROR(INDEX('CAT_ACTIVIDADES'!$D$4:$D$11,MATCH($H719,'CAT_ACTIVIDADES'!$A$4:$A$11,0)),""))=""),"SIN CLASIFICAR",IFERROR(INDEX('CAT_ACTIVIDADES'!$D$4:$D$11,MATCH($H719,'CAT_ACTIVIDADES'!$A$4:$A$11,0)),"")))</f>
        <v/>
      </c>
      <c r="AO719" s="4" t="n"/>
      <c r="AP719" s="4" t="n"/>
      <c r="AQ719" s="4" t="n"/>
      <c r="AR719" s="5">
        <f>IF($AQ719="","",HYPERLINK(p_ruta_base_checklists&amp;$AQ719,"abrir"))</f>
        <v/>
      </c>
      <c r="AS719" s="4" t="n"/>
      <c r="AT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2" t="n"/>
      <c r="K720" s="5" t="n"/>
      <c r="L720" s="18" t="n"/>
      <c r="M720" s="5">
        <f>IF($A720="","",IFERROR(INDEX('AJUSTES'!$B$4:$B$303,MATCH($AT720,'AJUSTES'!$A$4:$A$303,0)),IF($K720="","",$K720)))</f>
        <v/>
      </c>
      <c r="N720" s="5">
        <f>IF($A720="","",IFERROR(INDEX('CAT_ESTADOS_ERP'!$B$4:$B$7,MATCH(IFERROR(INDEX('2_IMPORTAR_EJECUCION'!$C$9:$C$1208,MATCH($AT720,'2_IMPORTAR_EJECUCION'!$J$9:$J$1208,0)),""),'CAT_ESTADOS_ERP'!$A$4:$A$7,0)),"Pendiente"))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IF($J720="","",$P720&amp;"-"&amp;TEXT($Q720,"00"))</f>
        <v/>
      </c>
      <c r="S720" s="5">
        <f>IF($J720="","",INDEX(lista_dias,WEEKDAY($J720,2)))</f>
        <v/>
      </c>
      <c r="T720" s="5">
        <f>IF($J720="","",IFERROR(INDEX('CALENDARIO'!$C$15:$C$214,MATCH(TEXT($J720,"yyyy-mm-dd")&amp;"|"&amp;$X720&amp;"|"&amp;$Y720,'CALENDARIO'!$G$15:$G$214,0)),IFERROR(INDEX('CALENDARIO'!$C$15:$C$214,MATCH(TEXT($J720,"yyyy-mm-dd")&amp;"|"&amp;$X720&amp;"|",'CALENDARIO'!$G$15:$G$214,0)),IFERROR(INDEX('CALENDARIO'!$C$15:$C$214,MATCH(TEXT($J720,"yyyy-mm-dd")&amp;"||",'CALENDARIO'!$G$15:$G$214,0)),INDEX(patronHabil,WEEKDAY($J720,2))))))</f>
        <v/>
      </c>
      <c r="U720" s="5">
        <f>IF($I720="","",IFERROR(INDEX('CAT_TIPOS_OT'!$C$4:$C$8,MATCH($I720,'CAT_TIPOS_OT'!$A$4:$A$8,0)),"sin_clasificar"))</f>
        <v/>
      </c>
      <c r="V720" s="5">
        <f>IF($I720="","",IF(IFERROR(INDEX('CAT_TIPOS_OT'!$D$4:$D$8,MATCH($I720,'CAT_TIPOS_OT'!$A$4:$A$8,0)),"SIN CLASIFICAR")="","SIN CLASIFICAR",IFERROR(INDEX('CAT_TIPOS_OT'!$D$4:$D$8,MATCH($I720,'CAT_TIPOS_OT'!$A$4:$A$8,0)),"SIN CLASIFICAR")))</f>
        <v/>
      </c>
      <c r="W720" s="5">
        <f>IF($F720="","",IFERROR(INDEX('CAT_CENTROS_COSTO'!$F$4:$F$13,MATCH($F720,'CAT_CENTROS_COSTO'!$A$4:$A$13,0)),"(sin catálogo)"))</f>
        <v/>
      </c>
      <c r="X720" s="5">
        <f>IF($F720="","",IFERROR(INDEX('CAT_CENTROS_COSTO'!$D$4:$D$13,MATCH($F720,'CAT_CENTROS_COSTO'!$A$4:$A$13,0)),"(sin catálogo)"))</f>
        <v/>
      </c>
      <c r="Y720" s="5">
        <f>IF($F720="","",IF((IFERROR(INDEX('CAT_CENTROS_COSTO'!$E$4:$E$13,MATCH($F720,'CAT_CENTROS_COSTO'!$A$4:$A$13,0)),""))&lt;&gt;"",IFERROR(INDEX('CAT_CENTROS_COSTO'!$E$4:$E$13,MATCH($F720,'CAT_CENTROS_COSTO'!$A$4:$A$13,0)),""),$X720))</f>
        <v/>
      </c>
      <c r="Z720" s="5">
        <f>IF($F720="","",IFERROR(INDEX('CAT_CENTROS_COSTO'!$G$4:$G$13,MATCH($F720,'CAT_CENTROS_COSTO'!$A$4:$A$13,0)),"(sin catálogo)"))</f>
        <v/>
      </c>
      <c r="AA720" s="5">
        <f>IF($G720="","",IFERROR(INDEX('CAT_PUESTOS'!$B$4:$B$8,MATCH($G720,'CAT_PUESTOS'!$A$4:$A$8,0)),"(sin catálogo)"))</f>
        <v/>
      </c>
      <c r="AB720" s="5">
        <f>IF($H720="","",IFERROR(INDEX('CAT_ACTIVIDADES'!$B$4:$B$11,MATCH($H720,'CAT_ACTIVIDADES'!$A$4:$A$11,0)),"(sin catálogo)"))</f>
        <v/>
      </c>
      <c r="AC720" s="20">
        <f>IF($J720="","",TODAY()-$J720)</f>
        <v/>
      </c>
      <c r="AD720" s="20">
        <f>IF($J720="","",IF($J720&lt;=TODAY(),COUNTIFS(cal_fechas,"&gt;="&amp;$J720,cal_fechas,"&lt;"&amp;TODAY(),cal_habil,"sí"),-COUNTIFS(cal_fechas,"&gt;="&amp;TODAY(),cal_fechas,"&lt;"&amp;$J720,cal_habil,"sí")))</f>
        <v/>
      </c>
      <c r="AE720" s="5">
        <f>IF($AD720="","",IF($AD720&lt;0,"FUTURO",IF($AD720&gt;p_dias_backlog_max,"BACKLOG","MES CORRIENTE")))</f>
        <v/>
      </c>
      <c r="AF720" s="5">
        <f>IF($AD720="",FALSE,AND($AD720&gt;p_dias_backlog_min,$AD720&lt;=p_dias_backlog_max))</f>
        <v/>
      </c>
      <c r="AG720" s="4" t="n"/>
      <c r="AH720" s="5">
        <f>IF($AG720="","",IF((IFERROR(INDEX('ASIGNACIONES'!$J$4:$J$451,MATCH($O720&amp;"|"&amp;$S720&amp;"|"&amp;$AG720,'ASIGNACIONES'!$N$4:$N$451,0)),""))=0,"",IFERROR(INDEX('ASIGNACIONES'!$J$4:$J$451,MATCH($O720&amp;"|"&amp;$S720&amp;"|"&amp;$AG720,'ASIGNACIONES'!$N$4:$N$451,0)),"")))</f>
        <v/>
      </c>
      <c r="AI720" s="25">
        <f>IF($AG720="","",SUMIFS('ORDENES'!$M$4:$M$1203,'ORDENES'!$AG$4:$AG$1203,$AG720,'ORDENES'!$O$4:$O$1203,$O720,'ORDENES'!$S$4:$S$1203,$S720))</f>
        <v/>
      </c>
      <c r="AJ720" s="25">
        <f>IF($AI720="","",p_factor_productividad*IFERROR(INDEX('ASIGNACIONES'!$M$4:$M$451,MATCH($O720&amp;"|"&amp;$S720&amp;"|"&amp;$AG720,'ASIGNACIONES'!$N$4:$N$451,0)),0)-$AI720)</f>
        <v/>
      </c>
      <c r="AK720" s="18">
        <f>IF($A720="","",IFERROR(INDEX('2_IMPORTAR_EJECUCION'!$F$9:$F$1208,MATCH($AT720,'2_IMPORTAR_EJECUCION'!$J$9:$J$1208,0)),0))</f>
        <v/>
      </c>
      <c r="AL720" s="18">
        <f>IF($A720="","",MAX(0,IFERROR(INDEX('2_IMPORTAR_EJECUCION'!$H$9:$H$1208,MATCH($AT720,'2_IMPORTAR_EJECUCION'!$J$9:$J$1208,0)),0)-$AK720))</f>
        <v/>
      </c>
      <c r="AM720" s="18">
        <f>IF($A720="","",$AK720+$AL720)</f>
        <v/>
      </c>
      <c r="AN720" s="5">
        <f>IF($A720="","",IF(OR((IFERROR(INDEX('CAT_ACTIVIDADES'!$D$4:$D$11,MATCH($H720,'CAT_ACTIVIDADES'!$A$4:$A$11,0)),""))=0,(IFERROR(INDEX('CAT_ACTIVIDADES'!$D$4:$D$11,MATCH($H720,'CAT_ACTIVIDADES'!$A$4:$A$11,0)),""))=""),"SIN CLASIFICAR",IFERROR(INDEX('CAT_ACTIVIDADES'!$D$4:$D$11,MATCH($H720,'CAT_ACTIVIDADES'!$A$4:$A$11,0)),"")))</f>
        <v/>
      </c>
      <c r="AO720" s="4" t="n"/>
      <c r="AP720" s="4" t="n"/>
      <c r="AQ720" s="4" t="n"/>
      <c r="AR720" s="5">
        <f>IF($AQ720="","",HYPERLINK(p_ruta_base_checklists&amp;$AQ720,"abrir"))</f>
        <v/>
      </c>
      <c r="AS720" s="4" t="n"/>
      <c r="AT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2" t="n"/>
      <c r="K721" s="5" t="n"/>
      <c r="L721" s="18" t="n"/>
      <c r="M721" s="5">
        <f>IF($A721="","",IFERROR(INDEX('AJUSTES'!$B$4:$B$303,MATCH($AT721,'AJUSTES'!$A$4:$A$303,0)),IF($K721="","",$K721)))</f>
        <v/>
      </c>
      <c r="N721" s="5">
        <f>IF($A721="","",IFERROR(INDEX('CAT_ESTADOS_ERP'!$B$4:$B$7,MATCH(IFERROR(INDEX('2_IMPORTAR_EJECUCION'!$C$9:$C$1208,MATCH($AT721,'2_IMPORTAR_EJECUCION'!$J$9:$J$1208,0)),""),'CAT_ESTADOS_ERP'!$A$4:$A$7,0)),"Pendiente"))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IF($J721="","",$P721&amp;"-"&amp;TEXT($Q721,"00"))</f>
        <v/>
      </c>
      <c r="S721" s="5">
        <f>IF($J721="","",INDEX(lista_dias,WEEKDAY($J721,2)))</f>
        <v/>
      </c>
      <c r="T721" s="5">
        <f>IF($J721="","",IFERROR(INDEX('CALENDARIO'!$C$15:$C$214,MATCH(TEXT($J721,"yyyy-mm-dd")&amp;"|"&amp;$X721&amp;"|"&amp;$Y721,'CALENDARIO'!$G$15:$G$214,0)),IFERROR(INDEX('CALENDARIO'!$C$15:$C$214,MATCH(TEXT($J721,"yyyy-mm-dd")&amp;"|"&amp;$X721&amp;"|",'CALENDARIO'!$G$15:$G$214,0)),IFERROR(INDEX('CALENDARIO'!$C$15:$C$214,MATCH(TEXT($J721,"yyyy-mm-dd")&amp;"||",'CALENDARIO'!$G$15:$G$214,0)),INDEX(patronHabil,WEEKDAY($J721,2))))))</f>
        <v/>
      </c>
      <c r="U721" s="5">
        <f>IF($I721="","",IFERROR(INDEX('CAT_TIPOS_OT'!$C$4:$C$8,MATCH($I721,'CAT_TIPOS_OT'!$A$4:$A$8,0)),"sin_clasificar"))</f>
        <v/>
      </c>
      <c r="V721" s="5">
        <f>IF($I721="","",IF(IFERROR(INDEX('CAT_TIPOS_OT'!$D$4:$D$8,MATCH($I721,'CAT_TIPOS_OT'!$A$4:$A$8,0)),"SIN CLASIFICAR")="","SIN CLASIFICAR",IFERROR(INDEX('CAT_TIPOS_OT'!$D$4:$D$8,MATCH($I721,'CAT_TIPOS_OT'!$A$4:$A$8,0)),"SIN CLASIFICAR")))</f>
        <v/>
      </c>
      <c r="W721" s="5">
        <f>IF($F721="","",IFERROR(INDEX('CAT_CENTROS_COSTO'!$F$4:$F$13,MATCH($F721,'CAT_CENTROS_COSTO'!$A$4:$A$13,0)),"(sin catálogo)"))</f>
        <v/>
      </c>
      <c r="X721" s="5">
        <f>IF($F721="","",IFERROR(INDEX('CAT_CENTROS_COSTO'!$D$4:$D$13,MATCH($F721,'CAT_CENTROS_COSTO'!$A$4:$A$13,0)),"(sin catálogo)"))</f>
        <v/>
      </c>
      <c r="Y721" s="5">
        <f>IF($F721="","",IF((IFERROR(INDEX('CAT_CENTROS_COSTO'!$E$4:$E$13,MATCH($F721,'CAT_CENTROS_COSTO'!$A$4:$A$13,0)),""))&lt;&gt;"",IFERROR(INDEX('CAT_CENTROS_COSTO'!$E$4:$E$13,MATCH($F721,'CAT_CENTROS_COSTO'!$A$4:$A$13,0)),""),$X721))</f>
        <v/>
      </c>
      <c r="Z721" s="5">
        <f>IF($F721="","",IFERROR(INDEX('CAT_CENTROS_COSTO'!$G$4:$G$13,MATCH($F721,'CAT_CENTROS_COSTO'!$A$4:$A$13,0)),"(sin catálogo)"))</f>
        <v/>
      </c>
      <c r="AA721" s="5">
        <f>IF($G721="","",IFERROR(INDEX('CAT_PUESTOS'!$B$4:$B$8,MATCH($G721,'CAT_PUESTOS'!$A$4:$A$8,0)),"(sin catálogo)"))</f>
        <v/>
      </c>
      <c r="AB721" s="5">
        <f>IF($H721="","",IFERROR(INDEX('CAT_ACTIVIDADES'!$B$4:$B$11,MATCH($H721,'CAT_ACTIVIDADES'!$A$4:$A$11,0)),"(sin catálogo)"))</f>
        <v/>
      </c>
      <c r="AC721" s="20">
        <f>IF($J721="","",TODAY()-$J721)</f>
        <v/>
      </c>
      <c r="AD721" s="20">
        <f>IF($J721="","",IF($J721&lt;=TODAY(),COUNTIFS(cal_fechas,"&gt;="&amp;$J721,cal_fechas,"&lt;"&amp;TODAY(),cal_habil,"sí"),-COUNTIFS(cal_fechas,"&gt;="&amp;TODAY(),cal_fechas,"&lt;"&amp;$J721,cal_habil,"sí")))</f>
        <v/>
      </c>
      <c r="AE721" s="5">
        <f>IF($AD721="","",IF($AD721&lt;0,"FUTURO",IF($AD721&gt;p_dias_backlog_max,"BACKLOG","MES CORRIENTE")))</f>
        <v/>
      </c>
      <c r="AF721" s="5">
        <f>IF($AD721="",FALSE,AND($AD721&gt;p_dias_backlog_min,$AD721&lt;=p_dias_backlog_max))</f>
        <v/>
      </c>
      <c r="AG721" s="4" t="n"/>
      <c r="AH721" s="5">
        <f>IF($AG721="","",IF((IFERROR(INDEX('ASIGNACIONES'!$J$4:$J$451,MATCH($O721&amp;"|"&amp;$S721&amp;"|"&amp;$AG721,'ASIGNACIONES'!$N$4:$N$451,0)),""))=0,"",IFERROR(INDEX('ASIGNACIONES'!$J$4:$J$451,MATCH($O721&amp;"|"&amp;$S721&amp;"|"&amp;$AG721,'ASIGNACIONES'!$N$4:$N$451,0)),"")))</f>
        <v/>
      </c>
      <c r="AI721" s="25">
        <f>IF($AG721="","",SUMIFS('ORDENES'!$M$4:$M$1203,'ORDENES'!$AG$4:$AG$1203,$AG721,'ORDENES'!$O$4:$O$1203,$O721,'ORDENES'!$S$4:$S$1203,$S721))</f>
        <v/>
      </c>
      <c r="AJ721" s="25">
        <f>IF($AI721="","",p_factor_productividad*IFERROR(INDEX('ASIGNACIONES'!$M$4:$M$451,MATCH($O721&amp;"|"&amp;$S721&amp;"|"&amp;$AG721,'ASIGNACIONES'!$N$4:$N$451,0)),0)-$AI721)</f>
        <v/>
      </c>
      <c r="AK721" s="18">
        <f>IF($A721="","",IFERROR(INDEX('2_IMPORTAR_EJECUCION'!$F$9:$F$1208,MATCH($AT721,'2_IMPORTAR_EJECUCION'!$J$9:$J$1208,0)),0))</f>
        <v/>
      </c>
      <c r="AL721" s="18">
        <f>IF($A721="","",MAX(0,IFERROR(INDEX('2_IMPORTAR_EJECUCION'!$H$9:$H$1208,MATCH($AT721,'2_IMPORTAR_EJECUCION'!$J$9:$J$1208,0)),0)-$AK721))</f>
        <v/>
      </c>
      <c r="AM721" s="18">
        <f>IF($A721="","",$AK721+$AL721)</f>
        <v/>
      </c>
      <c r="AN721" s="5">
        <f>IF($A721="","",IF(OR((IFERROR(INDEX('CAT_ACTIVIDADES'!$D$4:$D$11,MATCH($H721,'CAT_ACTIVIDADES'!$A$4:$A$11,0)),""))=0,(IFERROR(INDEX('CAT_ACTIVIDADES'!$D$4:$D$11,MATCH($H721,'CAT_ACTIVIDADES'!$A$4:$A$11,0)),""))=""),"SIN CLASIFICAR",IFERROR(INDEX('CAT_ACTIVIDADES'!$D$4:$D$11,MATCH($H721,'CAT_ACTIVIDADES'!$A$4:$A$11,0)),"")))</f>
        <v/>
      </c>
      <c r="AO721" s="4" t="n"/>
      <c r="AP721" s="4" t="n"/>
      <c r="AQ721" s="4" t="n"/>
      <c r="AR721" s="5">
        <f>IF($AQ721="","",HYPERLINK(p_ruta_base_checklists&amp;$AQ721,"abrir"))</f>
        <v/>
      </c>
      <c r="AS721" s="4" t="n"/>
      <c r="AT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2" t="n"/>
      <c r="K722" s="5" t="n"/>
      <c r="L722" s="18" t="n"/>
      <c r="M722" s="5">
        <f>IF($A722="","",IFERROR(INDEX('AJUSTES'!$B$4:$B$303,MATCH($AT722,'AJUSTES'!$A$4:$A$303,0)),IF($K722="","",$K722)))</f>
        <v/>
      </c>
      <c r="N722" s="5">
        <f>IF($A722="","",IFERROR(INDEX('CAT_ESTADOS_ERP'!$B$4:$B$7,MATCH(IFERROR(INDEX('2_IMPORTAR_EJECUCION'!$C$9:$C$1208,MATCH($AT722,'2_IMPORTAR_EJECUCION'!$J$9:$J$1208,0)),""),'CAT_ESTADOS_ERP'!$A$4:$A$7,0)),"Pendiente"))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IF($J722="","",$P722&amp;"-"&amp;TEXT($Q722,"00"))</f>
        <v/>
      </c>
      <c r="S722" s="5">
        <f>IF($J722="","",INDEX(lista_dias,WEEKDAY($J722,2)))</f>
        <v/>
      </c>
      <c r="T722" s="5">
        <f>IF($J722="","",IFERROR(INDEX('CALENDARIO'!$C$15:$C$214,MATCH(TEXT($J722,"yyyy-mm-dd")&amp;"|"&amp;$X722&amp;"|"&amp;$Y722,'CALENDARIO'!$G$15:$G$214,0)),IFERROR(INDEX('CALENDARIO'!$C$15:$C$214,MATCH(TEXT($J722,"yyyy-mm-dd")&amp;"|"&amp;$X722&amp;"|",'CALENDARIO'!$G$15:$G$214,0)),IFERROR(INDEX('CALENDARIO'!$C$15:$C$214,MATCH(TEXT($J722,"yyyy-mm-dd")&amp;"||",'CALENDARIO'!$G$15:$G$214,0)),INDEX(patronHabil,WEEKDAY($J722,2))))))</f>
        <v/>
      </c>
      <c r="U722" s="5">
        <f>IF($I722="","",IFERROR(INDEX('CAT_TIPOS_OT'!$C$4:$C$8,MATCH($I722,'CAT_TIPOS_OT'!$A$4:$A$8,0)),"sin_clasificar"))</f>
        <v/>
      </c>
      <c r="V722" s="5">
        <f>IF($I722="","",IF(IFERROR(INDEX('CAT_TIPOS_OT'!$D$4:$D$8,MATCH($I722,'CAT_TIPOS_OT'!$A$4:$A$8,0)),"SIN CLASIFICAR")="","SIN CLASIFICAR",IFERROR(INDEX('CAT_TIPOS_OT'!$D$4:$D$8,MATCH($I722,'CAT_TIPOS_OT'!$A$4:$A$8,0)),"SIN CLASIFICAR")))</f>
        <v/>
      </c>
      <c r="W722" s="5">
        <f>IF($F722="","",IFERROR(INDEX('CAT_CENTROS_COSTO'!$F$4:$F$13,MATCH($F722,'CAT_CENTROS_COSTO'!$A$4:$A$13,0)),"(sin catálogo)"))</f>
        <v/>
      </c>
      <c r="X722" s="5">
        <f>IF($F722="","",IFERROR(INDEX('CAT_CENTROS_COSTO'!$D$4:$D$13,MATCH($F722,'CAT_CENTROS_COSTO'!$A$4:$A$13,0)),"(sin catálogo)"))</f>
        <v/>
      </c>
      <c r="Y722" s="5">
        <f>IF($F722="","",IF((IFERROR(INDEX('CAT_CENTROS_COSTO'!$E$4:$E$13,MATCH($F722,'CAT_CENTROS_COSTO'!$A$4:$A$13,0)),""))&lt;&gt;"",IFERROR(INDEX('CAT_CENTROS_COSTO'!$E$4:$E$13,MATCH($F722,'CAT_CENTROS_COSTO'!$A$4:$A$13,0)),""),$X722))</f>
        <v/>
      </c>
      <c r="Z722" s="5">
        <f>IF($F722="","",IFERROR(INDEX('CAT_CENTROS_COSTO'!$G$4:$G$13,MATCH($F722,'CAT_CENTROS_COSTO'!$A$4:$A$13,0)),"(sin catálogo)"))</f>
        <v/>
      </c>
      <c r="AA722" s="5">
        <f>IF($G722="","",IFERROR(INDEX('CAT_PUESTOS'!$B$4:$B$8,MATCH($G722,'CAT_PUESTOS'!$A$4:$A$8,0)),"(sin catálogo)"))</f>
        <v/>
      </c>
      <c r="AB722" s="5">
        <f>IF($H722="","",IFERROR(INDEX('CAT_ACTIVIDADES'!$B$4:$B$11,MATCH($H722,'CAT_ACTIVIDADES'!$A$4:$A$11,0)),"(sin catálogo)"))</f>
        <v/>
      </c>
      <c r="AC722" s="20">
        <f>IF($J722="","",TODAY()-$J722)</f>
        <v/>
      </c>
      <c r="AD722" s="20">
        <f>IF($J722="","",IF($J722&lt;=TODAY(),COUNTIFS(cal_fechas,"&gt;="&amp;$J722,cal_fechas,"&lt;"&amp;TODAY(),cal_habil,"sí"),-COUNTIFS(cal_fechas,"&gt;="&amp;TODAY(),cal_fechas,"&lt;"&amp;$J722,cal_habil,"sí")))</f>
        <v/>
      </c>
      <c r="AE722" s="5">
        <f>IF($AD722="","",IF($AD722&lt;0,"FUTURO",IF($AD722&gt;p_dias_backlog_max,"BACKLOG","MES CORRIENTE")))</f>
        <v/>
      </c>
      <c r="AF722" s="5">
        <f>IF($AD722="",FALSE,AND($AD722&gt;p_dias_backlog_min,$AD722&lt;=p_dias_backlog_max))</f>
        <v/>
      </c>
      <c r="AG722" s="4" t="n"/>
      <c r="AH722" s="5">
        <f>IF($AG722="","",IF((IFERROR(INDEX('ASIGNACIONES'!$J$4:$J$451,MATCH($O722&amp;"|"&amp;$S722&amp;"|"&amp;$AG722,'ASIGNACIONES'!$N$4:$N$451,0)),""))=0,"",IFERROR(INDEX('ASIGNACIONES'!$J$4:$J$451,MATCH($O722&amp;"|"&amp;$S722&amp;"|"&amp;$AG722,'ASIGNACIONES'!$N$4:$N$451,0)),"")))</f>
        <v/>
      </c>
      <c r="AI722" s="25">
        <f>IF($AG722="","",SUMIFS('ORDENES'!$M$4:$M$1203,'ORDENES'!$AG$4:$AG$1203,$AG722,'ORDENES'!$O$4:$O$1203,$O722,'ORDENES'!$S$4:$S$1203,$S722))</f>
        <v/>
      </c>
      <c r="AJ722" s="25">
        <f>IF($AI722="","",p_factor_productividad*IFERROR(INDEX('ASIGNACIONES'!$M$4:$M$451,MATCH($O722&amp;"|"&amp;$S722&amp;"|"&amp;$AG722,'ASIGNACIONES'!$N$4:$N$451,0)),0)-$AI722)</f>
        <v/>
      </c>
      <c r="AK722" s="18">
        <f>IF($A722="","",IFERROR(INDEX('2_IMPORTAR_EJECUCION'!$F$9:$F$1208,MATCH($AT722,'2_IMPORTAR_EJECUCION'!$J$9:$J$1208,0)),0))</f>
        <v/>
      </c>
      <c r="AL722" s="18">
        <f>IF($A722="","",MAX(0,IFERROR(INDEX('2_IMPORTAR_EJECUCION'!$H$9:$H$1208,MATCH($AT722,'2_IMPORTAR_EJECUCION'!$J$9:$J$1208,0)),0)-$AK722))</f>
        <v/>
      </c>
      <c r="AM722" s="18">
        <f>IF($A722="","",$AK722+$AL722)</f>
        <v/>
      </c>
      <c r="AN722" s="5">
        <f>IF($A722="","",IF(OR((IFERROR(INDEX('CAT_ACTIVIDADES'!$D$4:$D$11,MATCH($H722,'CAT_ACTIVIDADES'!$A$4:$A$11,0)),""))=0,(IFERROR(INDEX('CAT_ACTIVIDADES'!$D$4:$D$11,MATCH($H722,'CAT_ACTIVIDADES'!$A$4:$A$11,0)),""))=""),"SIN CLASIFICAR",IFERROR(INDEX('CAT_ACTIVIDADES'!$D$4:$D$11,MATCH($H722,'CAT_ACTIVIDADES'!$A$4:$A$11,0)),"")))</f>
        <v/>
      </c>
      <c r="AO722" s="4" t="n"/>
      <c r="AP722" s="4" t="n"/>
      <c r="AQ722" s="4" t="n"/>
      <c r="AR722" s="5">
        <f>IF($AQ722="","",HYPERLINK(p_ruta_base_checklists&amp;$AQ722,"abrir"))</f>
        <v/>
      </c>
      <c r="AS722" s="4" t="n"/>
      <c r="AT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2" t="n"/>
      <c r="K723" s="5" t="n"/>
      <c r="L723" s="18" t="n"/>
      <c r="M723" s="5">
        <f>IF($A723="","",IFERROR(INDEX('AJUSTES'!$B$4:$B$303,MATCH($AT723,'AJUSTES'!$A$4:$A$303,0)),IF($K723="","",$K723)))</f>
        <v/>
      </c>
      <c r="N723" s="5">
        <f>IF($A723="","",IFERROR(INDEX('CAT_ESTADOS_ERP'!$B$4:$B$7,MATCH(IFERROR(INDEX('2_IMPORTAR_EJECUCION'!$C$9:$C$1208,MATCH($AT723,'2_IMPORTAR_EJECUCION'!$J$9:$J$1208,0)),""),'CAT_ESTADOS_ERP'!$A$4:$A$7,0)),"Pendiente"))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IF($J723="","",$P723&amp;"-"&amp;TEXT($Q723,"00"))</f>
        <v/>
      </c>
      <c r="S723" s="5">
        <f>IF($J723="","",INDEX(lista_dias,WEEKDAY($J723,2)))</f>
        <v/>
      </c>
      <c r="T723" s="5">
        <f>IF($J723="","",IFERROR(INDEX('CALENDARIO'!$C$15:$C$214,MATCH(TEXT($J723,"yyyy-mm-dd")&amp;"|"&amp;$X723&amp;"|"&amp;$Y723,'CALENDARIO'!$G$15:$G$214,0)),IFERROR(INDEX('CALENDARIO'!$C$15:$C$214,MATCH(TEXT($J723,"yyyy-mm-dd")&amp;"|"&amp;$X723&amp;"|",'CALENDARIO'!$G$15:$G$214,0)),IFERROR(INDEX('CALENDARIO'!$C$15:$C$214,MATCH(TEXT($J723,"yyyy-mm-dd")&amp;"||",'CALENDARIO'!$G$15:$G$214,0)),INDEX(patronHabil,WEEKDAY($J723,2))))))</f>
        <v/>
      </c>
      <c r="U723" s="5">
        <f>IF($I723="","",IFERROR(INDEX('CAT_TIPOS_OT'!$C$4:$C$8,MATCH($I723,'CAT_TIPOS_OT'!$A$4:$A$8,0)),"sin_clasificar"))</f>
        <v/>
      </c>
      <c r="V723" s="5">
        <f>IF($I723="","",IF(IFERROR(INDEX('CAT_TIPOS_OT'!$D$4:$D$8,MATCH($I723,'CAT_TIPOS_OT'!$A$4:$A$8,0)),"SIN CLASIFICAR")="","SIN CLASIFICAR",IFERROR(INDEX('CAT_TIPOS_OT'!$D$4:$D$8,MATCH($I723,'CAT_TIPOS_OT'!$A$4:$A$8,0)),"SIN CLASIFICAR")))</f>
        <v/>
      </c>
      <c r="W723" s="5">
        <f>IF($F723="","",IFERROR(INDEX('CAT_CENTROS_COSTO'!$F$4:$F$13,MATCH($F723,'CAT_CENTROS_COSTO'!$A$4:$A$13,0)),"(sin catálogo)"))</f>
        <v/>
      </c>
      <c r="X723" s="5">
        <f>IF($F723="","",IFERROR(INDEX('CAT_CENTROS_COSTO'!$D$4:$D$13,MATCH($F723,'CAT_CENTROS_COSTO'!$A$4:$A$13,0)),"(sin catálogo)"))</f>
        <v/>
      </c>
      <c r="Y723" s="5">
        <f>IF($F723="","",IF((IFERROR(INDEX('CAT_CENTROS_COSTO'!$E$4:$E$13,MATCH($F723,'CAT_CENTROS_COSTO'!$A$4:$A$13,0)),""))&lt;&gt;"",IFERROR(INDEX('CAT_CENTROS_COSTO'!$E$4:$E$13,MATCH($F723,'CAT_CENTROS_COSTO'!$A$4:$A$13,0)),""),$X723))</f>
        <v/>
      </c>
      <c r="Z723" s="5">
        <f>IF($F723="","",IFERROR(INDEX('CAT_CENTROS_COSTO'!$G$4:$G$13,MATCH($F723,'CAT_CENTROS_COSTO'!$A$4:$A$13,0)),"(sin catálogo)"))</f>
        <v/>
      </c>
      <c r="AA723" s="5">
        <f>IF($G723="","",IFERROR(INDEX('CAT_PUESTOS'!$B$4:$B$8,MATCH($G723,'CAT_PUESTOS'!$A$4:$A$8,0)),"(sin catálogo)"))</f>
        <v/>
      </c>
      <c r="AB723" s="5">
        <f>IF($H723="","",IFERROR(INDEX('CAT_ACTIVIDADES'!$B$4:$B$11,MATCH($H723,'CAT_ACTIVIDADES'!$A$4:$A$11,0)),"(sin catálogo)"))</f>
        <v/>
      </c>
      <c r="AC723" s="20">
        <f>IF($J723="","",TODAY()-$J723)</f>
        <v/>
      </c>
      <c r="AD723" s="20">
        <f>IF($J723="","",IF($J723&lt;=TODAY(),COUNTIFS(cal_fechas,"&gt;="&amp;$J723,cal_fechas,"&lt;"&amp;TODAY(),cal_habil,"sí"),-COUNTIFS(cal_fechas,"&gt;="&amp;TODAY(),cal_fechas,"&lt;"&amp;$J723,cal_habil,"sí")))</f>
        <v/>
      </c>
      <c r="AE723" s="5">
        <f>IF($AD723="","",IF($AD723&lt;0,"FUTURO",IF($AD723&gt;p_dias_backlog_max,"BACKLOG","MES CORRIENTE")))</f>
        <v/>
      </c>
      <c r="AF723" s="5">
        <f>IF($AD723="",FALSE,AND($AD723&gt;p_dias_backlog_min,$AD723&lt;=p_dias_backlog_max))</f>
        <v/>
      </c>
      <c r="AG723" s="4" t="n"/>
      <c r="AH723" s="5">
        <f>IF($AG723="","",IF((IFERROR(INDEX('ASIGNACIONES'!$J$4:$J$451,MATCH($O723&amp;"|"&amp;$S723&amp;"|"&amp;$AG723,'ASIGNACIONES'!$N$4:$N$451,0)),""))=0,"",IFERROR(INDEX('ASIGNACIONES'!$J$4:$J$451,MATCH($O723&amp;"|"&amp;$S723&amp;"|"&amp;$AG723,'ASIGNACIONES'!$N$4:$N$451,0)),"")))</f>
        <v/>
      </c>
      <c r="AI723" s="25">
        <f>IF($AG723="","",SUMIFS('ORDENES'!$M$4:$M$1203,'ORDENES'!$AG$4:$AG$1203,$AG723,'ORDENES'!$O$4:$O$1203,$O723,'ORDENES'!$S$4:$S$1203,$S723))</f>
        <v/>
      </c>
      <c r="AJ723" s="25">
        <f>IF($AI723="","",p_factor_productividad*IFERROR(INDEX('ASIGNACIONES'!$M$4:$M$451,MATCH($O723&amp;"|"&amp;$S723&amp;"|"&amp;$AG723,'ASIGNACIONES'!$N$4:$N$451,0)),0)-$AI723)</f>
        <v/>
      </c>
      <c r="AK723" s="18">
        <f>IF($A723="","",IFERROR(INDEX('2_IMPORTAR_EJECUCION'!$F$9:$F$1208,MATCH($AT723,'2_IMPORTAR_EJECUCION'!$J$9:$J$1208,0)),0))</f>
        <v/>
      </c>
      <c r="AL723" s="18">
        <f>IF($A723="","",MAX(0,IFERROR(INDEX('2_IMPORTAR_EJECUCION'!$H$9:$H$1208,MATCH($AT723,'2_IMPORTAR_EJECUCION'!$J$9:$J$1208,0)),0)-$AK723))</f>
        <v/>
      </c>
      <c r="AM723" s="18">
        <f>IF($A723="","",$AK723+$AL723)</f>
        <v/>
      </c>
      <c r="AN723" s="5">
        <f>IF($A723="","",IF(OR((IFERROR(INDEX('CAT_ACTIVIDADES'!$D$4:$D$11,MATCH($H723,'CAT_ACTIVIDADES'!$A$4:$A$11,0)),""))=0,(IFERROR(INDEX('CAT_ACTIVIDADES'!$D$4:$D$11,MATCH($H723,'CAT_ACTIVIDADES'!$A$4:$A$11,0)),""))=""),"SIN CLASIFICAR",IFERROR(INDEX('CAT_ACTIVIDADES'!$D$4:$D$11,MATCH($H723,'CAT_ACTIVIDADES'!$A$4:$A$11,0)),"")))</f>
        <v/>
      </c>
      <c r="AO723" s="4" t="n"/>
      <c r="AP723" s="4" t="n"/>
      <c r="AQ723" s="4" t="n"/>
      <c r="AR723" s="5">
        <f>IF($AQ723="","",HYPERLINK(p_ruta_base_checklists&amp;$AQ723,"abrir"))</f>
        <v/>
      </c>
      <c r="AS723" s="4" t="n"/>
      <c r="AT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2" t="n"/>
      <c r="K724" s="5" t="n"/>
      <c r="L724" s="18" t="n"/>
      <c r="M724" s="5">
        <f>IF($A724="","",IFERROR(INDEX('AJUSTES'!$B$4:$B$303,MATCH($AT724,'AJUSTES'!$A$4:$A$303,0)),IF($K724="","",$K724)))</f>
        <v/>
      </c>
      <c r="N724" s="5">
        <f>IF($A724="","",IFERROR(INDEX('CAT_ESTADOS_ERP'!$B$4:$B$7,MATCH(IFERROR(INDEX('2_IMPORTAR_EJECUCION'!$C$9:$C$1208,MATCH($AT724,'2_IMPORTAR_EJECUCION'!$J$9:$J$1208,0)),""),'CAT_ESTADOS_ERP'!$A$4:$A$7,0)),"Pendiente"))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IF($J724="","",$P724&amp;"-"&amp;TEXT($Q724,"00"))</f>
        <v/>
      </c>
      <c r="S724" s="5">
        <f>IF($J724="","",INDEX(lista_dias,WEEKDAY($J724,2)))</f>
        <v/>
      </c>
      <c r="T724" s="5">
        <f>IF($J724="","",IFERROR(INDEX('CALENDARIO'!$C$15:$C$214,MATCH(TEXT($J724,"yyyy-mm-dd")&amp;"|"&amp;$X724&amp;"|"&amp;$Y724,'CALENDARIO'!$G$15:$G$214,0)),IFERROR(INDEX('CALENDARIO'!$C$15:$C$214,MATCH(TEXT($J724,"yyyy-mm-dd")&amp;"|"&amp;$X724&amp;"|",'CALENDARIO'!$G$15:$G$214,0)),IFERROR(INDEX('CALENDARIO'!$C$15:$C$214,MATCH(TEXT($J724,"yyyy-mm-dd")&amp;"||",'CALENDARIO'!$G$15:$G$214,0)),INDEX(patronHabil,WEEKDAY($J724,2))))))</f>
        <v/>
      </c>
      <c r="U724" s="5">
        <f>IF($I724="","",IFERROR(INDEX('CAT_TIPOS_OT'!$C$4:$C$8,MATCH($I724,'CAT_TIPOS_OT'!$A$4:$A$8,0)),"sin_clasificar"))</f>
        <v/>
      </c>
      <c r="V724" s="5">
        <f>IF($I724="","",IF(IFERROR(INDEX('CAT_TIPOS_OT'!$D$4:$D$8,MATCH($I724,'CAT_TIPOS_OT'!$A$4:$A$8,0)),"SIN CLASIFICAR")="","SIN CLASIFICAR",IFERROR(INDEX('CAT_TIPOS_OT'!$D$4:$D$8,MATCH($I724,'CAT_TIPOS_OT'!$A$4:$A$8,0)),"SIN CLASIFICAR")))</f>
        <v/>
      </c>
      <c r="W724" s="5">
        <f>IF($F724="","",IFERROR(INDEX('CAT_CENTROS_COSTO'!$F$4:$F$13,MATCH($F724,'CAT_CENTROS_COSTO'!$A$4:$A$13,0)),"(sin catálogo)"))</f>
        <v/>
      </c>
      <c r="X724" s="5">
        <f>IF($F724="","",IFERROR(INDEX('CAT_CENTROS_COSTO'!$D$4:$D$13,MATCH($F724,'CAT_CENTROS_COSTO'!$A$4:$A$13,0)),"(sin catálogo)"))</f>
        <v/>
      </c>
      <c r="Y724" s="5">
        <f>IF($F724="","",IF((IFERROR(INDEX('CAT_CENTROS_COSTO'!$E$4:$E$13,MATCH($F724,'CAT_CENTROS_COSTO'!$A$4:$A$13,0)),""))&lt;&gt;"",IFERROR(INDEX('CAT_CENTROS_COSTO'!$E$4:$E$13,MATCH($F724,'CAT_CENTROS_COSTO'!$A$4:$A$13,0)),""),$X724))</f>
        <v/>
      </c>
      <c r="Z724" s="5">
        <f>IF($F724="","",IFERROR(INDEX('CAT_CENTROS_COSTO'!$G$4:$G$13,MATCH($F724,'CAT_CENTROS_COSTO'!$A$4:$A$13,0)),"(sin catálogo)"))</f>
        <v/>
      </c>
      <c r="AA724" s="5">
        <f>IF($G724="","",IFERROR(INDEX('CAT_PUESTOS'!$B$4:$B$8,MATCH($G724,'CAT_PUESTOS'!$A$4:$A$8,0)),"(sin catálogo)"))</f>
        <v/>
      </c>
      <c r="AB724" s="5">
        <f>IF($H724="","",IFERROR(INDEX('CAT_ACTIVIDADES'!$B$4:$B$11,MATCH($H724,'CAT_ACTIVIDADES'!$A$4:$A$11,0)),"(sin catálogo)"))</f>
        <v/>
      </c>
      <c r="AC724" s="20">
        <f>IF($J724="","",TODAY()-$J724)</f>
        <v/>
      </c>
      <c r="AD724" s="20">
        <f>IF($J724="","",IF($J724&lt;=TODAY(),COUNTIFS(cal_fechas,"&gt;="&amp;$J724,cal_fechas,"&lt;"&amp;TODAY(),cal_habil,"sí"),-COUNTIFS(cal_fechas,"&gt;="&amp;TODAY(),cal_fechas,"&lt;"&amp;$J724,cal_habil,"sí")))</f>
        <v/>
      </c>
      <c r="AE724" s="5">
        <f>IF($AD724="","",IF($AD724&lt;0,"FUTURO",IF($AD724&gt;p_dias_backlog_max,"BACKLOG","MES CORRIENTE")))</f>
        <v/>
      </c>
      <c r="AF724" s="5">
        <f>IF($AD724="",FALSE,AND($AD724&gt;p_dias_backlog_min,$AD724&lt;=p_dias_backlog_max))</f>
        <v/>
      </c>
      <c r="AG724" s="4" t="n"/>
      <c r="AH724" s="5">
        <f>IF($AG724="","",IF((IFERROR(INDEX('ASIGNACIONES'!$J$4:$J$451,MATCH($O724&amp;"|"&amp;$S724&amp;"|"&amp;$AG724,'ASIGNACIONES'!$N$4:$N$451,0)),""))=0,"",IFERROR(INDEX('ASIGNACIONES'!$J$4:$J$451,MATCH($O724&amp;"|"&amp;$S724&amp;"|"&amp;$AG724,'ASIGNACIONES'!$N$4:$N$451,0)),"")))</f>
        <v/>
      </c>
      <c r="AI724" s="25">
        <f>IF($AG724="","",SUMIFS('ORDENES'!$M$4:$M$1203,'ORDENES'!$AG$4:$AG$1203,$AG724,'ORDENES'!$O$4:$O$1203,$O724,'ORDENES'!$S$4:$S$1203,$S724))</f>
        <v/>
      </c>
      <c r="AJ724" s="25">
        <f>IF($AI724="","",p_factor_productividad*IFERROR(INDEX('ASIGNACIONES'!$M$4:$M$451,MATCH($O724&amp;"|"&amp;$S724&amp;"|"&amp;$AG724,'ASIGNACIONES'!$N$4:$N$451,0)),0)-$AI724)</f>
        <v/>
      </c>
      <c r="AK724" s="18">
        <f>IF($A724="","",IFERROR(INDEX('2_IMPORTAR_EJECUCION'!$F$9:$F$1208,MATCH($AT724,'2_IMPORTAR_EJECUCION'!$J$9:$J$1208,0)),0))</f>
        <v/>
      </c>
      <c r="AL724" s="18">
        <f>IF($A724="","",MAX(0,IFERROR(INDEX('2_IMPORTAR_EJECUCION'!$H$9:$H$1208,MATCH($AT724,'2_IMPORTAR_EJECUCION'!$J$9:$J$1208,0)),0)-$AK724))</f>
        <v/>
      </c>
      <c r="AM724" s="18">
        <f>IF($A724="","",$AK724+$AL724)</f>
        <v/>
      </c>
      <c r="AN724" s="5">
        <f>IF($A724="","",IF(OR((IFERROR(INDEX('CAT_ACTIVIDADES'!$D$4:$D$11,MATCH($H724,'CAT_ACTIVIDADES'!$A$4:$A$11,0)),""))=0,(IFERROR(INDEX('CAT_ACTIVIDADES'!$D$4:$D$11,MATCH($H724,'CAT_ACTIVIDADES'!$A$4:$A$11,0)),""))=""),"SIN CLASIFICAR",IFERROR(INDEX('CAT_ACTIVIDADES'!$D$4:$D$11,MATCH($H724,'CAT_ACTIVIDADES'!$A$4:$A$11,0)),"")))</f>
        <v/>
      </c>
      <c r="AO724" s="4" t="n"/>
      <c r="AP724" s="4" t="n"/>
      <c r="AQ724" s="4" t="n"/>
      <c r="AR724" s="5">
        <f>IF($AQ724="","",HYPERLINK(p_ruta_base_checklists&amp;$AQ724,"abrir"))</f>
        <v/>
      </c>
      <c r="AS724" s="4" t="n"/>
      <c r="AT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2" t="n"/>
      <c r="K725" s="5" t="n"/>
      <c r="L725" s="18" t="n"/>
      <c r="M725" s="5">
        <f>IF($A725="","",IFERROR(INDEX('AJUSTES'!$B$4:$B$303,MATCH($AT725,'AJUSTES'!$A$4:$A$303,0)),IF($K725="","",$K725)))</f>
        <v/>
      </c>
      <c r="N725" s="5">
        <f>IF($A725="","",IFERROR(INDEX('CAT_ESTADOS_ERP'!$B$4:$B$7,MATCH(IFERROR(INDEX('2_IMPORTAR_EJECUCION'!$C$9:$C$1208,MATCH($AT725,'2_IMPORTAR_EJECUCION'!$J$9:$J$1208,0)),""),'CAT_ESTADOS_ERP'!$A$4:$A$7,0)),"Pendiente"))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IF($J725="","",$P725&amp;"-"&amp;TEXT($Q725,"00"))</f>
        <v/>
      </c>
      <c r="S725" s="5">
        <f>IF($J725="","",INDEX(lista_dias,WEEKDAY($J725,2)))</f>
        <v/>
      </c>
      <c r="T725" s="5">
        <f>IF($J725="","",IFERROR(INDEX('CALENDARIO'!$C$15:$C$214,MATCH(TEXT($J725,"yyyy-mm-dd")&amp;"|"&amp;$X725&amp;"|"&amp;$Y725,'CALENDARIO'!$G$15:$G$214,0)),IFERROR(INDEX('CALENDARIO'!$C$15:$C$214,MATCH(TEXT($J725,"yyyy-mm-dd")&amp;"|"&amp;$X725&amp;"|",'CALENDARIO'!$G$15:$G$214,0)),IFERROR(INDEX('CALENDARIO'!$C$15:$C$214,MATCH(TEXT($J725,"yyyy-mm-dd")&amp;"||",'CALENDARIO'!$G$15:$G$214,0)),INDEX(patronHabil,WEEKDAY($J725,2))))))</f>
        <v/>
      </c>
      <c r="U725" s="5">
        <f>IF($I725="","",IFERROR(INDEX('CAT_TIPOS_OT'!$C$4:$C$8,MATCH($I725,'CAT_TIPOS_OT'!$A$4:$A$8,0)),"sin_clasificar"))</f>
        <v/>
      </c>
      <c r="V725" s="5">
        <f>IF($I725="","",IF(IFERROR(INDEX('CAT_TIPOS_OT'!$D$4:$D$8,MATCH($I725,'CAT_TIPOS_OT'!$A$4:$A$8,0)),"SIN CLASIFICAR")="","SIN CLASIFICAR",IFERROR(INDEX('CAT_TIPOS_OT'!$D$4:$D$8,MATCH($I725,'CAT_TIPOS_OT'!$A$4:$A$8,0)),"SIN CLASIFICAR")))</f>
        <v/>
      </c>
      <c r="W725" s="5">
        <f>IF($F725="","",IFERROR(INDEX('CAT_CENTROS_COSTO'!$F$4:$F$13,MATCH($F725,'CAT_CENTROS_COSTO'!$A$4:$A$13,0)),"(sin catálogo)"))</f>
        <v/>
      </c>
      <c r="X725" s="5">
        <f>IF($F725="","",IFERROR(INDEX('CAT_CENTROS_COSTO'!$D$4:$D$13,MATCH($F725,'CAT_CENTROS_COSTO'!$A$4:$A$13,0)),"(sin catálogo)"))</f>
        <v/>
      </c>
      <c r="Y725" s="5">
        <f>IF($F725="","",IF((IFERROR(INDEX('CAT_CENTROS_COSTO'!$E$4:$E$13,MATCH($F725,'CAT_CENTROS_COSTO'!$A$4:$A$13,0)),""))&lt;&gt;"",IFERROR(INDEX('CAT_CENTROS_COSTO'!$E$4:$E$13,MATCH($F725,'CAT_CENTROS_COSTO'!$A$4:$A$13,0)),""),$X725))</f>
        <v/>
      </c>
      <c r="Z725" s="5">
        <f>IF($F725="","",IFERROR(INDEX('CAT_CENTROS_COSTO'!$G$4:$G$13,MATCH($F725,'CAT_CENTROS_COSTO'!$A$4:$A$13,0)),"(sin catálogo)"))</f>
        <v/>
      </c>
      <c r="AA725" s="5">
        <f>IF($G725="","",IFERROR(INDEX('CAT_PUESTOS'!$B$4:$B$8,MATCH($G725,'CAT_PUESTOS'!$A$4:$A$8,0)),"(sin catálogo)"))</f>
        <v/>
      </c>
      <c r="AB725" s="5">
        <f>IF($H725="","",IFERROR(INDEX('CAT_ACTIVIDADES'!$B$4:$B$11,MATCH($H725,'CAT_ACTIVIDADES'!$A$4:$A$11,0)),"(sin catálogo)"))</f>
        <v/>
      </c>
      <c r="AC725" s="20">
        <f>IF($J725="","",TODAY()-$J725)</f>
        <v/>
      </c>
      <c r="AD725" s="20">
        <f>IF($J725="","",IF($J725&lt;=TODAY(),COUNTIFS(cal_fechas,"&gt;="&amp;$J725,cal_fechas,"&lt;"&amp;TODAY(),cal_habil,"sí"),-COUNTIFS(cal_fechas,"&gt;="&amp;TODAY(),cal_fechas,"&lt;"&amp;$J725,cal_habil,"sí")))</f>
        <v/>
      </c>
      <c r="AE725" s="5">
        <f>IF($AD725="","",IF($AD725&lt;0,"FUTURO",IF($AD725&gt;p_dias_backlog_max,"BACKLOG","MES CORRIENTE")))</f>
        <v/>
      </c>
      <c r="AF725" s="5">
        <f>IF($AD725="",FALSE,AND($AD725&gt;p_dias_backlog_min,$AD725&lt;=p_dias_backlog_max))</f>
        <v/>
      </c>
      <c r="AG725" s="4" t="n"/>
      <c r="AH725" s="5">
        <f>IF($AG725="","",IF((IFERROR(INDEX('ASIGNACIONES'!$J$4:$J$451,MATCH($O725&amp;"|"&amp;$S725&amp;"|"&amp;$AG725,'ASIGNACIONES'!$N$4:$N$451,0)),""))=0,"",IFERROR(INDEX('ASIGNACIONES'!$J$4:$J$451,MATCH($O725&amp;"|"&amp;$S725&amp;"|"&amp;$AG725,'ASIGNACIONES'!$N$4:$N$451,0)),"")))</f>
        <v/>
      </c>
      <c r="AI725" s="25">
        <f>IF($AG725="","",SUMIFS('ORDENES'!$M$4:$M$1203,'ORDENES'!$AG$4:$AG$1203,$AG725,'ORDENES'!$O$4:$O$1203,$O725,'ORDENES'!$S$4:$S$1203,$S725))</f>
        <v/>
      </c>
      <c r="AJ725" s="25">
        <f>IF($AI725="","",p_factor_productividad*IFERROR(INDEX('ASIGNACIONES'!$M$4:$M$451,MATCH($O725&amp;"|"&amp;$S725&amp;"|"&amp;$AG725,'ASIGNACIONES'!$N$4:$N$451,0)),0)-$AI725)</f>
        <v/>
      </c>
      <c r="AK725" s="18">
        <f>IF($A725="","",IFERROR(INDEX('2_IMPORTAR_EJECUCION'!$F$9:$F$1208,MATCH($AT725,'2_IMPORTAR_EJECUCION'!$J$9:$J$1208,0)),0))</f>
        <v/>
      </c>
      <c r="AL725" s="18">
        <f>IF($A725="","",MAX(0,IFERROR(INDEX('2_IMPORTAR_EJECUCION'!$H$9:$H$1208,MATCH($AT725,'2_IMPORTAR_EJECUCION'!$J$9:$J$1208,0)),0)-$AK725))</f>
        <v/>
      </c>
      <c r="AM725" s="18">
        <f>IF($A725="","",$AK725+$AL725)</f>
        <v/>
      </c>
      <c r="AN725" s="5">
        <f>IF($A725="","",IF(OR((IFERROR(INDEX('CAT_ACTIVIDADES'!$D$4:$D$11,MATCH($H725,'CAT_ACTIVIDADES'!$A$4:$A$11,0)),""))=0,(IFERROR(INDEX('CAT_ACTIVIDADES'!$D$4:$D$11,MATCH($H725,'CAT_ACTIVIDADES'!$A$4:$A$11,0)),""))=""),"SIN CLASIFICAR",IFERROR(INDEX('CAT_ACTIVIDADES'!$D$4:$D$11,MATCH($H725,'CAT_ACTIVIDADES'!$A$4:$A$11,0)),"")))</f>
        <v/>
      </c>
      <c r="AO725" s="4" t="n"/>
      <c r="AP725" s="4" t="n"/>
      <c r="AQ725" s="4" t="n"/>
      <c r="AR725" s="5">
        <f>IF($AQ725="","",HYPERLINK(p_ruta_base_checklists&amp;$AQ725,"abrir"))</f>
        <v/>
      </c>
      <c r="AS725" s="4" t="n"/>
      <c r="AT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2" t="n"/>
      <c r="K726" s="5" t="n"/>
      <c r="L726" s="18" t="n"/>
      <c r="M726" s="5">
        <f>IF($A726="","",IFERROR(INDEX('AJUSTES'!$B$4:$B$303,MATCH($AT726,'AJUSTES'!$A$4:$A$303,0)),IF($K726="","",$K726)))</f>
        <v/>
      </c>
      <c r="N726" s="5">
        <f>IF($A726="","",IFERROR(INDEX('CAT_ESTADOS_ERP'!$B$4:$B$7,MATCH(IFERROR(INDEX('2_IMPORTAR_EJECUCION'!$C$9:$C$1208,MATCH($AT726,'2_IMPORTAR_EJECUCION'!$J$9:$J$1208,0)),""),'CAT_ESTADOS_ERP'!$A$4:$A$7,0)),"Pendiente"))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IF($J726="","",$P726&amp;"-"&amp;TEXT($Q726,"00"))</f>
        <v/>
      </c>
      <c r="S726" s="5">
        <f>IF($J726="","",INDEX(lista_dias,WEEKDAY($J726,2)))</f>
        <v/>
      </c>
      <c r="T726" s="5">
        <f>IF($J726="","",IFERROR(INDEX('CALENDARIO'!$C$15:$C$214,MATCH(TEXT($J726,"yyyy-mm-dd")&amp;"|"&amp;$X726&amp;"|"&amp;$Y726,'CALENDARIO'!$G$15:$G$214,0)),IFERROR(INDEX('CALENDARIO'!$C$15:$C$214,MATCH(TEXT($J726,"yyyy-mm-dd")&amp;"|"&amp;$X726&amp;"|",'CALENDARIO'!$G$15:$G$214,0)),IFERROR(INDEX('CALENDARIO'!$C$15:$C$214,MATCH(TEXT($J726,"yyyy-mm-dd")&amp;"||",'CALENDARIO'!$G$15:$G$214,0)),INDEX(patronHabil,WEEKDAY($J726,2))))))</f>
        <v/>
      </c>
      <c r="U726" s="5">
        <f>IF($I726="","",IFERROR(INDEX('CAT_TIPOS_OT'!$C$4:$C$8,MATCH($I726,'CAT_TIPOS_OT'!$A$4:$A$8,0)),"sin_clasificar"))</f>
        <v/>
      </c>
      <c r="V726" s="5">
        <f>IF($I726="","",IF(IFERROR(INDEX('CAT_TIPOS_OT'!$D$4:$D$8,MATCH($I726,'CAT_TIPOS_OT'!$A$4:$A$8,0)),"SIN CLASIFICAR")="","SIN CLASIFICAR",IFERROR(INDEX('CAT_TIPOS_OT'!$D$4:$D$8,MATCH($I726,'CAT_TIPOS_OT'!$A$4:$A$8,0)),"SIN CLASIFICAR")))</f>
        <v/>
      </c>
      <c r="W726" s="5">
        <f>IF($F726="","",IFERROR(INDEX('CAT_CENTROS_COSTO'!$F$4:$F$13,MATCH($F726,'CAT_CENTROS_COSTO'!$A$4:$A$13,0)),"(sin catálogo)"))</f>
        <v/>
      </c>
      <c r="X726" s="5">
        <f>IF($F726="","",IFERROR(INDEX('CAT_CENTROS_COSTO'!$D$4:$D$13,MATCH($F726,'CAT_CENTROS_COSTO'!$A$4:$A$13,0)),"(sin catálogo)"))</f>
        <v/>
      </c>
      <c r="Y726" s="5">
        <f>IF($F726="","",IF((IFERROR(INDEX('CAT_CENTROS_COSTO'!$E$4:$E$13,MATCH($F726,'CAT_CENTROS_COSTO'!$A$4:$A$13,0)),""))&lt;&gt;"",IFERROR(INDEX('CAT_CENTROS_COSTO'!$E$4:$E$13,MATCH($F726,'CAT_CENTROS_COSTO'!$A$4:$A$13,0)),""),$X726))</f>
        <v/>
      </c>
      <c r="Z726" s="5">
        <f>IF($F726="","",IFERROR(INDEX('CAT_CENTROS_COSTO'!$G$4:$G$13,MATCH($F726,'CAT_CENTROS_COSTO'!$A$4:$A$13,0)),"(sin catálogo)"))</f>
        <v/>
      </c>
      <c r="AA726" s="5">
        <f>IF($G726="","",IFERROR(INDEX('CAT_PUESTOS'!$B$4:$B$8,MATCH($G726,'CAT_PUESTOS'!$A$4:$A$8,0)),"(sin catálogo)"))</f>
        <v/>
      </c>
      <c r="AB726" s="5">
        <f>IF($H726="","",IFERROR(INDEX('CAT_ACTIVIDADES'!$B$4:$B$11,MATCH($H726,'CAT_ACTIVIDADES'!$A$4:$A$11,0)),"(sin catálogo)"))</f>
        <v/>
      </c>
      <c r="AC726" s="20">
        <f>IF($J726="","",TODAY()-$J726)</f>
        <v/>
      </c>
      <c r="AD726" s="20">
        <f>IF($J726="","",IF($J726&lt;=TODAY(),COUNTIFS(cal_fechas,"&gt;="&amp;$J726,cal_fechas,"&lt;"&amp;TODAY(),cal_habil,"sí"),-COUNTIFS(cal_fechas,"&gt;="&amp;TODAY(),cal_fechas,"&lt;"&amp;$J726,cal_habil,"sí")))</f>
        <v/>
      </c>
      <c r="AE726" s="5">
        <f>IF($AD726="","",IF($AD726&lt;0,"FUTURO",IF($AD726&gt;p_dias_backlog_max,"BACKLOG","MES CORRIENTE")))</f>
        <v/>
      </c>
      <c r="AF726" s="5">
        <f>IF($AD726="",FALSE,AND($AD726&gt;p_dias_backlog_min,$AD726&lt;=p_dias_backlog_max))</f>
        <v/>
      </c>
      <c r="AG726" s="4" t="n"/>
      <c r="AH726" s="5">
        <f>IF($AG726="","",IF((IFERROR(INDEX('ASIGNACIONES'!$J$4:$J$451,MATCH($O726&amp;"|"&amp;$S726&amp;"|"&amp;$AG726,'ASIGNACIONES'!$N$4:$N$451,0)),""))=0,"",IFERROR(INDEX('ASIGNACIONES'!$J$4:$J$451,MATCH($O726&amp;"|"&amp;$S726&amp;"|"&amp;$AG726,'ASIGNACIONES'!$N$4:$N$451,0)),"")))</f>
        <v/>
      </c>
      <c r="AI726" s="25">
        <f>IF($AG726="","",SUMIFS('ORDENES'!$M$4:$M$1203,'ORDENES'!$AG$4:$AG$1203,$AG726,'ORDENES'!$O$4:$O$1203,$O726,'ORDENES'!$S$4:$S$1203,$S726))</f>
        <v/>
      </c>
      <c r="AJ726" s="25">
        <f>IF($AI726="","",p_factor_productividad*IFERROR(INDEX('ASIGNACIONES'!$M$4:$M$451,MATCH($O726&amp;"|"&amp;$S726&amp;"|"&amp;$AG726,'ASIGNACIONES'!$N$4:$N$451,0)),0)-$AI726)</f>
        <v/>
      </c>
      <c r="AK726" s="18">
        <f>IF($A726="","",IFERROR(INDEX('2_IMPORTAR_EJECUCION'!$F$9:$F$1208,MATCH($AT726,'2_IMPORTAR_EJECUCION'!$J$9:$J$1208,0)),0))</f>
        <v/>
      </c>
      <c r="AL726" s="18">
        <f>IF($A726="","",MAX(0,IFERROR(INDEX('2_IMPORTAR_EJECUCION'!$H$9:$H$1208,MATCH($AT726,'2_IMPORTAR_EJECUCION'!$J$9:$J$1208,0)),0)-$AK726))</f>
        <v/>
      </c>
      <c r="AM726" s="18">
        <f>IF($A726="","",$AK726+$AL726)</f>
        <v/>
      </c>
      <c r="AN726" s="5">
        <f>IF($A726="","",IF(OR((IFERROR(INDEX('CAT_ACTIVIDADES'!$D$4:$D$11,MATCH($H726,'CAT_ACTIVIDADES'!$A$4:$A$11,0)),""))=0,(IFERROR(INDEX('CAT_ACTIVIDADES'!$D$4:$D$11,MATCH($H726,'CAT_ACTIVIDADES'!$A$4:$A$11,0)),""))=""),"SIN CLASIFICAR",IFERROR(INDEX('CAT_ACTIVIDADES'!$D$4:$D$11,MATCH($H726,'CAT_ACTIVIDADES'!$A$4:$A$11,0)),"")))</f>
        <v/>
      </c>
      <c r="AO726" s="4" t="n"/>
      <c r="AP726" s="4" t="n"/>
      <c r="AQ726" s="4" t="n"/>
      <c r="AR726" s="5">
        <f>IF($AQ726="","",HYPERLINK(p_ruta_base_checklists&amp;$AQ726,"abrir"))</f>
        <v/>
      </c>
      <c r="AS726" s="4" t="n"/>
      <c r="AT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2" t="n"/>
      <c r="K727" s="5" t="n"/>
      <c r="L727" s="18" t="n"/>
      <c r="M727" s="5">
        <f>IF($A727="","",IFERROR(INDEX('AJUSTES'!$B$4:$B$303,MATCH($AT727,'AJUSTES'!$A$4:$A$303,0)),IF($K727="","",$K727)))</f>
        <v/>
      </c>
      <c r="N727" s="5">
        <f>IF($A727="","",IFERROR(INDEX('CAT_ESTADOS_ERP'!$B$4:$B$7,MATCH(IFERROR(INDEX('2_IMPORTAR_EJECUCION'!$C$9:$C$1208,MATCH($AT727,'2_IMPORTAR_EJECUCION'!$J$9:$J$1208,0)),""),'CAT_ESTADOS_ERP'!$A$4:$A$7,0)),"Pendiente"))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IF($J727="","",$P727&amp;"-"&amp;TEXT($Q727,"00"))</f>
        <v/>
      </c>
      <c r="S727" s="5">
        <f>IF($J727="","",INDEX(lista_dias,WEEKDAY($J727,2)))</f>
        <v/>
      </c>
      <c r="T727" s="5">
        <f>IF($J727="","",IFERROR(INDEX('CALENDARIO'!$C$15:$C$214,MATCH(TEXT($J727,"yyyy-mm-dd")&amp;"|"&amp;$X727&amp;"|"&amp;$Y727,'CALENDARIO'!$G$15:$G$214,0)),IFERROR(INDEX('CALENDARIO'!$C$15:$C$214,MATCH(TEXT($J727,"yyyy-mm-dd")&amp;"|"&amp;$X727&amp;"|",'CALENDARIO'!$G$15:$G$214,0)),IFERROR(INDEX('CALENDARIO'!$C$15:$C$214,MATCH(TEXT($J727,"yyyy-mm-dd")&amp;"||",'CALENDARIO'!$G$15:$G$214,0)),INDEX(patronHabil,WEEKDAY($J727,2))))))</f>
        <v/>
      </c>
      <c r="U727" s="5">
        <f>IF($I727="","",IFERROR(INDEX('CAT_TIPOS_OT'!$C$4:$C$8,MATCH($I727,'CAT_TIPOS_OT'!$A$4:$A$8,0)),"sin_clasificar"))</f>
        <v/>
      </c>
      <c r="V727" s="5">
        <f>IF($I727="","",IF(IFERROR(INDEX('CAT_TIPOS_OT'!$D$4:$D$8,MATCH($I727,'CAT_TIPOS_OT'!$A$4:$A$8,0)),"SIN CLASIFICAR")="","SIN CLASIFICAR",IFERROR(INDEX('CAT_TIPOS_OT'!$D$4:$D$8,MATCH($I727,'CAT_TIPOS_OT'!$A$4:$A$8,0)),"SIN CLASIFICAR")))</f>
        <v/>
      </c>
      <c r="W727" s="5">
        <f>IF($F727="","",IFERROR(INDEX('CAT_CENTROS_COSTO'!$F$4:$F$13,MATCH($F727,'CAT_CENTROS_COSTO'!$A$4:$A$13,0)),"(sin catálogo)"))</f>
        <v/>
      </c>
      <c r="X727" s="5">
        <f>IF($F727="","",IFERROR(INDEX('CAT_CENTROS_COSTO'!$D$4:$D$13,MATCH($F727,'CAT_CENTROS_COSTO'!$A$4:$A$13,0)),"(sin catálogo)"))</f>
        <v/>
      </c>
      <c r="Y727" s="5">
        <f>IF($F727="","",IF((IFERROR(INDEX('CAT_CENTROS_COSTO'!$E$4:$E$13,MATCH($F727,'CAT_CENTROS_COSTO'!$A$4:$A$13,0)),""))&lt;&gt;"",IFERROR(INDEX('CAT_CENTROS_COSTO'!$E$4:$E$13,MATCH($F727,'CAT_CENTROS_COSTO'!$A$4:$A$13,0)),""),$X727))</f>
        <v/>
      </c>
      <c r="Z727" s="5">
        <f>IF($F727="","",IFERROR(INDEX('CAT_CENTROS_COSTO'!$G$4:$G$13,MATCH($F727,'CAT_CENTROS_COSTO'!$A$4:$A$13,0)),"(sin catálogo)"))</f>
        <v/>
      </c>
      <c r="AA727" s="5">
        <f>IF($G727="","",IFERROR(INDEX('CAT_PUESTOS'!$B$4:$B$8,MATCH($G727,'CAT_PUESTOS'!$A$4:$A$8,0)),"(sin catálogo)"))</f>
        <v/>
      </c>
      <c r="AB727" s="5">
        <f>IF($H727="","",IFERROR(INDEX('CAT_ACTIVIDADES'!$B$4:$B$11,MATCH($H727,'CAT_ACTIVIDADES'!$A$4:$A$11,0)),"(sin catálogo)"))</f>
        <v/>
      </c>
      <c r="AC727" s="20">
        <f>IF($J727="","",TODAY()-$J727)</f>
        <v/>
      </c>
      <c r="AD727" s="20">
        <f>IF($J727="","",IF($J727&lt;=TODAY(),COUNTIFS(cal_fechas,"&gt;="&amp;$J727,cal_fechas,"&lt;"&amp;TODAY(),cal_habil,"sí"),-COUNTIFS(cal_fechas,"&gt;="&amp;TODAY(),cal_fechas,"&lt;"&amp;$J727,cal_habil,"sí")))</f>
        <v/>
      </c>
      <c r="AE727" s="5">
        <f>IF($AD727="","",IF($AD727&lt;0,"FUTURO",IF($AD727&gt;p_dias_backlog_max,"BACKLOG","MES CORRIENTE")))</f>
        <v/>
      </c>
      <c r="AF727" s="5">
        <f>IF($AD727="",FALSE,AND($AD727&gt;p_dias_backlog_min,$AD727&lt;=p_dias_backlog_max))</f>
        <v/>
      </c>
      <c r="AG727" s="4" t="n"/>
      <c r="AH727" s="5">
        <f>IF($AG727="","",IF((IFERROR(INDEX('ASIGNACIONES'!$J$4:$J$451,MATCH($O727&amp;"|"&amp;$S727&amp;"|"&amp;$AG727,'ASIGNACIONES'!$N$4:$N$451,0)),""))=0,"",IFERROR(INDEX('ASIGNACIONES'!$J$4:$J$451,MATCH($O727&amp;"|"&amp;$S727&amp;"|"&amp;$AG727,'ASIGNACIONES'!$N$4:$N$451,0)),"")))</f>
        <v/>
      </c>
      <c r="AI727" s="25">
        <f>IF($AG727="","",SUMIFS('ORDENES'!$M$4:$M$1203,'ORDENES'!$AG$4:$AG$1203,$AG727,'ORDENES'!$O$4:$O$1203,$O727,'ORDENES'!$S$4:$S$1203,$S727))</f>
        <v/>
      </c>
      <c r="AJ727" s="25">
        <f>IF($AI727="","",p_factor_productividad*IFERROR(INDEX('ASIGNACIONES'!$M$4:$M$451,MATCH($O727&amp;"|"&amp;$S727&amp;"|"&amp;$AG727,'ASIGNACIONES'!$N$4:$N$451,0)),0)-$AI727)</f>
        <v/>
      </c>
      <c r="AK727" s="18">
        <f>IF($A727="","",IFERROR(INDEX('2_IMPORTAR_EJECUCION'!$F$9:$F$1208,MATCH($AT727,'2_IMPORTAR_EJECUCION'!$J$9:$J$1208,0)),0))</f>
        <v/>
      </c>
      <c r="AL727" s="18">
        <f>IF($A727="","",MAX(0,IFERROR(INDEX('2_IMPORTAR_EJECUCION'!$H$9:$H$1208,MATCH($AT727,'2_IMPORTAR_EJECUCION'!$J$9:$J$1208,0)),0)-$AK727))</f>
        <v/>
      </c>
      <c r="AM727" s="18">
        <f>IF($A727="","",$AK727+$AL727)</f>
        <v/>
      </c>
      <c r="AN727" s="5">
        <f>IF($A727="","",IF(OR((IFERROR(INDEX('CAT_ACTIVIDADES'!$D$4:$D$11,MATCH($H727,'CAT_ACTIVIDADES'!$A$4:$A$11,0)),""))=0,(IFERROR(INDEX('CAT_ACTIVIDADES'!$D$4:$D$11,MATCH($H727,'CAT_ACTIVIDADES'!$A$4:$A$11,0)),""))=""),"SIN CLASIFICAR",IFERROR(INDEX('CAT_ACTIVIDADES'!$D$4:$D$11,MATCH($H727,'CAT_ACTIVIDADES'!$A$4:$A$11,0)),"")))</f>
        <v/>
      </c>
      <c r="AO727" s="4" t="n"/>
      <c r="AP727" s="4" t="n"/>
      <c r="AQ727" s="4" t="n"/>
      <c r="AR727" s="5">
        <f>IF($AQ727="","",HYPERLINK(p_ruta_base_checklists&amp;$AQ727,"abrir"))</f>
        <v/>
      </c>
      <c r="AS727" s="4" t="n"/>
      <c r="AT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2" t="n"/>
      <c r="K728" s="5" t="n"/>
      <c r="L728" s="18" t="n"/>
      <c r="M728" s="5">
        <f>IF($A728="","",IFERROR(INDEX('AJUSTES'!$B$4:$B$303,MATCH($AT728,'AJUSTES'!$A$4:$A$303,0)),IF($K728="","",$K728)))</f>
        <v/>
      </c>
      <c r="N728" s="5">
        <f>IF($A728="","",IFERROR(INDEX('CAT_ESTADOS_ERP'!$B$4:$B$7,MATCH(IFERROR(INDEX('2_IMPORTAR_EJECUCION'!$C$9:$C$1208,MATCH($AT728,'2_IMPORTAR_EJECUCION'!$J$9:$J$1208,0)),""),'CAT_ESTADOS_ERP'!$A$4:$A$7,0)),"Pendiente"))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IF($J728="","",$P728&amp;"-"&amp;TEXT($Q728,"00"))</f>
        <v/>
      </c>
      <c r="S728" s="5">
        <f>IF($J728="","",INDEX(lista_dias,WEEKDAY($J728,2)))</f>
        <v/>
      </c>
      <c r="T728" s="5">
        <f>IF($J728="","",IFERROR(INDEX('CALENDARIO'!$C$15:$C$214,MATCH(TEXT($J728,"yyyy-mm-dd")&amp;"|"&amp;$X728&amp;"|"&amp;$Y728,'CALENDARIO'!$G$15:$G$214,0)),IFERROR(INDEX('CALENDARIO'!$C$15:$C$214,MATCH(TEXT($J728,"yyyy-mm-dd")&amp;"|"&amp;$X728&amp;"|",'CALENDARIO'!$G$15:$G$214,0)),IFERROR(INDEX('CALENDARIO'!$C$15:$C$214,MATCH(TEXT($J728,"yyyy-mm-dd")&amp;"||",'CALENDARIO'!$G$15:$G$214,0)),INDEX(patronHabil,WEEKDAY($J728,2))))))</f>
        <v/>
      </c>
      <c r="U728" s="5">
        <f>IF($I728="","",IFERROR(INDEX('CAT_TIPOS_OT'!$C$4:$C$8,MATCH($I728,'CAT_TIPOS_OT'!$A$4:$A$8,0)),"sin_clasificar"))</f>
        <v/>
      </c>
      <c r="V728" s="5">
        <f>IF($I728="","",IF(IFERROR(INDEX('CAT_TIPOS_OT'!$D$4:$D$8,MATCH($I728,'CAT_TIPOS_OT'!$A$4:$A$8,0)),"SIN CLASIFICAR")="","SIN CLASIFICAR",IFERROR(INDEX('CAT_TIPOS_OT'!$D$4:$D$8,MATCH($I728,'CAT_TIPOS_OT'!$A$4:$A$8,0)),"SIN CLASIFICAR")))</f>
        <v/>
      </c>
      <c r="W728" s="5">
        <f>IF($F728="","",IFERROR(INDEX('CAT_CENTROS_COSTO'!$F$4:$F$13,MATCH($F728,'CAT_CENTROS_COSTO'!$A$4:$A$13,0)),"(sin catálogo)"))</f>
        <v/>
      </c>
      <c r="X728" s="5">
        <f>IF($F728="","",IFERROR(INDEX('CAT_CENTROS_COSTO'!$D$4:$D$13,MATCH($F728,'CAT_CENTROS_COSTO'!$A$4:$A$13,0)),"(sin catálogo)"))</f>
        <v/>
      </c>
      <c r="Y728" s="5">
        <f>IF($F728="","",IF((IFERROR(INDEX('CAT_CENTROS_COSTO'!$E$4:$E$13,MATCH($F728,'CAT_CENTROS_COSTO'!$A$4:$A$13,0)),""))&lt;&gt;"",IFERROR(INDEX('CAT_CENTROS_COSTO'!$E$4:$E$13,MATCH($F728,'CAT_CENTROS_COSTO'!$A$4:$A$13,0)),""),$X728))</f>
        <v/>
      </c>
      <c r="Z728" s="5">
        <f>IF($F728="","",IFERROR(INDEX('CAT_CENTROS_COSTO'!$G$4:$G$13,MATCH($F728,'CAT_CENTROS_COSTO'!$A$4:$A$13,0)),"(sin catálogo)"))</f>
        <v/>
      </c>
      <c r="AA728" s="5">
        <f>IF($G728="","",IFERROR(INDEX('CAT_PUESTOS'!$B$4:$B$8,MATCH($G728,'CAT_PUESTOS'!$A$4:$A$8,0)),"(sin catálogo)"))</f>
        <v/>
      </c>
      <c r="AB728" s="5">
        <f>IF($H728="","",IFERROR(INDEX('CAT_ACTIVIDADES'!$B$4:$B$11,MATCH($H728,'CAT_ACTIVIDADES'!$A$4:$A$11,0)),"(sin catálogo)"))</f>
        <v/>
      </c>
      <c r="AC728" s="20">
        <f>IF($J728="","",TODAY()-$J728)</f>
        <v/>
      </c>
      <c r="AD728" s="20">
        <f>IF($J728="","",IF($J728&lt;=TODAY(),COUNTIFS(cal_fechas,"&gt;="&amp;$J728,cal_fechas,"&lt;"&amp;TODAY(),cal_habil,"sí"),-COUNTIFS(cal_fechas,"&gt;="&amp;TODAY(),cal_fechas,"&lt;"&amp;$J728,cal_habil,"sí")))</f>
        <v/>
      </c>
      <c r="AE728" s="5">
        <f>IF($AD728="","",IF($AD728&lt;0,"FUTURO",IF($AD728&gt;p_dias_backlog_max,"BACKLOG","MES CORRIENTE")))</f>
        <v/>
      </c>
      <c r="AF728" s="5">
        <f>IF($AD728="",FALSE,AND($AD728&gt;p_dias_backlog_min,$AD728&lt;=p_dias_backlog_max))</f>
        <v/>
      </c>
      <c r="AG728" s="4" t="n"/>
      <c r="AH728" s="5">
        <f>IF($AG728="","",IF((IFERROR(INDEX('ASIGNACIONES'!$J$4:$J$451,MATCH($O728&amp;"|"&amp;$S728&amp;"|"&amp;$AG728,'ASIGNACIONES'!$N$4:$N$451,0)),""))=0,"",IFERROR(INDEX('ASIGNACIONES'!$J$4:$J$451,MATCH($O728&amp;"|"&amp;$S728&amp;"|"&amp;$AG728,'ASIGNACIONES'!$N$4:$N$451,0)),"")))</f>
        <v/>
      </c>
      <c r="AI728" s="25">
        <f>IF($AG728="","",SUMIFS('ORDENES'!$M$4:$M$1203,'ORDENES'!$AG$4:$AG$1203,$AG728,'ORDENES'!$O$4:$O$1203,$O728,'ORDENES'!$S$4:$S$1203,$S728))</f>
        <v/>
      </c>
      <c r="AJ728" s="25">
        <f>IF($AI728="","",p_factor_productividad*IFERROR(INDEX('ASIGNACIONES'!$M$4:$M$451,MATCH($O728&amp;"|"&amp;$S728&amp;"|"&amp;$AG728,'ASIGNACIONES'!$N$4:$N$451,0)),0)-$AI728)</f>
        <v/>
      </c>
      <c r="AK728" s="18">
        <f>IF($A728="","",IFERROR(INDEX('2_IMPORTAR_EJECUCION'!$F$9:$F$1208,MATCH($AT728,'2_IMPORTAR_EJECUCION'!$J$9:$J$1208,0)),0))</f>
        <v/>
      </c>
      <c r="AL728" s="18">
        <f>IF($A728="","",MAX(0,IFERROR(INDEX('2_IMPORTAR_EJECUCION'!$H$9:$H$1208,MATCH($AT728,'2_IMPORTAR_EJECUCION'!$J$9:$J$1208,0)),0)-$AK728))</f>
        <v/>
      </c>
      <c r="AM728" s="18">
        <f>IF($A728="","",$AK728+$AL728)</f>
        <v/>
      </c>
      <c r="AN728" s="5">
        <f>IF($A728="","",IF(OR((IFERROR(INDEX('CAT_ACTIVIDADES'!$D$4:$D$11,MATCH($H728,'CAT_ACTIVIDADES'!$A$4:$A$11,0)),""))=0,(IFERROR(INDEX('CAT_ACTIVIDADES'!$D$4:$D$11,MATCH($H728,'CAT_ACTIVIDADES'!$A$4:$A$11,0)),""))=""),"SIN CLASIFICAR",IFERROR(INDEX('CAT_ACTIVIDADES'!$D$4:$D$11,MATCH($H728,'CAT_ACTIVIDADES'!$A$4:$A$11,0)),"")))</f>
        <v/>
      </c>
      <c r="AO728" s="4" t="n"/>
      <c r="AP728" s="4" t="n"/>
      <c r="AQ728" s="4" t="n"/>
      <c r="AR728" s="5">
        <f>IF($AQ728="","",HYPERLINK(p_ruta_base_checklists&amp;$AQ728,"abrir"))</f>
        <v/>
      </c>
      <c r="AS728" s="4" t="n"/>
      <c r="AT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2" t="n"/>
      <c r="K729" s="5" t="n"/>
      <c r="L729" s="18" t="n"/>
      <c r="M729" s="5">
        <f>IF($A729="","",IFERROR(INDEX('AJUSTES'!$B$4:$B$303,MATCH($AT729,'AJUSTES'!$A$4:$A$303,0)),IF($K729="","",$K729)))</f>
        <v/>
      </c>
      <c r="N729" s="5">
        <f>IF($A729="","",IFERROR(INDEX('CAT_ESTADOS_ERP'!$B$4:$B$7,MATCH(IFERROR(INDEX('2_IMPORTAR_EJECUCION'!$C$9:$C$1208,MATCH($AT729,'2_IMPORTAR_EJECUCION'!$J$9:$J$1208,0)),""),'CAT_ESTADOS_ERP'!$A$4:$A$7,0)),"Pendiente"))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IF($J729="","",$P729&amp;"-"&amp;TEXT($Q729,"00"))</f>
        <v/>
      </c>
      <c r="S729" s="5">
        <f>IF($J729="","",INDEX(lista_dias,WEEKDAY($J729,2)))</f>
        <v/>
      </c>
      <c r="T729" s="5">
        <f>IF($J729="","",IFERROR(INDEX('CALENDARIO'!$C$15:$C$214,MATCH(TEXT($J729,"yyyy-mm-dd")&amp;"|"&amp;$X729&amp;"|"&amp;$Y729,'CALENDARIO'!$G$15:$G$214,0)),IFERROR(INDEX('CALENDARIO'!$C$15:$C$214,MATCH(TEXT($J729,"yyyy-mm-dd")&amp;"|"&amp;$X729&amp;"|",'CALENDARIO'!$G$15:$G$214,0)),IFERROR(INDEX('CALENDARIO'!$C$15:$C$214,MATCH(TEXT($J729,"yyyy-mm-dd")&amp;"||",'CALENDARIO'!$G$15:$G$214,0)),INDEX(patronHabil,WEEKDAY($J729,2))))))</f>
        <v/>
      </c>
      <c r="U729" s="5">
        <f>IF($I729="","",IFERROR(INDEX('CAT_TIPOS_OT'!$C$4:$C$8,MATCH($I729,'CAT_TIPOS_OT'!$A$4:$A$8,0)),"sin_clasificar"))</f>
        <v/>
      </c>
      <c r="V729" s="5">
        <f>IF($I729="","",IF(IFERROR(INDEX('CAT_TIPOS_OT'!$D$4:$D$8,MATCH($I729,'CAT_TIPOS_OT'!$A$4:$A$8,0)),"SIN CLASIFICAR")="","SIN CLASIFICAR",IFERROR(INDEX('CAT_TIPOS_OT'!$D$4:$D$8,MATCH($I729,'CAT_TIPOS_OT'!$A$4:$A$8,0)),"SIN CLASIFICAR")))</f>
        <v/>
      </c>
      <c r="W729" s="5">
        <f>IF($F729="","",IFERROR(INDEX('CAT_CENTROS_COSTO'!$F$4:$F$13,MATCH($F729,'CAT_CENTROS_COSTO'!$A$4:$A$13,0)),"(sin catálogo)"))</f>
        <v/>
      </c>
      <c r="X729" s="5">
        <f>IF($F729="","",IFERROR(INDEX('CAT_CENTROS_COSTO'!$D$4:$D$13,MATCH($F729,'CAT_CENTROS_COSTO'!$A$4:$A$13,0)),"(sin catálogo)"))</f>
        <v/>
      </c>
      <c r="Y729" s="5">
        <f>IF($F729="","",IF((IFERROR(INDEX('CAT_CENTROS_COSTO'!$E$4:$E$13,MATCH($F729,'CAT_CENTROS_COSTO'!$A$4:$A$13,0)),""))&lt;&gt;"",IFERROR(INDEX('CAT_CENTROS_COSTO'!$E$4:$E$13,MATCH($F729,'CAT_CENTROS_COSTO'!$A$4:$A$13,0)),""),$X729))</f>
        <v/>
      </c>
      <c r="Z729" s="5">
        <f>IF($F729="","",IFERROR(INDEX('CAT_CENTROS_COSTO'!$G$4:$G$13,MATCH($F729,'CAT_CENTROS_COSTO'!$A$4:$A$13,0)),"(sin catálogo)"))</f>
        <v/>
      </c>
      <c r="AA729" s="5">
        <f>IF($G729="","",IFERROR(INDEX('CAT_PUESTOS'!$B$4:$B$8,MATCH($G729,'CAT_PUESTOS'!$A$4:$A$8,0)),"(sin catálogo)"))</f>
        <v/>
      </c>
      <c r="AB729" s="5">
        <f>IF($H729="","",IFERROR(INDEX('CAT_ACTIVIDADES'!$B$4:$B$11,MATCH($H729,'CAT_ACTIVIDADES'!$A$4:$A$11,0)),"(sin catálogo)"))</f>
        <v/>
      </c>
      <c r="AC729" s="20">
        <f>IF($J729="","",TODAY()-$J729)</f>
        <v/>
      </c>
      <c r="AD729" s="20">
        <f>IF($J729="","",IF($J729&lt;=TODAY(),COUNTIFS(cal_fechas,"&gt;="&amp;$J729,cal_fechas,"&lt;"&amp;TODAY(),cal_habil,"sí"),-COUNTIFS(cal_fechas,"&gt;="&amp;TODAY(),cal_fechas,"&lt;"&amp;$J729,cal_habil,"sí")))</f>
        <v/>
      </c>
      <c r="AE729" s="5">
        <f>IF($AD729="","",IF($AD729&lt;0,"FUTURO",IF($AD729&gt;p_dias_backlog_max,"BACKLOG","MES CORRIENTE")))</f>
        <v/>
      </c>
      <c r="AF729" s="5">
        <f>IF($AD729="",FALSE,AND($AD729&gt;p_dias_backlog_min,$AD729&lt;=p_dias_backlog_max))</f>
        <v/>
      </c>
      <c r="AG729" s="4" t="n"/>
      <c r="AH729" s="5">
        <f>IF($AG729="","",IF((IFERROR(INDEX('ASIGNACIONES'!$J$4:$J$451,MATCH($O729&amp;"|"&amp;$S729&amp;"|"&amp;$AG729,'ASIGNACIONES'!$N$4:$N$451,0)),""))=0,"",IFERROR(INDEX('ASIGNACIONES'!$J$4:$J$451,MATCH($O729&amp;"|"&amp;$S729&amp;"|"&amp;$AG729,'ASIGNACIONES'!$N$4:$N$451,0)),"")))</f>
        <v/>
      </c>
      <c r="AI729" s="25">
        <f>IF($AG729="","",SUMIFS('ORDENES'!$M$4:$M$1203,'ORDENES'!$AG$4:$AG$1203,$AG729,'ORDENES'!$O$4:$O$1203,$O729,'ORDENES'!$S$4:$S$1203,$S729))</f>
        <v/>
      </c>
      <c r="AJ729" s="25">
        <f>IF($AI729="","",p_factor_productividad*IFERROR(INDEX('ASIGNACIONES'!$M$4:$M$451,MATCH($O729&amp;"|"&amp;$S729&amp;"|"&amp;$AG729,'ASIGNACIONES'!$N$4:$N$451,0)),0)-$AI729)</f>
        <v/>
      </c>
      <c r="AK729" s="18">
        <f>IF($A729="","",IFERROR(INDEX('2_IMPORTAR_EJECUCION'!$F$9:$F$1208,MATCH($AT729,'2_IMPORTAR_EJECUCION'!$J$9:$J$1208,0)),0))</f>
        <v/>
      </c>
      <c r="AL729" s="18">
        <f>IF($A729="","",MAX(0,IFERROR(INDEX('2_IMPORTAR_EJECUCION'!$H$9:$H$1208,MATCH($AT729,'2_IMPORTAR_EJECUCION'!$J$9:$J$1208,0)),0)-$AK729))</f>
        <v/>
      </c>
      <c r="AM729" s="18">
        <f>IF($A729="","",$AK729+$AL729)</f>
        <v/>
      </c>
      <c r="AN729" s="5">
        <f>IF($A729="","",IF(OR((IFERROR(INDEX('CAT_ACTIVIDADES'!$D$4:$D$11,MATCH($H729,'CAT_ACTIVIDADES'!$A$4:$A$11,0)),""))=0,(IFERROR(INDEX('CAT_ACTIVIDADES'!$D$4:$D$11,MATCH($H729,'CAT_ACTIVIDADES'!$A$4:$A$11,0)),""))=""),"SIN CLASIFICAR",IFERROR(INDEX('CAT_ACTIVIDADES'!$D$4:$D$11,MATCH($H729,'CAT_ACTIVIDADES'!$A$4:$A$11,0)),"")))</f>
        <v/>
      </c>
      <c r="AO729" s="4" t="n"/>
      <c r="AP729" s="4" t="n"/>
      <c r="AQ729" s="4" t="n"/>
      <c r="AR729" s="5">
        <f>IF($AQ729="","",HYPERLINK(p_ruta_base_checklists&amp;$AQ729,"abrir"))</f>
        <v/>
      </c>
      <c r="AS729" s="4" t="n"/>
      <c r="AT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2" t="n"/>
      <c r="K730" s="5" t="n"/>
      <c r="L730" s="18" t="n"/>
      <c r="M730" s="5">
        <f>IF($A730="","",IFERROR(INDEX('AJUSTES'!$B$4:$B$303,MATCH($AT730,'AJUSTES'!$A$4:$A$303,0)),IF($K730="","",$K730)))</f>
        <v/>
      </c>
      <c r="N730" s="5">
        <f>IF($A730="","",IFERROR(INDEX('CAT_ESTADOS_ERP'!$B$4:$B$7,MATCH(IFERROR(INDEX('2_IMPORTAR_EJECUCION'!$C$9:$C$1208,MATCH($AT730,'2_IMPORTAR_EJECUCION'!$J$9:$J$1208,0)),""),'CAT_ESTADOS_ERP'!$A$4:$A$7,0)),"Pendiente"))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IF($J730="","",$P730&amp;"-"&amp;TEXT($Q730,"00"))</f>
        <v/>
      </c>
      <c r="S730" s="5">
        <f>IF($J730="","",INDEX(lista_dias,WEEKDAY($J730,2)))</f>
        <v/>
      </c>
      <c r="T730" s="5">
        <f>IF($J730="","",IFERROR(INDEX('CALENDARIO'!$C$15:$C$214,MATCH(TEXT($J730,"yyyy-mm-dd")&amp;"|"&amp;$X730&amp;"|"&amp;$Y730,'CALENDARIO'!$G$15:$G$214,0)),IFERROR(INDEX('CALENDARIO'!$C$15:$C$214,MATCH(TEXT($J730,"yyyy-mm-dd")&amp;"|"&amp;$X730&amp;"|",'CALENDARIO'!$G$15:$G$214,0)),IFERROR(INDEX('CALENDARIO'!$C$15:$C$214,MATCH(TEXT($J730,"yyyy-mm-dd")&amp;"||",'CALENDARIO'!$G$15:$G$214,0)),INDEX(patronHabil,WEEKDAY($J730,2))))))</f>
        <v/>
      </c>
      <c r="U730" s="5">
        <f>IF($I730="","",IFERROR(INDEX('CAT_TIPOS_OT'!$C$4:$C$8,MATCH($I730,'CAT_TIPOS_OT'!$A$4:$A$8,0)),"sin_clasificar"))</f>
        <v/>
      </c>
      <c r="V730" s="5">
        <f>IF($I730="","",IF(IFERROR(INDEX('CAT_TIPOS_OT'!$D$4:$D$8,MATCH($I730,'CAT_TIPOS_OT'!$A$4:$A$8,0)),"SIN CLASIFICAR")="","SIN CLASIFICAR",IFERROR(INDEX('CAT_TIPOS_OT'!$D$4:$D$8,MATCH($I730,'CAT_TIPOS_OT'!$A$4:$A$8,0)),"SIN CLASIFICAR")))</f>
        <v/>
      </c>
      <c r="W730" s="5">
        <f>IF($F730="","",IFERROR(INDEX('CAT_CENTROS_COSTO'!$F$4:$F$13,MATCH($F730,'CAT_CENTROS_COSTO'!$A$4:$A$13,0)),"(sin catálogo)"))</f>
        <v/>
      </c>
      <c r="X730" s="5">
        <f>IF($F730="","",IFERROR(INDEX('CAT_CENTROS_COSTO'!$D$4:$D$13,MATCH($F730,'CAT_CENTROS_COSTO'!$A$4:$A$13,0)),"(sin catálogo)"))</f>
        <v/>
      </c>
      <c r="Y730" s="5">
        <f>IF($F730="","",IF((IFERROR(INDEX('CAT_CENTROS_COSTO'!$E$4:$E$13,MATCH($F730,'CAT_CENTROS_COSTO'!$A$4:$A$13,0)),""))&lt;&gt;"",IFERROR(INDEX('CAT_CENTROS_COSTO'!$E$4:$E$13,MATCH($F730,'CAT_CENTROS_COSTO'!$A$4:$A$13,0)),""),$X730))</f>
        <v/>
      </c>
      <c r="Z730" s="5">
        <f>IF($F730="","",IFERROR(INDEX('CAT_CENTROS_COSTO'!$G$4:$G$13,MATCH($F730,'CAT_CENTROS_COSTO'!$A$4:$A$13,0)),"(sin catálogo)"))</f>
        <v/>
      </c>
      <c r="AA730" s="5">
        <f>IF($G730="","",IFERROR(INDEX('CAT_PUESTOS'!$B$4:$B$8,MATCH($G730,'CAT_PUESTOS'!$A$4:$A$8,0)),"(sin catálogo)"))</f>
        <v/>
      </c>
      <c r="AB730" s="5">
        <f>IF($H730="","",IFERROR(INDEX('CAT_ACTIVIDADES'!$B$4:$B$11,MATCH($H730,'CAT_ACTIVIDADES'!$A$4:$A$11,0)),"(sin catálogo)"))</f>
        <v/>
      </c>
      <c r="AC730" s="20">
        <f>IF($J730="","",TODAY()-$J730)</f>
        <v/>
      </c>
      <c r="AD730" s="20">
        <f>IF($J730="","",IF($J730&lt;=TODAY(),COUNTIFS(cal_fechas,"&gt;="&amp;$J730,cal_fechas,"&lt;"&amp;TODAY(),cal_habil,"sí"),-COUNTIFS(cal_fechas,"&gt;="&amp;TODAY(),cal_fechas,"&lt;"&amp;$J730,cal_habil,"sí")))</f>
        <v/>
      </c>
      <c r="AE730" s="5">
        <f>IF($AD730="","",IF($AD730&lt;0,"FUTURO",IF($AD730&gt;p_dias_backlog_max,"BACKLOG","MES CORRIENTE")))</f>
        <v/>
      </c>
      <c r="AF730" s="5">
        <f>IF($AD730="",FALSE,AND($AD730&gt;p_dias_backlog_min,$AD730&lt;=p_dias_backlog_max))</f>
        <v/>
      </c>
      <c r="AG730" s="4" t="n"/>
      <c r="AH730" s="5">
        <f>IF($AG730="","",IF((IFERROR(INDEX('ASIGNACIONES'!$J$4:$J$451,MATCH($O730&amp;"|"&amp;$S730&amp;"|"&amp;$AG730,'ASIGNACIONES'!$N$4:$N$451,0)),""))=0,"",IFERROR(INDEX('ASIGNACIONES'!$J$4:$J$451,MATCH($O730&amp;"|"&amp;$S730&amp;"|"&amp;$AG730,'ASIGNACIONES'!$N$4:$N$451,0)),"")))</f>
        <v/>
      </c>
      <c r="AI730" s="25">
        <f>IF($AG730="","",SUMIFS('ORDENES'!$M$4:$M$1203,'ORDENES'!$AG$4:$AG$1203,$AG730,'ORDENES'!$O$4:$O$1203,$O730,'ORDENES'!$S$4:$S$1203,$S730))</f>
        <v/>
      </c>
      <c r="AJ730" s="25">
        <f>IF($AI730="","",p_factor_productividad*IFERROR(INDEX('ASIGNACIONES'!$M$4:$M$451,MATCH($O730&amp;"|"&amp;$S730&amp;"|"&amp;$AG730,'ASIGNACIONES'!$N$4:$N$451,0)),0)-$AI730)</f>
        <v/>
      </c>
      <c r="AK730" s="18">
        <f>IF($A730="","",IFERROR(INDEX('2_IMPORTAR_EJECUCION'!$F$9:$F$1208,MATCH($AT730,'2_IMPORTAR_EJECUCION'!$J$9:$J$1208,0)),0))</f>
        <v/>
      </c>
      <c r="AL730" s="18">
        <f>IF($A730="","",MAX(0,IFERROR(INDEX('2_IMPORTAR_EJECUCION'!$H$9:$H$1208,MATCH($AT730,'2_IMPORTAR_EJECUCION'!$J$9:$J$1208,0)),0)-$AK730))</f>
        <v/>
      </c>
      <c r="AM730" s="18">
        <f>IF($A730="","",$AK730+$AL730)</f>
        <v/>
      </c>
      <c r="AN730" s="5">
        <f>IF($A730="","",IF(OR((IFERROR(INDEX('CAT_ACTIVIDADES'!$D$4:$D$11,MATCH($H730,'CAT_ACTIVIDADES'!$A$4:$A$11,0)),""))=0,(IFERROR(INDEX('CAT_ACTIVIDADES'!$D$4:$D$11,MATCH($H730,'CAT_ACTIVIDADES'!$A$4:$A$11,0)),""))=""),"SIN CLASIFICAR",IFERROR(INDEX('CAT_ACTIVIDADES'!$D$4:$D$11,MATCH($H730,'CAT_ACTIVIDADES'!$A$4:$A$11,0)),"")))</f>
        <v/>
      </c>
      <c r="AO730" s="4" t="n"/>
      <c r="AP730" s="4" t="n"/>
      <c r="AQ730" s="4" t="n"/>
      <c r="AR730" s="5">
        <f>IF($AQ730="","",HYPERLINK(p_ruta_base_checklists&amp;$AQ730,"abrir"))</f>
        <v/>
      </c>
      <c r="AS730" s="4" t="n"/>
      <c r="AT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2" t="n"/>
      <c r="K731" s="5" t="n"/>
      <c r="L731" s="18" t="n"/>
      <c r="M731" s="5">
        <f>IF($A731="","",IFERROR(INDEX('AJUSTES'!$B$4:$B$303,MATCH($AT731,'AJUSTES'!$A$4:$A$303,0)),IF($K731="","",$K731)))</f>
        <v/>
      </c>
      <c r="N731" s="5">
        <f>IF($A731="","",IFERROR(INDEX('CAT_ESTADOS_ERP'!$B$4:$B$7,MATCH(IFERROR(INDEX('2_IMPORTAR_EJECUCION'!$C$9:$C$1208,MATCH($AT731,'2_IMPORTAR_EJECUCION'!$J$9:$J$1208,0)),""),'CAT_ESTADOS_ERP'!$A$4:$A$7,0)),"Pendiente"))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IF($J731="","",$P731&amp;"-"&amp;TEXT($Q731,"00"))</f>
        <v/>
      </c>
      <c r="S731" s="5">
        <f>IF($J731="","",INDEX(lista_dias,WEEKDAY($J731,2)))</f>
        <v/>
      </c>
      <c r="T731" s="5">
        <f>IF($J731="","",IFERROR(INDEX('CALENDARIO'!$C$15:$C$214,MATCH(TEXT($J731,"yyyy-mm-dd")&amp;"|"&amp;$X731&amp;"|"&amp;$Y731,'CALENDARIO'!$G$15:$G$214,0)),IFERROR(INDEX('CALENDARIO'!$C$15:$C$214,MATCH(TEXT($J731,"yyyy-mm-dd")&amp;"|"&amp;$X731&amp;"|",'CALENDARIO'!$G$15:$G$214,0)),IFERROR(INDEX('CALENDARIO'!$C$15:$C$214,MATCH(TEXT($J731,"yyyy-mm-dd")&amp;"||",'CALENDARIO'!$G$15:$G$214,0)),INDEX(patronHabil,WEEKDAY($J731,2))))))</f>
        <v/>
      </c>
      <c r="U731" s="5">
        <f>IF($I731="","",IFERROR(INDEX('CAT_TIPOS_OT'!$C$4:$C$8,MATCH($I731,'CAT_TIPOS_OT'!$A$4:$A$8,0)),"sin_clasificar"))</f>
        <v/>
      </c>
      <c r="V731" s="5">
        <f>IF($I731="","",IF(IFERROR(INDEX('CAT_TIPOS_OT'!$D$4:$D$8,MATCH($I731,'CAT_TIPOS_OT'!$A$4:$A$8,0)),"SIN CLASIFICAR")="","SIN CLASIFICAR",IFERROR(INDEX('CAT_TIPOS_OT'!$D$4:$D$8,MATCH($I731,'CAT_TIPOS_OT'!$A$4:$A$8,0)),"SIN CLASIFICAR")))</f>
        <v/>
      </c>
      <c r="W731" s="5">
        <f>IF($F731="","",IFERROR(INDEX('CAT_CENTROS_COSTO'!$F$4:$F$13,MATCH($F731,'CAT_CENTROS_COSTO'!$A$4:$A$13,0)),"(sin catálogo)"))</f>
        <v/>
      </c>
      <c r="X731" s="5">
        <f>IF($F731="","",IFERROR(INDEX('CAT_CENTROS_COSTO'!$D$4:$D$13,MATCH($F731,'CAT_CENTROS_COSTO'!$A$4:$A$13,0)),"(sin catálogo)"))</f>
        <v/>
      </c>
      <c r="Y731" s="5">
        <f>IF($F731="","",IF((IFERROR(INDEX('CAT_CENTROS_COSTO'!$E$4:$E$13,MATCH($F731,'CAT_CENTROS_COSTO'!$A$4:$A$13,0)),""))&lt;&gt;"",IFERROR(INDEX('CAT_CENTROS_COSTO'!$E$4:$E$13,MATCH($F731,'CAT_CENTROS_COSTO'!$A$4:$A$13,0)),""),$X731))</f>
        <v/>
      </c>
      <c r="Z731" s="5">
        <f>IF($F731="","",IFERROR(INDEX('CAT_CENTROS_COSTO'!$G$4:$G$13,MATCH($F731,'CAT_CENTROS_COSTO'!$A$4:$A$13,0)),"(sin catálogo)"))</f>
        <v/>
      </c>
      <c r="AA731" s="5">
        <f>IF($G731="","",IFERROR(INDEX('CAT_PUESTOS'!$B$4:$B$8,MATCH($G731,'CAT_PUESTOS'!$A$4:$A$8,0)),"(sin catálogo)"))</f>
        <v/>
      </c>
      <c r="AB731" s="5">
        <f>IF($H731="","",IFERROR(INDEX('CAT_ACTIVIDADES'!$B$4:$B$11,MATCH($H731,'CAT_ACTIVIDADES'!$A$4:$A$11,0)),"(sin catálogo)"))</f>
        <v/>
      </c>
      <c r="AC731" s="20">
        <f>IF($J731="","",TODAY()-$J731)</f>
        <v/>
      </c>
      <c r="AD731" s="20">
        <f>IF($J731="","",IF($J731&lt;=TODAY(),COUNTIFS(cal_fechas,"&gt;="&amp;$J731,cal_fechas,"&lt;"&amp;TODAY(),cal_habil,"sí"),-COUNTIFS(cal_fechas,"&gt;="&amp;TODAY(),cal_fechas,"&lt;"&amp;$J731,cal_habil,"sí")))</f>
        <v/>
      </c>
      <c r="AE731" s="5">
        <f>IF($AD731="","",IF($AD731&lt;0,"FUTURO",IF($AD731&gt;p_dias_backlog_max,"BACKLOG","MES CORRIENTE")))</f>
        <v/>
      </c>
      <c r="AF731" s="5">
        <f>IF($AD731="",FALSE,AND($AD731&gt;p_dias_backlog_min,$AD731&lt;=p_dias_backlog_max))</f>
        <v/>
      </c>
      <c r="AG731" s="4" t="n"/>
      <c r="AH731" s="5">
        <f>IF($AG731="","",IF((IFERROR(INDEX('ASIGNACIONES'!$J$4:$J$451,MATCH($O731&amp;"|"&amp;$S731&amp;"|"&amp;$AG731,'ASIGNACIONES'!$N$4:$N$451,0)),""))=0,"",IFERROR(INDEX('ASIGNACIONES'!$J$4:$J$451,MATCH($O731&amp;"|"&amp;$S731&amp;"|"&amp;$AG731,'ASIGNACIONES'!$N$4:$N$451,0)),"")))</f>
        <v/>
      </c>
      <c r="AI731" s="25">
        <f>IF($AG731="","",SUMIFS('ORDENES'!$M$4:$M$1203,'ORDENES'!$AG$4:$AG$1203,$AG731,'ORDENES'!$O$4:$O$1203,$O731,'ORDENES'!$S$4:$S$1203,$S731))</f>
        <v/>
      </c>
      <c r="AJ731" s="25">
        <f>IF($AI731="","",p_factor_productividad*IFERROR(INDEX('ASIGNACIONES'!$M$4:$M$451,MATCH($O731&amp;"|"&amp;$S731&amp;"|"&amp;$AG731,'ASIGNACIONES'!$N$4:$N$451,0)),0)-$AI731)</f>
        <v/>
      </c>
      <c r="AK731" s="18">
        <f>IF($A731="","",IFERROR(INDEX('2_IMPORTAR_EJECUCION'!$F$9:$F$1208,MATCH($AT731,'2_IMPORTAR_EJECUCION'!$J$9:$J$1208,0)),0))</f>
        <v/>
      </c>
      <c r="AL731" s="18">
        <f>IF($A731="","",MAX(0,IFERROR(INDEX('2_IMPORTAR_EJECUCION'!$H$9:$H$1208,MATCH($AT731,'2_IMPORTAR_EJECUCION'!$J$9:$J$1208,0)),0)-$AK731))</f>
        <v/>
      </c>
      <c r="AM731" s="18">
        <f>IF($A731="","",$AK731+$AL731)</f>
        <v/>
      </c>
      <c r="AN731" s="5">
        <f>IF($A731="","",IF(OR((IFERROR(INDEX('CAT_ACTIVIDADES'!$D$4:$D$11,MATCH($H731,'CAT_ACTIVIDADES'!$A$4:$A$11,0)),""))=0,(IFERROR(INDEX('CAT_ACTIVIDADES'!$D$4:$D$11,MATCH($H731,'CAT_ACTIVIDADES'!$A$4:$A$11,0)),""))=""),"SIN CLASIFICAR",IFERROR(INDEX('CAT_ACTIVIDADES'!$D$4:$D$11,MATCH($H731,'CAT_ACTIVIDADES'!$A$4:$A$11,0)),"")))</f>
        <v/>
      </c>
      <c r="AO731" s="4" t="n"/>
      <c r="AP731" s="4" t="n"/>
      <c r="AQ731" s="4" t="n"/>
      <c r="AR731" s="5">
        <f>IF($AQ731="","",HYPERLINK(p_ruta_base_checklists&amp;$AQ731,"abrir"))</f>
        <v/>
      </c>
      <c r="AS731" s="4" t="n"/>
      <c r="AT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2" t="n"/>
      <c r="K732" s="5" t="n"/>
      <c r="L732" s="18" t="n"/>
      <c r="M732" s="5">
        <f>IF($A732="","",IFERROR(INDEX('AJUSTES'!$B$4:$B$303,MATCH($AT732,'AJUSTES'!$A$4:$A$303,0)),IF($K732="","",$K732)))</f>
        <v/>
      </c>
      <c r="N732" s="5">
        <f>IF($A732="","",IFERROR(INDEX('CAT_ESTADOS_ERP'!$B$4:$B$7,MATCH(IFERROR(INDEX('2_IMPORTAR_EJECUCION'!$C$9:$C$1208,MATCH($AT732,'2_IMPORTAR_EJECUCION'!$J$9:$J$1208,0)),""),'CAT_ESTADOS_ERP'!$A$4:$A$7,0)),"Pendiente"))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IF($J732="","",$P732&amp;"-"&amp;TEXT($Q732,"00"))</f>
        <v/>
      </c>
      <c r="S732" s="5">
        <f>IF($J732="","",INDEX(lista_dias,WEEKDAY($J732,2)))</f>
        <v/>
      </c>
      <c r="T732" s="5">
        <f>IF($J732="","",IFERROR(INDEX('CALENDARIO'!$C$15:$C$214,MATCH(TEXT($J732,"yyyy-mm-dd")&amp;"|"&amp;$X732&amp;"|"&amp;$Y732,'CALENDARIO'!$G$15:$G$214,0)),IFERROR(INDEX('CALENDARIO'!$C$15:$C$214,MATCH(TEXT($J732,"yyyy-mm-dd")&amp;"|"&amp;$X732&amp;"|",'CALENDARIO'!$G$15:$G$214,0)),IFERROR(INDEX('CALENDARIO'!$C$15:$C$214,MATCH(TEXT($J732,"yyyy-mm-dd")&amp;"||",'CALENDARIO'!$G$15:$G$214,0)),INDEX(patronHabil,WEEKDAY($J732,2))))))</f>
        <v/>
      </c>
      <c r="U732" s="5">
        <f>IF($I732="","",IFERROR(INDEX('CAT_TIPOS_OT'!$C$4:$C$8,MATCH($I732,'CAT_TIPOS_OT'!$A$4:$A$8,0)),"sin_clasificar"))</f>
        <v/>
      </c>
      <c r="V732" s="5">
        <f>IF($I732="","",IF(IFERROR(INDEX('CAT_TIPOS_OT'!$D$4:$D$8,MATCH($I732,'CAT_TIPOS_OT'!$A$4:$A$8,0)),"SIN CLASIFICAR")="","SIN CLASIFICAR",IFERROR(INDEX('CAT_TIPOS_OT'!$D$4:$D$8,MATCH($I732,'CAT_TIPOS_OT'!$A$4:$A$8,0)),"SIN CLASIFICAR")))</f>
        <v/>
      </c>
      <c r="W732" s="5">
        <f>IF($F732="","",IFERROR(INDEX('CAT_CENTROS_COSTO'!$F$4:$F$13,MATCH($F732,'CAT_CENTROS_COSTO'!$A$4:$A$13,0)),"(sin catálogo)"))</f>
        <v/>
      </c>
      <c r="X732" s="5">
        <f>IF($F732="","",IFERROR(INDEX('CAT_CENTROS_COSTO'!$D$4:$D$13,MATCH($F732,'CAT_CENTROS_COSTO'!$A$4:$A$13,0)),"(sin catálogo)"))</f>
        <v/>
      </c>
      <c r="Y732" s="5">
        <f>IF($F732="","",IF((IFERROR(INDEX('CAT_CENTROS_COSTO'!$E$4:$E$13,MATCH($F732,'CAT_CENTROS_COSTO'!$A$4:$A$13,0)),""))&lt;&gt;"",IFERROR(INDEX('CAT_CENTROS_COSTO'!$E$4:$E$13,MATCH($F732,'CAT_CENTROS_COSTO'!$A$4:$A$13,0)),""),$X732))</f>
        <v/>
      </c>
      <c r="Z732" s="5">
        <f>IF($F732="","",IFERROR(INDEX('CAT_CENTROS_COSTO'!$G$4:$G$13,MATCH($F732,'CAT_CENTROS_COSTO'!$A$4:$A$13,0)),"(sin catálogo)"))</f>
        <v/>
      </c>
      <c r="AA732" s="5">
        <f>IF($G732="","",IFERROR(INDEX('CAT_PUESTOS'!$B$4:$B$8,MATCH($G732,'CAT_PUESTOS'!$A$4:$A$8,0)),"(sin catálogo)"))</f>
        <v/>
      </c>
      <c r="AB732" s="5">
        <f>IF($H732="","",IFERROR(INDEX('CAT_ACTIVIDADES'!$B$4:$B$11,MATCH($H732,'CAT_ACTIVIDADES'!$A$4:$A$11,0)),"(sin catálogo)"))</f>
        <v/>
      </c>
      <c r="AC732" s="20">
        <f>IF($J732="","",TODAY()-$J732)</f>
        <v/>
      </c>
      <c r="AD732" s="20">
        <f>IF($J732="","",IF($J732&lt;=TODAY(),COUNTIFS(cal_fechas,"&gt;="&amp;$J732,cal_fechas,"&lt;"&amp;TODAY(),cal_habil,"sí"),-COUNTIFS(cal_fechas,"&gt;="&amp;TODAY(),cal_fechas,"&lt;"&amp;$J732,cal_habil,"sí")))</f>
        <v/>
      </c>
      <c r="AE732" s="5">
        <f>IF($AD732="","",IF($AD732&lt;0,"FUTURO",IF($AD732&gt;p_dias_backlog_max,"BACKLOG","MES CORRIENTE")))</f>
        <v/>
      </c>
      <c r="AF732" s="5">
        <f>IF($AD732="",FALSE,AND($AD732&gt;p_dias_backlog_min,$AD732&lt;=p_dias_backlog_max))</f>
        <v/>
      </c>
      <c r="AG732" s="4" t="n"/>
      <c r="AH732" s="5">
        <f>IF($AG732="","",IF((IFERROR(INDEX('ASIGNACIONES'!$J$4:$J$451,MATCH($O732&amp;"|"&amp;$S732&amp;"|"&amp;$AG732,'ASIGNACIONES'!$N$4:$N$451,0)),""))=0,"",IFERROR(INDEX('ASIGNACIONES'!$J$4:$J$451,MATCH($O732&amp;"|"&amp;$S732&amp;"|"&amp;$AG732,'ASIGNACIONES'!$N$4:$N$451,0)),"")))</f>
        <v/>
      </c>
      <c r="AI732" s="25">
        <f>IF($AG732="","",SUMIFS('ORDENES'!$M$4:$M$1203,'ORDENES'!$AG$4:$AG$1203,$AG732,'ORDENES'!$O$4:$O$1203,$O732,'ORDENES'!$S$4:$S$1203,$S732))</f>
        <v/>
      </c>
      <c r="AJ732" s="25">
        <f>IF($AI732="","",p_factor_productividad*IFERROR(INDEX('ASIGNACIONES'!$M$4:$M$451,MATCH($O732&amp;"|"&amp;$S732&amp;"|"&amp;$AG732,'ASIGNACIONES'!$N$4:$N$451,0)),0)-$AI732)</f>
        <v/>
      </c>
      <c r="AK732" s="18">
        <f>IF($A732="","",IFERROR(INDEX('2_IMPORTAR_EJECUCION'!$F$9:$F$1208,MATCH($AT732,'2_IMPORTAR_EJECUCION'!$J$9:$J$1208,0)),0))</f>
        <v/>
      </c>
      <c r="AL732" s="18">
        <f>IF($A732="","",MAX(0,IFERROR(INDEX('2_IMPORTAR_EJECUCION'!$H$9:$H$1208,MATCH($AT732,'2_IMPORTAR_EJECUCION'!$J$9:$J$1208,0)),0)-$AK732))</f>
        <v/>
      </c>
      <c r="AM732" s="18">
        <f>IF($A732="","",$AK732+$AL732)</f>
        <v/>
      </c>
      <c r="AN732" s="5">
        <f>IF($A732="","",IF(OR((IFERROR(INDEX('CAT_ACTIVIDADES'!$D$4:$D$11,MATCH($H732,'CAT_ACTIVIDADES'!$A$4:$A$11,0)),""))=0,(IFERROR(INDEX('CAT_ACTIVIDADES'!$D$4:$D$11,MATCH($H732,'CAT_ACTIVIDADES'!$A$4:$A$11,0)),""))=""),"SIN CLASIFICAR",IFERROR(INDEX('CAT_ACTIVIDADES'!$D$4:$D$11,MATCH($H732,'CAT_ACTIVIDADES'!$A$4:$A$11,0)),"")))</f>
        <v/>
      </c>
      <c r="AO732" s="4" t="n"/>
      <c r="AP732" s="4" t="n"/>
      <c r="AQ732" s="4" t="n"/>
      <c r="AR732" s="5">
        <f>IF($AQ732="","",HYPERLINK(p_ruta_base_checklists&amp;$AQ732,"abrir"))</f>
        <v/>
      </c>
      <c r="AS732" s="4" t="n"/>
      <c r="AT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2" t="n"/>
      <c r="K733" s="5" t="n"/>
      <c r="L733" s="18" t="n"/>
      <c r="M733" s="5">
        <f>IF($A733="","",IFERROR(INDEX('AJUSTES'!$B$4:$B$303,MATCH($AT733,'AJUSTES'!$A$4:$A$303,0)),IF($K733="","",$K733)))</f>
        <v/>
      </c>
      <c r="N733" s="5">
        <f>IF($A733="","",IFERROR(INDEX('CAT_ESTADOS_ERP'!$B$4:$B$7,MATCH(IFERROR(INDEX('2_IMPORTAR_EJECUCION'!$C$9:$C$1208,MATCH($AT733,'2_IMPORTAR_EJECUCION'!$J$9:$J$1208,0)),""),'CAT_ESTADOS_ERP'!$A$4:$A$7,0)),"Pendiente"))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IF($J733="","",$P733&amp;"-"&amp;TEXT($Q733,"00"))</f>
        <v/>
      </c>
      <c r="S733" s="5">
        <f>IF($J733="","",INDEX(lista_dias,WEEKDAY($J733,2)))</f>
        <v/>
      </c>
      <c r="T733" s="5">
        <f>IF($J733="","",IFERROR(INDEX('CALENDARIO'!$C$15:$C$214,MATCH(TEXT($J733,"yyyy-mm-dd")&amp;"|"&amp;$X733&amp;"|"&amp;$Y733,'CALENDARIO'!$G$15:$G$214,0)),IFERROR(INDEX('CALENDARIO'!$C$15:$C$214,MATCH(TEXT($J733,"yyyy-mm-dd")&amp;"|"&amp;$X733&amp;"|",'CALENDARIO'!$G$15:$G$214,0)),IFERROR(INDEX('CALENDARIO'!$C$15:$C$214,MATCH(TEXT($J733,"yyyy-mm-dd")&amp;"||",'CALENDARIO'!$G$15:$G$214,0)),INDEX(patronHabil,WEEKDAY($J733,2))))))</f>
        <v/>
      </c>
      <c r="U733" s="5">
        <f>IF($I733="","",IFERROR(INDEX('CAT_TIPOS_OT'!$C$4:$C$8,MATCH($I733,'CAT_TIPOS_OT'!$A$4:$A$8,0)),"sin_clasificar"))</f>
        <v/>
      </c>
      <c r="V733" s="5">
        <f>IF($I733="","",IF(IFERROR(INDEX('CAT_TIPOS_OT'!$D$4:$D$8,MATCH($I733,'CAT_TIPOS_OT'!$A$4:$A$8,0)),"SIN CLASIFICAR")="","SIN CLASIFICAR",IFERROR(INDEX('CAT_TIPOS_OT'!$D$4:$D$8,MATCH($I733,'CAT_TIPOS_OT'!$A$4:$A$8,0)),"SIN CLASIFICAR")))</f>
        <v/>
      </c>
      <c r="W733" s="5">
        <f>IF($F733="","",IFERROR(INDEX('CAT_CENTROS_COSTO'!$F$4:$F$13,MATCH($F733,'CAT_CENTROS_COSTO'!$A$4:$A$13,0)),"(sin catálogo)"))</f>
        <v/>
      </c>
      <c r="X733" s="5">
        <f>IF($F733="","",IFERROR(INDEX('CAT_CENTROS_COSTO'!$D$4:$D$13,MATCH($F733,'CAT_CENTROS_COSTO'!$A$4:$A$13,0)),"(sin catálogo)"))</f>
        <v/>
      </c>
      <c r="Y733" s="5">
        <f>IF($F733="","",IF((IFERROR(INDEX('CAT_CENTROS_COSTO'!$E$4:$E$13,MATCH($F733,'CAT_CENTROS_COSTO'!$A$4:$A$13,0)),""))&lt;&gt;"",IFERROR(INDEX('CAT_CENTROS_COSTO'!$E$4:$E$13,MATCH($F733,'CAT_CENTROS_COSTO'!$A$4:$A$13,0)),""),$X733))</f>
        <v/>
      </c>
      <c r="Z733" s="5">
        <f>IF($F733="","",IFERROR(INDEX('CAT_CENTROS_COSTO'!$G$4:$G$13,MATCH($F733,'CAT_CENTROS_COSTO'!$A$4:$A$13,0)),"(sin catálogo)"))</f>
        <v/>
      </c>
      <c r="AA733" s="5">
        <f>IF($G733="","",IFERROR(INDEX('CAT_PUESTOS'!$B$4:$B$8,MATCH($G733,'CAT_PUESTOS'!$A$4:$A$8,0)),"(sin catálogo)"))</f>
        <v/>
      </c>
      <c r="AB733" s="5">
        <f>IF($H733="","",IFERROR(INDEX('CAT_ACTIVIDADES'!$B$4:$B$11,MATCH($H733,'CAT_ACTIVIDADES'!$A$4:$A$11,0)),"(sin catálogo)"))</f>
        <v/>
      </c>
      <c r="AC733" s="20">
        <f>IF($J733="","",TODAY()-$J733)</f>
        <v/>
      </c>
      <c r="AD733" s="20">
        <f>IF($J733="","",IF($J733&lt;=TODAY(),COUNTIFS(cal_fechas,"&gt;="&amp;$J733,cal_fechas,"&lt;"&amp;TODAY(),cal_habil,"sí"),-COUNTIFS(cal_fechas,"&gt;="&amp;TODAY(),cal_fechas,"&lt;"&amp;$J733,cal_habil,"sí")))</f>
        <v/>
      </c>
      <c r="AE733" s="5">
        <f>IF($AD733="","",IF($AD733&lt;0,"FUTURO",IF($AD733&gt;p_dias_backlog_max,"BACKLOG","MES CORRIENTE")))</f>
        <v/>
      </c>
      <c r="AF733" s="5">
        <f>IF($AD733="",FALSE,AND($AD733&gt;p_dias_backlog_min,$AD733&lt;=p_dias_backlog_max))</f>
        <v/>
      </c>
      <c r="AG733" s="4" t="n"/>
      <c r="AH733" s="5">
        <f>IF($AG733="","",IF((IFERROR(INDEX('ASIGNACIONES'!$J$4:$J$451,MATCH($O733&amp;"|"&amp;$S733&amp;"|"&amp;$AG733,'ASIGNACIONES'!$N$4:$N$451,0)),""))=0,"",IFERROR(INDEX('ASIGNACIONES'!$J$4:$J$451,MATCH($O733&amp;"|"&amp;$S733&amp;"|"&amp;$AG733,'ASIGNACIONES'!$N$4:$N$451,0)),"")))</f>
        <v/>
      </c>
      <c r="AI733" s="25">
        <f>IF($AG733="","",SUMIFS('ORDENES'!$M$4:$M$1203,'ORDENES'!$AG$4:$AG$1203,$AG733,'ORDENES'!$O$4:$O$1203,$O733,'ORDENES'!$S$4:$S$1203,$S733))</f>
        <v/>
      </c>
      <c r="AJ733" s="25">
        <f>IF($AI733="","",p_factor_productividad*IFERROR(INDEX('ASIGNACIONES'!$M$4:$M$451,MATCH($O733&amp;"|"&amp;$S733&amp;"|"&amp;$AG733,'ASIGNACIONES'!$N$4:$N$451,0)),0)-$AI733)</f>
        <v/>
      </c>
      <c r="AK733" s="18">
        <f>IF($A733="","",IFERROR(INDEX('2_IMPORTAR_EJECUCION'!$F$9:$F$1208,MATCH($AT733,'2_IMPORTAR_EJECUCION'!$J$9:$J$1208,0)),0))</f>
        <v/>
      </c>
      <c r="AL733" s="18">
        <f>IF($A733="","",MAX(0,IFERROR(INDEX('2_IMPORTAR_EJECUCION'!$H$9:$H$1208,MATCH($AT733,'2_IMPORTAR_EJECUCION'!$J$9:$J$1208,0)),0)-$AK733))</f>
        <v/>
      </c>
      <c r="AM733" s="18">
        <f>IF($A733="","",$AK733+$AL733)</f>
        <v/>
      </c>
      <c r="AN733" s="5">
        <f>IF($A733="","",IF(OR((IFERROR(INDEX('CAT_ACTIVIDADES'!$D$4:$D$11,MATCH($H733,'CAT_ACTIVIDADES'!$A$4:$A$11,0)),""))=0,(IFERROR(INDEX('CAT_ACTIVIDADES'!$D$4:$D$11,MATCH($H733,'CAT_ACTIVIDADES'!$A$4:$A$11,0)),""))=""),"SIN CLASIFICAR",IFERROR(INDEX('CAT_ACTIVIDADES'!$D$4:$D$11,MATCH($H733,'CAT_ACTIVIDADES'!$A$4:$A$11,0)),"")))</f>
        <v/>
      </c>
      <c r="AO733" s="4" t="n"/>
      <c r="AP733" s="4" t="n"/>
      <c r="AQ733" s="4" t="n"/>
      <c r="AR733" s="5">
        <f>IF($AQ733="","",HYPERLINK(p_ruta_base_checklists&amp;$AQ733,"abrir"))</f>
        <v/>
      </c>
      <c r="AS733" s="4" t="n"/>
      <c r="AT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2" t="n"/>
      <c r="K734" s="5" t="n"/>
      <c r="L734" s="18" t="n"/>
      <c r="M734" s="5">
        <f>IF($A734="","",IFERROR(INDEX('AJUSTES'!$B$4:$B$303,MATCH($AT734,'AJUSTES'!$A$4:$A$303,0)),IF($K734="","",$K734)))</f>
        <v/>
      </c>
      <c r="N734" s="5">
        <f>IF($A734="","",IFERROR(INDEX('CAT_ESTADOS_ERP'!$B$4:$B$7,MATCH(IFERROR(INDEX('2_IMPORTAR_EJECUCION'!$C$9:$C$1208,MATCH($AT734,'2_IMPORTAR_EJECUCION'!$J$9:$J$1208,0)),""),'CAT_ESTADOS_ERP'!$A$4:$A$7,0)),"Pendiente"))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IF($J734="","",$P734&amp;"-"&amp;TEXT($Q734,"00"))</f>
        <v/>
      </c>
      <c r="S734" s="5">
        <f>IF($J734="","",INDEX(lista_dias,WEEKDAY($J734,2)))</f>
        <v/>
      </c>
      <c r="T734" s="5">
        <f>IF($J734="","",IFERROR(INDEX('CALENDARIO'!$C$15:$C$214,MATCH(TEXT($J734,"yyyy-mm-dd")&amp;"|"&amp;$X734&amp;"|"&amp;$Y734,'CALENDARIO'!$G$15:$G$214,0)),IFERROR(INDEX('CALENDARIO'!$C$15:$C$214,MATCH(TEXT($J734,"yyyy-mm-dd")&amp;"|"&amp;$X734&amp;"|",'CALENDARIO'!$G$15:$G$214,0)),IFERROR(INDEX('CALENDARIO'!$C$15:$C$214,MATCH(TEXT($J734,"yyyy-mm-dd")&amp;"||",'CALENDARIO'!$G$15:$G$214,0)),INDEX(patronHabil,WEEKDAY($J734,2))))))</f>
        <v/>
      </c>
      <c r="U734" s="5">
        <f>IF($I734="","",IFERROR(INDEX('CAT_TIPOS_OT'!$C$4:$C$8,MATCH($I734,'CAT_TIPOS_OT'!$A$4:$A$8,0)),"sin_clasificar"))</f>
        <v/>
      </c>
      <c r="V734" s="5">
        <f>IF($I734="","",IF(IFERROR(INDEX('CAT_TIPOS_OT'!$D$4:$D$8,MATCH($I734,'CAT_TIPOS_OT'!$A$4:$A$8,0)),"SIN CLASIFICAR")="","SIN CLASIFICAR",IFERROR(INDEX('CAT_TIPOS_OT'!$D$4:$D$8,MATCH($I734,'CAT_TIPOS_OT'!$A$4:$A$8,0)),"SIN CLASIFICAR")))</f>
        <v/>
      </c>
      <c r="W734" s="5">
        <f>IF($F734="","",IFERROR(INDEX('CAT_CENTROS_COSTO'!$F$4:$F$13,MATCH($F734,'CAT_CENTROS_COSTO'!$A$4:$A$13,0)),"(sin catálogo)"))</f>
        <v/>
      </c>
      <c r="X734" s="5">
        <f>IF($F734="","",IFERROR(INDEX('CAT_CENTROS_COSTO'!$D$4:$D$13,MATCH($F734,'CAT_CENTROS_COSTO'!$A$4:$A$13,0)),"(sin catálogo)"))</f>
        <v/>
      </c>
      <c r="Y734" s="5">
        <f>IF($F734="","",IF((IFERROR(INDEX('CAT_CENTROS_COSTO'!$E$4:$E$13,MATCH($F734,'CAT_CENTROS_COSTO'!$A$4:$A$13,0)),""))&lt;&gt;"",IFERROR(INDEX('CAT_CENTROS_COSTO'!$E$4:$E$13,MATCH($F734,'CAT_CENTROS_COSTO'!$A$4:$A$13,0)),""),$X734))</f>
        <v/>
      </c>
      <c r="Z734" s="5">
        <f>IF($F734="","",IFERROR(INDEX('CAT_CENTROS_COSTO'!$G$4:$G$13,MATCH($F734,'CAT_CENTROS_COSTO'!$A$4:$A$13,0)),"(sin catálogo)"))</f>
        <v/>
      </c>
      <c r="AA734" s="5">
        <f>IF($G734="","",IFERROR(INDEX('CAT_PUESTOS'!$B$4:$B$8,MATCH($G734,'CAT_PUESTOS'!$A$4:$A$8,0)),"(sin catálogo)"))</f>
        <v/>
      </c>
      <c r="AB734" s="5">
        <f>IF($H734="","",IFERROR(INDEX('CAT_ACTIVIDADES'!$B$4:$B$11,MATCH($H734,'CAT_ACTIVIDADES'!$A$4:$A$11,0)),"(sin catálogo)"))</f>
        <v/>
      </c>
      <c r="AC734" s="20">
        <f>IF($J734="","",TODAY()-$J734)</f>
        <v/>
      </c>
      <c r="AD734" s="20">
        <f>IF($J734="","",IF($J734&lt;=TODAY(),COUNTIFS(cal_fechas,"&gt;="&amp;$J734,cal_fechas,"&lt;"&amp;TODAY(),cal_habil,"sí"),-COUNTIFS(cal_fechas,"&gt;="&amp;TODAY(),cal_fechas,"&lt;"&amp;$J734,cal_habil,"sí")))</f>
        <v/>
      </c>
      <c r="AE734" s="5">
        <f>IF($AD734="","",IF($AD734&lt;0,"FUTURO",IF($AD734&gt;p_dias_backlog_max,"BACKLOG","MES CORRIENTE")))</f>
        <v/>
      </c>
      <c r="AF734" s="5">
        <f>IF($AD734="",FALSE,AND($AD734&gt;p_dias_backlog_min,$AD734&lt;=p_dias_backlog_max))</f>
        <v/>
      </c>
      <c r="AG734" s="4" t="n"/>
      <c r="AH734" s="5">
        <f>IF($AG734="","",IF((IFERROR(INDEX('ASIGNACIONES'!$J$4:$J$451,MATCH($O734&amp;"|"&amp;$S734&amp;"|"&amp;$AG734,'ASIGNACIONES'!$N$4:$N$451,0)),""))=0,"",IFERROR(INDEX('ASIGNACIONES'!$J$4:$J$451,MATCH($O734&amp;"|"&amp;$S734&amp;"|"&amp;$AG734,'ASIGNACIONES'!$N$4:$N$451,0)),"")))</f>
        <v/>
      </c>
      <c r="AI734" s="25">
        <f>IF($AG734="","",SUMIFS('ORDENES'!$M$4:$M$1203,'ORDENES'!$AG$4:$AG$1203,$AG734,'ORDENES'!$O$4:$O$1203,$O734,'ORDENES'!$S$4:$S$1203,$S734))</f>
        <v/>
      </c>
      <c r="AJ734" s="25">
        <f>IF($AI734="","",p_factor_productividad*IFERROR(INDEX('ASIGNACIONES'!$M$4:$M$451,MATCH($O734&amp;"|"&amp;$S734&amp;"|"&amp;$AG734,'ASIGNACIONES'!$N$4:$N$451,0)),0)-$AI734)</f>
        <v/>
      </c>
      <c r="AK734" s="18">
        <f>IF($A734="","",IFERROR(INDEX('2_IMPORTAR_EJECUCION'!$F$9:$F$1208,MATCH($AT734,'2_IMPORTAR_EJECUCION'!$J$9:$J$1208,0)),0))</f>
        <v/>
      </c>
      <c r="AL734" s="18">
        <f>IF($A734="","",MAX(0,IFERROR(INDEX('2_IMPORTAR_EJECUCION'!$H$9:$H$1208,MATCH($AT734,'2_IMPORTAR_EJECUCION'!$J$9:$J$1208,0)),0)-$AK734))</f>
        <v/>
      </c>
      <c r="AM734" s="18">
        <f>IF($A734="","",$AK734+$AL734)</f>
        <v/>
      </c>
      <c r="AN734" s="5">
        <f>IF($A734="","",IF(OR((IFERROR(INDEX('CAT_ACTIVIDADES'!$D$4:$D$11,MATCH($H734,'CAT_ACTIVIDADES'!$A$4:$A$11,0)),""))=0,(IFERROR(INDEX('CAT_ACTIVIDADES'!$D$4:$D$11,MATCH($H734,'CAT_ACTIVIDADES'!$A$4:$A$11,0)),""))=""),"SIN CLASIFICAR",IFERROR(INDEX('CAT_ACTIVIDADES'!$D$4:$D$11,MATCH($H734,'CAT_ACTIVIDADES'!$A$4:$A$11,0)),"")))</f>
        <v/>
      </c>
      <c r="AO734" s="4" t="n"/>
      <c r="AP734" s="4" t="n"/>
      <c r="AQ734" s="4" t="n"/>
      <c r="AR734" s="5">
        <f>IF($AQ734="","",HYPERLINK(p_ruta_base_checklists&amp;$AQ734,"abrir"))</f>
        <v/>
      </c>
      <c r="AS734" s="4" t="n"/>
      <c r="AT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2" t="n"/>
      <c r="K735" s="5" t="n"/>
      <c r="L735" s="18" t="n"/>
      <c r="M735" s="5">
        <f>IF($A735="","",IFERROR(INDEX('AJUSTES'!$B$4:$B$303,MATCH($AT735,'AJUSTES'!$A$4:$A$303,0)),IF($K735="","",$K735)))</f>
        <v/>
      </c>
      <c r="N735" s="5">
        <f>IF($A735="","",IFERROR(INDEX('CAT_ESTADOS_ERP'!$B$4:$B$7,MATCH(IFERROR(INDEX('2_IMPORTAR_EJECUCION'!$C$9:$C$1208,MATCH($AT735,'2_IMPORTAR_EJECUCION'!$J$9:$J$1208,0)),""),'CAT_ESTADOS_ERP'!$A$4:$A$7,0)),"Pendiente"))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IF($J735="","",$P735&amp;"-"&amp;TEXT($Q735,"00"))</f>
        <v/>
      </c>
      <c r="S735" s="5">
        <f>IF($J735="","",INDEX(lista_dias,WEEKDAY($J735,2)))</f>
        <v/>
      </c>
      <c r="T735" s="5">
        <f>IF($J735="","",IFERROR(INDEX('CALENDARIO'!$C$15:$C$214,MATCH(TEXT($J735,"yyyy-mm-dd")&amp;"|"&amp;$X735&amp;"|"&amp;$Y735,'CALENDARIO'!$G$15:$G$214,0)),IFERROR(INDEX('CALENDARIO'!$C$15:$C$214,MATCH(TEXT($J735,"yyyy-mm-dd")&amp;"|"&amp;$X735&amp;"|",'CALENDARIO'!$G$15:$G$214,0)),IFERROR(INDEX('CALENDARIO'!$C$15:$C$214,MATCH(TEXT($J735,"yyyy-mm-dd")&amp;"||",'CALENDARIO'!$G$15:$G$214,0)),INDEX(patronHabil,WEEKDAY($J735,2))))))</f>
        <v/>
      </c>
      <c r="U735" s="5">
        <f>IF($I735="","",IFERROR(INDEX('CAT_TIPOS_OT'!$C$4:$C$8,MATCH($I735,'CAT_TIPOS_OT'!$A$4:$A$8,0)),"sin_clasificar"))</f>
        <v/>
      </c>
      <c r="V735" s="5">
        <f>IF($I735="","",IF(IFERROR(INDEX('CAT_TIPOS_OT'!$D$4:$D$8,MATCH($I735,'CAT_TIPOS_OT'!$A$4:$A$8,0)),"SIN CLASIFICAR")="","SIN CLASIFICAR",IFERROR(INDEX('CAT_TIPOS_OT'!$D$4:$D$8,MATCH($I735,'CAT_TIPOS_OT'!$A$4:$A$8,0)),"SIN CLASIFICAR")))</f>
        <v/>
      </c>
      <c r="W735" s="5">
        <f>IF($F735="","",IFERROR(INDEX('CAT_CENTROS_COSTO'!$F$4:$F$13,MATCH($F735,'CAT_CENTROS_COSTO'!$A$4:$A$13,0)),"(sin catálogo)"))</f>
        <v/>
      </c>
      <c r="X735" s="5">
        <f>IF($F735="","",IFERROR(INDEX('CAT_CENTROS_COSTO'!$D$4:$D$13,MATCH($F735,'CAT_CENTROS_COSTO'!$A$4:$A$13,0)),"(sin catálogo)"))</f>
        <v/>
      </c>
      <c r="Y735" s="5">
        <f>IF($F735="","",IF((IFERROR(INDEX('CAT_CENTROS_COSTO'!$E$4:$E$13,MATCH($F735,'CAT_CENTROS_COSTO'!$A$4:$A$13,0)),""))&lt;&gt;"",IFERROR(INDEX('CAT_CENTROS_COSTO'!$E$4:$E$13,MATCH($F735,'CAT_CENTROS_COSTO'!$A$4:$A$13,0)),""),$X735))</f>
        <v/>
      </c>
      <c r="Z735" s="5">
        <f>IF($F735="","",IFERROR(INDEX('CAT_CENTROS_COSTO'!$G$4:$G$13,MATCH($F735,'CAT_CENTROS_COSTO'!$A$4:$A$13,0)),"(sin catálogo)"))</f>
        <v/>
      </c>
      <c r="AA735" s="5">
        <f>IF($G735="","",IFERROR(INDEX('CAT_PUESTOS'!$B$4:$B$8,MATCH($G735,'CAT_PUESTOS'!$A$4:$A$8,0)),"(sin catálogo)"))</f>
        <v/>
      </c>
      <c r="AB735" s="5">
        <f>IF($H735="","",IFERROR(INDEX('CAT_ACTIVIDADES'!$B$4:$B$11,MATCH($H735,'CAT_ACTIVIDADES'!$A$4:$A$11,0)),"(sin catálogo)"))</f>
        <v/>
      </c>
      <c r="AC735" s="20">
        <f>IF($J735="","",TODAY()-$J735)</f>
        <v/>
      </c>
      <c r="AD735" s="20">
        <f>IF($J735="","",IF($J735&lt;=TODAY(),COUNTIFS(cal_fechas,"&gt;="&amp;$J735,cal_fechas,"&lt;"&amp;TODAY(),cal_habil,"sí"),-COUNTIFS(cal_fechas,"&gt;="&amp;TODAY(),cal_fechas,"&lt;"&amp;$J735,cal_habil,"sí")))</f>
        <v/>
      </c>
      <c r="AE735" s="5">
        <f>IF($AD735="","",IF($AD735&lt;0,"FUTURO",IF($AD735&gt;p_dias_backlog_max,"BACKLOG","MES CORRIENTE")))</f>
        <v/>
      </c>
      <c r="AF735" s="5">
        <f>IF($AD735="",FALSE,AND($AD735&gt;p_dias_backlog_min,$AD735&lt;=p_dias_backlog_max))</f>
        <v/>
      </c>
      <c r="AG735" s="4" t="n"/>
      <c r="AH735" s="5">
        <f>IF($AG735="","",IF((IFERROR(INDEX('ASIGNACIONES'!$J$4:$J$451,MATCH($O735&amp;"|"&amp;$S735&amp;"|"&amp;$AG735,'ASIGNACIONES'!$N$4:$N$451,0)),""))=0,"",IFERROR(INDEX('ASIGNACIONES'!$J$4:$J$451,MATCH($O735&amp;"|"&amp;$S735&amp;"|"&amp;$AG735,'ASIGNACIONES'!$N$4:$N$451,0)),"")))</f>
        <v/>
      </c>
      <c r="AI735" s="25">
        <f>IF($AG735="","",SUMIFS('ORDENES'!$M$4:$M$1203,'ORDENES'!$AG$4:$AG$1203,$AG735,'ORDENES'!$O$4:$O$1203,$O735,'ORDENES'!$S$4:$S$1203,$S735))</f>
        <v/>
      </c>
      <c r="AJ735" s="25">
        <f>IF($AI735="","",p_factor_productividad*IFERROR(INDEX('ASIGNACIONES'!$M$4:$M$451,MATCH($O735&amp;"|"&amp;$S735&amp;"|"&amp;$AG735,'ASIGNACIONES'!$N$4:$N$451,0)),0)-$AI735)</f>
        <v/>
      </c>
      <c r="AK735" s="18">
        <f>IF($A735="","",IFERROR(INDEX('2_IMPORTAR_EJECUCION'!$F$9:$F$1208,MATCH($AT735,'2_IMPORTAR_EJECUCION'!$J$9:$J$1208,0)),0))</f>
        <v/>
      </c>
      <c r="AL735" s="18">
        <f>IF($A735="","",MAX(0,IFERROR(INDEX('2_IMPORTAR_EJECUCION'!$H$9:$H$1208,MATCH($AT735,'2_IMPORTAR_EJECUCION'!$J$9:$J$1208,0)),0)-$AK735))</f>
        <v/>
      </c>
      <c r="AM735" s="18">
        <f>IF($A735="","",$AK735+$AL735)</f>
        <v/>
      </c>
      <c r="AN735" s="5">
        <f>IF($A735="","",IF(OR((IFERROR(INDEX('CAT_ACTIVIDADES'!$D$4:$D$11,MATCH($H735,'CAT_ACTIVIDADES'!$A$4:$A$11,0)),""))=0,(IFERROR(INDEX('CAT_ACTIVIDADES'!$D$4:$D$11,MATCH($H735,'CAT_ACTIVIDADES'!$A$4:$A$11,0)),""))=""),"SIN CLASIFICAR",IFERROR(INDEX('CAT_ACTIVIDADES'!$D$4:$D$11,MATCH($H735,'CAT_ACTIVIDADES'!$A$4:$A$11,0)),"")))</f>
        <v/>
      </c>
      <c r="AO735" s="4" t="n"/>
      <c r="AP735" s="4" t="n"/>
      <c r="AQ735" s="4" t="n"/>
      <c r="AR735" s="5">
        <f>IF($AQ735="","",HYPERLINK(p_ruta_base_checklists&amp;$AQ735,"abrir"))</f>
        <v/>
      </c>
      <c r="AS735" s="4" t="n"/>
      <c r="AT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2" t="n"/>
      <c r="K736" s="5" t="n"/>
      <c r="L736" s="18" t="n"/>
      <c r="M736" s="5">
        <f>IF($A736="","",IFERROR(INDEX('AJUSTES'!$B$4:$B$303,MATCH($AT736,'AJUSTES'!$A$4:$A$303,0)),IF($K736="","",$K736)))</f>
        <v/>
      </c>
      <c r="N736" s="5">
        <f>IF($A736="","",IFERROR(INDEX('CAT_ESTADOS_ERP'!$B$4:$B$7,MATCH(IFERROR(INDEX('2_IMPORTAR_EJECUCION'!$C$9:$C$1208,MATCH($AT736,'2_IMPORTAR_EJECUCION'!$J$9:$J$1208,0)),""),'CAT_ESTADOS_ERP'!$A$4:$A$7,0)),"Pendiente"))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IF($J736="","",$P736&amp;"-"&amp;TEXT($Q736,"00"))</f>
        <v/>
      </c>
      <c r="S736" s="5">
        <f>IF($J736="","",INDEX(lista_dias,WEEKDAY($J736,2)))</f>
        <v/>
      </c>
      <c r="T736" s="5">
        <f>IF($J736="","",IFERROR(INDEX('CALENDARIO'!$C$15:$C$214,MATCH(TEXT($J736,"yyyy-mm-dd")&amp;"|"&amp;$X736&amp;"|"&amp;$Y736,'CALENDARIO'!$G$15:$G$214,0)),IFERROR(INDEX('CALENDARIO'!$C$15:$C$214,MATCH(TEXT($J736,"yyyy-mm-dd")&amp;"|"&amp;$X736&amp;"|",'CALENDARIO'!$G$15:$G$214,0)),IFERROR(INDEX('CALENDARIO'!$C$15:$C$214,MATCH(TEXT($J736,"yyyy-mm-dd")&amp;"||",'CALENDARIO'!$G$15:$G$214,0)),INDEX(patronHabil,WEEKDAY($J736,2))))))</f>
        <v/>
      </c>
      <c r="U736" s="5">
        <f>IF($I736="","",IFERROR(INDEX('CAT_TIPOS_OT'!$C$4:$C$8,MATCH($I736,'CAT_TIPOS_OT'!$A$4:$A$8,0)),"sin_clasificar"))</f>
        <v/>
      </c>
      <c r="V736" s="5">
        <f>IF($I736="","",IF(IFERROR(INDEX('CAT_TIPOS_OT'!$D$4:$D$8,MATCH($I736,'CAT_TIPOS_OT'!$A$4:$A$8,0)),"SIN CLASIFICAR")="","SIN CLASIFICAR",IFERROR(INDEX('CAT_TIPOS_OT'!$D$4:$D$8,MATCH($I736,'CAT_TIPOS_OT'!$A$4:$A$8,0)),"SIN CLASIFICAR")))</f>
        <v/>
      </c>
      <c r="W736" s="5">
        <f>IF($F736="","",IFERROR(INDEX('CAT_CENTROS_COSTO'!$F$4:$F$13,MATCH($F736,'CAT_CENTROS_COSTO'!$A$4:$A$13,0)),"(sin catálogo)"))</f>
        <v/>
      </c>
      <c r="X736" s="5">
        <f>IF($F736="","",IFERROR(INDEX('CAT_CENTROS_COSTO'!$D$4:$D$13,MATCH($F736,'CAT_CENTROS_COSTO'!$A$4:$A$13,0)),"(sin catálogo)"))</f>
        <v/>
      </c>
      <c r="Y736" s="5">
        <f>IF($F736="","",IF((IFERROR(INDEX('CAT_CENTROS_COSTO'!$E$4:$E$13,MATCH($F736,'CAT_CENTROS_COSTO'!$A$4:$A$13,0)),""))&lt;&gt;"",IFERROR(INDEX('CAT_CENTROS_COSTO'!$E$4:$E$13,MATCH($F736,'CAT_CENTROS_COSTO'!$A$4:$A$13,0)),""),$X736))</f>
        <v/>
      </c>
      <c r="Z736" s="5">
        <f>IF($F736="","",IFERROR(INDEX('CAT_CENTROS_COSTO'!$G$4:$G$13,MATCH($F736,'CAT_CENTROS_COSTO'!$A$4:$A$13,0)),"(sin catálogo)"))</f>
        <v/>
      </c>
      <c r="AA736" s="5">
        <f>IF($G736="","",IFERROR(INDEX('CAT_PUESTOS'!$B$4:$B$8,MATCH($G736,'CAT_PUESTOS'!$A$4:$A$8,0)),"(sin catálogo)"))</f>
        <v/>
      </c>
      <c r="AB736" s="5">
        <f>IF($H736="","",IFERROR(INDEX('CAT_ACTIVIDADES'!$B$4:$B$11,MATCH($H736,'CAT_ACTIVIDADES'!$A$4:$A$11,0)),"(sin catálogo)"))</f>
        <v/>
      </c>
      <c r="AC736" s="20">
        <f>IF($J736="","",TODAY()-$J736)</f>
        <v/>
      </c>
      <c r="AD736" s="20">
        <f>IF($J736="","",IF($J736&lt;=TODAY(),COUNTIFS(cal_fechas,"&gt;="&amp;$J736,cal_fechas,"&lt;"&amp;TODAY(),cal_habil,"sí"),-COUNTIFS(cal_fechas,"&gt;="&amp;TODAY(),cal_fechas,"&lt;"&amp;$J736,cal_habil,"sí")))</f>
        <v/>
      </c>
      <c r="AE736" s="5">
        <f>IF($AD736="","",IF($AD736&lt;0,"FUTURO",IF($AD736&gt;p_dias_backlog_max,"BACKLOG","MES CORRIENTE")))</f>
        <v/>
      </c>
      <c r="AF736" s="5">
        <f>IF($AD736="",FALSE,AND($AD736&gt;p_dias_backlog_min,$AD736&lt;=p_dias_backlog_max))</f>
        <v/>
      </c>
      <c r="AG736" s="4" t="n"/>
      <c r="AH736" s="5">
        <f>IF($AG736="","",IF((IFERROR(INDEX('ASIGNACIONES'!$J$4:$J$451,MATCH($O736&amp;"|"&amp;$S736&amp;"|"&amp;$AG736,'ASIGNACIONES'!$N$4:$N$451,0)),""))=0,"",IFERROR(INDEX('ASIGNACIONES'!$J$4:$J$451,MATCH($O736&amp;"|"&amp;$S736&amp;"|"&amp;$AG736,'ASIGNACIONES'!$N$4:$N$451,0)),"")))</f>
        <v/>
      </c>
      <c r="AI736" s="25">
        <f>IF($AG736="","",SUMIFS('ORDENES'!$M$4:$M$1203,'ORDENES'!$AG$4:$AG$1203,$AG736,'ORDENES'!$O$4:$O$1203,$O736,'ORDENES'!$S$4:$S$1203,$S736))</f>
        <v/>
      </c>
      <c r="AJ736" s="25">
        <f>IF($AI736="","",p_factor_productividad*IFERROR(INDEX('ASIGNACIONES'!$M$4:$M$451,MATCH($O736&amp;"|"&amp;$S736&amp;"|"&amp;$AG736,'ASIGNACIONES'!$N$4:$N$451,0)),0)-$AI736)</f>
        <v/>
      </c>
      <c r="AK736" s="18">
        <f>IF($A736="","",IFERROR(INDEX('2_IMPORTAR_EJECUCION'!$F$9:$F$1208,MATCH($AT736,'2_IMPORTAR_EJECUCION'!$J$9:$J$1208,0)),0))</f>
        <v/>
      </c>
      <c r="AL736" s="18">
        <f>IF($A736="","",MAX(0,IFERROR(INDEX('2_IMPORTAR_EJECUCION'!$H$9:$H$1208,MATCH($AT736,'2_IMPORTAR_EJECUCION'!$J$9:$J$1208,0)),0)-$AK736))</f>
        <v/>
      </c>
      <c r="AM736" s="18">
        <f>IF($A736="","",$AK736+$AL736)</f>
        <v/>
      </c>
      <c r="AN736" s="5">
        <f>IF($A736="","",IF(OR((IFERROR(INDEX('CAT_ACTIVIDADES'!$D$4:$D$11,MATCH($H736,'CAT_ACTIVIDADES'!$A$4:$A$11,0)),""))=0,(IFERROR(INDEX('CAT_ACTIVIDADES'!$D$4:$D$11,MATCH($H736,'CAT_ACTIVIDADES'!$A$4:$A$11,0)),""))=""),"SIN CLASIFICAR",IFERROR(INDEX('CAT_ACTIVIDADES'!$D$4:$D$11,MATCH($H736,'CAT_ACTIVIDADES'!$A$4:$A$11,0)),"")))</f>
        <v/>
      </c>
      <c r="AO736" s="4" t="n"/>
      <c r="AP736" s="4" t="n"/>
      <c r="AQ736" s="4" t="n"/>
      <c r="AR736" s="5">
        <f>IF($AQ736="","",HYPERLINK(p_ruta_base_checklists&amp;$AQ736,"abrir"))</f>
        <v/>
      </c>
      <c r="AS736" s="4" t="n"/>
      <c r="AT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2" t="n"/>
      <c r="K737" s="5" t="n"/>
      <c r="L737" s="18" t="n"/>
      <c r="M737" s="5">
        <f>IF($A737="","",IFERROR(INDEX('AJUSTES'!$B$4:$B$303,MATCH($AT737,'AJUSTES'!$A$4:$A$303,0)),IF($K737="","",$K737)))</f>
        <v/>
      </c>
      <c r="N737" s="5">
        <f>IF($A737="","",IFERROR(INDEX('CAT_ESTADOS_ERP'!$B$4:$B$7,MATCH(IFERROR(INDEX('2_IMPORTAR_EJECUCION'!$C$9:$C$1208,MATCH($AT737,'2_IMPORTAR_EJECUCION'!$J$9:$J$1208,0)),""),'CAT_ESTADOS_ERP'!$A$4:$A$7,0)),"Pendiente"))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IF($J737="","",$P737&amp;"-"&amp;TEXT($Q737,"00"))</f>
        <v/>
      </c>
      <c r="S737" s="5">
        <f>IF($J737="","",INDEX(lista_dias,WEEKDAY($J737,2)))</f>
        <v/>
      </c>
      <c r="T737" s="5">
        <f>IF($J737="","",IFERROR(INDEX('CALENDARIO'!$C$15:$C$214,MATCH(TEXT($J737,"yyyy-mm-dd")&amp;"|"&amp;$X737&amp;"|"&amp;$Y737,'CALENDARIO'!$G$15:$G$214,0)),IFERROR(INDEX('CALENDARIO'!$C$15:$C$214,MATCH(TEXT($J737,"yyyy-mm-dd")&amp;"|"&amp;$X737&amp;"|",'CALENDARIO'!$G$15:$G$214,0)),IFERROR(INDEX('CALENDARIO'!$C$15:$C$214,MATCH(TEXT($J737,"yyyy-mm-dd")&amp;"||",'CALENDARIO'!$G$15:$G$214,0)),INDEX(patronHabil,WEEKDAY($J737,2))))))</f>
        <v/>
      </c>
      <c r="U737" s="5">
        <f>IF($I737="","",IFERROR(INDEX('CAT_TIPOS_OT'!$C$4:$C$8,MATCH($I737,'CAT_TIPOS_OT'!$A$4:$A$8,0)),"sin_clasificar"))</f>
        <v/>
      </c>
      <c r="V737" s="5">
        <f>IF($I737="","",IF(IFERROR(INDEX('CAT_TIPOS_OT'!$D$4:$D$8,MATCH($I737,'CAT_TIPOS_OT'!$A$4:$A$8,0)),"SIN CLASIFICAR")="","SIN CLASIFICAR",IFERROR(INDEX('CAT_TIPOS_OT'!$D$4:$D$8,MATCH($I737,'CAT_TIPOS_OT'!$A$4:$A$8,0)),"SIN CLASIFICAR")))</f>
        <v/>
      </c>
      <c r="W737" s="5">
        <f>IF($F737="","",IFERROR(INDEX('CAT_CENTROS_COSTO'!$F$4:$F$13,MATCH($F737,'CAT_CENTROS_COSTO'!$A$4:$A$13,0)),"(sin catálogo)"))</f>
        <v/>
      </c>
      <c r="X737" s="5">
        <f>IF($F737="","",IFERROR(INDEX('CAT_CENTROS_COSTO'!$D$4:$D$13,MATCH($F737,'CAT_CENTROS_COSTO'!$A$4:$A$13,0)),"(sin catálogo)"))</f>
        <v/>
      </c>
      <c r="Y737" s="5">
        <f>IF($F737="","",IF((IFERROR(INDEX('CAT_CENTROS_COSTO'!$E$4:$E$13,MATCH($F737,'CAT_CENTROS_COSTO'!$A$4:$A$13,0)),""))&lt;&gt;"",IFERROR(INDEX('CAT_CENTROS_COSTO'!$E$4:$E$13,MATCH($F737,'CAT_CENTROS_COSTO'!$A$4:$A$13,0)),""),$X737))</f>
        <v/>
      </c>
      <c r="Z737" s="5">
        <f>IF($F737="","",IFERROR(INDEX('CAT_CENTROS_COSTO'!$G$4:$G$13,MATCH($F737,'CAT_CENTROS_COSTO'!$A$4:$A$13,0)),"(sin catálogo)"))</f>
        <v/>
      </c>
      <c r="AA737" s="5">
        <f>IF($G737="","",IFERROR(INDEX('CAT_PUESTOS'!$B$4:$B$8,MATCH($G737,'CAT_PUESTOS'!$A$4:$A$8,0)),"(sin catálogo)"))</f>
        <v/>
      </c>
      <c r="AB737" s="5">
        <f>IF($H737="","",IFERROR(INDEX('CAT_ACTIVIDADES'!$B$4:$B$11,MATCH($H737,'CAT_ACTIVIDADES'!$A$4:$A$11,0)),"(sin catálogo)"))</f>
        <v/>
      </c>
      <c r="AC737" s="20">
        <f>IF($J737="","",TODAY()-$J737)</f>
        <v/>
      </c>
      <c r="AD737" s="20">
        <f>IF($J737="","",IF($J737&lt;=TODAY(),COUNTIFS(cal_fechas,"&gt;="&amp;$J737,cal_fechas,"&lt;"&amp;TODAY(),cal_habil,"sí"),-COUNTIFS(cal_fechas,"&gt;="&amp;TODAY(),cal_fechas,"&lt;"&amp;$J737,cal_habil,"sí")))</f>
        <v/>
      </c>
      <c r="AE737" s="5">
        <f>IF($AD737="","",IF($AD737&lt;0,"FUTURO",IF($AD737&gt;p_dias_backlog_max,"BACKLOG","MES CORRIENTE")))</f>
        <v/>
      </c>
      <c r="AF737" s="5">
        <f>IF($AD737="",FALSE,AND($AD737&gt;p_dias_backlog_min,$AD737&lt;=p_dias_backlog_max))</f>
        <v/>
      </c>
      <c r="AG737" s="4" t="n"/>
      <c r="AH737" s="5">
        <f>IF($AG737="","",IF((IFERROR(INDEX('ASIGNACIONES'!$J$4:$J$451,MATCH($O737&amp;"|"&amp;$S737&amp;"|"&amp;$AG737,'ASIGNACIONES'!$N$4:$N$451,0)),""))=0,"",IFERROR(INDEX('ASIGNACIONES'!$J$4:$J$451,MATCH($O737&amp;"|"&amp;$S737&amp;"|"&amp;$AG737,'ASIGNACIONES'!$N$4:$N$451,0)),"")))</f>
        <v/>
      </c>
      <c r="AI737" s="25">
        <f>IF($AG737="","",SUMIFS('ORDENES'!$M$4:$M$1203,'ORDENES'!$AG$4:$AG$1203,$AG737,'ORDENES'!$O$4:$O$1203,$O737,'ORDENES'!$S$4:$S$1203,$S737))</f>
        <v/>
      </c>
      <c r="AJ737" s="25">
        <f>IF($AI737="","",p_factor_productividad*IFERROR(INDEX('ASIGNACIONES'!$M$4:$M$451,MATCH($O737&amp;"|"&amp;$S737&amp;"|"&amp;$AG737,'ASIGNACIONES'!$N$4:$N$451,0)),0)-$AI737)</f>
        <v/>
      </c>
      <c r="AK737" s="18">
        <f>IF($A737="","",IFERROR(INDEX('2_IMPORTAR_EJECUCION'!$F$9:$F$1208,MATCH($AT737,'2_IMPORTAR_EJECUCION'!$J$9:$J$1208,0)),0))</f>
        <v/>
      </c>
      <c r="AL737" s="18">
        <f>IF($A737="","",MAX(0,IFERROR(INDEX('2_IMPORTAR_EJECUCION'!$H$9:$H$1208,MATCH($AT737,'2_IMPORTAR_EJECUCION'!$J$9:$J$1208,0)),0)-$AK737))</f>
        <v/>
      </c>
      <c r="AM737" s="18">
        <f>IF($A737="","",$AK737+$AL737)</f>
        <v/>
      </c>
      <c r="AN737" s="5">
        <f>IF($A737="","",IF(OR((IFERROR(INDEX('CAT_ACTIVIDADES'!$D$4:$D$11,MATCH($H737,'CAT_ACTIVIDADES'!$A$4:$A$11,0)),""))=0,(IFERROR(INDEX('CAT_ACTIVIDADES'!$D$4:$D$11,MATCH($H737,'CAT_ACTIVIDADES'!$A$4:$A$11,0)),""))=""),"SIN CLASIFICAR",IFERROR(INDEX('CAT_ACTIVIDADES'!$D$4:$D$11,MATCH($H737,'CAT_ACTIVIDADES'!$A$4:$A$11,0)),"")))</f>
        <v/>
      </c>
      <c r="AO737" s="4" t="n"/>
      <c r="AP737" s="4" t="n"/>
      <c r="AQ737" s="4" t="n"/>
      <c r="AR737" s="5">
        <f>IF($AQ737="","",HYPERLINK(p_ruta_base_checklists&amp;$AQ737,"abrir"))</f>
        <v/>
      </c>
      <c r="AS737" s="4" t="n"/>
      <c r="AT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2" t="n"/>
      <c r="K738" s="5" t="n"/>
      <c r="L738" s="18" t="n"/>
      <c r="M738" s="5">
        <f>IF($A738="","",IFERROR(INDEX('AJUSTES'!$B$4:$B$303,MATCH($AT738,'AJUSTES'!$A$4:$A$303,0)),IF($K738="","",$K738)))</f>
        <v/>
      </c>
      <c r="N738" s="5">
        <f>IF($A738="","",IFERROR(INDEX('CAT_ESTADOS_ERP'!$B$4:$B$7,MATCH(IFERROR(INDEX('2_IMPORTAR_EJECUCION'!$C$9:$C$1208,MATCH($AT738,'2_IMPORTAR_EJECUCION'!$J$9:$J$1208,0)),""),'CAT_ESTADOS_ERP'!$A$4:$A$7,0)),"Pendiente"))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IF($J738="","",$P738&amp;"-"&amp;TEXT($Q738,"00"))</f>
        <v/>
      </c>
      <c r="S738" s="5">
        <f>IF($J738="","",INDEX(lista_dias,WEEKDAY($J738,2)))</f>
        <v/>
      </c>
      <c r="T738" s="5">
        <f>IF($J738="","",IFERROR(INDEX('CALENDARIO'!$C$15:$C$214,MATCH(TEXT($J738,"yyyy-mm-dd")&amp;"|"&amp;$X738&amp;"|"&amp;$Y738,'CALENDARIO'!$G$15:$G$214,0)),IFERROR(INDEX('CALENDARIO'!$C$15:$C$214,MATCH(TEXT($J738,"yyyy-mm-dd")&amp;"|"&amp;$X738&amp;"|",'CALENDARIO'!$G$15:$G$214,0)),IFERROR(INDEX('CALENDARIO'!$C$15:$C$214,MATCH(TEXT($J738,"yyyy-mm-dd")&amp;"||",'CALENDARIO'!$G$15:$G$214,0)),INDEX(patronHabil,WEEKDAY($J738,2))))))</f>
        <v/>
      </c>
      <c r="U738" s="5">
        <f>IF($I738="","",IFERROR(INDEX('CAT_TIPOS_OT'!$C$4:$C$8,MATCH($I738,'CAT_TIPOS_OT'!$A$4:$A$8,0)),"sin_clasificar"))</f>
        <v/>
      </c>
      <c r="V738" s="5">
        <f>IF($I738="","",IF(IFERROR(INDEX('CAT_TIPOS_OT'!$D$4:$D$8,MATCH($I738,'CAT_TIPOS_OT'!$A$4:$A$8,0)),"SIN CLASIFICAR")="","SIN CLASIFICAR",IFERROR(INDEX('CAT_TIPOS_OT'!$D$4:$D$8,MATCH($I738,'CAT_TIPOS_OT'!$A$4:$A$8,0)),"SIN CLASIFICAR")))</f>
        <v/>
      </c>
      <c r="W738" s="5">
        <f>IF($F738="","",IFERROR(INDEX('CAT_CENTROS_COSTO'!$F$4:$F$13,MATCH($F738,'CAT_CENTROS_COSTO'!$A$4:$A$13,0)),"(sin catálogo)"))</f>
        <v/>
      </c>
      <c r="X738" s="5">
        <f>IF($F738="","",IFERROR(INDEX('CAT_CENTROS_COSTO'!$D$4:$D$13,MATCH($F738,'CAT_CENTROS_COSTO'!$A$4:$A$13,0)),"(sin catálogo)"))</f>
        <v/>
      </c>
      <c r="Y738" s="5">
        <f>IF($F738="","",IF((IFERROR(INDEX('CAT_CENTROS_COSTO'!$E$4:$E$13,MATCH($F738,'CAT_CENTROS_COSTO'!$A$4:$A$13,0)),""))&lt;&gt;"",IFERROR(INDEX('CAT_CENTROS_COSTO'!$E$4:$E$13,MATCH($F738,'CAT_CENTROS_COSTO'!$A$4:$A$13,0)),""),$X738))</f>
        <v/>
      </c>
      <c r="Z738" s="5">
        <f>IF($F738="","",IFERROR(INDEX('CAT_CENTROS_COSTO'!$G$4:$G$13,MATCH($F738,'CAT_CENTROS_COSTO'!$A$4:$A$13,0)),"(sin catálogo)"))</f>
        <v/>
      </c>
      <c r="AA738" s="5">
        <f>IF($G738="","",IFERROR(INDEX('CAT_PUESTOS'!$B$4:$B$8,MATCH($G738,'CAT_PUESTOS'!$A$4:$A$8,0)),"(sin catálogo)"))</f>
        <v/>
      </c>
      <c r="AB738" s="5">
        <f>IF($H738="","",IFERROR(INDEX('CAT_ACTIVIDADES'!$B$4:$B$11,MATCH($H738,'CAT_ACTIVIDADES'!$A$4:$A$11,0)),"(sin catálogo)"))</f>
        <v/>
      </c>
      <c r="AC738" s="20">
        <f>IF($J738="","",TODAY()-$J738)</f>
        <v/>
      </c>
      <c r="AD738" s="20">
        <f>IF($J738="","",IF($J738&lt;=TODAY(),COUNTIFS(cal_fechas,"&gt;="&amp;$J738,cal_fechas,"&lt;"&amp;TODAY(),cal_habil,"sí"),-COUNTIFS(cal_fechas,"&gt;="&amp;TODAY(),cal_fechas,"&lt;"&amp;$J738,cal_habil,"sí")))</f>
        <v/>
      </c>
      <c r="AE738" s="5">
        <f>IF($AD738="","",IF($AD738&lt;0,"FUTURO",IF($AD738&gt;p_dias_backlog_max,"BACKLOG","MES CORRIENTE")))</f>
        <v/>
      </c>
      <c r="AF738" s="5">
        <f>IF($AD738="",FALSE,AND($AD738&gt;p_dias_backlog_min,$AD738&lt;=p_dias_backlog_max))</f>
        <v/>
      </c>
      <c r="AG738" s="4" t="n"/>
      <c r="AH738" s="5">
        <f>IF($AG738="","",IF((IFERROR(INDEX('ASIGNACIONES'!$J$4:$J$451,MATCH($O738&amp;"|"&amp;$S738&amp;"|"&amp;$AG738,'ASIGNACIONES'!$N$4:$N$451,0)),""))=0,"",IFERROR(INDEX('ASIGNACIONES'!$J$4:$J$451,MATCH($O738&amp;"|"&amp;$S738&amp;"|"&amp;$AG738,'ASIGNACIONES'!$N$4:$N$451,0)),"")))</f>
        <v/>
      </c>
      <c r="AI738" s="25">
        <f>IF($AG738="","",SUMIFS('ORDENES'!$M$4:$M$1203,'ORDENES'!$AG$4:$AG$1203,$AG738,'ORDENES'!$O$4:$O$1203,$O738,'ORDENES'!$S$4:$S$1203,$S738))</f>
        <v/>
      </c>
      <c r="AJ738" s="25">
        <f>IF($AI738="","",p_factor_productividad*IFERROR(INDEX('ASIGNACIONES'!$M$4:$M$451,MATCH($O738&amp;"|"&amp;$S738&amp;"|"&amp;$AG738,'ASIGNACIONES'!$N$4:$N$451,0)),0)-$AI738)</f>
        <v/>
      </c>
      <c r="AK738" s="18">
        <f>IF($A738="","",IFERROR(INDEX('2_IMPORTAR_EJECUCION'!$F$9:$F$1208,MATCH($AT738,'2_IMPORTAR_EJECUCION'!$J$9:$J$1208,0)),0))</f>
        <v/>
      </c>
      <c r="AL738" s="18">
        <f>IF($A738="","",MAX(0,IFERROR(INDEX('2_IMPORTAR_EJECUCION'!$H$9:$H$1208,MATCH($AT738,'2_IMPORTAR_EJECUCION'!$J$9:$J$1208,0)),0)-$AK738))</f>
        <v/>
      </c>
      <c r="AM738" s="18">
        <f>IF($A738="","",$AK738+$AL738)</f>
        <v/>
      </c>
      <c r="AN738" s="5">
        <f>IF($A738="","",IF(OR((IFERROR(INDEX('CAT_ACTIVIDADES'!$D$4:$D$11,MATCH($H738,'CAT_ACTIVIDADES'!$A$4:$A$11,0)),""))=0,(IFERROR(INDEX('CAT_ACTIVIDADES'!$D$4:$D$11,MATCH($H738,'CAT_ACTIVIDADES'!$A$4:$A$11,0)),""))=""),"SIN CLASIFICAR",IFERROR(INDEX('CAT_ACTIVIDADES'!$D$4:$D$11,MATCH($H738,'CAT_ACTIVIDADES'!$A$4:$A$11,0)),"")))</f>
        <v/>
      </c>
      <c r="AO738" s="4" t="n"/>
      <c r="AP738" s="4" t="n"/>
      <c r="AQ738" s="4" t="n"/>
      <c r="AR738" s="5">
        <f>IF($AQ738="","",HYPERLINK(p_ruta_base_checklists&amp;$AQ738,"abrir"))</f>
        <v/>
      </c>
      <c r="AS738" s="4" t="n"/>
      <c r="AT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2" t="n"/>
      <c r="K739" s="5" t="n"/>
      <c r="L739" s="18" t="n"/>
      <c r="M739" s="5">
        <f>IF($A739="","",IFERROR(INDEX('AJUSTES'!$B$4:$B$303,MATCH($AT739,'AJUSTES'!$A$4:$A$303,0)),IF($K739="","",$K739)))</f>
        <v/>
      </c>
      <c r="N739" s="5">
        <f>IF($A739="","",IFERROR(INDEX('CAT_ESTADOS_ERP'!$B$4:$B$7,MATCH(IFERROR(INDEX('2_IMPORTAR_EJECUCION'!$C$9:$C$1208,MATCH($AT739,'2_IMPORTAR_EJECUCION'!$J$9:$J$1208,0)),""),'CAT_ESTADOS_ERP'!$A$4:$A$7,0)),"Pendiente"))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IF($J739="","",$P739&amp;"-"&amp;TEXT($Q739,"00"))</f>
        <v/>
      </c>
      <c r="S739" s="5">
        <f>IF($J739="","",INDEX(lista_dias,WEEKDAY($J739,2)))</f>
        <v/>
      </c>
      <c r="T739" s="5">
        <f>IF($J739="","",IFERROR(INDEX('CALENDARIO'!$C$15:$C$214,MATCH(TEXT($J739,"yyyy-mm-dd")&amp;"|"&amp;$X739&amp;"|"&amp;$Y739,'CALENDARIO'!$G$15:$G$214,0)),IFERROR(INDEX('CALENDARIO'!$C$15:$C$214,MATCH(TEXT($J739,"yyyy-mm-dd")&amp;"|"&amp;$X739&amp;"|",'CALENDARIO'!$G$15:$G$214,0)),IFERROR(INDEX('CALENDARIO'!$C$15:$C$214,MATCH(TEXT($J739,"yyyy-mm-dd")&amp;"||",'CALENDARIO'!$G$15:$G$214,0)),INDEX(patronHabil,WEEKDAY($J739,2))))))</f>
        <v/>
      </c>
      <c r="U739" s="5">
        <f>IF($I739="","",IFERROR(INDEX('CAT_TIPOS_OT'!$C$4:$C$8,MATCH($I739,'CAT_TIPOS_OT'!$A$4:$A$8,0)),"sin_clasificar"))</f>
        <v/>
      </c>
      <c r="V739" s="5">
        <f>IF($I739="","",IF(IFERROR(INDEX('CAT_TIPOS_OT'!$D$4:$D$8,MATCH($I739,'CAT_TIPOS_OT'!$A$4:$A$8,0)),"SIN CLASIFICAR")="","SIN CLASIFICAR",IFERROR(INDEX('CAT_TIPOS_OT'!$D$4:$D$8,MATCH($I739,'CAT_TIPOS_OT'!$A$4:$A$8,0)),"SIN CLASIFICAR")))</f>
        <v/>
      </c>
      <c r="W739" s="5">
        <f>IF($F739="","",IFERROR(INDEX('CAT_CENTROS_COSTO'!$F$4:$F$13,MATCH($F739,'CAT_CENTROS_COSTO'!$A$4:$A$13,0)),"(sin catálogo)"))</f>
        <v/>
      </c>
      <c r="X739" s="5">
        <f>IF($F739="","",IFERROR(INDEX('CAT_CENTROS_COSTO'!$D$4:$D$13,MATCH($F739,'CAT_CENTROS_COSTO'!$A$4:$A$13,0)),"(sin catálogo)"))</f>
        <v/>
      </c>
      <c r="Y739" s="5">
        <f>IF($F739="","",IF((IFERROR(INDEX('CAT_CENTROS_COSTO'!$E$4:$E$13,MATCH($F739,'CAT_CENTROS_COSTO'!$A$4:$A$13,0)),""))&lt;&gt;"",IFERROR(INDEX('CAT_CENTROS_COSTO'!$E$4:$E$13,MATCH($F739,'CAT_CENTROS_COSTO'!$A$4:$A$13,0)),""),$X739))</f>
        <v/>
      </c>
      <c r="Z739" s="5">
        <f>IF($F739="","",IFERROR(INDEX('CAT_CENTROS_COSTO'!$G$4:$G$13,MATCH($F739,'CAT_CENTROS_COSTO'!$A$4:$A$13,0)),"(sin catálogo)"))</f>
        <v/>
      </c>
      <c r="AA739" s="5">
        <f>IF($G739="","",IFERROR(INDEX('CAT_PUESTOS'!$B$4:$B$8,MATCH($G739,'CAT_PUESTOS'!$A$4:$A$8,0)),"(sin catálogo)"))</f>
        <v/>
      </c>
      <c r="AB739" s="5">
        <f>IF($H739="","",IFERROR(INDEX('CAT_ACTIVIDADES'!$B$4:$B$11,MATCH($H739,'CAT_ACTIVIDADES'!$A$4:$A$11,0)),"(sin catálogo)"))</f>
        <v/>
      </c>
      <c r="AC739" s="20">
        <f>IF($J739="","",TODAY()-$J739)</f>
        <v/>
      </c>
      <c r="AD739" s="20">
        <f>IF($J739="","",IF($J739&lt;=TODAY(),COUNTIFS(cal_fechas,"&gt;="&amp;$J739,cal_fechas,"&lt;"&amp;TODAY(),cal_habil,"sí"),-COUNTIFS(cal_fechas,"&gt;="&amp;TODAY(),cal_fechas,"&lt;"&amp;$J739,cal_habil,"sí")))</f>
        <v/>
      </c>
      <c r="AE739" s="5">
        <f>IF($AD739="","",IF($AD739&lt;0,"FUTURO",IF($AD739&gt;p_dias_backlog_max,"BACKLOG","MES CORRIENTE")))</f>
        <v/>
      </c>
      <c r="AF739" s="5">
        <f>IF($AD739="",FALSE,AND($AD739&gt;p_dias_backlog_min,$AD739&lt;=p_dias_backlog_max))</f>
        <v/>
      </c>
      <c r="AG739" s="4" t="n"/>
      <c r="AH739" s="5">
        <f>IF($AG739="","",IF((IFERROR(INDEX('ASIGNACIONES'!$J$4:$J$451,MATCH($O739&amp;"|"&amp;$S739&amp;"|"&amp;$AG739,'ASIGNACIONES'!$N$4:$N$451,0)),""))=0,"",IFERROR(INDEX('ASIGNACIONES'!$J$4:$J$451,MATCH($O739&amp;"|"&amp;$S739&amp;"|"&amp;$AG739,'ASIGNACIONES'!$N$4:$N$451,0)),"")))</f>
        <v/>
      </c>
      <c r="AI739" s="25">
        <f>IF($AG739="","",SUMIFS('ORDENES'!$M$4:$M$1203,'ORDENES'!$AG$4:$AG$1203,$AG739,'ORDENES'!$O$4:$O$1203,$O739,'ORDENES'!$S$4:$S$1203,$S739))</f>
        <v/>
      </c>
      <c r="AJ739" s="25">
        <f>IF($AI739="","",p_factor_productividad*IFERROR(INDEX('ASIGNACIONES'!$M$4:$M$451,MATCH($O739&amp;"|"&amp;$S739&amp;"|"&amp;$AG739,'ASIGNACIONES'!$N$4:$N$451,0)),0)-$AI739)</f>
        <v/>
      </c>
      <c r="AK739" s="18">
        <f>IF($A739="","",IFERROR(INDEX('2_IMPORTAR_EJECUCION'!$F$9:$F$1208,MATCH($AT739,'2_IMPORTAR_EJECUCION'!$J$9:$J$1208,0)),0))</f>
        <v/>
      </c>
      <c r="AL739" s="18">
        <f>IF($A739="","",MAX(0,IFERROR(INDEX('2_IMPORTAR_EJECUCION'!$H$9:$H$1208,MATCH($AT739,'2_IMPORTAR_EJECUCION'!$J$9:$J$1208,0)),0)-$AK739))</f>
        <v/>
      </c>
      <c r="AM739" s="18">
        <f>IF($A739="","",$AK739+$AL739)</f>
        <v/>
      </c>
      <c r="AN739" s="5">
        <f>IF($A739="","",IF(OR((IFERROR(INDEX('CAT_ACTIVIDADES'!$D$4:$D$11,MATCH($H739,'CAT_ACTIVIDADES'!$A$4:$A$11,0)),""))=0,(IFERROR(INDEX('CAT_ACTIVIDADES'!$D$4:$D$11,MATCH($H739,'CAT_ACTIVIDADES'!$A$4:$A$11,0)),""))=""),"SIN CLASIFICAR",IFERROR(INDEX('CAT_ACTIVIDADES'!$D$4:$D$11,MATCH($H739,'CAT_ACTIVIDADES'!$A$4:$A$11,0)),"")))</f>
        <v/>
      </c>
      <c r="AO739" s="4" t="n"/>
      <c r="AP739" s="4" t="n"/>
      <c r="AQ739" s="4" t="n"/>
      <c r="AR739" s="5">
        <f>IF($AQ739="","",HYPERLINK(p_ruta_base_checklists&amp;$AQ739,"abrir"))</f>
        <v/>
      </c>
      <c r="AS739" s="4" t="n"/>
      <c r="AT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2" t="n"/>
      <c r="K740" s="5" t="n"/>
      <c r="L740" s="18" t="n"/>
      <c r="M740" s="5">
        <f>IF($A740="","",IFERROR(INDEX('AJUSTES'!$B$4:$B$303,MATCH($AT740,'AJUSTES'!$A$4:$A$303,0)),IF($K740="","",$K740)))</f>
        <v/>
      </c>
      <c r="N740" s="5">
        <f>IF($A740="","",IFERROR(INDEX('CAT_ESTADOS_ERP'!$B$4:$B$7,MATCH(IFERROR(INDEX('2_IMPORTAR_EJECUCION'!$C$9:$C$1208,MATCH($AT740,'2_IMPORTAR_EJECUCION'!$J$9:$J$1208,0)),""),'CAT_ESTADOS_ERP'!$A$4:$A$7,0)),"Pendiente"))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IF($J740="","",$P740&amp;"-"&amp;TEXT($Q740,"00"))</f>
        <v/>
      </c>
      <c r="S740" s="5">
        <f>IF($J740="","",INDEX(lista_dias,WEEKDAY($J740,2)))</f>
        <v/>
      </c>
      <c r="T740" s="5">
        <f>IF($J740="","",IFERROR(INDEX('CALENDARIO'!$C$15:$C$214,MATCH(TEXT($J740,"yyyy-mm-dd")&amp;"|"&amp;$X740&amp;"|"&amp;$Y740,'CALENDARIO'!$G$15:$G$214,0)),IFERROR(INDEX('CALENDARIO'!$C$15:$C$214,MATCH(TEXT($J740,"yyyy-mm-dd")&amp;"|"&amp;$X740&amp;"|",'CALENDARIO'!$G$15:$G$214,0)),IFERROR(INDEX('CALENDARIO'!$C$15:$C$214,MATCH(TEXT($J740,"yyyy-mm-dd")&amp;"||",'CALENDARIO'!$G$15:$G$214,0)),INDEX(patronHabil,WEEKDAY($J740,2))))))</f>
        <v/>
      </c>
      <c r="U740" s="5">
        <f>IF($I740="","",IFERROR(INDEX('CAT_TIPOS_OT'!$C$4:$C$8,MATCH($I740,'CAT_TIPOS_OT'!$A$4:$A$8,0)),"sin_clasificar"))</f>
        <v/>
      </c>
      <c r="V740" s="5">
        <f>IF($I740="","",IF(IFERROR(INDEX('CAT_TIPOS_OT'!$D$4:$D$8,MATCH($I740,'CAT_TIPOS_OT'!$A$4:$A$8,0)),"SIN CLASIFICAR")="","SIN CLASIFICAR",IFERROR(INDEX('CAT_TIPOS_OT'!$D$4:$D$8,MATCH($I740,'CAT_TIPOS_OT'!$A$4:$A$8,0)),"SIN CLASIFICAR")))</f>
        <v/>
      </c>
      <c r="W740" s="5">
        <f>IF($F740="","",IFERROR(INDEX('CAT_CENTROS_COSTO'!$F$4:$F$13,MATCH($F740,'CAT_CENTROS_COSTO'!$A$4:$A$13,0)),"(sin catálogo)"))</f>
        <v/>
      </c>
      <c r="X740" s="5">
        <f>IF($F740="","",IFERROR(INDEX('CAT_CENTROS_COSTO'!$D$4:$D$13,MATCH($F740,'CAT_CENTROS_COSTO'!$A$4:$A$13,0)),"(sin catálogo)"))</f>
        <v/>
      </c>
      <c r="Y740" s="5">
        <f>IF($F740="","",IF((IFERROR(INDEX('CAT_CENTROS_COSTO'!$E$4:$E$13,MATCH($F740,'CAT_CENTROS_COSTO'!$A$4:$A$13,0)),""))&lt;&gt;"",IFERROR(INDEX('CAT_CENTROS_COSTO'!$E$4:$E$13,MATCH($F740,'CAT_CENTROS_COSTO'!$A$4:$A$13,0)),""),$X740))</f>
        <v/>
      </c>
      <c r="Z740" s="5">
        <f>IF($F740="","",IFERROR(INDEX('CAT_CENTROS_COSTO'!$G$4:$G$13,MATCH($F740,'CAT_CENTROS_COSTO'!$A$4:$A$13,0)),"(sin catálogo)"))</f>
        <v/>
      </c>
      <c r="AA740" s="5">
        <f>IF($G740="","",IFERROR(INDEX('CAT_PUESTOS'!$B$4:$B$8,MATCH($G740,'CAT_PUESTOS'!$A$4:$A$8,0)),"(sin catálogo)"))</f>
        <v/>
      </c>
      <c r="AB740" s="5">
        <f>IF($H740="","",IFERROR(INDEX('CAT_ACTIVIDADES'!$B$4:$B$11,MATCH($H740,'CAT_ACTIVIDADES'!$A$4:$A$11,0)),"(sin catálogo)"))</f>
        <v/>
      </c>
      <c r="AC740" s="20">
        <f>IF($J740="","",TODAY()-$J740)</f>
        <v/>
      </c>
      <c r="AD740" s="20">
        <f>IF($J740="","",IF($J740&lt;=TODAY(),COUNTIFS(cal_fechas,"&gt;="&amp;$J740,cal_fechas,"&lt;"&amp;TODAY(),cal_habil,"sí"),-COUNTIFS(cal_fechas,"&gt;="&amp;TODAY(),cal_fechas,"&lt;"&amp;$J740,cal_habil,"sí")))</f>
        <v/>
      </c>
      <c r="AE740" s="5">
        <f>IF($AD740="","",IF($AD740&lt;0,"FUTURO",IF($AD740&gt;p_dias_backlog_max,"BACKLOG","MES CORRIENTE")))</f>
        <v/>
      </c>
      <c r="AF740" s="5">
        <f>IF($AD740="",FALSE,AND($AD740&gt;p_dias_backlog_min,$AD740&lt;=p_dias_backlog_max))</f>
        <v/>
      </c>
      <c r="AG740" s="4" t="n"/>
      <c r="AH740" s="5">
        <f>IF($AG740="","",IF((IFERROR(INDEX('ASIGNACIONES'!$J$4:$J$451,MATCH($O740&amp;"|"&amp;$S740&amp;"|"&amp;$AG740,'ASIGNACIONES'!$N$4:$N$451,0)),""))=0,"",IFERROR(INDEX('ASIGNACIONES'!$J$4:$J$451,MATCH($O740&amp;"|"&amp;$S740&amp;"|"&amp;$AG740,'ASIGNACIONES'!$N$4:$N$451,0)),"")))</f>
        <v/>
      </c>
      <c r="AI740" s="25">
        <f>IF($AG740="","",SUMIFS('ORDENES'!$M$4:$M$1203,'ORDENES'!$AG$4:$AG$1203,$AG740,'ORDENES'!$O$4:$O$1203,$O740,'ORDENES'!$S$4:$S$1203,$S740))</f>
        <v/>
      </c>
      <c r="AJ740" s="25">
        <f>IF($AI740="","",p_factor_productividad*IFERROR(INDEX('ASIGNACIONES'!$M$4:$M$451,MATCH($O740&amp;"|"&amp;$S740&amp;"|"&amp;$AG740,'ASIGNACIONES'!$N$4:$N$451,0)),0)-$AI740)</f>
        <v/>
      </c>
      <c r="AK740" s="18">
        <f>IF($A740="","",IFERROR(INDEX('2_IMPORTAR_EJECUCION'!$F$9:$F$1208,MATCH($AT740,'2_IMPORTAR_EJECUCION'!$J$9:$J$1208,0)),0))</f>
        <v/>
      </c>
      <c r="AL740" s="18">
        <f>IF($A740="","",MAX(0,IFERROR(INDEX('2_IMPORTAR_EJECUCION'!$H$9:$H$1208,MATCH($AT740,'2_IMPORTAR_EJECUCION'!$J$9:$J$1208,0)),0)-$AK740))</f>
        <v/>
      </c>
      <c r="AM740" s="18">
        <f>IF($A740="","",$AK740+$AL740)</f>
        <v/>
      </c>
      <c r="AN740" s="5">
        <f>IF($A740="","",IF(OR((IFERROR(INDEX('CAT_ACTIVIDADES'!$D$4:$D$11,MATCH($H740,'CAT_ACTIVIDADES'!$A$4:$A$11,0)),""))=0,(IFERROR(INDEX('CAT_ACTIVIDADES'!$D$4:$D$11,MATCH($H740,'CAT_ACTIVIDADES'!$A$4:$A$11,0)),""))=""),"SIN CLASIFICAR",IFERROR(INDEX('CAT_ACTIVIDADES'!$D$4:$D$11,MATCH($H740,'CAT_ACTIVIDADES'!$A$4:$A$11,0)),"")))</f>
        <v/>
      </c>
      <c r="AO740" s="4" t="n"/>
      <c r="AP740" s="4" t="n"/>
      <c r="AQ740" s="4" t="n"/>
      <c r="AR740" s="5">
        <f>IF($AQ740="","",HYPERLINK(p_ruta_base_checklists&amp;$AQ740,"abrir"))</f>
        <v/>
      </c>
      <c r="AS740" s="4" t="n"/>
      <c r="AT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2" t="n"/>
      <c r="K741" s="5" t="n"/>
      <c r="L741" s="18" t="n"/>
      <c r="M741" s="5">
        <f>IF($A741="","",IFERROR(INDEX('AJUSTES'!$B$4:$B$303,MATCH($AT741,'AJUSTES'!$A$4:$A$303,0)),IF($K741="","",$K741)))</f>
        <v/>
      </c>
      <c r="N741" s="5">
        <f>IF($A741="","",IFERROR(INDEX('CAT_ESTADOS_ERP'!$B$4:$B$7,MATCH(IFERROR(INDEX('2_IMPORTAR_EJECUCION'!$C$9:$C$1208,MATCH($AT741,'2_IMPORTAR_EJECUCION'!$J$9:$J$1208,0)),""),'CAT_ESTADOS_ERP'!$A$4:$A$7,0)),"Pendiente"))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IF($J741="","",$P741&amp;"-"&amp;TEXT($Q741,"00"))</f>
        <v/>
      </c>
      <c r="S741" s="5">
        <f>IF($J741="","",INDEX(lista_dias,WEEKDAY($J741,2)))</f>
        <v/>
      </c>
      <c r="T741" s="5">
        <f>IF($J741="","",IFERROR(INDEX('CALENDARIO'!$C$15:$C$214,MATCH(TEXT($J741,"yyyy-mm-dd")&amp;"|"&amp;$X741&amp;"|"&amp;$Y741,'CALENDARIO'!$G$15:$G$214,0)),IFERROR(INDEX('CALENDARIO'!$C$15:$C$214,MATCH(TEXT($J741,"yyyy-mm-dd")&amp;"|"&amp;$X741&amp;"|",'CALENDARIO'!$G$15:$G$214,0)),IFERROR(INDEX('CALENDARIO'!$C$15:$C$214,MATCH(TEXT($J741,"yyyy-mm-dd")&amp;"||",'CALENDARIO'!$G$15:$G$214,0)),INDEX(patronHabil,WEEKDAY($J741,2))))))</f>
        <v/>
      </c>
      <c r="U741" s="5">
        <f>IF($I741="","",IFERROR(INDEX('CAT_TIPOS_OT'!$C$4:$C$8,MATCH($I741,'CAT_TIPOS_OT'!$A$4:$A$8,0)),"sin_clasificar"))</f>
        <v/>
      </c>
      <c r="V741" s="5">
        <f>IF($I741="","",IF(IFERROR(INDEX('CAT_TIPOS_OT'!$D$4:$D$8,MATCH($I741,'CAT_TIPOS_OT'!$A$4:$A$8,0)),"SIN CLASIFICAR")="","SIN CLASIFICAR",IFERROR(INDEX('CAT_TIPOS_OT'!$D$4:$D$8,MATCH($I741,'CAT_TIPOS_OT'!$A$4:$A$8,0)),"SIN CLASIFICAR")))</f>
        <v/>
      </c>
      <c r="W741" s="5">
        <f>IF($F741="","",IFERROR(INDEX('CAT_CENTROS_COSTO'!$F$4:$F$13,MATCH($F741,'CAT_CENTROS_COSTO'!$A$4:$A$13,0)),"(sin catálogo)"))</f>
        <v/>
      </c>
      <c r="X741" s="5">
        <f>IF($F741="","",IFERROR(INDEX('CAT_CENTROS_COSTO'!$D$4:$D$13,MATCH($F741,'CAT_CENTROS_COSTO'!$A$4:$A$13,0)),"(sin catálogo)"))</f>
        <v/>
      </c>
      <c r="Y741" s="5">
        <f>IF($F741="","",IF((IFERROR(INDEX('CAT_CENTROS_COSTO'!$E$4:$E$13,MATCH($F741,'CAT_CENTROS_COSTO'!$A$4:$A$13,0)),""))&lt;&gt;"",IFERROR(INDEX('CAT_CENTROS_COSTO'!$E$4:$E$13,MATCH($F741,'CAT_CENTROS_COSTO'!$A$4:$A$13,0)),""),$X741))</f>
        <v/>
      </c>
      <c r="Z741" s="5">
        <f>IF($F741="","",IFERROR(INDEX('CAT_CENTROS_COSTO'!$G$4:$G$13,MATCH($F741,'CAT_CENTROS_COSTO'!$A$4:$A$13,0)),"(sin catálogo)"))</f>
        <v/>
      </c>
      <c r="AA741" s="5">
        <f>IF($G741="","",IFERROR(INDEX('CAT_PUESTOS'!$B$4:$B$8,MATCH($G741,'CAT_PUESTOS'!$A$4:$A$8,0)),"(sin catálogo)"))</f>
        <v/>
      </c>
      <c r="AB741" s="5">
        <f>IF($H741="","",IFERROR(INDEX('CAT_ACTIVIDADES'!$B$4:$B$11,MATCH($H741,'CAT_ACTIVIDADES'!$A$4:$A$11,0)),"(sin catálogo)"))</f>
        <v/>
      </c>
      <c r="AC741" s="20">
        <f>IF($J741="","",TODAY()-$J741)</f>
        <v/>
      </c>
      <c r="AD741" s="20">
        <f>IF($J741="","",IF($J741&lt;=TODAY(),COUNTIFS(cal_fechas,"&gt;="&amp;$J741,cal_fechas,"&lt;"&amp;TODAY(),cal_habil,"sí"),-COUNTIFS(cal_fechas,"&gt;="&amp;TODAY(),cal_fechas,"&lt;"&amp;$J741,cal_habil,"sí")))</f>
        <v/>
      </c>
      <c r="AE741" s="5">
        <f>IF($AD741="","",IF($AD741&lt;0,"FUTURO",IF($AD741&gt;p_dias_backlog_max,"BACKLOG","MES CORRIENTE")))</f>
        <v/>
      </c>
      <c r="AF741" s="5">
        <f>IF($AD741="",FALSE,AND($AD741&gt;p_dias_backlog_min,$AD741&lt;=p_dias_backlog_max))</f>
        <v/>
      </c>
      <c r="AG741" s="4" t="n"/>
      <c r="AH741" s="5">
        <f>IF($AG741="","",IF((IFERROR(INDEX('ASIGNACIONES'!$J$4:$J$451,MATCH($O741&amp;"|"&amp;$S741&amp;"|"&amp;$AG741,'ASIGNACIONES'!$N$4:$N$451,0)),""))=0,"",IFERROR(INDEX('ASIGNACIONES'!$J$4:$J$451,MATCH($O741&amp;"|"&amp;$S741&amp;"|"&amp;$AG741,'ASIGNACIONES'!$N$4:$N$451,0)),"")))</f>
        <v/>
      </c>
      <c r="AI741" s="25">
        <f>IF($AG741="","",SUMIFS('ORDENES'!$M$4:$M$1203,'ORDENES'!$AG$4:$AG$1203,$AG741,'ORDENES'!$O$4:$O$1203,$O741,'ORDENES'!$S$4:$S$1203,$S741))</f>
        <v/>
      </c>
      <c r="AJ741" s="25">
        <f>IF($AI741="","",p_factor_productividad*IFERROR(INDEX('ASIGNACIONES'!$M$4:$M$451,MATCH($O741&amp;"|"&amp;$S741&amp;"|"&amp;$AG741,'ASIGNACIONES'!$N$4:$N$451,0)),0)-$AI741)</f>
        <v/>
      </c>
      <c r="AK741" s="18">
        <f>IF($A741="","",IFERROR(INDEX('2_IMPORTAR_EJECUCION'!$F$9:$F$1208,MATCH($AT741,'2_IMPORTAR_EJECUCION'!$J$9:$J$1208,0)),0))</f>
        <v/>
      </c>
      <c r="AL741" s="18">
        <f>IF($A741="","",MAX(0,IFERROR(INDEX('2_IMPORTAR_EJECUCION'!$H$9:$H$1208,MATCH($AT741,'2_IMPORTAR_EJECUCION'!$J$9:$J$1208,0)),0)-$AK741))</f>
        <v/>
      </c>
      <c r="AM741" s="18">
        <f>IF($A741="","",$AK741+$AL741)</f>
        <v/>
      </c>
      <c r="AN741" s="5">
        <f>IF($A741="","",IF(OR((IFERROR(INDEX('CAT_ACTIVIDADES'!$D$4:$D$11,MATCH($H741,'CAT_ACTIVIDADES'!$A$4:$A$11,0)),""))=0,(IFERROR(INDEX('CAT_ACTIVIDADES'!$D$4:$D$11,MATCH($H741,'CAT_ACTIVIDADES'!$A$4:$A$11,0)),""))=""),"SIN CLASIFICAR",IFERROR(INDEX('CAT_ACTIVIDADES'!$D$4:$D$11,MATCH($H741,'CAT_ACTIVIDADES'!$A$4:$A$11,0)),"")))</f>
        <v/>
      </c>
      <c r="AO741" s="4" t="n"/>
      <c r="AP741" s="4" t="n"/>
      <c r="AQ741" s="4" t="n"/>
      <c r="AR741" s="5">
        <f>IF($AQ741="","",HYPERLINK(p_ruta_base_checklists&amp;$AQ741,"abrir"))</f>
        <v/>
      </c>
      <c r="AS741" s="4" t="n"/>
      <c r="AT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2" t="n"/>
      <c r="K742" s="5" t="n"/>
      <c r="L742" s="18" t="n"/>
      <c r="M742" s="5">
        <f>IF($A742="","",IFERROR(INDEX('AJUSTES'!$B$4:$B$303,MATCH($AT742,'AJUSTES'!$A$4:$A$303,0)),IF($K742="","",$K742)))</f>
        <v/>
      </c>
      <c r="N742" s="5">
        <f>IF($A742="","",IFERROR(INDEX('CAT_ESTADOS_ERP'!$B$4:$B$7,MATCH(IFERROR(INDEX('2_IMPORTAR_EJECUCION'!$C$9:$C$1208,MATCH($AT742,'2_IMPORTAR_EJECUCION'!$J$9:$J$1208,0)),""),'CAT_ESTADOS_ERP'!$A$4:$A$7,0)),"Pendiente"))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IF($J742="","",$P742&amp;"-"&amp;TEXT($Q742,"00"))</f>
        <v/>
      </c>
      <c r="S742" s="5">
        <f>IF($J742="","",INDEX(lista_dias,WEEKDAY($J742,2)))</f>
        <v/>
      </c>
      <c r="T742" s="5">
        <f>IF($J742="","",IFERROR(INDEX('CALENDARIO'!$C$15:$C$214,MATCH(TEXT($J742,"yyyy-mm-dd")&amp;"|"&amp;$X742&amp;"|"&amp;$Y742,'CALENDARIO'!$G$15:$G$214,0)),IFERROR(INDEX('CALENDARIO'!$C$15:$C$214,MATCH(TEXT($J742,"yyyy-mm-dd")&amp;"|"&amp;$X742&amp;"|",'CALENDARIO'!$G$15:$G$214,0)),IFERROR(INDEX('CALENDARIO'!$C$15:$C$214,MATCH(TEXT($J742,"yyyy-mm-dd")&amp;"||",'CALENDARIO'!$G$15:$G$214,0)),INDEX(patronHabil,WEEKDAY($J742,2))))))</f>
        <v/>
      </c>
      <c r="U742" s="5">
        <f>IF($I742="","",IFERROR(INDEX('CAT_TIPOS_OT'!$C$4:$C$8,MATCH($I742,'CAT_TIPOS_OT'!$A$4:$A$8,0)),"sin_clasificar"))</f>
        <v/>
      </c>
      <c r="V742" s="5">
        <f>IF($I742="","",IF(IFERROR(INDEX('CAT_TIPOS_OT'!$D$4:$D$8,MATCH($I742,'CAT_TIPOS_OT'!$A$4:$A$8,0)),"SIN CLASIFICAR")="","SIN CLASIFICAR",IFERROR(INDEX('CAT_TIPOS_OT'!$D$4:$D$8,MATCH($I742,'CAT_TIPOS_OT'!$A$4:$A$8,0)),"SIN CLASIFICAR")))</f>
        <v/>
      </c>
      <c r="W742" s="5">
        <f>IF($F742="","",IFERROR(INDEX('CAT_CENTROS_COSTO'!$F$4:$F$13,MATCH($F742,'CAT_CENTROS_COSTO'!$A$4:$A$13,0)),"(sin catálogo)"))</f>
        <v/>
      </c>
      <c r="X742" s="5">
        <f>IF($F742="","",IFERROR(INDEX('CAT_CENTROS_COSTO'!$D$4:$D$13,MATCH($F742,'CAT_CENTROS_COSTO'!$A$4:$A$13,0)),"(sin catálogo)"))</f>
        <v/>
      </c>
      <c r="Y742" s="5">
        <f>IF($F742="","",IF((IFERROR(INDEX('CAT_CENTROS_COSTO'!$E$4:$E$13,MATCH($F742,'CAT_CENTROS_COSTO'!$A$4:$A$13,0)),""))&lt;&gt;"",IFERROR(INDEX('CAT_CENTROS_COSTO'!$E$4:$E$13,MATCH($F742,'CAT_CENTROS_COSTO'!$A$4:$A$13,0)),""),$X742))</f>
        <v/>
      </c>
      <c r="Z742" s="5">
        <f>IF($F742="","",IFERROR(INDEX('CAT_CENTROS_COSTO'!$G$4:$G$13,MATCH($F742,'CAT_CENTROS_COSTO'!$A$4:$A$13,0)),"(sin catálogo)"))</f>
        <v/>
      </c>
      <c r="AA742" s="5">
        <f>IF($G742="","",IFERROR(INDEX('CAT_PUESTOS'!$B$4:$B$8,MATCH($G742,'CAT_PUESTOS'!$A$4:$A$8,0)),"(sin catálogo)"))</f>
        <v/>
      </c>
      <c r="AB742" s="5">
        <f>IF($H742="","",IFERROR(INDEX('CAT_ACTIVIDADES'!$B$4:$B$11,MATCH($H742,'CAT_ACTIVIDADES'!$A$4:$A$11,0)),"(sin catálogo)"))</f>
        <v/>
      </c>
      <c r="AC742" s="20">
        <f>IF($J742="","",TODAY()-$J742)</f>
        <v/>
      </c>
      <c r="AD742" s="20">
        <f>IF($J742="","",IF($J742&lt;=TODAY(),COUNTIFS(cal_fechas,"&gt;="&amp;$J742,cal_fechas,"&lt;"&amp;TODAY(),cal_habil,"sí"),-COUNTIFS(cal_fechas,"&gt;="&amp;TODAY(),cal_fechas,"&lt;"&amp;$J742,cal_habil,"sí")))</f>
        <v/>
      </c>
      <c r="AE742" s="5">
        <f>IF($AD742="","",IF($AD742&lt;0,"FUTURO",IF($AD742&gt;p_dias_backlog_max,"BACKLOG","MES CORRIENTE")))</f>
        <v/>
      </c>
      <c r="AF742" s="5">
        <f>IF($AD742="",FALSE,AND($AD742&gt;p_dias_backlog_min,$AD742&lt;=p_dias_backlog_max))</f>
        <v/>
      </c>
      <c r="AG742" s="4" t="n"/>
      <c r="AH742" s="5">
        <f>IF($AG742="","",IF((IFERROR(INDEX('ASIGNACIONES'!$J$4:$J$451,MATCH($O742&amp;"|"&amp;$S742&amp;"|"&amp;$AG742,'ASIGNACIONES'!$N$4:$N$451,0)),""))=0,"",IFERROR(INDEX('ASIGNACIONES'!$J$4:$J$451,MATCH($O742&amp;"|"&amp;$S742&amp;"|"&amp;$AG742,'ASIGNACIONES'!$N$4:$N$451,0)),"")))</f>
        <v/>
      </c>
      <c r="AI742" s="25">
        <f>IF($AG742="","",SUMIFS('ORDENES'!$M$4:$M$1203,'ORDENES'!$AG$4:$AG$1203,$AG742,'ORDENES'!$O$4:$O$1203,$O742,'ORDENES'!$S$4:$S$1203,$S742))</f>
        <v/>
      </c>
      <c r="AJ742" s="25">
        <f>IF($AI742="","",p_factor_productividad*IFERROR(INDEX('ASIGNACIONES'!$M$4:$M$451,MATCH($O742&amp;"|"&amp;$S742&amp;"|"&amp;$AG742,'ASIGNACIONES'!$N$4:$N$451,0)),0)-$AI742)</f>
        <v/>
      </c>
      <c r="AK742" s="18">
        <f>IF($A742="","",IFERROR(INDEX('2_IMPORTAR_EJECUCION'!$F$9:$F$1208,MATCH($AT742,'2_IMPORTAR_EJECUCION'!$J$9:$J$1208,0)),0))</f>
        <v/>
      </c>
      <c r="AL742" s="18">
        <f>IF($A742="","",MAX(0,IFERROR(INDEX('2_IMPORTAR_EJECUCION'!$H$9:$H$1208,MATCH($AT742,'2_IMPORTAR_EJECUCION'!$J$9:$J$1208,0)),0)-$AK742))</f>
        <v/>
      </c>
      <c r="AM742" s="18">
        <f>IF($A742="","",$AK742+$AL742)</f>
        <v/>
      </c>
      <c r="AN742" s="5">
        <f>IF($A742="","",IF(OR((IFERROR(INDEX('CAT_ACTIVIDADES'!$D$4:$D$11,MATCH($H742,'CAT_ACTIVIDADES'!$A$4:$A$11,0)),""))=0,(IFERROR(INDEX('CAT_ACTIVIDADES'!$D$4:$D$11,MATCH($H742,'CAT_ACTIVIDADES'!$A$4:$A$11,0)),""))=""),"SIN CLASIFICAR",IFERROR(INDEX('CAT_ACTIVIDADES'!$D$4:$D$11,MATCH($H742,'CAT_ACTIVIDADES'!$A$4:$A$11,0)),"")))</f>
        <v/>
      </c>
      <c r="AO742" s="4" t="n"/>
      <c r="AP742" s="4" t="n"/>
      <c r="AQ742" s="4" t="n"/>
      <c r="AR742" s="5">
        <f>IF($AQ742="","",HYPERLINK(p_ruta_base_checklists&amp;$AQ742,"abrir"))</f>
        <v/>
      </c>
      <c r="AS742" s="4" t="n"/>
      <c r="AT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2" t="n"/>
      <c r="K743" s="5" t="n"/>
      <c r="L743" s="18" t="n"/>
      <c r="M743" s="5">
        <f>IF($A743="","",IFERROR(INDEX('AJUSTES'!$B$4:$B$303,MATCH($AT743,'AJUSTES'!$A$4:$A$303,0)),IF($K743="","",$K743)))</f>
        <v/>
      </c>
      <c r="N743" s="5">
        <f>IF($A743="","",IFERROR(INDEX('CAT_ESTADOS_ERP'!$B$4:$B$7,MATCH(IFERROR(INDEX('2_IMPORTAR_EJECUCION'!$C$9:$C$1208,MATCH($AT743,'2_IMPORTAR_EJECUCION'!$J$9:$J$1208,0)),""),'CAT_ESTADOS_ERP'!$A$4:$A$7,0)),"Pendiente"))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IF($J743="","",$P743&amp;"-"&amp;TEXT($Q743,"00"))</f>
        <v/>
      </c>
      <c r="S743" s="5">
        <f>IF($J743="","",INDEX(lista_dias,WEEKDAY($J743,2)))</f>
        <v/>
      </c>
      <c r="T743" s="5">
        <f>IF($J743="","",IFERROR(INDEX('CALENDARIO'!$C$15:$C$214,MATCH(TEXT($J743,"yyyy-mm-dd")&amp;"|"&amp;$X743&amp;"|"&amp;$Y743,'CALENDARIO'!$G$15:$G$214,0)),IFERROR(INDEX('CALENDARIO'!$C$15:$C$214,MATCH(TEXT($J743,"yyyy-mm-dd")&amp;"|"&amp;$X743&amp;"|",'CALENDARIO'!$G$15:$G$214,0)),IFERROR(INDEX('CALENDARIO'!$C$15:$C$214,MATCH(TEXT($J743,"yyyy-mm-dd")&amp;"||",'CALENDARIO'!$G$15:$G$214,0)),INDEX(patronHabil,WEEKDAY($J743,2))))))</f>
        <v/>
      </c>
      <c r="U743" s="5">
        <f>IF($I743="","",IFERROR(INDEX('CAT_TIPOS_OT'!$C$4:$C$8,MATCH($I743,'CAT_TIPOS_OT'!$A$4:$A$8,0)),"sin_clasificar"))</f>
        <v/>
      </c>
      <c r="V743" s="5">
        <f>IF($I743="","",IF(IFERROR(INDEX('CAT_TIPOS_OT'!$D$4:$D$8,MATCH($I743,'CAT_TIPOS_OT'!$A$4:$A$8,0)),"SIN CLASIFICAR")="","SIN CLASIFICAR",IFERROR(INDEX('CAT_TIPOS_OT'!$D$4:$D$8,MATCH($I743,'CAT_TIPOS_OT'!$A$4:$A$8,0)),"SIN CLASIFICAR")))</f>
        <v/>
      </c>
      <c r="W743" s="5">
        <f>IF($F743="","",IFERROR(INDEX('CAT_CENTROS_COSTO'!$F$4:$F$13,MATCH($F743,'CAT_CENTROS_COSTO'!$A$4:$A$13,0)),"(sin catálogo)"))</f>
        <v/>
      </c>
      <c r="X743" s="5">
        <f>IF($F743="","",IFERROR(INDEX('CAT_CENTROS_COSTO'!$D$4:$D$13,MATCH($F743,'CAT_CENTROS_COSTO'!$A$4:$A$13,0)),"(sin catálogo)"))</f>
        <v/>
      </c>
      <c r="Y743" s="5">
        <f>IF($F743="","",IF((IFERROR(INDEX('CAT_CENTROS_COSTO'!$E$4:$E$13,MATCH($F743,'CAT_CENTROS_COSTO'!$A$4:$A$13,0)),""))&lt;&gt;"",IFERROR(INDEX('CAT_CENTROS_COSTO'!$E$4:$E$13,MATCH($F743,'CAT_CENTROS_COSTO'!$A$4:$A$13,0)),""),$X743))</f>
        <v/>
      </c>
      <c r="Z743" s="5">
        <f>IF($F743="","",IFERROR(INDEX('CAT_CENTROS_COSTO'!$G$4:$G$13,MATCH($F743,'CAT_CENTROS_COSTO'!$A$4:$A$13,0)),"(sin catálogo)"))</f>
        <v/>
      </c>
      <c r="AA743" s="5">
        <f>IF($G743="","",IFERROR(INDEX('CAT_PUESTOS'!$B$4:$B$8,MATCH($G743,'CAT_PUESTOS'!$A$4:$A$8,0)),"(sin catálogo)"))</f>
        <v/>
      </c>
      <c r="AB743" s="5">
        <f>IF($H743="","",IFERROR(INDEX('CAT_ACTIVIDADES'!$B$4:$B$11,MATCH($H743,'CAT_ACTIVIDADES'!$A$4:$A$11,0)),"(sin catálogo)"))</f>
        <v/>
      </c>
      <c r="AC743" s="20">
        <f>IF($J743="","",TODAY()-$J743)</f>
        <v/>
      </c>
      <c r="AD743" s="20">
        <f>IF($J743="","",IF($J743&lt;=TODAY(),COUNTIFS(cal_fechas,"&gt;="&amp;$J743,cal_fechas,"&lt;"&amp;TODAY(),cal_habil,"sí"),-COUNTIFS(cal_fechas,"&gt;="&amp;TODAY(),cal_fechas,"&lt;"&amp;$J743,cal_habil,"sí")))</f>
        <v/>
      </c>
      <c r="AE743" s="5">
        <f>IF($AD743="","",IF($AD743&lt;0,"FUTURO",IF($AD743&gt;p_dias_backlog_max,"BACKLOG","MES CORRIENTE")))</f>
        <v/>
      </c>
      <c r="AF743" s="5">
        <f>IF($AD743="",FALSE,AND($AD743&gt;p_dias_backlog_min,$AD743&lt;=p_dias_backlog_max))</f>
        <v/>
      </c>
      <c r="AG743" s="4" t="n"/>
      <c r="AH743" s="5">
        <f>IF($AG743="","",IF((IFERROR(INDEX('ASIGNACIONES'!$J$4:$J$451,MATCH($O743&amp;"|"&amp;$S743&amp;"|"&amp;$AG743,'ASIGNACIONES'!$N$4:$N$451,0)),""))=0,"",IFERROR(INDEX('ASIGNACIONES'!$J$4:$J$451,MATCH($O743&amp;"|"&amp;$S743&amp;"|"&amp;$AG743,'ASIGNACIONES'!$N$4:$N$451,0)),"")))</f>
        <v/>
      </c>
      <c r="AI743" s="25">
        <f>IF($AG743="","",SUMIFS('ORDENES'!$M$4:$M$1203,'ORDENES'!$AG$4:$AG$1203,$AG743,'ORDENES'!$O$4:$O$1203,$O743,'ORDENES'!$S$4:$S$1203,$S743))</f>
        <v/>
      </c>
      <c r="AJ743" s="25">
        <f>IF($AI743="","",p_factor_productividad*IFERROR(INDEX('ASIGNACIONES'!$M$4:$M$451,MATCH($O743&amp;"|"&amp;$S743&amp;"|"&amp;$AG743,'ASIGNACIONES'!$N$4:$N$451,0)),0)-$AI743)</f>
        <v/>
      </c>
      <c r="AK743" s="18">
        <f>IF($A743="","",IFERROR(INDEX('2_IMPORTAR_EJECUCION'!$F$9:$F$1208,MATCH($AT743,'2_IMPORTAR_EJECUCION'!$J$9:$J$1208,0)),0))</f>
        <v/>
      </c>
      <c r="AL743" s="18">
        <f>IF($A743="","",MAX(0,IFERROR(INDEX('2_IMPORTAR_EJECUCION'!$H$9:$H$1208,MATCH($AT743,'2_IMPORTAR_EJECUCION'!$J$9:$J$1208,0)),0)-$AK743))</f>
        <v/>
      </c>
      <c r="AM743" s="18">
        <f>IF($A743="","",$AK743+$AL743)</f>
        <v/>
      </c>
      <c r="AN743" s="5">
        <f>IF($A743="","",IF(OR((IFERROR(INDEX('CAT_ACTIVIDADES'!$D$4:$D$11,MATCH($H743,'CAT_ACTIVIDADES'!$A$4:$A$11,0)),""))=0,(IFERROR(INDEX('CAT_ACTIVIDADES'!$D$4:$D$11,MATCH($H743,'CAT_ACTIVIDADES'!$A$4:$A$11,0)),""))=""),"SIN CLASIFICAR",IFERROR(INDEX('CAT_ACTIVIDADES'!$D$4:$D$11,MATCH($H743,'CAT_ACTIVIDADES'!$A$4:$A$11,0)),"")))</f>
        <v/>
      </c>
      <c r="AO743" s="4" t="n"/>
      <c r="AP743" s="4" t="n"/>
      <c r="AQ743" s="4" t="n"/>
      <c r="AR743" s="5">
        <f>IF($AQ743="","",HYPERLINK(p_ruta_base_checklists&amp;$AQ743,"abrir"))</f>
        <v/>
      </c>
      <c r="AS743" s="4" t="n"/>
      <c r="AT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2" t="n"/>
      <c r="K744" s="5" t="n"/>
      <c r="L744" s="18" t="n"/>
      <c r="M744" s="5">
        <f>IF($A744="","",IFERROR(INDEX('AJUSTES'!$B$4:$B$303,MATCH($AT744,'AJUSTES'!$A$4:$A$303,0)),IF($K744="","",$K744)))</f>
        <v/>
      </c>
      <c r="N744" s="5">
        <f>IF($A744="","",IFERROR(INDEX('CAT_ESTADOS_ERP'!$B$4:$B$7,MATCH(IFERROR(INDEX('2_IMPORTAR_EJECUCION'!$C$9:$C$1208,MATCH($AT744,'2_IMPORTAR_EJECUCION'!$J$9:$J$1208,0)),""),'CAT_ESTADOS_ERP'!$A$4:$A$7,0)),"Pendiente"))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IF($J744="","",$P744&amp;"-"&amp;TEXT($Q744,"00"))</f>
        <v/>
      </c>
      <c r="S744" s="5">
        <f>IF($J744="","",INDEX(lista_dias,WEEKDAY($J744,2)))</f>
        <v/>
      </c>
      <c r="T744" s="5">
        <f>IF($J744="","",IFERROR(INDEX('CALENDARIO'!$C$15:$C$214,MATCH(TEXT($J744,"yyyy-mm-dd")&amp;"|"&amp;$X744&amp;"|"&amp;$Y744,'CALENDARIO'!$G$15:$G$214,0)),IFERROR(INDEX('CALENDARIO'!$C$15:$C$214,MATCH(TEXT($J744,"yyyy-mm-dd")&amp;"|"&amp;$X744&amp;"|",'CALENDARIO'!$G$15:$G$214,0)),IFERROR(INDEX('CALENDARIO'!$C$15:$C$214,MATCH(TEXT($J744,"yyyy-mm-dd")&amp;"||",'CALENDARIO'!$G$15:$G$214,0)),INDEX(patronHabil,WEEKDAY($J744,2))))))</f>
        <v/>
      </c>
      <c r="U744" s="5">
        <f>IF($I744="","",IFERROR(INDEX('CAT_TIPOS_OT'!$C$4:$C$8,MATCH($I744,'CAT_TIPOS_OT'!$A$4:$A$8,0)),"sin_clasificar"))</f>
        <v/>
      </c>
      <c r="V744" s="5">
        <f>IF($I744="","",IF(IFERROR(INDEX('CAT_TIPOS_OT'!$D$4:$D$8,MATCH($I744,'CAT_TIPOS_OT'!$A$4:$A$8,0)),"SIN CLASIFICAR")="","SIN CLASIFICAR",IFERROR(INDEX('CAT_TIPOS_OT'!$D$4:$D$8,MATCH($I744,'CAT_TIPOS_OT'!$A$4:$A$8,0)),"SIN CLASIFICAR")))</f>
        <v/>
      </c>
      <c r="W744" s="5">
        <f>IF($F744="","",IFERROR(INDEX('CAT_CENTROS_COSTO'!$F$4:$F$13,MATCH($F744,'CAT_CENTROS_COSTO'!$A$4:$A$13,0)),"(sin catálogo)"))</f>
        <v/>
      </c>
      <c r="X744" s="5">
        <f>IF($F744="","",IFERROR(INDEX('CAT_CENTROS_COSTO'!$D$4:$D$13,MATCH($F744,'CAT_CENTROS_COSTO'!$A$4:$A$13,0)),"(sin catálogo)"))</f>
        <v/>
      </c>
      <c r="Y744" s="5">
        <f>IF($F744="","",IF((IFERROR(INDEX('CAT_CENTROS_COSTO'!$E$4:$E$13,MATCH($F744,'CAT_CENTROS_COSTO'!$A$4:$A$13,0)),""))&lt;&gt;"",IFERROR(INDEX('CAT_CENTROS_COSTO'!$E$4:$E$13,MATCH($F744,'CAT_CENTROS_COSTO'!$A$4:$A$13,0)),""),$X744))</f>
        <v/>
      </c>
      <c r="Z744" s="5">
        <f>IF($F744="","",IFERROR(INDEX('CAT_CENTROS_COSTO'!$G$4:$G$13,MATCH($F744,'CAT_CENTROS_COSTO'!$A$4:$A$13,0)),"(sin catálogo)"))</f>
        <v/>
      </c>
      <c r="AA744" s="5">
        <f>IF($G744="","",IFERROR(INDEX('CAT_PUESTOS'!$B$4:$B$8,MATCH($G744,'CAT_PUESTOS'!$A$4:$A$8,0)),"(sin catálogo)"))</f>
        <v/>
      </c>
      <c r="AB744" s="5">
        <f>IF($H744="","",IFERROR(INDEX('CAT_ACTIVIDADES'!$B$4:$B$11,MATCH($H744,'CAT_ACTIVIDADES'!$A$4:$A$11,0)),"(sin catálogo)"))</f>
        <v/>
      </c>
      <c r="AC744" s="20">
        <f>IF($J744="","",TODAY()-$J744)</f>
        <v/>
      </c>
      <c r="AD744" s="20">
        <f>IF($J744="","",IF($J744&lt;=TODAY(),COUNTIFS(cal_fechas,"&gt;="&amp;$J744,cal_fechas,"&lt;"&amp;TODAY(),cal_habil,"sí"),-COUNTIFS(cal_fechas,"&gt;="&amp;TODAY(),cal_fechas,"&lt;"&amp;$J744,cal_habil,"sí")))</f>
        <v/>
      </c>
      <c r="AE744" s="5">
        <f>IF($AD744="","",IF($AD744&lt;0,"FUTURO",IF($AD744&gt;p_dias_backlog_max,"BACKLOG","MES CORRIENTE")))</f>
        <v/>
      </c>
      <c r="AF744" s="5">
        <f>IF($AD744="",FALSE,AND($AD744&gt;p_dias_backlog_min,$AD744&lt;=p_dias_backlog_max))</f>
        <v/>
      </c>
      <c r="AG744" s="4" t="n"/>
      <c r="AH744" s="5">
        <f>IF($AG744="","",IF((IFERROR(INDEX('ASIGNACIONES'!$J$4:$J$451,MATCH($O744&amp;"|"&amp;$S744&amp;"|"&amp;$AG744,'ASIGNACIONES'!$N$4:$N$451,0)),""))=0,"",IFERROR(INDEX('ASIGNACIONES'!$J$4:$J$451,MATCH($O744&amp;"|"&amp;$S744&amp;"|"&amp;$AG744,'ASIGNACIONES'!$N$4:$N$451,0)),"")))</f>
        <v/>
      </c>
      <c r="AI744" s="25">
        <f>IF($AG744="","",SUMIFS('ORDENES'!$M$4:$M$1203,'ORDENES'!$AG$4:$AG$1203,$AG744,'ORDENES'!$O$4:$O$1203,$O744,'ORDENES'!$S$4:$S$1203,$S744))</f>
        <v/>
      </c>
      <c r="AJ744" s="25">
        <f>IF($AI744="","",p_factor_productividad*IFERROR(INDEX('ASIGNACIONES'!$M$4:$M$451,MATCH($O744&amp;"|"&amp;$S744&amp;"|"&amp;$AG744,'ASIGNACIONES'!$N$4:$N$451,0)),0)-$AI744)</f>
        <v/>
      </c>
      <c r="AK744" s="18">
        <f>IF($A744="","",IFERROR(INDEX('2_IMPORTAR_EJECUCION'!$F$9:$F$1208,MATCH($AT744,'2_IMPORTAR_EJECUCION'!$J$9:$J$1208,0)),0))</f>
        <v/>
      </c>
      <c r="AL744" s="18">
        <f>IF($A744="","",MAX(0,IFERROR(INDEX('2_IMPORTAR_EJECUCION'!$H$9:$H$1208,MATCH($AT744,'2_IMPORTAR_EJECUCION'!$J$9:$J$1208,0)),0)-$AK744))</f>
        <v/>
      </c>
      <c r="AM744" s="18">
        <f>IF($A744="","",$AK744+$AL744)</f>
        <v/>
      </c>
      <c r="AN744" s="5">
        <f>IF($A744="","",IF(OR((IFERROR(INDEX('CAT_ACTIVIDADES'!$D$4:$D$11,MATCH($H744,'CAT_ACTIVIDADES'!$A$4:$A$11,0)),""))=0,(IFERROR(INDEX('CAT_ACTIVIDADES'!$D$4:$D$11,MATCH($H744,'CAT_ACTIVIDADES'!$A$4:$A$11,0)),""))=""),"SIN CLASIFICAR",IFERROR(INDEX('CAT_ACTIVIDADES'!$D$4:$D$11,MATCH($H744,'CAT_ACTIVIDADES'!$A$4:$A$11,0)),"")))</f>
        <v/>
      </c>
      <c r="AO744" s="4" t="n"/>
      <c r="AP744" s="4" t="n"/>
      <c r="AQ744" s="4" t="n"/>
      <c r="AR744" s="5">
        <f>IF($AQ744="","",HYPERLINK(p_ruta_base_checklists&amp;$AQ744,"abrir"))</f>
        <v/>
      </c>
      <c r="AS744" s="4" t="n"/>
      <c r="AT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2" t="n"/>
      <c r="K745" s="5" t="n"/>
      <c r="L745" s="18" t="n"/>
      <c r="M745" s="5">
        <f>IF($A745="","",IFERROR(INDEX('AJUSTES'!$B$4:$B$303,MATCH($AT745,'AJUSTES'!$A$4:$A$303,0)),IF($K745="","",$K745)))</f>
        <v/>
      </c>
      <c r="N745" s="5">
        <f>IF($A745="","",IFERROR(INDEX('CAT_ESTADOS_ERP'!$B$4:$B$7,MATCH(IFERROR(INDEX('2_IMPORTAR_EJECUCION'!$C$9:$C$1208,MATCH($AT745,'2_IMPORTAR_EJECUCION'!$J$9:$J$1208,0)),""),'CAT_ESTADOS_ERP'!$A$4:$A$7,0)),"Pendiente"))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IF($J745="","",$P745&amp;"-"&amp;TEXT($Q745,"00"))</f>
        <v/>
      </c>
      <c r="S745" s="5">
        <f>IF($J745="","",INDEX(lista_dias,WEEKDAY($J745,2)))</f>
        <v/>
      </c>
      <c r="T745" s="5">
        <f>IF($J745="","",IFERROR(INDEX('CALENDARIO'!$C$15:$C$214,MATCH(TEXT($J745,"yyyy-mm-dd")&amp;"|"&amp;$X745&amp;"|"&amp;$Y745,'CALENDARIO'!$G$15:$G$214,0)),IFERROR(INDEX('CALENDARIO'!$C$15:$C$214,MATCH(TEXT($J745,"yyyy-mm-dd")&amp;"|"&amp;$X745&amp;"|",'CALENDARIO'!$G$15:$G$214,0)),IFERROR(INDEX('CALENDARIO'!$C$15:$C$214,MATCH(TEXT($J745,"yyyy-mm-dd")&amp;"||",'CALENDARIO'!$G$15:$G$214,0)),INDEX(patronHabil,WEEKDAY($J745,2))))))</f>
        <v/>
      </c>
      <c r="U745" s="5">
        <f>IF($I745="","",IFERROR(INDEX('CAT_TIPOS_OT'!$C$4:$C$8,MATCH($I745,'CAT_TIPOS_OT'!$A$4:$A$8,0)),"sin_clasificar"))</f>
        <v/>
      </c>
      <c r="V745" s="5">
        <f>IF($I745="","",IF(IFERROR(INDEX('CAT_TIPOS_OT'!$D$4:$D$8,MATCH($I745,'CAT_TIPOS_OT'!$A$4:$A$8,0)),"SIN CLASIFICAR")="","SIN CLASIFICAR",IFERROR(INDEX('CAT_TIPOS_OT'!$D$4:$D$8,MATCH($I745,'CAT_TIPOS_OT'!$A$4:$A$8,0)),"SIN CLASIFICAR")))</f>
        <v/>
      </c>
      <c r="W745" s="5">
        <f>IF($F745="","",IFERROR(INDEX('CAT_CENTROS_COSTO'!$F$4:$F$13,MATCH($F745,'CAT_CENTROS_COSTO'!$A$4:$A$13,0)),"(sin catálogo)"))</f>
        <v/>
      </c>
      <c r="X745" s="5">
        <f>IF($F745="","",IFERROR(INDEX('CAT_CENTROS_COSTO'!$D$4:$D$13,MATCH($F745,'CAT_CENTROS_COSTO'!$A$4:$A$13,0)),"(sin catálogo)"))</f>
        <v/>
      </c>
      <c r="Y745" s="5">
        <f>IF($F745="","",IF((IFERROR(INDEX('CAT_CENTROS_COSTO'!$E$4:$E$13,MATCH($F745,'CAT_CENTROS_COSTO'!$A$4:$A$13,0)),""))&lt;&gt;"",IFERROR(INDEX('CAT_CENTROS_COSTO'!$E$4:$E$13,MATCH($F745,'CAT_CENTROS_COSTO'!$A$4:$A$13,0)),""),$X745))</f>
        <v/>
      </c>
      <c r="Z745" s="5">
        <f>IF($F745="","",IFERROR(INDEX('CAT_CENTROS_COSTO'!$G$4:$G$13,MATCH($F745,'CAT_CENTROS_COSTO'!$A$4:$A$13,0)),"(sin catálogo)"))</f>
        <v/>
      </c>
      <c r="AA745" s="5">
        <f>IF($G745="","",IFERROR(INDEX('CAT_PUESTOS'!$B$4:$B$8,MATCH($G745,'CAT_PUESTOS'!$A$4:$A$8,0)),"(sin catálogo)"))</f>
        <v/>
      </c>
      <c r="AB745" s="5">
        <f>IF($H745="","",IFERROR(INDEX('CAT_ACTIVIDADES'!$B$4:$B$11,MATCH($H745,'CAT_ACTIVIDADES'!$A$4:$A$11,0)),"(sin catálogo)"))</f>
        <v/>
      </c>
      <c r="AC745" s="20">
        <f>IF($J745="","",TODAY()-$J745)</f>
        <v/>
      </c>
      <c r="AD745" s="20">
        <f>IF($J745="","",IF($J745&lt;=TODAY(),COUNTIFS(cal_fechas,"&gt;="&amp;$J745,cal_fechas,"&lt;"&amp;TODAY(),cal_habil,"sí"),-COUNTIFS(cal_fechas,"&gt;="&amp;TODAY(),cal_fechas,"&lt;"&amp;$J745,cal_habil,"sí")))</f>
        <v/>
      </c>
      <c r="AE745" s="5">
        <f>IF($AD745="","",IF($AD745&lt;0,"FUTURO",IF($AD745&gt;p_dias_backlog_max,"BACKLOG","MES CORRIENTE")))</f>
        <v/>
      </c>
      <c r="AF745" s="5">
        <f>IF($AD745="",FALSE,AND($AD745&gt;p_dias_backlog_min,$AD745&lt;=p_dias_backlog_max))</f>
        <v/>
      </c>
      <c r="AG745" s="4" t="n"/>
      <c r="AH745" s="5">
        <f>IF($AG745="","",IF((IFERROR(INDEX('ASIGNACIONES'!$J$4:$J$451,MATCH($O745&amp;"|"&amp;$S745&amp;"|"&amp;$AG745,'ASIGNACIONES'!$N$4:$N$451,0)),""))=0,"",IFERROR(INDEX('ASIGNACIONES'!$J$4:$J$451,MATCH($O745&amp;"|"&amp;$S745&amp;"|"&amp;$AG745,'ASIGNACIONES'!$N$4:$N$451,0)),"")))</f>
        <v/>
      </c>
      <c r="AI745" s="25">
        <f>IF($AG745="","",SUMIFS('ORDENES'!$M$4:$M$1203,'ORDENES'!$AG$4:$AG$1203,$AG745,'ORDENES'!$O$4:$O$1203,$O745,'ORDENES'!$S$4:$S$1203,$S745))</f>
        <v/>
      </c>
      <c r="AJ745" s="25">
        <f>IF($AI745="","",p_factor_productividad*IFERROR(INDEX('ASIGNACIONES'!$M$4:$M$451,MATCH($O745&amp;"|"&amp;$S745&amp;"|"&amp;$AG745,'ASIGNACIONES'!$N$4:$N$451,0)),0)-$AI745)</f>
        <v/>
      </c>
      <c r="AK745" s="18">
        <f>IF($A745="","",IFERROR(INDEX('2_IMPORTAR_EJECUCION'!$F$9:$F$1208,MATCH($AT745,'2_IMPORTAR_EJECUCION'!$J$9:$J$1208,0)),0))</f>
        <v/>
      </c>
      <c r="AL745" s="18">
        <f>IF($A745="","",MAX(0,IFERROR(INDEX('2_IMPORTAR_EJECUCION'!$H$9:$H$1208,MATCH($AT745,'2_IMPORTAR_EJECUCION'!$J$9:$J$1208,0)),0)-$AK745))</f>
        <v/>
      </c>
      <c r="AM745" s="18">
        <f>IF($A745="","",$AK745+$AL745)</f>
        <v/>
      </c>
      <c r="AN745" s="5">
        <f>IF($A745="","",IF(OR((IFERROR(INDEX('CAT_ACTIVIDADES'!$D$4:$D$11,MATCH($H745,'CAT_ACTIVIDADES'!$A$4:$A$11,0)),""))=0,(IFERROR(INDEX('CAT_ACTIVIDADES'!$D$4:$D$11,MATCH($H745,'CAT_ACTIVIDADES'!$A$4:$A$11,0)),""))=""),"SIN CLASIFICAR",IFERROR(INDEX('CAT_ACTIVIDADES'!$D$4:$D$11,MATCH($H745,'CAT_ACTIVIDADES'!$A$4:$A$11,0)),"")))</f>
        <v/>
      </c>
      <c r="AO745" s="4" t="n"/>
      <c r="AP745" s="4" t="n"/>
      <c r="AQ745" s="4" t="n"/>
      <c r="AR745" s="5">
        <f>IF($AQ745="","",HYPERLINK(p_ruta_base_checklists&amp;$AQ745,"abrir"))</f>
        <v/>
      </c>
      <c r="AS745" s="4" t="n"/>
      <c r="AT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2" t="n"/>
      <c r="K746" s="5" t="n"/>
      <c r="L746" s="18" t="n"/>
      <c r="M746" s="5">
        <f>IF($A746="","",IFERROR(INDEX('AJUSTES'!$B$4:$B$303,MATCH($AT746,'AJUSTES'!$A$4:$A$303,0)),IF($K746="","",$K746)))</f>
        <v/>
      </c>
      <c r="N746" s="5">
        <f>IF($A746="","",IFERROR(INDEX('CAT_ESTADOS_ERP'!$B$4:$B$7,MATCH(IFERROR(INDEX('2_IMPORTAR_EJECUCION'!$C$9:$C$1208,MATCH($AT746,'2_IMPORTAR_EJECUCION'!$J$9:$J$1208,0)),""),'CAT_ESTADOS_ERP'!$A$4:$A$7,0)),"Pendiente"))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IF($J746="","",$P746&amp;"-"&amp;TEXT($Q746,"00"))</f>
        <v/>
      </c>
      <c r="S746" s="5">
        <f>IF($J746="","",INDEX(lista_dias,WEEKDAY($J746,2)))</f>
        <v/>
      </c>
      <c r="T746" s="5">
        <f>IF($J746="","",IFERROR(INDEX('CALENDARIO'!$C$15:$C$214,MATCH(TEXT($J746,"yyyy-mm-dd")&amp;"|"&amp;$X746&amp;"|"&amp;$Y746,'CALENDARIO'!$G$15:$G$214,0)),IFERROR(INDEX('CALENDARIO'!$C$15:$C$214,MATCH(TEXT($J746,"yyyy-mm-dd")&amp;"|"&amp;$X746&amp;"|",'CALENDARIO'!$G$15:$G$214,0)),IFERROR(INDEX('CALENDARIO'!$C$15:$C$214,MATCH(TEXT($J746,"yyyy-mm-dd")&amp;"||",'CALENDARIO'!$G$15:$G$214,0)),INDEX(patronHabil,WEEKDAY($J746,2))))))</f>
        <v/>
      </c>
      <c r="U746" s="5">
        <f>IF($I746="","",IFERROR(INDEX('CAT_TIPOS_OT'!$C$4:$C$8,MATCH($I746,'CAT_TIPOS_OT'!$A$4:$A$8,0)),"sin_clasificar"))</f>
        <v/>
      </c>
      <c r="V746" s="5">
        <f>IF($I746="","",IF(IFERROR(INDEX('CAT_TIPOS_OT'!$D$4:$D$8,MATCH($I746,'CAT_TIPOS_OT'!$A$4:$A$8,0)),"SIN CLASIFICAR")="","SIN CLASIFICAR",IFERROR(INDEX('CAT_TIPOS_OT'!$D$4:$D$8,MATCH($I746,'CAT_TIPOS_OT'!$A$4:$A$8,0)),"SIN CLASIFICAR")))</f>
        <v/>
      </c>
      <c r="W746" s="5">
        <f>IF($F746="","",IFERROR(INDEX('CAT_CENTROS_COSTO'!$F$4:$F$13,MATCH($F746,'CAT_CENTROS_COSTO'!$A$4:$A$13,0)),"(sin catálogo)"))</f>
        <v/>
      </c>
      <c r="X746" s="5">
        <f>IF($F746="","",IFERROR(INDEX('CAT_CENTROS_COSTO'!$D$4:$D$13,MATCH($F746,'CAT_CENTROS_COSTO'!$A$4:$A$13,0)),"(sin catálogo)"))</f>
        <v/>
      </c>
      <c r="Y746" s="5">
        <f>IF($F746="","",IF((IFERROR(INDEX('CAT_CENTROS_COSTO'!$E$4:$E$13,MATCH($F746,'CAT_CENTROS_COSTO'!$A$4:$A$13,0)),""))&lt;&gt;"",IFERROR(INDEX('CAT_CENTROS_COSTO'!$E$4:$E$13,MATCH($F746,'CAT_CENTROS_COSTO'!$A$4:$A$13,0)),""),$X746))</f>
        <v/>
      </c>
      <c r="Z746" s="5">
        <f>IF($F746="","",IFERROR(INDEX('CAT_CENTROS_COSTO'!$G$4:$G$13,MATCH($F746,'CAT_CENTROS_COSTO'!$A$4:$A$13,0)),"(sin catálogo)"))</f>
        <v/>
      </c>
      <c r="AA746" s="5">
        <f>IF($G746="","",IFERROR(INDEX('CAT_PUESTOS'!$B$4:$B$8,MATCH($G746,'CAT_PUESTOS'!$A$4:$A$8,0)),"(sin catálogo)"))</f>
        <v/>
      </c>
      <c r="AB746" s="5">
        <f>IF($H746="","",IFERROR(INDEX('CAT_ACTIVIDADES'!$B$4:$B$11,MATCH($H746,'CAT_ACTIVIDADES'!$A$4:$A$11,0)),"(sin catálogo)"))</f>
        <v/>
      </c>
      <c r="AC746" s="20">
        <f>IF($J746="","",TODAY()-$J746)</f>
        <v/>
      </c>
      <c r="AD746" s="20">
        <f>IF($J746="","",IF($J746&lt;=TODAY(),COUNTIFS(cal_fechas,"&gt;="&amp;$J746,cal_fechas,"&lt;"&amp;TODAY(),cal_habil,"sí"),-COUNTIFS(cal_fechas,"&gt;="&amp;TODAY(),cal_fechas,"&lt;"&amp;$J746,cal_habil,"sí")))</f>
        <v/>
      </c>
      <c r="AE746" s="5">
        <f>IF($AD746="","",IF($AD746&lt;0,"FUTURO",IF($AD746&gt;p_dias_backlog_max,"BACKLOG","MES CORRIENTE")))</f>
        <v/>
      </c>
      <c r="AF746" s="5">
        <f>IF($AD746="",FALSE,AND($AD746&gt;p_dias_backlog_min,$AD746&lt;=p_dias_backlog_max))</f>
        <v/>
      </c>
      <c r="AG746" s="4" t="n"/>
      <c r="AH746" s="5">
        <f>IF($AG746="","",IF((IFERROR(INDEX('ASIGNACIONES'!$J$4:$J$451,MATCH($O746&amp;"|"&amp;$S746&amp;"|"&amp;$AG746,'ASIGNACIONES'!$N$4:$N$451,0)),""))=0,"",IFERROR(INDEX('ASIGNACIONES'!$J$4:$J$451,MATCH($O746&amp;"|"&amp;$S746&amp;"|"&amp;$AG746,'ASIGNACIONES'!$N$4:$N$451,0)),"")))</f>
        <v/>
      </c>
      <c r="AI746" s="25">
        <f>IF($AG746="","",SUMIFS('ORDENES'!$M$4:$M$1203,'ORDENES'!$AG$4:$AG$1203,$AG746,'ORDENES'!$O$4:$O$1203,$O746,'ORDENES'!$S$4:$S$1203,$S746))</f>
        <v/>
      </c>
      <c r="AJ746" s="25">
        <f>IF($AI746="","",p_factor_productividad*IFERROR(INDEX('ASIGNACIONES'!$M$4:$M$451,MATCH($O746&amp;"|"&amp;$S746&amp;"|"&amp;$AG746,'ASIGNACIONES'!$N$4:$N$451,0)),0)-$AI746)</f>
        <v/>
      </c>
      <c r="AK746" s="18">
        <f>IF($A746="","",IFERROR(INDEX('2_IMPORTAR_EJECUCION'!$F$9:$F$1208,MATCH($AT746,'2_IMPORTAR_EJECUCION'!$J$9:$J$1208,0)),0))</f>
        <v/>
      </c>
      <c r="AL746" s="18">
        <f>IF($A746="","",MAX(0,IFERROR(INDEX('2_IMPORTAR_EJECUCION'!$H$9:$H$1208,MATCH($AT746,'2_IMPORTAR_EJECUCION'!$J$9:$J$1208,0)),0)-$AK746))</f>
        <v/>
      </c>
      <c r="AM746" s="18">
        <f>IF($A746="","",$AK746+$AL746)</f>
        <v/>
      </c>
      <c r="AN746" s="5">
        <f>IF($A746="","",IF(OR((IFERROR(INDEX('CAT_ACTIVIDADES'!$D$4:$D$11,MATCH($H746,'CAT_ACTIVIDADES'!$A$4:$A$11,0)),""))=0,(IFERROR(INDEX('CAT_ACTIVIDADES'!$D$4:$D$11,MATCH($H746,'CAT_ACTIVIDADES'!$A$4:$A$11,0)),""))=""),"SIN CLASIFICAR",IFERROR(INDEX('CAT_ACTIVIDADES'!$D$4:$D$11,MATCH($H746,'CAT_ACTIVIDADES'!$A$4:$A$11,0)),"")))</f>
        <v/>
      </c>
      <c r="AO746" s="4" t="n"/>
      <c r="AP746" s="4" t="n"/>
      <c r="AQ746" s="4" t="n"/>
      <c r="AR746" s="5">
        <f>IF($AQ746="","",HYPERLINK(p_ruta_base_checklists&amp;$AQ746,"abrir"))</f>
        <v/>
      </c>
      <c r="AS746" s="4" t="n"/>
      <c r="AT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2" t="n"/>
      <c r="K747" s="5" t="n"/>
      <c r="L747" s="18" t="n"/>
      <c r="M747" s="5">
        <f>IF($A747="","",IFERROR(INDEX('AJUSTES'!$B$4:$B$303,MATCH($AT747,'AJUSTES'!$A$4:$A$303,0)),IF($K747="","",$K747)))</f>
        <v/>
      </c>
      <c r="N747" s="5">
        <f>IF($A747="","",IFERROR(INDEX('CAT_ESTADOS_ERP'!$B$4:$B$7,MATCH(IFERROR(INDEX('2_IMPORTAR_EJECUCION'!$C$9:$C$1208,MATCH($AT747,'2_IMPORTAR_EJECUCION'!$J$9:$J$1208,0)),""),'CAT_ESTADOS_ERP'!$A$4:$A$7,0)),"Pendiente"))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IF($J747="","",$P747&amp;"-"&amp;TEXT($Q747,"00"))</f>
        <v/>
      </c>
      <c r="S747" s="5">
        <f>IF($J747="","",INDEX(lista_dias,WEEKDAY($J747,2)))</f>
        <v/>
      </c>
      <c r="T747" s="5">
        <f>IF($J747="","",IFERROR(INDEX('CALENDARIO'!$C$15:$C$214,MATCH(TEXT($J747,"yyyy-mm-dd")&amp;"|"&amp;$X747&amp;"|"&amp;$Y747,'CALENDARIO'!$G$15:$G$214,0)),IFERROR(INDEX('CALENDARIO'!$C$15:$C$214,MATCH(TEXT($J747,"yyyy-mm-dd")&amp;"|"&amp;$X747&amp;"|",'CALENDARIO'!$G$15:$G$214,0)),IFERROR(INDEX('CALENDARIO'!$C$15:$C$214,MATCH(TEXT($J747,"yyyy-mm-dd")&amp;"||",'CALENDARIO'!$G$15:$G$214,0)),INDEX(patronHabil,WEEKDAY($J747,2))))))</f>
        <v/>
      </c>
      <c r="U747" s="5">
        <f>IF($I747="","",IFERROR(INDEX('CAT_TIPOS_OT'!$C$4:$C$8,MATCH($I747,'CAT_TIPOS_OT'!$A$4:$A$8,0)),"sin_clasificar"))</f>
        <v/>
      </c>
      <c r="V747" s="5">
        <f>IF($I747="","",IF(IFERROR(INDEX('CAT_TIPOS_OT'!$D$4:$D$8,MATCH($I747,'CAT_TIPOS_OT'!$A$4:$A$8,0)),"SIN CLASIFICAR")="","SIN CLASIFICAR",IFERROR(INDEX('CAT_TIPOS_OT'!$D$4:$D$8,MATCH($I747,'CAT_TIPOS_OT'!$A$4:$A$8,0)),"SIN CLASIFICAR")))</f>
        <v/>
      </c>
      <c r="W747" s="5">
        <f>IF($F747="","",IFERROR(INDEX('CAT_CENTROS_COSTO'!$F$4:$F$13,MATCH($F747,'CAT_CENTROS_COSTO'!$A$4:$A$13,0)),"(sin catálogo)"))</f>
        <v/>
      </c>
      <c r="X747" s="5">
        <f>IF($F747="","",IFERROR(INDEX('CAT_CENTROS_COSTO'!$D$4:$D$13,MATCH($F747,'CAT_CENTROS_COSTO'!$A$4:$A$13,0)),"(sin catálogo)"))</f>
        <v/>
      </c>
      <c r="Y747" s="5">
        <f>IF($F747="","",IF((IFERROR(INDEX('CAT_CENTROS_COSTO'!$E$4:$E$13,MATCH($F747,'CAT_CENTROS_COSTO'!$A$4:$A$13,0)),""))&lt;&gt;"",IFERROR(INDEX('CAT_CENTROS_COSTO'!$E$4:$E$13,MATCH($F747,'CAT_CENTROS_COSTO'!$A$4:$A$13,0)),""),$X747))</f>
        <v/>
      </c>
      <c r="Z747" s="5">
        <f>IF($F747="","",IFERROR(INDEX('CAT_CENTROS_COSTO'!$G$4:$G$13,MATCH($F747,'CAT_CENTROS_COSTO'!$A$4:$A$13,0)),"(sin catálogo)"))</f>
        <v/>
      </c>
      <c r="AA747" s="5">
        <f>IF($G747="","",IFERROR(INDEX('CAT_PUESTOS'!$B$4:$B$8,MATCH($G747,'CAT_PUESTOS'!$A$4:$A$8,0)),"(sin catálogo)"))</f>
        <v/>
      </c>
      <c r="AB747" s="5">
        <f>IF($H747="","",IFERROR(INDEX('CAT_ACTIVIDADES'!$B$4:$B$11,MATCH($H747,'CAT_ACTIVIDADES'!$A$4:$A$11,0)),"(sin catálogo)"))</f>
        <v/>
      </c>
      <c r="AC747" s="20">
        <f>IF($J747="","",TODAY()-$J747)</f>
        <v/>
      </c>
      <c r="AD747" s="20">
        <f>IF($J747="","",IF($J747&lt;=TODAY(),COUNTIFS(cal_fechas,"&gt;="&amp;$J747,cal_fechas,"&lt;"&amp;TODAY(),cal_habil,"sí"),-COUNTIFS(cal_fechas,"&gt;="&amp;TODAY(),cal_fechas,"&lt;"&amp;$J747,cal_habil,"sí")))</f>
        <v/>
      </c>
      <c r="AE747" s="5">
        <f>IF($AD747="","",IF($AD747&lt;0,"FUTURO",IF($AD747&gt;p_dias_backlog_max,"BACKLOG","MES CORRIENTE")))</f>
        <v/>
      </c>
      <c r="AF747" s="5">
        <f>IF($AD747="",FALSE,AND($AD747&gt;p_dias_backlog_min,$AD747&lt;=p_dias_backlog_max))</f>
        <v/>
      </c>
      <c r="AG747" s="4" t="n"/>
      <c r="AH747" s="5">
        <f>IF($AG747="","",IF((IFERROR(INDEX('ASIGNACIONES'!$J$4:$J$451,MATCH($O747&amp;"|"&amp;$S747&amp;"|"&amp;$AG747,'ASIGNACIONES'!$N$4:$N$451,0)),""))=0,"",IFERROR(INDEX('ASIGNACIONES'!$J$4:$J$451,MATCH($O747&amp;"|"&amp;$S747&amp;"|"&amp;$AG747,'ASIGNACIONES'!$N$4:$N$451,0)),"")))</f>
        <v/>
      </c>
      <c r="AI747" s="25">
        <f>IF($AG747="","",SUMIFS('ORDENES'!$M$4:$M$1203,'ORDENES'!$AG$4:$AG$1203,$AG747,'ORDENES'!$O$4:$O$1203,$O747,'ORDENES'!$S$4:$S$1203,$S747))</f>
        <v/>
      </c>
      <c r="AJ747" s="25">
        <f>IF($AI747="","",p_factor_productividad*IFERROR(INDEX('ASIGNACIONES'!$M$4:$M$451,MATCH($O747&amp;"|"&amp;$S747&amp;"|"&amp;$AG747,'ASIGNACIONES'!$N$4:$N$451,0)),0)-$AI747)</f>
        <v/>
      </c>
      <c r="AK747" s="18">
        <f>IF($A747="","",IFERROR(INDEX('2_IMPORTAR_EJECUCION'!$F$9:$F$1208,MATCH($AT747,'2_IMPORTAR_EJECUCION'!$J$9:$J$1208,0)),0))</f>
        <v/>
      </c>
      <c r="AL747" s="18">
        <f>IF($A747="","",MAX(0,IFERROR(INDEX('2_IMPORTAR_EJECUCION'!$H$9:$H$1208,MATCH($AT747,'2_IMPORTAR_EJECUCION'!$J$9:$J$1208,0)),0)-$AK747))</f>
        <v/>
      </c>
      <c r="AM747" s="18">
        <f>IF($A747="","",$AK747+$AL747)</f>
        <v/>
      </c>
      <c r="AN747" s="5">
        <f>IF($A747="","",IF(OR((IFERROR(INDEX('CAT_ACTIVIDADES'!$D$4:$D$11,MATCH($H747,'CAT_ACTIVIDADES'!$A$4:$A$11,0)),""))=0,(IFERROR(INDEX('CAT_ACTIVIDADES'!$D$4:$D$11,MATCH($H747,'CAT_ACTIVIDADES'!$A$4:$A$11,0)),""))=""),"SIN CLASIFICAR",IFERROR(INDEX('CAT_ACTIVIDADES'!$D$4:$D$11,MATCH($H747,'CAT_ACTIVIDADES'!$A$4:$A$11,0)),"")))</f>
        <v/>
      </c>
      <c r="AO747" s="4" t="n"/>
      <c r="AP747" s="4" t="n"/>
      <c r="AQ747" s="4" t="n"/>
      <c r="AR747" s="5">
        <f>IF($AQ747="","",HYPERLINK(p_ruta_base_checklists&amp;$AQ747,"abrir"))</f>
        <v/>
      </c>
      <c r="AS747" s="4" t="n"/>
      <c r="AT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2" t="n"/>
      <c r="K748" s="5" t="n"/>
      <c r="L748" s="18" t="n"/>
      <c r="M748" s="5">
        <f>IF($A748="","",IFERROR(INDEX('AJUSTES'!$B$4:$B$303,MATCH($AT748,'AJUSTES'!$A$4:$A$303,0)),IF($K748="","",$K748)))</f>
        <v/>
      </c>
      <c r="N748" s="5">
        <f>IF($A748="","",IFERROR(INDEX('CAT_ESTADOS_ERP'!$B$4:$B$7,MATCH(IFERROR(INDEX('2_IMPORTAR_EJECUCION'!$C$9:$C$1208,MATCH($AT748,'2_IMPORTAR_EJECUCION'!$J$9:$J$1208,0)),""),'CAT_ESTADOS_ERP'!$A$4:$A$7,0)),"Pendiente"))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IF($J748="","",$P748&amp;"-"&amp;TEXT($Q748,"00"))</f>
        <v/>
      </c>
      <c r="S748" s="5">
        <f>IF($J748="","",INDEX(lista_dias,WEEKDAY($J748,2)))</f>
        <v/>
      </c>
      <c r="T748" s="5">
        <f>IF($J748="","",IFERROR(INDEX('CALENDARIO'!$C$15:$C$214,MATCH(TEXT($J748,"yyyy-mm-dd")&amp;"|"&amp;$X748&amp;"|"&amp;$Y748,'CALENDARIO'!$G$15:$G$214,0)),IFERROR(INDEX('CALENDARIO'!$C$15:$C$214,MATCH(TEXT($J748,"yyyy-mm-dd")&amp;"|"&amp;$X748&amp;"|",'CALENDARIO'!$G$15:$G$214,0)),IFERROR(INDEX('CALENDARIO'!$C$15:$C$214,MATCH(TEXT($J748,"yyyy-mm-dd")&amp;"||",'CALENDARIO'!$G$15:$G$214,0)),INDEX(patronHabil,WEEKDAY($J748,2))))))</f>
        <v/>
      </c>
      <c r="U748" s="5">
        <f>IF($I748="","",IFERROR(INDEX('CAT_TIPOS_OT'!$C$4:$C$8,MATCH($I748,'CAT_TIPOS_OT'!$A$4:$A$8,0)),"sin_clasificar"))</f>
        <v/>
      </c>
      <c r="V748" s="5">
        <f>IF($I748="","",IF(IFERROR(INDEX('CAT_TIPOS_OT'!$D$4:$D$8,MATCH($I748,'CAT_TIPOS_OT'!$A$4:$A$8,0)),"SIN CLASIFICAR")="","SIN CLASIFICAR",IFERROR(INDEX('CAT_TIPOS_OT'!$D$4:$D$8,MATCH($I748,'CAT_TIPOS_OT'!$A$4:$A$8,0)),"SIN CLASIFICAR")))</f>
        <v/>
      </c>
      <c r="W748" s="5">
        <f>IF($F748="","",IFERROR(INDEX('CAT_CENTROS_COSTO'!$F$4:$F$13,MATCH($F748,'CAT_CENTROS_COSTO'!$A$4:$A$13,0)),"(sin catálogo)"))</f>
        <v/>
      </c>
      <c r="X748" s="5">
        <f>IF($F748="","",IFERROR(INDEX('CAT_CENTROS_COSTO'!$D$4:$D$13,MATCH($F748,'CAT_CENTROS_COSTO'!$A$4:$A$13,0)),"(sin catálogo)"))</f>
        <v/>
      </c>
      <c r="Y748" s="5">
        <f>IF($F748="","",IF((IFERROR(INDEX('CAT_CENTROS_COSTO'!$E$4:$E$13,MATCH($F748,'CAT_CENTROS_COSTO'!$A$4:$A$13,0)),""))&lt;&gt;"",IFERROR(INDEX('CAT_CENTROS_COSTO'!$E$4:$E$13,MATCH($F748,'CAT_CENTROS_COSTO'!$A$4:$A$13,0)),""),$X748))</f>
        <v/>
      </c>
      <c r="Z748" s="5">
        <f>IF($F748="","",IFERROR(INDEX('CAT_CENTROS_COSTO'!$G$4:$G$13,MATCH($F748,'CAT_CENTROS_COSTO'!$A$4:$A$13,0)),"(sin catálogo)"))</f>
        <v/>
      </c>
      <c r="AA748" s="5">
        <f>IF($G748="","",IFERROR(INDEX('CAT_PUESTOS'!$B$4:$B$8,MATCH($G748,'CAT_PUESTOS'!$A$4:$A$8,0)),"(sin catálogo)"))</f>
        <v/>
      </c>
      <c r="AB748" s="5">
        <f>IF($H748="","",IFERROR(INDEX('CAT_ACTIVIDADES'!$B$4:$B$11,MATCH($H748,'CAT_ACTIVIDADES'!$A$4:$A$11,0)),"(sin catálogo)"))</f>
        <v/>
      </c>
      <c r="AC748" s="20">
        <f>IF($J748="","",TODAY()-$J748)</f>
        <v/>
      </c>
      <c r="AD748" s="20">
        <f>IF($J748="","",IF($J748&lt;=TODAY(),COUNTIFS(cal_fechas,"&gt;="&amp;$J748,cal_fechas,"&lt;"&amp;TODAY(),cal_habil,"sí"),-COUNTIFS(cal_fechas,"&gt;="&amp;TODAY(),cal_fechas,"&lt;"&amp;$J748,cal_habil,"sí")))</f>
        <v/>
      </c>
      <c r="AE748" s="5">
        <f>IF($AD748="","",IF($AD748&lt;0,"FUTURO",IF($AD748&gt;p_dias_backlog_max,"BACKLOG","MES CORRIENTE")))</f>
        <v/>
      </c>
      <c r="AF748" s="5">
        <f>IF($AD748="",FALSE,AND($AD748&gt;p_dias_backlog_min,$AD748&lt;=p_dias_backlog_max))</f>
        <v/>
      </c>
      <c r="AG748" s="4" t="n"/>
      <c r="AH748" s="5">
        <f>IF($AG748="","",IF((IFERROR(INDEX('ASIGNACIONES'!$J$4:$J$451,MATCH($O748&amp;"|"&amp;$S748&amp;"|"&amp;$AG748,'ASIGNACIONES'!$N$4:$N$451,0)),""))=0,"",IFERROR(INDEX('ASIGNACIONES'!$J$4:$J$451,MATCH($O748&amp;"|"&amp;$S748&amp;"|"&amp;$AG748,'ASIGNACIONES'!$N$4:$N$451,0)),"")))</f>
        <v/>
      </c>
      <c r="AI748" s="25">
        <f>IF($AG748="","",SUMIFS('ORDENES'!$M$4:$M$1203,'ORDENES'!$AG$4:$AG$1203,$AG748,'ORDENES'!$O$4:$O$1203,$O748,'ORDENES'!$S$4:$S$1203,$S748))</f>
        <v/>
      </c>
      <c r="AJ748" s="25">
        <f>IF($AI748="","",p_factor_productividad*IFERROR(INDEX('ASIGNACIONES'!$M$4:$M$451,MATCH($O748&amp;"|"&amp;$S748&amp;"|"&amp;$AG748,'ASIGNACIONES'!$N$4:$N$451,0)),0)-$AI748)</f>
        <v/>
      </c>
      <c r="AK748" s="18">
        <f>IF($A748="","",IFERROR(INDEX('2_IMPORTAR_EJECUCION'!$F$9:$F$1208,MATCH($AT748,'2_IMPORTAR_EJECUCION'!$J$9:$J$1208,0)),0))</f>
        <v/>
      </c>
      <c r="AL748" s="18">
        <f>IF($A748="","",MAX(0,IFERROR(INDEX('2_IMPORTAR_EJECUCION'!$H$9:$H$1208,MATCH($AT748,'2_IMPORTAR_EJECUCION'!$J$9:$J$1208,0)),0)-$AK748))</f>
        <v/>
      </c>
      <c r="AM748" s="18">
        <f>IF($A748="","",$AK748+$AL748)</f>
        <v/>
      </c>
      <c r="AN748" s="5">
        <f>IF($A748="","",IF(OR((IFERROR(INDEX('CAT_ACTIVIDADES'!$D$4:$D$11,MATCH($H748,'CAT_ACTIVIDADES'!$A$4:$A$11,0)),""))=0,(IFERROR(INDEX('CAT_ACTIVIDADES'!$D$4:$D$11,MATCH($H748,'CAT_ACTIVIDADES'!$A$4:$A$11,0)),""))=""),"SIN CLASIFICAR",IFERROR(INDEX('CAT_ACTIVIDADES'!$D$4:$D$11,MATCH($H748,'CAT_ACTIVIDADES'!$A$4:$A$11,0)),"")))</f>
        <v/>
      </c>
      <c r="AO748" s="4" t="n"/>
      <c r="AP748" s="4" t="n"/>
      <c r="AQ748" s="4" t="n"/>
      <c r="AR748" s="5">
        <f>IF($AQ748="","",HYPERLINK(p_ruta_base_checklists&amp;$AQ748,"abrir"))</f>
        <v/>
      </c>
      <c r="AS748" s="4" t="n"/>
      <c r="AT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2" t="n"/>
      <c r="K749" s="5" t="n"/>
      <c r="L749" s="18" t="n"/>
      <c r="M749" s="5">
        <f>IF($A749="","",IFERROR(INDEX('AJUSTES'!$B$4:$B$303,MATCH($AT749,'AJUSTES'!$A$4:$A$303,0)),IF($K749="","",$K749)))</f>
        <v/>
      </c>
      <c r="N749" s="5">
        <f>IF($A749="","",IFERROR(INDEX('CAT_ESTADOS_ERP'!$B$4:$B$7,MATCH(IFERROR(INDEX('2_IMPORTAR_EJECUCION'!$C$9:$C$1208,MATCH($AT749,'2_IMPORTAR_EJECUCION'!$J$9:$J$1208,0)),""),'CAT_ESTADOS_ERP'!$A$4:$A$7,0)),"Pendiente"))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IF($J749="","",$P749&amp;"-"&amp;TEXT($Q749,"00"))</f>
        <v/>
      </c>
      <c r="S749" s="5">
        <f>IF($J749="","",INDEX(lista_dias,WEEKDAY($J749,2)))</f>
        <v/>
      </c>
      <c r="T749" s="5">
        <f>IF($J749="","",IFERROR(INDEX('CALENDARIO'!$C$15:$C$214,MATCH(TEXT($J749,"yyyy-mm-dd")&amp;"|"&amp;$X749&amp;"|"&amp;$Y749,'CALENDARIO'!$G$15:$G$214,0)),IFERROR(INDEX('CALENDARIO'!$C$15:$C$214,MATCH(TEXT($J749,"yyyy-mm-dd")&amp;"|"&amp;$X749&amp;"|",'CALENDARIO'!$G$15:$G$214,0)),IFERROR(INDEX('CALENDARIO'!$C$15:$C$214,MATCH(TEXT($J749,"yyyy-mm-dd")&amp;"||",'CALENDARIO'!$G$15:$G$214,0)),INDEX(patronHabil,WEEKDAY($J749,2))))))</f>
        <v/>
      </c>
      <c r="U749" s="5">
        <f>IF($I749="","",IFERROR(INDEX('CAT_TIPOS_OT'!$C$4:$C$8,MATCH($I749,'CAT_TIPOS_OT'!$A$4:$A$8,0)),"sin_clasificar"))</f>
        <v/>
      </c>
      <c r="V749" s="5">
        <f>IF($I749="","",IF(IFERROR(INDEX('CAT_TIPOS_OT'!$D$4:$D$8,MATCH($I749,'CAT_TIPOS_OT'!$A$4:$A$8,0)),"SIN CLASIFICAR")="","SIN CLASIFICAR",IFERROR(INDEX('CAT_TIPOS_OT'!$D$4:$D$8,MATCH($I749,'CAT_TIPOS_OT'!$A$4:$A$8,0)),"SIN CLASIFICAR")))</f>
        <v/>
      </c>
      <c r="W749" s="5">
        <f>IF($F749="","",IFERROR(INDEX('CAT_CENTROS_COSTO'!$F$4:$F$13,MATCH($F749,'CAT_CENTROS_COSTO'!$A$4:$A$13,0)),"(sin catálogo)"))</f>
        <v/>
      </c>
      <c r="X749" s="5">
        <f>IF($F749="","",IFERROR(INDEX('CAT_CENTROS_COSTO'!$D$4:$D$13,MATCH($F749,'CAT_CENTROS_COSTO'!$A$4:$A$13,0)),"(sin catálogo)"))</f>
        <v/>
      </c>
      <c r="Y749" s="5">
        <f>IF($F749="","",IF((IFERROR(INDEX('CAT_CENTROS_COSTO'!$E$4:$E$13,MATCH($F749,'CAT_CENTROS_COSTO'!$A$4:$A$13,0)),""))&lt;&gt;"",IFERROR(INDEX('CAT_CENTROS_COSTO'!$E$4:$E$13,MATCH($F749,'CAT_CENTROS_COSTO'!$A$4:$A$13,0)),""),$X749))</f>
        <v/>
      </c>
      <c r="Z749" s="5">
        <f>IF($F749="","",IFERROR(INDEX('CAT_CENTROS_COSTO'!$G$4:$G$13,MATCH($F749,'CAT_CENTROS_COSTO'!$A$4:$A$13,0)),"(sin catálogo)"))</f>
        <v/>
      </c>
      <c r="AA749" s="5">
        <f>IF($G749="","",IFERROR(INDEX('CAT_PUESTOS'!$B$4:$B$8,MATCH($G749,'CAT_PUESTOS'!$A$4:$A$8,0)),"(sin catálogo)"))</f>
        <v/>
      </c>
      <c r="AB749" s="5">
        <f>IF($H749="","",IFERROR(INDEX('CAT_ACTIVIDADES'!$B$4:$B$11,MATCH($H749,'CAT_ACTIVIDADES'!$A$4:$A$11,0)),"(sin catálogo)"))</f>
        <v/>
      </c>
      <c r="AC749" s="20">
        <f>IF($J749="","",TODAY()-$J749)</f>
        <v/>
      </c>
      <c r="AD749" s="20">
        <f>IF($J749="","",IF($J749&lt;=TODAY(),COUNTIFS(cal_fechas,"&gt;="&amp;$J749,cal_fechas,"&lt;"&amp;TODAY(),cal_habil,"sí"),-COUNTIFS(cal_fechas,"&gt;="&amp;TODAY(),cal_fechas,"&lt;"&amp;$J749,cal_habil,"sí")))</f>
        <v/>
      </c>
      <c r="AE749" s="5">
        <f>IF($AD749="","",IF($AD749&lt;0,"FUTURO",IF($AD749&gt;p_dias_backlog_max,"BACKLOG","MES CORRIENTE")))</f>
        <v/>
      </c>
      <c r="AF749" s="5">
        <f>IF($AD749="",FALSE,AND($AD749&gt;p_dias_backlog_min,$AD749&lt;=p_dias_backlog_max))</f>
        <v/>
      </c>
      <c r="AG749" s="4" t="n"/>
      <c r="AH749" s="5">
        <f>IF($AG749="","",IF((IFERROR(INDEX('ASIGNACIONES'!$J$4:$J$451,MATCH($O749&amp;"|"&amp;$S749&amp;"|"&amp;$AG749,'ASIGNACIONES'!$N$4:$N$451,0)),""))=0,"",IFERROR(INDEX('ASIGNACIONES'!$J$4:$J$451,MATCH($O749&amp;"|"&amp;$S749&amp;"|"&amp;$AG749,'ASIGNACIONES'!$N$4:$N$451,0)),"")))</f>
        <v/>
      </c>
      <c r="AI749" s="25">
        <f>IF($AG749="","",SUMIFS('ORDENES'!$M$4:$M$1203,'ORDENES'!$AG$4:$AG$1203,$AG749,'ORDENES'!$O$4:$O$1203,$O749,'ORDENES'!$S$4:$S$1203,$S749))</f>
        <v/>
      </c>
      <c r="AJ749" s="25">
        <f>IF($AI749="","",p_factor_productividad*IFERROR(INDEX('ASIGNACIONES'!$M$4:$M$451,MATCH($O749&amp;"|"&amp;$S749&amp;"|"&amp;$AG749,'ASIGNACIONES'!$N$4:$N$451,0)),0)-$AI749)</f>
        <v/>
      </c>
      <c r="AK749" s="18">
        <f>IF($A749="","",IFERROR(INDEX('2_IMPORTAR_EJECUCION'!$F$9:$F$1208,MATCH($AT749,'2_IMPORTAR_EJECUCION'!$J$9:$J$1208,0)),0))</f>
        <v/>
      </c>
      <c r="AL749" s="18">
        <f>IF($A749="","",MAX(0,IFERROR(INDEX('2_IMPORTAR_EJECUCION'!$H$9:$H$1208,MATCH($AT749,'2_IMPORTAR_EJECUCION'!$J$9:$J$1208,0)),0)-$AK749))</f>
        <v/>
      </c>
      <c r="AM749" s="18">
        <f>IF($A749="","",$AK749+$AL749)</f>
        <v/>
      </c>
      <c r="AN749" s="5">
        <f>IF($A749="","",IF(OR((IFERROR(INDEX('CAT_ACTIVIDADES'!$D$4:$D$11,MATCH($H749,'CAT_ACTIVIDADES'!$A$4:$A$11,0)),""))=0,(IFERROR(INDEX('CAT_ACTIVIDADES'!$D$4:$D$11,MATCH($H749,'CAT_ACTIVIDADES'!$A$4:$A$11,0)),""))=""),"SIN CLASIFICAR",IFERROR(INDEX('CAT_ACTIVIDADES'!$D$4:$D$11,MATCH($H749,'CAT_ACTIVIDADES'!$A$4:$A$11,0)),"")))</f>
        <v/>
      </c>
      <c r="AO749" s="4" t="n"/>
      <c r="AP749" s="4" t="n"/>
      <c r="AQ749" s="4" t="n"/>
      <c r="AR749" s="5">
        <f>IF($AQ749="","",HYPERLINK(p_ruta_base_checklists&amp;$AQ749,"abrir"))</f>
        <v/>
      </c>
      <c r="AS749" s="4" t="n"/>
      <c r="AT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2" t="n"/>
      <c r="K750" s="5" t="n"/>
      <c r="L750" s="18" t="n"/>
      <c r="M750" s="5">
        <f>IF($A750="","",IFERROR(INDEX('AJUSTES'!$B$4:$B$303,MATCH($AT750,'AJUSTES'!$A$4:$A$303,0)),IF($K750="","",$K750)))</f>
        <v/>
      </c>
      <c r="N750" s="5">
        <f>IF($A750="","",IFERROR(INDEX('CAT_ESTADOS_ERP'!$B$4:$B$7,MATCH(IFERROR(INDEX('2_IMPORTAR_EJECUCION'!$C$9:$C$1208,MATCH($AT750,'2_IMPORTAR_EJECUCION'!$J$9:$J$1208,0)),""),'CAT_ESTADOS_ERP'!$A$4:$A$7,0)),"Pendiente"))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IF($J750="","",$P750&amp;"-"&amp;TEXT($Q750,"00"))</f>
        <v/>
      </c>
      <c r="S750" s="5">
        <f>IF($J750="","",INDEX(lista_dias,WEEKDAY($J750,2)))</f>
        <v/>
      </c>
      <c r="T750" s="5">
        <f>IF($J750="","",IFERROR(INDEX('CALENDARIO'!$C$15:$C$214,MATCH(TEXT($J750,"yyyy-mm-dd")&amp;"|"&amp;$X750&amp;"|"&amp;$Y750,'CALENDARIO'!$G$15:$G$214,0)),IFERROR(INDEX('CALENDARIO'!$C$15:$C$214,MATCH(TEXT($J750,"yyyy-mm-dd")&amp;"|"&amp;$X750&amp;"|",'CALENDARIO'!$G$15:$G$214,0)),IFERROR(INDEX('CALENDARIO'!$C$15:$C$214,MATCH(TEXT($J750,"yyyy-mm-dd")&amp;"||",'CALENDARIO'!$G$15:$G$214,0)),INDEX(patronHabil,WEEKDAY($J750,2))))))</f>
        <v/>
      </c>
      <c r="U750" s="5">
        <f>IF($I750="","",IFERROR(INDEX('CAT_TIPOS_OT'!$C$4:$C$8,MATCH($I750,'CAT_TIPOS_OT'!$A$4:$A$8,0)),"sin_clasificar"))</f>
        <v/>
      </c>
      <c r="V750" s="5">
        <f>IF($I750="","",IF(IFERROR(INDEX('CAT_TIPOS_OT'!$D$4:$D$8,MATCH($I750,'CAT_TIPOS_OT'!$A$4:$A$8,0)),"SIN CLASIFICAR")="","SIN CLASIFICAR",IFERROR(INDEX('CAT_TIPOS_OT'!$D$4:$D$8,MATCH($I750,'CAT_TIPOS_OT'!$A$4:$A$8,0)),"SIN CLASIFICAR")))</f>
        <v/>
      </c>
      <c r="W750" s="5">
        <f>IF($F750="","",IFERROR(INDEX('CAT_CENTROS_COSTO'!$F$4:$F$13,MATCH($F750,'CAT_CENTROS_COSTO'!$A$4:$A$13,0)),"(sin catálogo)"))</f>
        <v/>
      </c>
      <c r="X750" s="5">
        <f>IF($F750="","",IFERROR(INDEX('CAT_CENTROS_COSTO'!$D$4:$D$13,MATCH($F750,'CAT_CENTROS_COSTO'!$A$4:$A$13,0)),"(sin catálogo)"))</f>
        <v/>
      </c>
      <c r="Y750" s="5">
        <f>IF($F750="","",IF((IFERROR(INDEX('CAT_CENTROS_COSTO'!$E$4:$E$13,MATCH($F750,'CAT_CENTROS_COSTO'!$A$4:$A$13,0)),""))&lt;&gt;"",IFERROR(INDEX('CAT_CENTROS_COSTO'!$E$4:$E$13,MATCH($F750,'CAT_CENTROS_COSTO'!$A$4:$A$13,0)),""),$X750))</f>
        <v/>
      </c>
      <c r="Z750" s="5">
        <f>IF($F750="","",IFERROR(INDEX('CAT_CENTROS_COSTO'!$G$4:$G$13,MATCH($F750,'CAT_CENTROS_COSTO'!$A$4:$A$13,0)),"(sin catálogo)"))</f>
        <v/>
      </c>
      <c r="AA750" s="5">
        <f>IF($G750="","",IFERROR(INDEX('CAT_PUESTOS'!$B$4:$B$8,MATCH($G750,'CAT_PUESTOS'!$A$4:$A$8,0)),"(sin catálogo)"))</f>
        <v/>
      </c>
      <c r="AB750" s="5">
        <f>IF($H750="","",IFERROR(INDEX('CAT_ACTIVIDADES'!$B$4:$B$11,MATCH($H750,'CAT_ACTIVIDADES'!$A$4:$A$11,0)),"(sin catálogo)"))</f>
        <v/>
      </c>
      <c r="AC750" s="20">
        <f>IF($J750="","",TODAY()-$J750)</f>
        <v/>
      </c>
      <c r="AD750" s="20">
        <f>IF($J750="","",IF($J750&lt;=TODAY(),COUNTIFS(cal_fechas,"&gt;="&amp;$J750,cal_fechas,"&lt;"&amp;TODAY(),cal_habil,"sí"),-COUNTIFS(cal_fechas,"&gt;="&amp;TODAY(),cal_fechas,"&lt;"&amp;$J750,cal_habil,"sí")))</f>
        <v/>
      </c>
      <c r="AE750" s="5">
        <f>IF($AD750="","",IF($AD750&lt;0,"FUTURO",IF($AD750&gt;p_dias_backlog_max,"BACKLOG","MES CORRIENTE")))</f>
        <v/>
      </c>
      <c r="AF750" s="5">
        <f>IF($AD750="",FALSE,AND($AD750&gt;p_dias_backlog_min,$AD750&lt;=p_dias_backlog_max))</f>
        <v/>
      </c>
      <c r="AG750" s="4" t="n"/>
      <c r="AH750" s="5">
        <f>IF($AG750="","",IF((IFERROR(INDEX('ASIGNACIONES'!$J$4:$J$451,MATCH($O750&amp;"|"&amp;$S750&amp;"|"&amp;$AG750,'ASIGNACIONES'!$N$4:$N$451,0)),""))=0,"",IFERROR(INDEX('ASIGNACIONES'!$J$4:$J$451,MATCH($O750&amp;"|"&amp;$S750&amp;"|"&amp;$AG750,'ASIGNACIONES'!$N$4:$N$451,0)),"")))</f>
        <v/>
      </c>
      <c r="AI750" s="25">
        <f>IF($AG750="","",SUMIFS('ORDENES'!$M$4:$M$1203,'ORDENES'!$AG$4:$AG$1203,$AG750,'ORDENES'!$O$4:$O$1203,$O750,'ORDENES'!$S$4:$S$1203,$S750))</f>
        <v/>
      </c>
      <c r="AJ750" s="25">
        <f>IF($AI750="","",p_factor_productividad*IFERROR(INDEX('ASIGNACIONES'!$M$4:$M$451,MATCH($O750&amp;"|"&amp;$S750&amp;"|"&amp;$AG750,'ASIGNACIONES'!$N$4:$N$451,0)),0)-$AI750)</f>
        <v/>
      </c>
      <c r="AK750" s="18">
        <f>IF($A750="","",IFERROR(INDEX('2_IMPORTAR_EJECUCION'!$F$9:$F$1208,MATCH($AT750,'2_IMPORTAR_EJECUCION'!$J$9:$J$1208,0)),0))</f>
        <v/>
      </c>
      <c r="AL750" s="18">
        <f>IF($A750="","",MAX(0,IFERROR(INDEX('2_IMPORTAR_EJECUCION'!$H$9:$H$1208,MATCH($AT750,'2_IMPORTAR_EJECUCION'!$J$9:$J$1208,0)),0)-$AK750))</f>
        <v/>
      </c>
      <c r="AM750" s="18">
        <f>IF($A750="","",$AK750+$AL750)</f>
        <v/>
      </c>
      <c r="AN750" s="5">
        <f>IF($A750="","",IF(OR((IFERROR(INDEX('CAT_ACTIVIDADES'!$D$4:$D$11,MATCH($H750,'CAT_ACTIVIDADES'!$A$4:$A$11,0)),""))=0,(IFERROR(INDEX('CAT_ACTIVIDADES'!$D$4:$D$11,MATCH($H750,'CAT_ACTIVIDADES'!$A$4:$A$11,0)),""))=""),"SIN CLASIFICAR",IFERROR(INDEX('CAT_ACTIVIDADES'!$D$4:$D$11,MATCH($H750,'CAT_ACTIVIDADES'!$A$4:$A$11,0)),"")))</f>
        <v/>
      </c>
      <c r="AO750" s="4" t="n"/>
      <c r="AP750" s="4" t="n"/>
      <c r="AQ750" s="4" t="n"/>
      <c r="AR750" s="5">
        <f>IF($AQ750="","",HYPERLINK(p_ruta_base_checklists&amp;$AQ750,"abrir"))</f>
        <v/>
      </c>
      <c r="AS750" s="4" t="n"/>
      <c r="AT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2" t="n"/>
      <c r="K751" s="5" t="n"/>
      <c r="L751" s="18" t="n"/>
      <c r="M751" s="5">
        <f>IF($A751="","",IFERROR(INDEX('AJUSTES'!$B$4:$B$303,MATCH($AT751,'AJUSTES'!$A$4:$A$303,0)),IF($K751="","",$K751)))</f>
        <v/>
      </c>
      <c r="N751" s="5">
        <f>IF($A751="","",IFERROR(INDEX('CAT_ESTADOS_ERP'!$B$4:$B$7,MATCH(IFERROR(INDEX('2_IMPORTAR_EJECUCION'!$C$9:$C$1208,MATCH($AT751,'2_IMPORTAR_EJECUCION'!$J$9:$J$1208,0)),""),'CAT_ESTADOS_ERP'!$A$4:$A$7,0)),"Pendiente"))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IF($J751="","",$P751&amp;"-"&amp;TEXT($Q751,"00"))</f>
        <v/>
      </c>
      <c r="S751" s="5">
        <f>IF($J751="","",INDEX(lista_dias,WEEKDAY($J751,2)))</f>
        <v/>
      </c>
      <c r="T751" s="5">
        <f>IF($J751="","",IFERROR(INDEX('CALENDARIO'!$C$15:$C$214,MATCH(TEXT($J751,"yyyy-mm-dd")&amp;"|"&amp;$X751&amp;"|"&amp;$Y751,'CALENDARIO'!$G$15:$G$214,0)),IFERROR(INDEX('CALENDARIO'!$C$15:$C$214,MATCH(TEXT($J751,"yyyy-mm-dd")&amp;"|"&amp;$X751&amp;"|",'CALENDARIO'!$G$15:$G$214,0)),IFERROR(INDEX('CALENDARIO'!$C$15:$C$214,MATCH(TEXT($J751,"yyyy-mm-dd")&amp;"||",'CALENDARIO'!$G$15:$G$214,0)),INDEX(patronHabil,WEEKDAY($J751,2))))))</f>
        <v/>
      </c>
      <c r="U751" s="5">
        <f>IF($I751="","",IFERROR(INDEX('CAT_TIPOS_OT'!$C$4:$C$8,MATCH($I751,'CAT_TIPOS_OT'!$A$4:$A$8,0)),"sin_clasificar"))</f>
        <v/>
      </c>
      <c r="V751" s="5">
        <f>IF($I751="","",IF(IFERROR(INDEX('CAT_TIPOS_OT'!$D$4:$D$8,MATCH($I751,'CAT_TIPOS_OT'!$A$4:$A$8,0)),"SIN CLASIFICAR")="","SIN CLASIFICAR",IFERROR(INDEX('CAT_TIPOS_OT'!$D$4:$D$8,MATCH($I751,'CAT_TIPOS_OT'!$A$4:$A$8,0)),"SIN CLASIFICAR")))</f>
        <v/>
      </c>
      <c r="W751" s="5">
        <f>IF($F751="","",IFERROR(INDEX('CAT_CENTROS_COSTO'!$F$4:$F$13,MATCH($F751,'CAT_CENTROS_COSTO'!$A$4:$A$13,0)),"(sin catálogo)"))</f>
        <v/>
      </c>
      <c r="X751" s="5">
        <f>IF($F751="","",IFERROR(INDEX('CAT_CENTROS_COSTO'!$D$4:$D$13,MATCH($F751,'CAT_CENTROS_COSTO'!$A$4:$A$13,0)),"(sin catálogo)"))</f>
        <v/>
      </c>
      <c r="Y751" s="5">
        <f>IF($F751="","",IF((IFERROR(INDEX('CAT_CENTROS_COSTO'!$E$4:$E$13,MATCH($F751,'CAT_CENTROS_COSTO'!$A$4:$A$13,0)),""))&lt;&gt;"",IFERROR(INDEX('CAT_CENTROS_COSTO'!$E$4:$E$13,MATCH($F751,'CAT_CENTROS_COSTO'!$A$4:$A$13,0)),""),$X751))</f>
        <v/>
      </c>
      <c r="Z751" s="5">
        <f>IF($F751="","",IFERROR(INDEX('CAT_CENTROS_COSTO'!$G$4:$G$13,MATCH($F751,'CAT_CENTROS_COSTO'!$A$4:$A$13,0)),"(sin catálogo)"))</f>
        <v/>
      </c>
      <c r="AA751" s="5">
        <f>IF($G751="","",IFERROR(INDEX('CAT_PUESTOS'!$B$4:$B$8,MATCH($G751,'CAT_PUESTOS'!$A$4:$A$8,0)),"(sin catálogo)"))</f>
        <v/>
      </c>
      <c r="AB751" s="5">
        <f>IF($H751="","",IFERROR(INDEX('CAT_ACTIVIDADES'!$B$4:$B$11,MATCH($H751,'CAT_ACTIVIDADES'!$A$4:$A$11,0)),"(sin catálogo)"))</f>
        <v/>
      </c>
      <c r="AC751" s="20">
        <f>IF($J751="","",TODAY()-$J751)</f>
        <v/>
      </c>
      <c r="AD751" s="20">
        <f>IF($J751="","",IF($J751&lt;=TODAY(),COUNTIFS(cal_fechas,"&gt;="&amp;$J751,cal_fechas,"&lt;"&amp;TODAY(),cal_habil,"sí"),-COUNTIFS(cal_fechas,"&gt;="&amp;TODAY(),cal_fechas,"&lt;"&amp;$J751,cal_habil,"sí")))</f>
        <v/>
      </c>
      <c r="AE751" s="5">
        <f>IF($AD751="","",IF($AD751&lt;0,"FUTURO",IF($AD751&gt;p_dias_backlog_max,"BACKLOG","MES CORRIENTE")))</f>
        <v/>
      </c>
      <c r="AF751" s="5">
        <f>IF($AD751="",FALSE,AND($AD751&gt;p_dias_backlog_min,$AD751&lt;=p_dias_backlog_max))</f>
        <v/>
      </c>
      <c r="AG751" s="4" t="n"/>
      <c r="AH751" s="5">
        <f>IF($AG751="","",IF((IFERROR(INDEX('ASIGNACIONES'!$J$4:$J$451,MATCH($O751&amp;"|"&amp;$S751&amp;"|"&amp;$AG751,'ASIGNACIONES'!$N$4:$N$451,0)),""))=0,"",IFERROR(INDEX('ASIGNACIONES'!$J$4:$J$451,MATCH($O751&amp;"|"&amp;$S751&amp;"|"&amp;$AG751,'ASIGNACIONES'!$N$4:$N$451,0)),"")))</f>
        <v/>
      </c>
      <c r="AI751" s="25">
        <f>IF($AG751="","",SUMIFS('ORDENES'!$M$4:$M$1203,'ORDENES'!$AG$4:$AG$1203,$AG751,'ORDENES'!$O$4:$O$1203,$O751,'ORDENES'!$S$4:$S$1203,$S751))</f>
        <v/>
      </c>
      <c r="AJ751" s="25">
        <f>IF($AI751="","",p_factor_productividad*IFERROR(INDEX('ASIGNACIONES'!$M$4:$M$451,MATCH($O751&amp;"|"&amp;$S751&amp;"|"&amp;$AG751,'ASIGNACIONES'!$N$4:$N$451,0)),0)-$AI751)</f>
        <v/>
      </c>
      <c r="AK751" s="18">
        <f>IF($A751="","",IFERROR(INDEX('2_IMPORTAR_EJECUCION'!$F$9:$F$1208,MATCH($AT751,'2_IMPORTAR_EJECUCION'!$J$9:$J$1208,0)),0))</f>
        <v/>
      </c>
      <c r="AL751" s="18">
        <f>IF($A751="","",MAX(0,IFERROR(INDEX('2_IMPORTAR_EJECUCION'!$H$9:$H$1208,MATCH($AT751,'2_IMPORTAR_EJECUCION'!$J$9:$J$1208,0)),0)-$AK751))</f>
        <v/>
      </c>
      <c r="AM751" s="18">
        <f>IF($A751="","",$AK751+$AL751)</f>
        <v/>
      </c>
      <c r="AN751" s="5">
        <f>IF($A751="","",IF(OR((IFERROR(INDEX('CAT_ACTIVIDADES'!$D$4:$D$11,MATCH($H751,'CAT_ACTIVIDADES'!$A$4:$A$11,0)),""))=0,(IFERROR(INDEX('CAT_ACTIVIDADES'!$D$4:$D$11,MATCH($H751,'CAT_ACTIVIDADES'!$A$4:$A$11,0)),""))=""),"SIN CLASIFICAR",IFERROR(INDEX('CAT_ACTIVIDADES'!$D$4:$D$11,MATCH($H751,'CAT_ACTIVIDADES'!$A$4:$A$11,0)),"")))</f>
        <v/>
      </c>
      <c r="AO751" s="4" t="n"/>
      <c r="AP751" s="4" t="n"/>
      <c r="AQ751" s="4" t="n"/>
      <c r="AR751" s="5">
        <f>IF($AQ751="","",HYPERLINK(p_ruta_base_checklists&amp;$AQ751,"abrir"))</f>
        <v/>
      </c>
      <c r="AS751" s="4" t="n"/>
      <c r="AT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2" t="n"/>
      <c r="K752" s="5" t="n"/>
      <c r="L752" s="18" t="n"/>
      <c r="M752" s="5">
        <f>IF($A752="","",IFERROR(INDEX('AJUSTES'!$B$4:$B$303,MATCH($AT752,'AJUSTES'!$A$4:$A$303,0)),IF($K752="","",$K752)))</f>
        <v/>
      </c>
      <c r="N752" s="5">
        <f>IF($A752="","",IFERROR(INDEX('CAT_ESTADOS_ERP'!$B$4:$B$7,MATCH(IFERROR(INDEX('2_IMPORTAR_EJECUCION'!$C$9:$C$1208,MATCH($AT752,'2_IMPORTAR_EJECUCION'!$J$9:$J$1208,0)),""),'CAT_ESTADOS_ERP'!$A$4:$A$7,0)),"Pendiente"))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IF($J752="","",$P752&amp;"-"&amp;TEXT($Q752,"00"))</f>
        <v/>
      </c>
      <c r="S752" s="5">
        <f>IF($J752="","",INDEX(lista_dias,WEEKDAY($J752,2)))</f>
        <v/>
      </c>
      <c r="T752" s="5">
        <f>IF($J752="","",IFERROR(INDEX('CALENDARIO'!$C$15:$C$214,MATCH(TEXT($J752,"yyyy-mm-dd")&amp;"|"&amp;$X752&amp;"|"&amp;$Y752,'CALENDARIO'!$G$15:$G$214,0)),IFERROR(INDEX('CALENDARIO'!$C$15:$C$214,MATCH(TEXT($J752,"yyyy-mm-dd")&amp;"|"&amp;$X752&amp;"|",'CALENDARIO'!$G$15:$G$214,0)),IFERROR(INDEX('CALENDARIO'!$C$15:$C$214,MATCH(TEXT($J752,"yyyy-mm-dd")&amp;"||",'CALENDARIO'!$G$15:$G$214,0)),INDEX(patronHabil,WEEKDAY($J752,2))))))</f>
        <v/>
      </c>
      <c r="U752" s="5">
        <f>IF($I752="","",IFERROR(INDEX('CAT_TIPOS_OT'!$C$4:$C$8,MATCH($I752,'CAT_TIPOS_OT'!$A$4:$A$8,0)),"sin_clasificar"))</f>
        <v/>
      </c>
      <c r="V752" s="5">
        <f>IF($I752="","",IF(IFERROR(INDEX('CAT_TIPOS_OT'!$D$4:$D$8,MATCH($I752,'CAT_TIPOS_OT'!$A$4:$A$8,0)),"SIN CLASIFICAR")="","SIN CLASIFICAR",IFERROR(INDEX('CAT_TIPOS_OT'!$D$4:$D$8,MATCH($I752,'CAT_TIPOS_OT'!$A$4:$A$8,0)),"SIN CLASIFICAR")))</f>
        <v/>
      </c>
      <c r="W752" s="5">
        <f>IF($F752="","",IFERROR(INDEX('CAT_CENTROS_COSTO'!$F$4:$F$13,MATCH($F752,'CAT_CENTROS_COSTO'!$A$4:$A$13,0)),"(sin catálogo)"))</f>
        <v/>
      </c>
      <c r="X752" s="5">
        <f>IF($F752="","",IFERROR(INDEX('CAT_CENTROS_COSTO'!$D$4:$D$13,MATCH($F752,'CAT_CENTROS_COSTO'!$A$4:$A$13,0)),"(sin catálogo)"))</f>
        <v/>
      </c>
      <c r="Y752" s="5">
        <f>IF($F752="","",IF((IFERROR(INDEX('CAT_CENTROS_COSTO'!$E$4:$E$13,MATCH($F752,'CAT_CENTROS_COSTO'!$A$4:$A$13,0)),""))&lt;&gt;"",IFERROR(INDEX('CAT_CENTROS_COSTO'!$E$4:$E$13,MATCH($F752,'CAT_CENTROS_COSTO'!$A$4:$A$13,0)),""),$X752))</f>
        <v/>
      </c>
      <c r="Z752" s="5">
        <f>IF($F752="","",IFERROR(INDEX('CAT_CENTROS_COSTO'!$G$4:$G$13,MATCH($F752,'CAT_CENTROS_COSTO'!$A$4:$A$13,0)),"(sin catálogo)"))</f>
        <v/>
      </c>
      <c r="AA752" s="5">
        <f>IF($G752="","",IFERROR(INDEX('CAT_PUESTOS'!$B$4:$B$8,MATCH($G752,'CAT_PUESTOS'!$A$4:$A$8,0)),"(sin catálogo)"))</f>
        <v/>
      </c>
      <c r="AB752" s="5">
        <f>IF($H752="","",IFERROR(INDEX('CAT_ACTIVIDADES'!$B$4:$B$11,MATCH($H752,'CAT_ACTIVIDADES'!$A$4:$A$11,0)),"(sin catálogo)"))</f>
        <v/>
      </c>
      <c r="AC752" s="20">
        <f>IF($J752="","",TODAY()-$J752)</f>
        <v/>
      </c>
      <c r="AD752" s="20">
        <f>IF($J752="","",IF($J752&lt;=TODAY(),COUNTIFS(cal_fechas,"&gt;="&amp;$J752,cal_fechas,"&lt;"&amp;TODAY(),cal_habil,"sí"),-COUNTIFS(cal_fechas,"&gt;="&amp;TODAY(),cal_fechas,"&lt;"&amp;$J752,cal_habil,"sí")))</f>
        <v/>
      </c>
      <c r="AE752" s="5">
        <f>IF($AD752="","",IF($AD752&lt;0,"FUTURO",IF($AD752&gt;p_dias_backlog_max,"BACKLOG","MES CORRIENTE")))</f>
        <v/>
      </c>
      <c r="AF752" s="5">
        <f>IF($AD752="",FALSE,AND($AD752&gt;p_dias_backlog_min,$AD752&lt;=p_dias_backlog_max))</f>
        <v/>
      </c>
      <c r="AG752" s="4" t="n"/>
      <c r="AH752" s="5">
        <f>IF($AG752="","",IF((IFERROR(INDEX('ASIGNACIONES'!$J$4:$J$451,MATCH($O752&amp;"|"&amp;$S752&amp;"|"&amp;$AG752,'ASIGNACIONES'!$N$4:$N$451,0)),""))=0,"",IFERROR(INDEX('ASIGNACIONES'!$J$4:$J$451,MATCH($O752&amp;"|"&amp;$S752&amp;"|"&amp;$AG752,'ASIGNACIONES'!$N$4:$N$451,0)),"")))</f>
        <v/>
      </c>
      <c r="AI752" s="25">
        <f>IF($AG752="","",SUMIFS('ORDENES'!$M$4:$M$1203,'ORDENES'!$AG$4:$AG$1203,$AG752,'ORDENES'!$O$4:$O$1203,$O752,'ORDENES'!$S$4:$S$1203,$S752))</f>
        <v/>
      </c>
      <c r="AJ752" s="25">
        <f>IF($AI752="","",p_factor_productividad*IFERROR(INDEX('ASIGNACIONES'!$M$4:$M$451,MATCH($O752&amp;"|"&amp;$S752&amp;"|"&amp;$AG752,'ASIGNACIONES'!$N$4:$N$451,0)),0)-$AI752)</f>
        <v/>
      </c>
      <c r="AK752" s="18">
        <f>IF($A752="","",IFERROR(INDEX('2_IMPORTAR_EJECUCION'!$F$9:$F$1208,MATCH($AT752,'2_IMPORTAR_EJECUCION'!$J$9:$J$1208,0)),0))</f>
        <v/>
      </c>
      <c r="AL752" s="18">
        <f>IF($A752="","",MAX(0,IFERROR(INDEX('2_IMPORTAR_EJECUCION'!$H$9:$H$1208,MATCH($AT752,'2_IMPORTAR_EJECUCION'!$J$9:$J$1208,0)),0)-$AK752))</f>
        <v/>
      </c>
      <c r="AM752" s="18">
        <f>IF($A752="","",$AK752+$AL752)</f>
        <v/>
      </c>
      <c r="AN752" s="5">
        <f>IF($A752="","",IF(OR((IFERROR(INDEX('CAT_ACTIVIDADES'!$D$4:$D$11,MATCH($H752,'CAT_ACTIVIDADES'!$A$4:$A$11,0)),""))=0,(IFERROR(INDEX('CAT_ACTIVIDADES'!$D$4:$D$11,MATCH($H752,'CAT_ACTIVIDADES'!$A$4:$A$11,0)),""))=""),"SIN CLASIFICAR",IFERROR(INDEX('CAT_ACTIVIDADES'!$D$4:$D$11,MATCH($H752,'CAT_ACTIVIDADES'!$A$4:$A$11,0)),"")))</f>
        <v/>
      </c>
      <c r="AO752" s="4" t="n"/>
      <c r="AP752" s="4" t="n"/>
      <c r="AQ752" s="4" t="n"/>
      <c r="AR752" s="5">
        <f>IF($AQ752="","",HYPERLINK(p_ruta_base_checklists&amp;$AQ752,"abrir"))</f>
        <v/>
      </c>
      <c r="AS752" s="4" t="n"/>
      <c r="AT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2" t="n"/>
      <c r="K753" s="5" t="n"/>
      <c r="L753" s="18" t="n"/>
      <c r="M753" s="5">
        <f>IF($A753="","",IFERROR(INDEX('AJUSTES'!$B$4:$B$303,MATCH($AT753,'AJUSTES'!$A$4:$A$303,0)),IF($K753="","",$K753)))</f>
        <v/>
      </c>
      <c r="N753" s="5">
        <f>IF($A753="","",IFERROR(INDEX('CAT_ESTADOS_ERP'!$B$4:$B$7,MATCH(IFERROR(INDEX('2_IMPORTAR_EJECUCION'!$C$9:$C$1208,MATCH($AT753,'2_IMPORTAR_EJECUCION'!$J$9:$J$1208,0)),""),'CAT_ESTADOS_ERP'!$A$4:$A$7,0)),"Pendiente"))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IF($J753="","",$P753&amp;"-"&amp;TEXT($Q753,"00"))</f>
        <v/>
      </c>
      <c r="S753" s="5">
        <f>IF($J753="","",INDEX(lista_dias,WEEKDAY($J753,2)))</f>
        <v/>
      </c>
      <c r="T753" s="5">
        <f>IF($J753="","",IFERROR(INDEX('CALENDARIO'!$C$15:$C$214,MATCH(TEXT($J753,"yyyy-mm-dd")&amp;"|"&amp;$X753&amp;"|"&amp;$Y753,'CALENDARIO'!$G$15:$G$214,0)),IFERROR(INDEX('CALENDARIO'!$C$15:$C$214,MATCH(TEXT($J753,"yyyy-mm-dd")&amp;"|"&amp;$X753&amp;"|",'CALENDARIO'!$G$15:$G$214,0)),IFERROR(INDEX('CALENDARIO'!$C$15:$C$214,MATCH(TEXT($J753,"yyyy-mm-dd")&amp;"||",'CALENDARIO'!$G$15:$G$214,0)),INDEX(patronHabil,WEEKDAY($J753,2))))))</f>
        <v/>
      </c>
      <c r="U753" s="5">
        <f>IF($I753="","",IFERROR(INDEX('CAT_TIPOS_OT'!$C$4:$C$8,MATCH($I753,'CAT_TIPOS_OT'!$A$4:$A$8,0)),"sin_clasificar"))</f>
        <v/>
      </c>
      <c r="V753" s="5">
        <f>IF($I753="","",IF(IFERROR(INDEX('CAT_TIPOS_OT'!$D$4:$D$8,MATCH($I753,'CAT_TIPOS_OT'!$A$4:$A$8,0)),"SIN CLASIFICAR")="","SIN CLASIFICAR",IFERROR(INDEX('CAT_TIPOS_OT'!$D$4:$D$8,MATCH($I753,'CAT_TIPOS_OT'!$A$4:$A$8,0)),"SIN CLASIFICAR")))</f>
        <v/>
      </c>
      <c r="W753" s="5">
        <f>IF($F753="","",IFERROR(INDEX('CAT_CENTROS_COSTO'!$F$4:$F$13,MATCH($F753,'CAT_CENTROS_COSTO'!$A$4:$A$13,0)),"(sin catálogo)"))</f>
        <v/>
      </c>
      <c r="X753" s="5">
        <f>IF($F753="","",IFERROR(INDEX('CAT_CENTROS_COSTO'!$D$4:$D$13,MATCH($F753,'CAT_CENTROS_COSTO'!$A$4:$A$13,0)),"(sin catálogo)"))</f>
        <v/>
      </c>
      <c r="Y753" s="5">
        <f>IF($F753="","",IF((IFERROR(INDEX('CAT_CENTROS_COSTO'!$E$4:$E$13,MATCH($F753,'CAT_CENTROS_COSTO'!$A$4:$A$13,0)),""))&lt;&gt;"",IFERROR(INDEX('CAT_CENTROS_COSTO'!$E$4:$E$13,MATCH($F753,'CAT_CENTROS_COSTO'!$A$4:$A$13,0)),""),$X753))</f>
        <v/>
      </c>
      <c r="Z753" s="5">
        <f>IF($F753="","",IFERROR(INDEX('CAT_CENTROS_COSTO'!$G$4:$G$13,MATCH($F753,'CAT_CENTROS_COSTO'!$A$4:$A$13,0)),"(sin catálogo)"))</f>
        <v/>
      </c>
      <c r="AA753" s="5">
        <f>IF($G753="","",IFERROR(INDEX('CAT_PUESTOS'!$B$4:$B$8,MATCH($G753,'CAT_PUESTOS'!$A$4:$A$8,0)),"(sin catálogo)"))</f>
        <v/>
      </c>
      <c r="AB753" s="5">
        <f>IF($H753="","",IFERROR(INDEX('CAT_ACTIVIDADES'!$B$4:$B$11,MATCH($H753,'CAT_ACTIVIDADES'!$A$4:$A$11,0)),"(sin catálogo)"))</f>
        <v/>
      </c>
      <c r="AC753" s="20">
        <f>IF($J753="","",TODAY()-$J753)</f>
        <v/>
      </c>
      <c r="AD753" s="20">
        <f>IF($J753="","",IF($J753&lt;=TODAY(),COUNTIFS(cal_fechas,"&gt;="&amp;$J753,cal_fechas,"&lt;"&amp;TODAY(),cal_habil,"sí"),-COUNTIFS(cal_fechas,"&gt;="&amp;TODAY(),cal_fechas,"&lt;"&amp;$J753,cal_habil,"sí")))</f>
        <v/>
      </c>
      <c r="AE753" s="5">
        <f>IF($AD753="","",IF($AD753&lt;0,"FUTURO",IF($AD753&gt;p_dias_backlog_max,"BACKLOG","MES CORRIENTE")))</f>
        <v/>
      </c>
      <c r="AF753" s="5">
        <f>IF($AD753="",FALSE,AND($AD753&gt;p_dias_backlog_min,$AD753&lt;=p_dias_backlog_max))</f>
        <v/>
      </c>
      <c r="AG753" s="4" t="n"/>
      <c r="AH753" s="5">
        <f>IF($AG753="","",IF((IFERROR(INDEX('ASIGNACIONES'!$J$4:$J$451,MATCH($O753&amp;"|"&amp;$S753&amp;"|"&amp;$AG753,'ASIGNACIONES'!$N$4:$N$451,0)),""))=0,"",IFERROR(INDEX('ASIGNACIONES'!$J$4:$J$451,MATCH($O753&amp;"|"&amp;$S753&amp;"|"&amp;$AG753,'ASIGNACIONES'!$N$4:$N$451,0)),"")))</f>
        <v/>
      </c>
      <c r="AI753" s="25">
        <f>IF($AG753="","",SUMIFS('ORDENES'!$M$4:$M$1203,'ORDENES'!$AG$4:$AG$1203,$AG753,'ORDENES'!$O$4:$O$1203,$O753,'ORDENES'!$S$4:$S$1203,$S753))</f>
        <v/>
      </c>
      <c r="AJ753" s="25">
        <f>IF($AI753="","",p_factor_productividad*IFERROR(INDEX('ASIGNACIONES'!$M$4:$M$451,MATCH($O753&amp;"|"&amp;$S753&amp;"|"&amp;$AG753,'ASIGNACIONES'!$N$4:$N$451,0)),0)-$AI753)</f>
        <v/>
      </c>
      <c r="AK753" s="18">
        <f>IF($A753="","",IFERROR(INDEX('2_IMPORTAR_EJECUCION'!$F$9:$F$1208,MATCH($AT753,'2_IMPORTAR_EJECUCION'!$J$9:$J$1208,0)),0))</f>
        <v/>
      </c>
      <c r="AL753" s="18">
        <f>IF($A753="","",MAX(0,IFERROR(INDEX('2_IMPORTAR_EJECUCION'!$H$9:$H$1208,MATCH($AT753,'2_IMPORTAR_EJECUCION'!$J$9:$J$1208,0)),0)-$AK753))</f>
        <v/>
      </c>
      <c r="AM753" s="18">
        <f>IF($A753="","",$AK753+$AL753)</f>
        <v/>
      </c>
      <c r="AN753" s="5">
        <f>IF($A753="","",IF(OR((IFERROR(INDEX('CAT_ACTIVIDADES'!$D$4:$D$11,MATCH($H753,'CAT_ACTIVIDADES'!$A$4:$A$11,0)),""))=0,(IFERROR(INDEX('CAT_ACTIVIDADES'!$D$4:$D$11,MATCH($H753,'CAT_ACTIVIDADES'!$A$4:$A$11,0)),""))=""),"SIN CLASIFICAR",IFERROR(INDEX('CAT_ACTIVIDADES'!$D$4:$D$11,MATCH($H753,'CAT_ACTIVIDADES'!$A$4:$A$11,0)),"")))</f>
        <v/>
      </c>
      <c r="AO753" s="4" t="n"/>
      <c r="AP753" s="4" t="n"/>
      <c r="AQ753" s="4" t="n"/>
      <c r="AR753" s="5">
        <f>IF($AQ753="","",HYPERLINK(p_ruta_base_checklists&amp;$AQ753,"abrir"))</f>
        <v/>
      </c>
      <c r="AS753" s="4" t="n"/>
      <c r="AT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2" t="n"/>
      <c r="K754" s="5" t="n"/>
      <c r="L754" s="18" t="n"/>
      <c r="M754" s="5">
        <f>IF($A754="","",IFERROR(INDEX('AJUSTES'!$B$4:$B$303,MATCH($AT754,'AJUSTES'!$A$4:$A$303,0)),IF($K754="","",$K754)))</f>
        <v/>
      </c>
      <c r="N754" s="5">
        <f>IF($A754="","",IFERROR(INDEX('CAT_ESTADOS_ERP'!$B$4:$B$7,MATCH(IFERROR(INDEX('2_IMPORTAR_EJECUCION'!$C$9:$C$1208,MATCH($AT754,'2_IMPORTAR_EJECUCION'!$J$9:$J$1208,0)),""),'CAT_ESTADOS_ERP'!$A$4:$A$7,0)),"Pendiente"))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IF($J754="","",$P754&amp;"-"&amp;TEXT($Q754,"00"))</f>
        <v/>
      </c>
      <c r="S754" s="5">
        <f>IF($J754="","",INDEX(lista_dias,WEEKDAY($J754,2)))</f>
        <v/>
      </c>
      <c r="T754" s="5">
        <f>IF($J754="","",IFERROR(INDEX('CALENDARIO'!$C$15:$C$214,MATCH(TEXT($J754,"yyyy-mm-dd")&amp;"|"&amp;$X754&amp;"|"&amp;$Y754,'CALENDARIO'!$G$15:$G$214,0)),IFERROR(INDEX('CALENDARIO'!$C$15:$C$214,MATCH(TEXT($J754,"yyyy-mm-dd")&amp;"|"&amp;$X754&amp;"|",'CALENDARIO'!$G$15:$G$214,0)),IFERROR(INDEX('CALENDARIO'!$C$15:$C$214,MATCH(TEXT($J754,"yyyy-mm-dd")&amp;"||",'CALENDARIO'!$G$15:$G$214,0)),INDEX(patronHabil,WEEKDAY($J754,2))))))</f>
        <v/>
      </c>
      <c r="U754" s="5">
        <f>IF($I754="","",IFERROR(INDEX('CAT_TIPOS_OT'!$C$4:$C$8,MATCH($I754,'CAT_TIPOS_OT'!$A$4:$A$8,0)),"sin_clasificar"))</f>
        <v/>
      </c>
      <c r="V754" s="5">
        <f>IF($I754="","",IF(IFERROR(INDEX('CAT_TIPOS_OT'!$D$4:$D$8,MATCH($I754,'CAT_TIPOS_OT'!$A$4:$A$8,0)),"SIN CLASIFICAR")="","SIN CLASIFICAR",IFERROR(INDEX('CAT_TIPOS_OT'!$D$4:$D$8,MATCH($I754,'CAT_TIPOS_OT'!$A$4:$A$8,0)),"SIN CLASIFICAR")))</f>
        <v/>
      </c>
      <c r="W754" s="5">
        <f>IF($F754="","",IFERROR(INDEX('CAT_CENTROS_COSTO'!$F$4:$F$13,MATCH($F754,'CAT_CENTROS_COSTO'!$A$4:$A$13,0)),"(sin catálogo)"))</f>
        <v/>
      </c>
      <c r="X754" s="5">
        <f>IF($F754="","",IFERROR(INDEX('CAT_CENTROS_COSTO'!$D$4:$D$13,MATCH($F754,'CAT_CENTROS_COSTO'!$A$4:$A$13,0)),"(sin catálogo)"))</f>
        <v/>
      </c>
      <c r="Y754" s="5">
        <f>IF($F754="","",IF((IFERROR(INDEX('CAT_CENTROS_COSTO'!$E$4:$E$13,MATCH($F754,'CAT_CENTROS_COSTO'!$A$4:$A$13,0)),""))&lt;&gt;"",IFERROR(INDEX('CAT_CENTROS_COSTO'!$E$4:$E$13,MATCH($F754,'CAT_CENTROS_COSTO'!$A$4:$A$13,0)),""),$X754))</f>
        <v/>
      </c>
      <c r="Z754" s="5">
        <f>IF($F754="","",IFERROR(INDEX('CAT_CENTROS_COSTO'!$G$4:$G$13,MATCH($F754,'CAT_CENTROS_COSTO'!$A$4:$A$13,0)),"(sin catálogo)"))</f>
        <v/>
      </c>
      <c r="AA754" s="5">
        <f>IF($G754="","",IFERROR(INDEX('CAT_PUESTOS'!$B$4:$B$8,MATCH($G754,'CAT_PUESTOS'!$A$4:$A$8,0)),"(sin catálogo)"))</f>
        <v/>
      </c>
      <c r="AB754" s="5">
        <f>IF($H754="","",IFERROR(INDEX('CAT_ACTIVIDADES'!$B$4:$B$11,MATCH($H754,'CAT_ACTIVIDADES'!$A$4:$A$11,0)),"(sin catálogo)"))</f>
        <v/>
      </c>
      <c r="AC754" s="20">
        <f>IF($J754="","",TODAY()-$J754)</f>
        <v/>
      </c>
      <c r="AD754" s="20">
        <f>IF($J754="","",IF($J754&lt;=TODAY(),COUNTIFS(cal_fechas,"&gt;="&amp;$J754,cal_fechas,"&lt;"&amp;TODAY(),cal_habil,"sí"),-COUNTIFS(cal_fechas,"&gt;="&amp;TODAY(),cal_fechas,"&lt;"&amp;$J754,cal_habil,"sí")))</f>
        <v/>
      </c>
      <c r="AE754" s="5">
        <f>IF($AD754="","",IF($AD754&lt;0,"FUTURO",IF($AD754&gt;p_dias_backlog_max,"BACKLOG","MES CORRIENTE")))</f>
        <v/>
      </c>
      <c r="AF754" s="5">
        <f>IF($AD754="",FALSE,AND($AD754&gt;p_dias_backlog_min,$AD754&lt;=p_dias_backlog_max))</f>
        <v/>
      </c>
      <c r="AG754" s="4" t="n"/>
      <c r="AH754" s="5">
        <f>IF($AG754="","",IF((IFERROR(INDEX('ASIGNACIONES'!$J$4:$J$451,MATCH($O754&amp;"|"&amp;$S754&amp;"|"&amp;$AG754,'ASIGNACIONES'!$N$4:$N$451,0)),""))=0,"",IFERROR(INDEX('ASIGNACIONES'!$J$4:$J$451,MATCH($O754&amp;"|"&amp;$S754&amp;"|"&amp;$AG754,'ASIGNACIONES'!$N$4:$N$451,0)),"")))</f>
        <v/>
      </c>
      <c r="AI754" s="25">
        <f>IF($AG754="","",SUMIFS('ORDENES'!$M$4:$M$1203,'ORDENES'!$AG$4:$AG$1203,$AG754,'ORDENES'!$O$4:$O$1203,$O754,'ORDENES'!$S$4:$S$1203,$S754))</f>
        <v/>
      </c>
      <c r="AJ754" s="25">
        <f>IF($AI754="","",p_factor_productividad*IFERROR(INDEX('ASIGNACIONES'!$M$4:$M$451,MATCH($O754&amp;"|"&amp;$S754&amp;"|"&amp;$AG754,'ASIGNACIONES'!$N$4:$N$451,0)),0)-$AI754)</f>
        <v/>
      </c>
      <c r="AK754" s="18">
        <f>IF($A754="","",IFERROR(INDEX('2_IMPORTAR_EJECUCION'!$F$9:$F$1208,MATCH($AT754,'2_IMPORTAR_EJECUCION'!$J$9:$J$1208,0)),0))</f>
        <v/>
      </c>
      <c r="AL754" s="18">
        <f>IF($A754="","",MAX(0,IFERROR(INDEX('2_IMPORTAR_EJECUCION'!$H$9:$H$1208,MATCH($AT754,'2_IMPORTAR_EJECUCION'!$J$9:$J$1208,0)),0)-$AK754))</f>
        <v/>
      </c>
      <c r="AM754" s="18">
        <f>IF($A754="","",$AK754+$AL754)</f>
        <v/>
      </c>
      <c r="AN754" s="5">
        <f>IF($A754="","",IF(OR((IFERROR(INDEX('CAT_ACTIVIDADES'!$D$4:$D$11,MATCH($H754,'CAT_ACTIVIDADES'!$A$4:$A$11,0)),""))=0,(IFERROR(INDEX('CAT_ACTIVIDADES'!$D$4:$D$11,MATCH($H754,'CAT_ACTIVIDADES'!$A$4:$A$11,0)),""))=""),"SIN CLASIFICAR",IFERROR(INDEX('CAT_ACTIVIDADES'!$D$4:$D$11,MATCH($H754,'CAT_ACTIVIDADES'!$A$4:$A$11,0)),"")))</f>
        <v/>
      </c>
      <c r="AO754" s="4" t="n"/>
      <c r="AP754" s="4" t="n"/>
      <c r="AQ754" s="4" t="n"/>
      <c r="AR754" s="5">
        <f>IF($AQ754="","",HYPERLINK(p_ruta_base_checklists&amp;$AQ754,"abrir"))</f>
        <v/>
      </c>
      <c r="AS754" s="4" t="n"/>
      <c r="AT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2" t="n"/>
      <c r="K755" s="5" t="n"/>
      <c r="L755" s="18" t="n"/>
      <c r="M755" s="5">
        <f>IF($A755="","",IFERROR(INDEX('AJUSTES'!$B$4:$B$303,MATCH($AT755,'AJUSTES'!$A$4:$A$303,0)),IF($K755="","",$K755)))</f>
        <v/>
      </c>
      <c r="N755" s="5">
        <f>IF($A755="","",IFERROR(INDEX('CAT_ESTADOS_ERP'!$B$4:$B$7,MATCH(IFERROR(INDEX('2_IMPORTAR_EJECUCION'!$C$9:$C$1208,MATCH($AT755,'2_IMPORTAR_EJECUCION'!$J$9:$J$1208,0)),""),'CAT_ESTADOS_ERP'!$A$4:$A$7,0)),"Pendiente"))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IF($J755="","",$P755&amp;"-"&amp;TEXT($Q755,"00"))</f>
        <v/>
      </c>
      <c r="S755" s="5">
        <f>IF($J755="","",INDEX(lista_dias,WEEKDAY($J755,2)))</f>
        <v/>
      </c>
      <c r="T755" s="5">
        <f>IF($J755="","",IFERROR(INDEX('CALENDARIO'!$C$15:$C$214,MATCH(TEXT($J755,"yyyy-mm-dd")&amp;"|"&amp;$X755&amp;"|"&amp;$Y755,'CALENDARIO'!$G$15:$G$214,0)),IFERROR(INDEX('CALENDARIO'!$C$15:$C$214,MATCH(TEXT($J755,"yyyy-mm-dd")&amp;"|"&amp;$X755&amp;"|",'CALENDARIO'!$G$15:$G$214,0)),IFERROR(INDEX('CALENDARIO'!$C$15:$C$214,MATCH(TEXT($J755,"yyyy-mm-dd")&amp;"||",'CALENDARIO'!$G$15:$G$214,0)),INDEX(patronHabil,WEEKDAY($J755,2))))))</f>
        <v/>
      </c>
      <c r="U755" s="5">
        <f>IF($I755="","",IFERROR(INDEX('CAT_TIPOS_OT'!$C$4:$C$8,MATCH($I755,'CAT_TIPOS_OT'!$A$4:$A$8,0)),"sin_clasificar"))</f>
        <v/>
      </c>
      <c r="V755" s="5">
        <f>IF($I755="","",IF(IFERROR(INDEX('CAT_TIPOS_OT'!$D$4:$D$8,MATCH($I755,'CAT_TIPOS_OT'!$A$4:$A$8,0)),"SIN CLASIFICAR")="","SIN CLASIFICAR",IFERROR(INDEX('CAT_TIPOS_OT'!$D$4:$D$8,MATCH($I755,'CAT_TIPOS_OT'!$A$4:$A$8,0)),"SIN CLASIFICAR")))</f>
        <v/>
      </c>
      <c r="W755" s="5">
        <f>IF($F755="","",IFERROR(INDEX('CAT_CENTROS_COSTO'!$F$4:$F$13,MATCH($F755,'CAT_CENTROS_COSTO'!$A$4:$A$13,0)),"(sin catálogo)"))</f>
        <v/>
      </c>
      <c r="X755" s="5">
        <f>IF($F755="","",IFERROR(INDEX('CAT_CENTROS_COSTO'!$D$4:$D$13,MATCH($F755,'CAT_CENTROS_COSTO'!$A$4:$A$13,0)),"(sin catálogo)"))</f>
        <v/>
      </c>
      <c r="Y755" s="5">
        <f>IF($F755="","",IF((IFERROR(INDEX('CAT_CENTROS_COSTO'!$E$4:$E$13,MATCH($F755,'CAT_CENTROS_COSTO'!$A$4:$A$13,0)),""))&lt;&gt;"",IFERROR(INDEX('CAT_CENTROS_COSTO'!$E$4:$E$13,MATCH($F755,'CAT_CENTROS_COSTO'!$A$4:$A$13,0)),""),$X755))</f>
        <v/>
      </c>
      <c r="Z755" s="5">
        <f>IF($F755="","",IFERROR(INDEX('CAT_CENTROS_COSTO'!$G$4:$G$13,MATCH($F755,'CAT_CENTROS_COSTO'!$A$4:$A$13,0)),"(sin catálogo)"))</f>
        <v/>
      </c>
      <c r="AA755" s="5">
        <f>IF($G755="","",IFERROR(INDEX('CAT_PUESTOS'!$B$4:$B$8,MATCH($G755,'CAT_PUESTOS'!$A$4:$A$8,0)),"(sin catálogo)"))</f>
        <v/>
      </c>
      <c r="AB755" s="5">
        <f>IF($H755="","",IFERROR(INDEX('CAT_ACTIVIDADES'!$B$4:$B$11,MATCH($H755,'CAT_ACTIVIDADES'!$A$4:$A$11,0)),"(sin catálogo)"))</f>
        <v/>
      </c>
      <c r="AC755" s="20">
        <f>IF($J755="","",TODAY()-$J755)</f>
        <v/>
      </c>
      <c r="AD755" s="20">
        <f>IF($J755="","",IF($J755&lt;=TODAY(),COUNTIFS(cal_fechas,"&gt;="&amp;$J755,cal_fechas,"&lt;"&amp;TODAY(),cal_habil,"sí"),-COUNTIFS(cal_fechas,"&gt;="&amp;TODAY(),cal_fechas,"&lt;"&amp;$J755,cal_habil,"sí")))</f>
        <v/>
      </c>
      <c r="AE755" s="5">
        <f>IF($AD755="","",IF($AD755&lt;0,"FUTURO",IF($AD755&gt;p_dias_backlog_max,"BACKLOG","MES CORRIENTE")))</f>
        <v/>
      </c>
      <c r="AF755" s="5">
        <f>IF($AD755="",FALSE,AND($AD755&gt;p_dias_backlog_min,$AD755&lt;=p_dias_backlog_max))</f>
        <v/>
      </c>
      <c r="AG755" s="4" t="n"/>
      <c r="AH755" s="5">
        <f>IF($AG755="","",IF((IFERROR(INDEX('ASIGNACIONES'!$J$4:$J$451,MATCH($O755&amp;"|"&amp;$S755&amp;"|"&amp;$AG755,'ASIGNACIONES'!$N$4:$N$451,0)),""))=0,"",IFERROR(INDEX('ASIGNACIONES'!$J$4:$J$451,MATCH($O755&amp;"|"&amp;$S755&amp;"|"&amp;$AG755,'ASIGNACIONES'!$N$4:$N$451,0)),"")))</f>
        <v/>
      </c>
      <c r="AI755" s="25">
        <f>IF($AG755="","",SUMIFS('ORDENES'!$M$4:$M$1203,'ORDENES'!$AG$4:$AG$1203,$AG755,'ORDENES'!$O$4:$O$1203,$O755,'ORDENES'!$S$4:$S$1203,$S755))</f>
        <v/>
      </c>
      <c r="AJ755" s="25">
        <f>IF($AI755="","",p_factor_productividad*IFERROR(INDEX('ASIGNACIONES'!$M$4:$M$451,MATCH($O755&amp;"|"&amp;$S755&amp;"|"&amp;$AG755,'ASIGNACIONES'!$N$4:$N$451,0)),0)-$AI755)</f>
        <v/>
      </c>
      <c r="AK755" s="18">
        <f>IF($A755="","",IFERROR(INDEX('2_IMPORTAR_EJECUCION'!$F$9:$F$1208,MATCH($AT755,'2_IMPORTAR_EJECUCION'!$J$9:$J$1208,0)),0))</f>
        <v/>
      </c>
      <c r="AL755" s="18">
        <f>IF($A755="","",MAX(0,IFERROR(INDEX('2_IMPORTAR_EJECUCION'!$H$9:$H$1208,MATCH($AT755,'2_IMPORTAR_EJECUCION'!$J$9:$J$1208,0)),0)-$AK755))</f>
        <v/>
      </c>
      <c r="AM755" s="18">
        <f>IF($A755="","",$AK755+$AL755)</f>
        <v/>
      </c>
      <c r="AN755" s="5">
        <f>IF($A755="","",IF(OR((IFERROR(INDEX('CAT_ACTIVIDADES'!$D$4:$D$11,MATCH($H755,'CAT_ACTIVIDADES'!$A$4:$A$11,0)),""))=0,(IFERROR(INDEX('CAT_ACTIVIDADES'!$D$4:$D$11,MATCH($H755,'CAT_ACTIVIDADES'!$A$4:$A$11,0)),""))=""),"SIN CLASIFICAR",IFERROR(INDEX('CAT_ACTIVIDADES'!$D$4:$D$11,MATCH($H755,'CAT_ACTIVIDADES'!$A$4:$A$11,0)),"")))</f>
        <v/>
      </c>
      <c r="AO755" s="4" t="n"/>
      <c r="AP755" s="4" t="n"/>
      <c r="AQ755" s="4" t="n"/>
      <c r="AR755" s="5">
        <f>IF($AQ755="","",HYPERLINK(p_ruta_base_checklists&amp;$AQ755,"abrir"))</f>
        <v/>
      </c>
      <c r="AS755" s="4" t="n"/>
      <c r="AT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2" t="n"/>
      <c r="K756" s="5" t="n"/>
      <c r="L756" s="18" t="n"/>
      <c r="M756" s="5">
        <f>IF($A756="","",IFERROR(INDEX('AJUSTES'!$B$4:$B$303,MATCH($AT756,'AJUSTES'!$A$4:$A$303,0)),IF($K756="","",$K756)))</f>
        <v/>
      </c>
      <c r="N756" s="5">
        <f>IF($A756="","",IFERROR(INDEX('CAT_ESTADOS_ERP'!$B$4:$B$7,MATCH(IFERROR(INDEX('2_IMPORTAR_EJECUCION'!$C$9:$C$1208,MATCH($AT756,'2_IMPORTAR_EJECUCION'!$J$9:$J$1208,0)),""),'CAT_ESTADOS_ERP'!$A$4:$A$7,0)),"Pendiente"))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IF($J756="","",$P756&amp;"-"&amp;TEXT($Q756,"00"))</f>
        <v/>
      </c>
      <c r="S756" s="5">
        <f>IF($J756="","",INDEX(lista_dias,WEEKDAY($J756,2)))</f>
        <v/>
      </c>
      <c r="T756" s="5">
        <f>IF($J756="","",IFERROR(INDEX('CALENDARIO'!$C$15:$C$214,MATCH(TEXT($J756,"yyyy-mm-dd")&amp;"|"&amp;$X756&amp;"|"&amp;$Y756,'CALENDARIO'!$G$15:$G$214,0)),IFERROR(INDEX('CALENDARIO'!$C$15:$C$214,MATCH(TEXT($J756,"yyyy-mm-dd")&amp;"|"&amp;$X756&amp;"|",'CALENDARIO'!$G$15:$G$214,0)),IFERROR(INDEX('CALENDARIO'!$C$15:$C$214,MATCH(TEXT($J756,"yyyy-mm-dd")&amp;"||",'CALENDARIO'!$G$15:$G$214,0)),INDEX(patronHabil,WEEKDAY($J756,2))))))</f>
        <v/>
      </c>
      <c r="U756" s="5">
        <f>IF($I756="","",IFERROR(INDEX('CAT_TIPOS_OT'!$C$4:$C$8,MATCH($I756,'CAT_TIPOS_OT'!$A$4:$A$8,0)),"sin_clasificar"))</f>
        <v/>
      </c>
      <c r="V756" s="5">
        <f>IF($I756="","",IF(IFERROR(INDEX('CAT_TIPOS_OT'!$D$4:$D$8,MATCH($I756,'CAT_TIPOS_OT'!$A$4:$A$8,0)),"SIN CLASIFICAR")="","SIN CLASIFICAR",IFERROR(INDEX('CAT_TIPOS_OT'!$D$4:$D$8,MATCH($I756,'CAT_TIPOS_OT'!$A$4:$A$8,0)),"SIN CLASIFICAR")))</f>
        <v/>
      </c>
      <c r="W756" s="5">
        <f>IF($F756="","",IFERROR(INDEX('CAT_CENTROS_COSTO'!$F$4:$F$13,MATCH($F756,'CAT_CENTROS_COSTO'!$A$4:$A$13,0)),"(sin catálogo)"))</f>
        <v/>
      </c>
      <c r="X756" s="5">
        <f>IF($F756="","",IFERROR(INDEX('CAT_CENTROS_COSTO'!$D$4:$D$13,MATCH($F756,'CAT_CENTROS_COSTO'!$A$4:$A$13,0)),"(sin catálogo)"))</f>
        <v/>
      </c>
      <c r="Y756" s="5">
        <f>IF($F756="","",IF((IFERROR(INDEX('CAT_CENTROS_COSTO'!$E$4:$E$13,MATCH($F756,'CAT_CENTROS_COSTO'!$A$4:$A$13,0)),""))&lt;&gt;"",IFERROR(INDEX('CAT_CENTROS_COSTO'!$E$4:$E$13,MATCH($F756,'CAT_CENTROS_COSTO'!$A$4:$A$13,0)),""),$X756))</f>
        <v/>
      </c>
      <c r="Z756" s="5">
        <f>IF($F756="","",IFERROR(INDEX('CAT_CENTROS_COSTO'!$G$4:$G$13,MATCH($F756,'CAT_CENTROS_COSTO'!$A$4:$A$13,0)),"(sin catálogo)"))</f>
        <v/>
      </c>
      <c r="AA756" s="5">
        <f>IF($G756="","",IFERROR(INDEX('CAT_PUESTOS'!$B$4:$B$8,MATCH($G756,'CAT_PUESTOS'!$A$4:$A$8,0)),"(sin catálogo)"))</f>
        <v/>
      </c>
      <c r="AB756" s="5">
        <f>IF($H756="","",IFERROR(INDEX('CAT_ACTIVIDADES'!$B$4:$B$11,MATCH($H756,'CAT_ACTIVIDADES'!$A$4:$A$11,0)),"(sin catálogo)"))</f>
        <v/>
      </c>
      <c r="AC756" s="20">
        <f>IF($J756="","",TODAY()-$J756)</f>
        <v/>
      </c>
      <c r="AD756" s="20">
        <f>IF($J756="","",IF($J756&lt;=TODAY(),COUNTIFS(cal_fechas,"&gt;="&amp;$J756,cal_fechas,"&lt;"&amp;TODAY(),cal_habil,"sí"),-COUNTIFS(cal_fechas,"&gt;="&amp;TODAY(),cal_fechas,"&lt;"&amp;$J756,cal_habil,"sí")))</f>
        <v/>
      </c>
      <c r="AE756" s="5">
        <f>IF($AD756="","",IF($AD756&lt;0,"FUTURO",IF($AD756&gt;p_dias_backlog_max,"BACKLOG","MES CORRIENTE")))</f>
        <v/>
      </c>
      <c r="AF756" s="5">
        <f>IF($AD756="",FALSE,AND($AD756&gt;p_dias_backlog_min,$AD756&lt;=p_dias_backlog_max))</f>
        <v/>
      </c>
      <c r="AG756" s="4" t="n"/>
      <c r="AH756" s="5">
        <f>IF($AG756="","",IF((IFERROR(INDEX('ASIGNACIONES'!$J$4:$J$451,MATCH($O756&amp;"|"&amp;$S756&amp;"|"&amp;$AG756,'ASIGNACIONES'!$N$4:$N$451,0)),""))=0,"",IFERROR(INDEX('ASIGNACIONES'!$J$4:$J$451,MATCH($O756&amp;"|"&amp;$S756&amp;"|"&amp;$AG756,'ASIGNACIONES'!$N$4:$N$451,0)),"")))</f>
        <v/>
      </c>
      <c r="AI756" s="25">
        <f>IF($AG756="","",SUMIFS('ORDENES'!$M$4:$M$1203,'ORDENES'!$AG$4:$AG$1203,$AG756,'ORDENES'!$O$4:$O$1203,$O756,'ORDENES'!$S$4:$S$1203,$S756))</f>
        <v/>
      </c>
      <c r="AJ756" s="25">
        <f>IF($AI756="","",p_factor_productividad*IFERROR(INDEX('ASIGNACIONES'!$M$4:$M$451,MATCH($O756&amp;"|"&amp;$S756&amp;"|"&amp;$AG756,'ASIGNACIONES'!$N$4:$N$451,0)),0)-$AI756)</f>
        <v/>
      </c>
      <c r="AK756" s="18">
        <f>IF($A756="","",IFERROR(INDEX('2_IMPORTAR_EJECUCION'!$F$9:$F$1208,MATCH($AT756,'2_IMPORTAR_EJECUCION'!$J$9:$J$1208,0)),0))</f>
        <v/>
      </c>
      <c r="AL756" s="18">
        <f>IF($A756="","",MAX(0,IFERROR(INDEX('2_IMPORTAR_EJECUCION'!$H$9:$H$1208,MATCH($AT756,'2_IMPORTAR_EJECUCION'!$J$9:$J$1208,0)),0)-$AK756))</f>
        <v/>
      </c>
      <c r="AM756" s="18">
        <f>IF($A756="","",$AK756+$AL756)</f>
        <v/>
      </c>
      <c r="AN756" s="5">
        <f>IF($A756="","",IF(OR((IFERROR(INDEX('CAT_ACTIVIDADES'!$D$4:$D$11,MATCH($H756,'CAT_ACTIVIDADES'!$A$4:$A$11,0)),""))=0,(IFERROR(INDEX('CAT_ACTIVIDADES'!$D$4:$D$11,MATCH($H756,'CAT_ACTIVIDADES'!$A$4:$A$11,0)),""))=""),"SIN CLASIFICAR",IFERROR(INDEX('CAT_ACTIVIDADES'!$D$4:$D$11,MATCH($H756,'CAT_ACTIVIDADES'!$A$4:$A$11,0)),"")))</f>
        <v/>
      </c>
      <c r="AO756" s="4" t="n"/>
      <c r="AP756" s="4" t="n"/>
      <c r="AQ756" s="4" t="n"/>
      <c r="AR756" s="5">
        <f>IF($AQ756="","",HYPERLINK(p_ruta_base_checklists&amp;$AQ756,"abrir"))</f>
        <v/>
      </c>
      <c r="AS756" s="4" t="n"/>
      <c r="AT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2" t="n"/>
      <c r="K757" s="5" t="n"/>
      <c r="L757" s="18" t="n"/>
      <c r="M757" s="5">
        <f>IF($A757="","",IFERROR(INDEX('AJUSTES'!$B$4:$B$303,MATCH($AT757,'AJUSTES'!$A$4:$A$303,0)),IF($K757="","",$K757)))</f>
        <v/>
      </c>
      <c r="N757" s="5">
        <f>IF($A757="","",IFERROR(INDEX('CAT_ESTADOS_ERP'!$B$4:$B$7,MATCH(IFERROR(INDEX('2_IMPORTAR_EJECUCION'!$C$9:$C$1208,MATCH($AT757,'2_IMPORTAR_EJECUCION'!$J$9:$J$1208,0)),""),'CAT_ESTADOS_ERP'!$A$4:$A$7,0)),"Pendiente"))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IF($J757="","",$P757&amp;"-"&amp;TEXT($Q757,"00"))</f>
        <v/>
      </c>
      <c r="S757" s="5">
        <f>IF($J757="","",INDEX(lista_dias,WEEKDAY($J757,2)))</f>
        <v/>
      </c>
      <c r="T757" s="5">
        <f>IF($J757="","",IFERROR(INDEX('CALENDARIO'!$C$15:$C$214,MATCH(TEXT($J757,"yyyy-mm-dd")&amp;"|"&amp;$X757&amp;"|"&amp;$Y757,'CALENDARIO'!$G$15:$G$214,0)),IFERROR(INDEX('CALENDARIO'!$C$15:$C$214,MATCH(TEXT($J757,"yyyy-mm-dd")&amp;"|"&amp;$X757&amp;"|",'CALENDARIO'!$G$15:$G$214,0)),IFERROR(INDEX('CALENDARIO'!$C$15:$C$214,MATCH(TEXT($J757,"yyyy-mm-dd")&amp;"||",'CALENDARIO'!$G$15:$G$214,0)),INDEX(patronHabil,WEEKDAY($J757,2))))))</f>
        <v/>
      </c>
      <c r="U757" s="5">
        <f>IF($I757="","",IFERROR(INDEX('CAT_TIPOS_OT'!$C$4:$C$8,MATCH($I757,'CAT_TIPOS_OT'!$A$4:$A$8,0)),"sin_clasificar"))</f>
        <v/>
      </c>
      <c r="V757" s="5">
        <f>IF($I757="","",IF(IFERROR(INDEX('CAT_TIPOS_OT'!$D$4:$D$8,MATCH($I757,'CAT_TIPOS_OT'!$A$4:$A$8,0)),"SIN CLASIFICAR")="","SIN CLASIFICAR",IFERROR(INDEX('CAT_TIPOS_OT'!$D$4:$D$8,MATCH($I757,'CAT_TIPOS_OT'!$A$4:$A$8,0)),"SIN CLASIFICAR")))</f>
        <v/>
      </c>
      <c r="W757" s="5">
        <f>IF($F757="","",IFERROR(INDEX('CAT_CENTROS_COSTO'!$F$4:$F$13,MATCH($F757,'CAT_CENTROS_COSTO'!$A$4:$A$13,0)),"(sin catálogo)"))</f>
        <v/>
      </c>
      <c r="X757" s="5">
        <f>IF($F757="","",IFERROR(INDEX('CAT_CENTROS_COSTO'!$D$4:$D$13,MATCH($F757,'CAT_CENTROS_COSTO'!$A$4:$A$13,0)),"(sin catálogo)"))</f>
        <v/>
      </c>
      <c r="Y757" s="5">
        <f>IF($F757="","",IF((IFERROR(INDEX('CAT_CENTROS_COSTO'!$E$4:$E$13,MATCH($F757,'CAT_CENTROS_COSTO'!$A$4:$A$13,0)),""))&lt;&gt;"",IFERROR(INDEX('CAT_CENTROS_COSTO'!$E$4:$E$13,MATCH($F757,'CAT_CENTROS_COSTO'!$A$4:$A$13,0)),""),$X757))</f>
        <v/>
      </c>
      <c r="Z757" s="5">
        <f>IF($F757="","",IFERROR(INDEX('CAT_CENTROS_COSTO'!$G$4:$G$13,MATCH($F757,'CAT_CENTROS_COSTO'!$A$4:$A$13,0)),"(sin catálogo)"))</f>
        <v/>
      </c>
      <c r="AA757" s="5">
        <f>IF($G757="","",IFERROR(INDEX('CAT_PUESTOS'!$B$4:$B$8,MATCH($G757,'CAT_PUESTOS'!$A$4:$A$8,0)),"(sin catálogo)"))</f>
        <v/>
      </c>
      <c r="AB757" s="5">
        <f>IF($H757="","",IFERROR(INDEX('CAT_ACTIVIDADES'!$B$4:$B$11,MATCH($H757,'CAT_ACTIVIDADES'!$A$4:$A$11,0)),"(sin catálogo)"))</f>
        <v/>
      </c>
      <c r="AC757" s="20">
        <f>IF($J757="","",TODAY()-$J757)</f>
        <v/>
      </c>
      <c r="AD757" s="20">
        <f>IF($J757="","",IF($J757&lt;=TODAY(),COUNTIFS(cal_fechas,"&gt;="&amp;$J757,cal_fechas,"&lt;"&amp;TODAY(),cal_habil,"sí"),-COUNTIFS(cal_fechas,"&gt;="&amp;TODAY(),cal_fechas,"&lt;"&amp;$J757,cal_habil,"sí")))</f>
        <v/>
      </c>
      <c r="AE757" s="5">
        <f>IF($AD757="","",IF($AD757&lt;0,"FUTURO",IF($AD757&gt;p_dias_backlog_max,"BACKLOG","MES CORRIENTE")))</f>
        <v/>
      </c>
      <c r="AF757" s="5">
        <f>IF($AD757="",FALSE,AND($AD757&gt;p_dias_backlog_min,$AD757&lt;=p_dias_backlog_max))</f>
        <v/>
      </c>
      <c r="AG757" s="4" t="n"/>
      <c r="AH757" s="5">
        <f>IF($AG757="","",IF((IFERROR(INDEX('ASIGNACIONES'!$J$4:$J$451,MATCH($O757&amp;"|"&amp;$S757&amp;"|"&amp;$AG757,'ASIGNACIONES'!$N$4:$N$451,0)),""))=0,"",IFERROR(INDEX('ASIGNACIONES'!$J$4:$J$451,MATCH($O757&amp;"|"&amp;$S757&amp;"|"&amp;$AG757,'ASIGNACIONES'!$N$4:$N$451,0)),"")))</f>
        <v/>
      </c>
      <c r="AI757" s="25">
        <f>IF($AG757="","",SUMIFS('ORDENES'!$M$4:$M$1203,'ORDENES'!$AG$4:$AG$1203,$AG757,'ORDENES'!$O$4:$O$1203,$O757,'ORDENES'!$S$4:$S$1203,$S757))</f>
        <v/>
      </c>
      <c r="AJ757" s="25">
        <f>IF($AI757="","",p_factor_productividad*IFERROR(INDEX('ASIGNACIONES'!$M$4:$M$451,MATCH($O757&amp;"|"&amp;$S757&amp;"|"&amp;$AG757,'ASIGNACIONES'!$N$4:$N$451,0)),0)-$AI757)</f>
        <v/>
      </c>
      <c r="AK757" s="18">
        <f>IF($A757="","",IFERROR(INDEX('2_IMPORTAR_EJECUCION'!$F$9:$F$1208,MATCH($AT757,'2_IMPORTAR_EJECUCION'!$J$9:$J$1208,0)),0))</f>
        <v/>
      </c>
      <c r="AL757" s="18">
        <f>IF($A757="","",MAX(0,IFERROR(INDEX('2_IMPORTAR_EJECUCION'!$H$9:$H$1208,MATCH($AT757,'2_IMPORTAR_EJECUCION'!$J$9:$J$1208,0)),0)-$AK757))</f>
        <v/>
      </c>
      <c r="AM757" s="18">
        <f>IF($A757="","",$AK757+$AL757)</f>
        <v/>
      </c>
      <c r="AN757" s="5">
        <f>IF($A757="","",IF(OR((IFERROR(INDEX('CAT_ACTIVIDADES'!$D$4:$D$11,MATCH($H757,'CAT_ACTIVIDADES'!$A$4:$A$11,0)),""))=0,(IFERROR(INDEX('CAT_ACTIVIDADES'!$D$4:$D$11,MATCH($H757,'CAT_ACTIVIDADES'!$A$4:$A$11,0)),""))=""),"SIN CLASIFICAR",IFERROR(INDEX('CAT_ACTIVIDADES'!$D$4:$D$11,MATCH($H757,'CAT_ACTIVIDADES'!$A$4:$A$11,0)),"")))</f>
        <v/>
      </c>
      <c r="AO757" s="4" t="n"/>
      <c r="AP757" s="4" t="n"/>
      <c r="AQ757" s="4" t="n"/>
      <c r="AR757" s="5">
        <f>IF($AQ757="","",HYPERLINK(p_ruta_base_checklists&amp;$AQ757,"abrir"))</f>
        <v/>
      </c>
      <c r="AS757" s="4" t="n"/>
      <c r="AT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2" t="n"/>
      <c r="K758" s="5" t="n"/>
      <c r="L758" s="18" t="n"/>
      <c r="M758" s="5">
        <f>IF($A758="","",IFERROR(INDEX('AJUSTES'!$B$4:$B$303,MATCH($AT758,'AJUSTES'!$A$4:$A$303,0)),IF($K758="","",$K758)))</f>
        <v/>
      </c>
      <c r="N758" s="5">
        <f>IF($A758="","",IFERROR(INDEX('CAT_ESTADOS_ERP'!$B$4:$B$7,MATCH(IFERROR(INDEX('2_IMPORTAR_EJECUCION'!$C$9:$C$1208,MATCH($AT758,'2_IMPORTAR_EJECUCION'!$J$9:$J$1208,0)),""),'CAT_ESTADOS_ERP'!$A$4:$A$7,0)),"Pendiente"))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IF($J758="","",$P758&amp;"-"&amp;TEXT($Q758,"00"))</f>
        <v/>
      </c>
      <c r="S758" s="5">
        <f>IF($J758="","",INDEX(lista_dias,WEEKDAY($J758,2)))</f>
        <v/>
      </c>
      <c r="T758" s="5">
        <f>IF($J758="","",IFERROR(INDEX('CALENDARIO'!$C$15:$C$214,MATCH(TEXT($J758,"yyyy-mm-dd")&amp;"|"&amp;$X758&amp;"|"&amp;$Y758,'CALENDARIO'!$G$15:$G$214,0)),IFERROR(INDEX('CALENDARIO'!$C$15:$C$214,MATCH(TEXT($J758,"yyyy-mm-dd")&amp;"|"&amp;$X758&amp;"|",'CALENDARIO'!$G$15:$G$214,0)),IFERROR(INDEX('CALENDARIO'!$C$15:$C$214,MATCH(TEXT($J758,"yyyy-mm-dd")&amp;"||",'CALENDARIO'!$G$15:$G$214,0)),INDEX(patronHabil,WEEKDAY($J758,2))))))</f>
        <v/>
      </c>
      <c r="U758" s="5">
        <f>IF($I758="","",IFERROR(INDEX('CAT_TIPOS_OT'!$C$4:$C$8,MATCH($I758,'CAT_TIPOS_OT'!$A$4:$A$8,0)),"sin_clasificar"))</f>
        <v/>
      </c>
      <c r="V758" s="5">
        <f>IF($I758="","",IF(IFERROR(INDEX('CAT_TIPOS_OT'!$D$4:$D$8,MATCH($I758,'CAT_TIPOS_OT'!$A$4:$A$8,0)),"SIN CLASIFICAR")="","SIN CLASIFICAR",IFERROR(INDEX('CAT_TIPOS_OT'!$D$4:$D$8,MATCH($I758,'CAT_TIPOS_OT'!$A$4:$A$8,0)),"SIN CLASIFICAR")))</f>
        <v/>
      </c>
      <c r="W758" s="5">
        <f>IF($F758="","",IFERROR(INDEX('CAT_CENTROS_COSTO'!$F$4:$F$13,MATCH($F758,'CAT_CENTROS_COSTO'!$A$4:$A$13,0)),"(sin catálogo)"))</f>
        <v/>
      </c>
      <c r="X758" s="5">
        <f>IF($F758="","",IFERROR(INDEX('CAT_CENTROS_COSTO'!$D$4:$D$13,MATCH($F758,'CAT_CENTROS_COSTO'!$A$4:$A$13,0)),"(sin catálogo)"))</f>
        <v/>
      </c>
      <c r="Y758" s="5">
        <f>IF($F758="","",IF((IFERROR(INDEX('CAT_CENTROS_COSTO'!$E$4:$E$13,MATCH($F758,'CAT_CENTROS_COSTO'!$A$4:$A$13,0)),""))&lt;&gt;"",IFERROR(INDEX('CAT_CENTROS_COSTO'!$E$4:$E$13,MATCH($F758,'CAT_CENTROS_COSTO'!$A$4:$A$13,0)),""),$X758))</f>
        <v/>
      </c>
      <c r="Z758" s="5">
        <f>IF($F758="","",IFERROR(INDEX('CAT_CENTROS_COSTO'!$G$4:$G$13,MATCH($F758,'CAT_CENTROS_COSTO'!$A$4:$A$13,0)),"(sin catálogo)"))</f>
        <v/>
      </c>
      <c r="AA758" s="5">
        <f>IF($G758="","",IFERROR(INDEX('CAT_PUESTOS'!$B$4:$B$8,MATCH($G758,'CAT_PUESTOS'!$A$4:$A$8,0)),"(sin catálogo)"))</f>
        <v/>
      </c>
      <c r="AB758" s="5">
        <f>IF($H758="","",IFERROR(INDEX('CAT_ACTIVIDADES'!$B$4:$B$11,MATCH($H758,'CAT_ACTIVIDADES'!$A$4:$A$11,0)),"(sin catálogo)"))</f>
        <v/>
      </c>
      <c r="AC758" s="20">
        <f>IF($J758="","",TODAY()-$J758)</f>
        <v/>
      </c>
      <c r="AD758" s="20">
        <f>IF($J758="","",IF($J758&lt;=TODAY(),COUNTIFS(cal_fechas,"&gt;="&amp;$J758,cal_fechas,"&lt;"&amp;TODAY(),cal_habil,"sí"),-COUNTIFS(cal_fechas,"&gt;="&amp;TODAY(),cal_fechas,"&lt;"&amp;$J758,cal_habil,"sí")))</f>
        <v/>
      </c>
      <c r="AE758" s="5">
        <f>IF($AD758="","",IF($AD758&lt;0,"FUTURO",IF($AD758&gt;p_dias_backlog_max,"BACKLOG","MES CORRIENTE")))</f>
        <v/>
      </c>
      <c r="AF758" s="5">
        <f>IF($AD758="",FALSE,AND($AD758&gt;p_dias_backlog_min,$AD758&lt;=p_dias_backlog_max))</f>
        <v/>
      </c>
      <c r="AG758" s="4" t="n"/>
      <c r="AH758" s="5">
        <f>IF($AG758="","",IF((IFERROR(INDEX('ASIGNACIONES'!$J$4:$J$451,MATCH($O758&amp;"|"&amp;$S758&amp;"|"&amp;$AG758,'ASIGNACIONES'!$N$4:$N$451,0)),""))=0,"",IFERROR(INDEX('ASIGNACIONES'!$J$4:$J$451,MATCH($O758&amp;"|"&amp;$S758&amp;"|"&amp;$AG758,'ASIGNACIONES'!$N$4:$N$451,0)),"")))</f>
        <v/>
      </c>
      <c r="AI758" s="25">
        <f>IF($AG758="","",SUMIFS('ORDENES'!$M$4:$M$1203,'ORDENES'!$AG$4:$AG$1203,$AG758,'ORDENES'!$O$4:$O$1203,$O758,'ORDENES'!$S$4:$S$1203,$S758))</f>
        <v/>
      </c>
      <c r="AJ758" s="25">
        <f>IF($AI758="","",p_factor_productividad*IFERROR(INDEX('ASIGNACIONES'!$M$4:$M$451,MATCH($O758&amp;"|"&amp;$S758&amp;"|"&amp;$AG758,'ASIGNACIONES'!$N$4:$N$451,0)),0)-$AI758)</f>
        <v/>
      </c>
      <c r="AK758" s="18">
        <f>IF($A758="","",IFERROR(INDEX('2_IMPORTAR_EJECUCION'!$F$9:$F$1208,MATCH($AT758,'2_IMPORTAR_EJECUCION'!$J$9:$J$1208,0)),0))</f>
        <v/>
      </c>
      <c r="AL758" s="18">
        <f>IF($A758="","",MAX(0,IFERROR(INDEX('2_IMPORTAR_EJECUCION'!$H$9:$H$1208,MATCH($AT758,'2_IMPORTAR_EJECUCION'!$J$9:$J$1208,0)),0)-$AK758))</f>
        <v/>
      </c>
      <c r="AM758" s="18">
        <f>IF($A758="","",$AK758+$AL758)</f>
        <v/>
      </c>
      <c r="AN758" s="5">
        <f>IF($A758="","",IF(OR((IFERROR(INDEX('CAT_ACTIVIDADES'!$D$4:$D$11,MATCH($H758,'CAT_ACTIVIDADES'!$A$4:$A$11,0)),""))=0,(IFERROR(INDEX('CAT_ACTIVIDADES'!$D$4:$D$11,MATCH($H758,'CAT_ACTIVIDADES'!$A$4:$A$11,0)),""))=""),"SIN CLASIFICAR",IFERROR(INDEX('CAT_ACTIVIDADES'!$D$4:$D$11,MATCH($H758,'CAT_ACTIVIDADES'!$A$4:$A$11,0)),"")))</f>
        <v/>
      </c>
      <c r="AO758" s="4" t="n"/>
      <c r="AP758" s="4" t="n"/>
      <c r="AQ758" s="4" t="n"/>
      <c r="AR758" s="5">
        <f>IF($AQ758="","",HYPERLINK(p_ruta_base_checklists&amp;$AQ758,"abrir"))</f>
        <v/>
      </c>
      <c r="AS758" s="4" t="n"/>
      <c r="AT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2" t="n"/>
      <c r="K759" s="5" t="n"/>
      <c r="L759" s="18" t="n"/>
      <c r="M759" s="5">
        <f>IF($A759="","",IFERROR(INDEX('AJUSTES'!$B$4:$B$303,MATCH($AT759,'AJUSTES'!$A$4:$A$303,0)),IF($K759="","",$K759)))</f>
        <v/>
      </c>
      <c r="N759" s="5">
        <f>IF($A759="","",IFERROR(INDEX('CAT_ESTADOS_ERP'!$B$4:$B$7,MATCH(IFERROR(INDEX('2_IMPORTAR_EJECUCION'!$C$9:$C$1208,MATCH($AT759,'2_IMPORTAR_EJECUCION'!$J$9:$J$1208,0)),""),'CAT_ESTADOS_ERP'!$A$4:$A$7,0)),"Pendiente"))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IF($J759="","",$P759&amp;"-"&amp;TEXT($Q759,"00"))</f>
        <v/>
      </c>
      <c r="S759" s="5">
        <f>IF($J759="","",INDEX(lista_dias,WEEKDAY($J759,2)))</f>
        <v/>
      </c>
      <c r="T759" s="5">
        <f>IF($J759="","",IFERROR(INDEX('CALENDARIO'!$C$15:$C$214,MATCH(TEXT($J759,"yyyy-mm-dd")&amp;"|"&amp;$X759&amp;"|"&amp;$Y759,'CALENDARIO'!$G$15:$G$214,0)),IFERROR(INDEX('CALENDARIO'!$C$15:$C$214,MATCH(TEXT($J759,"yyyy-mm-dd")&amp;"|"&amp;$X759&amp;"|",'CALENDARIO'!$G$15:$G$214,0)),IFERROR(INDEX('CALENDARIO'!$C$15:$C$214,MATCH(TEXT($J759,"yyyy-mm-dd")&amp;"||",'CALENDARIO'!$G$15:$G$214,0)),INDEX(patronHabil,WEEKDAY($J759,2))))))</f>
        <v/>
      </c>
      <c r="U759" s="5">
        <f>IF($I759="","",IFERROR(INDEX('CAT_TIPOS_OT'!$C$4:$C$8,MATCH($I759,'CAT_TIPOS_OT'!$A$4:$A$8,0)),"sin_clasificar"))</f>
        <v/>
      </c>
      <c r="V759" s="5">
        <f>IF($I759="","",IF(IFERROR(INDEX('CAT_TIPOS_OT'!$D$4:$D$8,MATCH($I759,'CAT_TIPOS_OT'!$A$4:$A$8,0)),"SIN CLASIFICAR")="","SIN CLASIFICAR",IFERROR(INDEX('CAT_TIPOS_OT'!$D$4:$D$8,MATCH($I759,'CAT_TIPOS_OT'!$A$4:$A$8,0)),"SIN CLASIFICAR")))</f>
        <v/>
      </c>
      <c r="W759" s="5">
        <f>IF($F759="","",IFERROR(INDEX('CAT_CENTROS_COSTO'!$F$4:$F$13,MATCH($F759,'CAT_CENTROS_COSTO'!$A$4:$A$13,0)),"(sin catálogo)"))</f>
        <v/>
      </c>
      <c r="X759" s="5">
        <f>IF($F759="","",IFERROR(INDEX('CAT_CENTROS_COSTO'!$D$4:$D$13,MATCH($F759,'CAT_CENTROS_COSTO'!$A$4:$A$13,0)),"(sin catálogo)"))</f>
        <v/>
      </c>
      <c r="Y759" s="5">
        <f>IF($F759="","",IF((IFERROR(INDEX('CAT_CENTROS_COSTO'!$E$4:$E$13,MATCH($F759,'CAT_CENTROS_COSTO'!$A$4:$A$13,0)),""))&lt;&gt;"",IFERROR(INDEX('CAT_CENTROS_COSTO'!$E$4:$E$13,MATCH($F759,'CAT_CENTROS_COSTO'!$A$4:$A$13,0)),""),$X759))</f>
        <v/>
      </c>
      <c r="Z759" s="5">
        <f>IF($F759="","",IFERROR(INDEX('CAT_CENTROS_COSTO'!$G$4:$G$13,MATCH($F759,'CAT_CENTROS_COSTO'!$A$4:$A$13,0)),"(sin catálogo)"))</f>
        <v/>
      </c>
      <c r="AA759" s="5">
        <f>IF($G759="","",IFERROR(INDEX('CAT_PUESTOS'!$B$4:$B$8,MATCH($G759,'CAT_PUESTOS'!$A$4:$A$8,0)),"(sin catálogo)"))</f>
        <v/>
      </c>
      <c r="AB759" s="5">
        <f>IF($H759="","",IFERROR(INDEX('CAT_ACTIVIDADES'!$B$4:$B$11,MATCH($H759,'CAT_ACTIVIDADES'!$A$4:$A$11,0)),"(sin catálogo)"))</f>
        <v/>
      </c>
      <c r="AC759" s="20">
        <f>IF($J759="","",TODAY()-$J759)</f>
        <v/>
      </c>
      <c r="AD759" s="20">
        <f>IF($J759="","",IF($J759&lt;=TODAY(),COUNTIFS(cal_fechas,"&gt;="&amp;$J759,cal_fechas,"&lt;"&amp;TODAY(),cal_habil,"sí"),-COUNTIFS(cal_fechas,"&gt;="&amp;TODAY(),cal_fechas,"&lt;"&amp;$J759,cal_habil,"sí")))</f>
        <v/>
      </c>
      <c r="AE759" s="5">
        <f>IF($AD759="","",IF($AD759&lt;0,"FUTURO",IF($AD759&gt;p_dias_backlog_max,"BACKLOG","MES CORRIENTE")))</f>
        <v/>
      </c>
      <c r="AF759" s="5">
        <f>IF($AD759="",FALSE,AND($AD759&gt;p_dias_backlog_min,$AD759&lt;=p_dias_backlog_max))</f>
        <v/>
      </c>
      <c r="AG759" s="4" t="n"/>
      <c r="AH759" s="5">
        <f>IF($AG759="","",IF((IFERROR(INDEX('ASIGNACIONES'!$J$4:$J$451,MATCH($O759&amp;"|"&amp;$S759&amp;"|"&amp;$AG759,'ASIGNACIONES'!$N$4:$N$451,0)),""))=0,"",IFERROR(INDEX('ASIGNACIONES'!$J$4:$J$451,MATCH($O759&amp;"|"&amp;$S759&amp;"|"&amp;$AG759,'ASIGNACIONES'!$N$4:$N$451,0)),"")))</f>
        <v/>
      </c>
      <c r="AI759" s="25">
        <f>IF($AG759="","",SUMIFS('ORDENES'!$M$4:$M$1203,'ORDENES'!$AG$4:$AG$1203,$AG759,'ORDENES'!$O$4:$O$1203,$O759,'ORDENES'!$S$4:$S$1203,$S759))</f>
        <v/>
      </c>
      <c r="AJ759" s="25">
        <f>IF($AI759="","",p_factor_productividad*IFERROR(INDEX('ASIGNACIONES'!$M$4:$M$451,MATCH($O759&amp;"|"&amp;$S759&amp;"|"&amp;$AG759,'ASIGNACIONES'!$N$4:$N$451,0)),0)-$AI759)</f>
        <v/>
      </c>
      <c r="AK759" s="18">
        <f>IF($A759="","",IFERROR(INDEX('2_IMPORTAR_EJECUCION'!$F$9:$F$1208,MATCH($AT759,'2_IMPORTAR_EJECUCION'!$J$9:$J$1208,0)),0))</f>
        <v/>
      </c>
      <c r="AL759" s="18">
        <f>IF($A759="","",MAX(0,IFERROR(INDEX('2_IMPORTAR_EJECUCION'!$H$9:$H$1208,MATCH($AT759,'2_IMPORTAR_EJECUCION'!$J$9:$J$1208,0)),0)-$AK759))</f>
        <v/>
      </c>
      <c r="AM759" s="18">
        <f>IF($A759="","",$AK759+$AL759)</f>
        <v/>
      </c>
      <c r="AN759" s="5">
        <f>IF($A759="","",IF(OR((IFERROR(INDEX('CAT_ACTIVIDADES'!$D$4:$D$11,MATCH($H759,'CAT_ACTIVIDADES'!$A$4:$A$11,0)),""))=0,(IFERROR(INDEX('CAT_ACTIVIDADES'!$D$4:$D$11,MATCH($H759,'CAT_ACTIVIDADES'!$A$4:$A$11,0)),""))=""),"SIN CLASIFICAR",IFERROR(INDEX('CAT_ACTIVIDADES'!$D$4:$D$11,MATCH($H759,'CAT_ACTIVIDADES'!$A$4:$A$11,0)),"")))</f>
        <v/>
      </c>
      <c r="AO759" s="4" t="n"/>
      <c r="AP759" s="4" t="n"/>
      <c r="AQ759" s="4" t="n"/>
      <c r="AR759" s="5">
        <f>IF($AQ759="","",HYPERLINK(p_ruta_base_checklists&amp;$AQ759,"abrir"))</f>
        <v/>
      </c>
      <c r="AS759" s="4" t="n"/>
      <c r="AT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2" t="n"/>
      <c r="K760" s="5" t="n"/>
      <c r="L760" s="18" t="n"/>
      <c r="M760" s="5">
        <f>IF($A760="","",IFERROR(INDEX('AJUSTES'!$B$4:$B$303,MATCH($AT760,'AJUSTES'!$A$4:$A$303,0)),IF($K760="","",$K760)))</f>
        <v/>
      </c>
      <c r="N760" s="5">
        <f>IF($A760="","",IFERROR(INDEX('CAT_ESTADOS_ERP'!$B$4:$B$7,MATCH(IFERROR(INDEX('2_IMPORTAR_EJECUCION'!$C$9:$C$1208,MATCH($AT760,'2_IMPORTAR_EJECUCION'!$J$9:$J$1208,0)),""),'CAT_ESTADOS_ERP'!$A$4:$A$7,0)),"Pendiente"))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IF($J760="","",$P760&amp;"-"&amp;TEXT($Q760,"00"))</f>
        <v/>
      </c>
      <c r="S760" s="5">
        <f>IF($J760="","",INDEX(lista_dias,WEEKDAY($J760,2)))</f>
        <v/>
      </c>
      <c r="T760" s="5">
        <f>IF($J760="","",IFERROR(INDEX('CALENDARIO'!$C$15:$C$214,MATCH(TEXT($J760,"yyyy-mm-dd")&amp;"|"&amp;$X760&amp;"|"&amp;$Y760,'CALENDARIO'!$G$15:$G$214,0)),IFERROR(INDEX('CALENDARIO'!$C$15:$C$214,MATCH(TEXT($J760,"yyyy-mm-dd")&amp;"|"&amp;$X760&amp;"|",'CALENDARIO'!$G$15:$G$214,0)),IFERROR(INDEX('CALENDARIO'!$C$15:$C$214,MATCH(TEXT($J760,"yyyy-mm-dd")&amp;"||",'CALENDARIO'!$G$15:$G$214,0)),INDEX(patronHabil,WEEKDAY($J760,2))))))</f>
        <v/>
      </c>
      <c r="U760" s="5">
        <f>IF($I760="","",IFERROR(INDEX('CAT_TIPOS_OT'!$C$4:$C$8,MATCH($I760,'CAT_TIPOS_OT'!$A$4:$A$8,0)),"sin_clasificar"))</f>
        <v/>
      </c>
      <c r="V760" s="5">
        <f>IF($I760="","",IF(IFERROR(INDEX('CAT_TIPOS_OT'!$D$4:$D$8,MATCH($I760,'CAT_TIPOS_OT'!$A$4:$A$8,0)),"SIN CLASIFICAR")="","SIN CLASIFICAR",IFERROR(INDEX('CAT_TIPOS_OT'!$D$4:$D$8,MATCH($I760,'CAT_TIPOS_OT'!$A$4:$A$8,0)),"SIN CLASIFICAR")))</f>
        <v/>
      </c>
      <c r="W760" s="5">
        <f>IF($F760="","",IFERROR(INDEX('CAT_CENTROS_COSTO'!$F$4:$F$13,MATCH($F760,'CAT_CENTROS_COSTO'!$A$4:$A$13,0)),"(sin catálogo)"))</f>
        <v/>
      </c>
      <c r="X760" s="5">
        <f>IF($F760="","",IFERROR(INDEX('CAT_CENTROS_COSTO'!$D$4:$D$13,MATCH($F760,'CAT_CENTROS_COSTO'!$A$4:$A$13,0)),"(sin catálogo)"))</f>
        <v/>
      </c>
      <c r="Y760" s="5">
        <f>IF($F760="","",IF((IFERROR(INDEX('CAT_CENTROS_COSTO'!$E$4:$E$13,MATCH($F760,'CAT_CENTROS_COSTO'!$A$4:$A$13,0)),""))&lt;&gt;"",IFERROR(INDEX('CAT_CENTROS_COSTO'!$E$4:$E$13,MATCH($F760,'CAT_CENTROS_COSTO'!$A$4:$A$13,0)),""),$X760))</f>
        <v/>
      </c>
      <c r="Z760" s="5">
        <f>IF($F760="","",IFERROR(INDEX('CAT_CENTROS_COSTO'!$G$4:$G$13,MATCH($F760,'CAT_CENTROS_COSTO'!$A$4:$A$13,0)),"(sin catálogo)"))</f>
        <v/>
      </c>
      <c r="AA760" s="5">
        <f>IF($G760="","",IFERROR(INDEX('CAT_PUESTOS'!$B$4:$B$8,MATCH($G760,'CAT_PUESTOS'!$A$4:$A$8,0)),"(sin catálogo)"))</f>
        <v/>
      </c>
      <c r="AB760" s="5">
        <f>IF($H760="","",IFERROR(INDEX('CAT_ACTIVIDADES'!$B$4:$B$11,MATCH($H760,'CAT_ACTIVIDADES'!$A$4:$A$11,0)),"(sin catálogo)"))</f>
        <v/>
      </c>
      <c r="AC760" s="20">
        <f>IF($J760="","",TODAY()-$J760)</f>
        <v/>
      </c>
      <c r="AD760" s="20">
        <f>IF($J760="","",IF($J760&lt;=TODAY(),COUNTIFS(cal_fechas,"&gt;="&amp;$J760,cal_fechas,"&lt;"&amp;TODAY(),cal_habil,"sí"),-COUNTIFS(cal_fechas,"&gt;="&amp;TODAY(),cal_fechas,"&lt;"&amp;$J760,cal_habil,"sí")))</f>
        <v/>
      </c>
      <c r="AE760" s="5">
        <f>IF($AD760="","",IF($AD760&lt;0,"FUTURO",IF($AD760&gt;p_dias_backlog_max,"BACKLOG","MES CORRIENTE")))</f>
        <v/>
      </c>
      <c r="AF760" s="5">
        <f>IF($AD760="",FALSE,AND($AD760&gt;p_dias_backlog_min,$AD760&lt;=p_dias_backlog_max))</f>
        <v/>
      </c>
      <c r="AG760" s="4" t="n"/>
      <c r="AH760" s="5">
        <f>IF($AG760="","",IF((IFERROR(INDEX('ASIGNACIONES'!$J$4:$J$451,MATCH($O760&amp;"|"&amp;$S760&amp;"|"&amp;$AG760,'ASIGNACIONES'!$N$4:$N$451,0)),""))=0,"",IFERROR(INDEX('ASIGNACIONES'!$J$4:$J$451,MATCH($O760&amp;"|"&amp;$S760&amp;"|"&amp;$AG760,'ASIGNACIONES'!$N$4:$N$451,0)),"")))</f>
        <v/>
      </c>
      <c r="AI760" s="25">
        <f>IF($AG760="","",SUMIFS('ORDENES'!$M$4:$M$1203,'ORDENES'!$AG$4:$AG$1203,$AG760,'ORDENES'!$O$4:$O$1203,$O760,'ORDENES'!$S$4:$S$1203,$S760))</f>
        <v/>
      </c>
      <c r="AJ760" s="25">
        <f>IF($AI760="","",p_factor_productividad*IFERROR(INDEX('ASIGNACIONES'!$M$4:$M$451,MATCH($O760&amp;"|"&amp;$S760&amp;"|"&amp;$AG760,'ASIGNACIONES'!$N$4:$N$451,0)),0)-$AI760)</f>
        <v/>
      </c>
      <c r="AK760" s="18">
        <f>IF($A760="","",IFERROR(INDEX('2_IMPORTAR_EJECUCION'!$F$9:$F$1208,MATCH($AT760,'2_IMPORTAR_EJECUCION'!$J$9:$J$1208,0)),0))</f>
        <v/>
      </c>
      <c r="AL760" s="18">
        <f>IF($A760="","",MAX(0,IFERROR(INDEX('2_IMPORTAR_EJECUCION'!$H$9:$H$1208,MATCH($AT760,'2_IMPORTAR_EJECUCION'!$J$9:$J$1208,0)),0)-$AK760))</f>
        <v/>
      </c>
      <c r="AM760" s="18">
        <f>IF($A760="","",$AK760+$AL760)</f>
        <v/>
      </c>
      <c r="AN760" s="5">
        <f>IF($A760="","",IF(OR((IFERROR(INDEX('CAT_ACTIVIDADES'!$D$4:$D$11,MATCH($H760,'CAT_ACTIVIDADES'!$A$4:$A$11,0)),""))=0,(IFERROR(INDEX('CAT_ACTIVIDADES'!$D$4:$D$11,MATCH($H760,'CAT_ACTIVIDADES'!$A$4:$A$11,0)),""))=""),"SIN CLASIFICAR",IFERROR(INDEX('CAT_ACTIVIDADES'!$D$4:$D$11,MATCH($H760,'CAT_ACTIVIDADES'!$A$4:$A$11,0)),"")))</f>
        <v/>
      </c>
      <c r="AO760" s="4" t="n"/>
      <c r="AP760" s="4" t="n"/>
      <c r="AQ760" s="4" t="n"/>
      <c r="AR760" s="5">
        <f>IF($AQ760="","",HYPERLINK(p_ruta_base_checklists&amp;$AQ760,"abrir"))</f>
        <v/>
      </c>
      <c r="AS760" s="4" t="n"/>
      <c r="AT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2" t="n"/>
      <c r="K761" s="5" t="n"/>
      <c r="L761" s="18" t="n"/>
      <c r="M761" s="5">
        <f>IF($A761="","",IFERROR(INDEX('AJUSTES'!$B$4:$B$303,MATCH($AT761,'AJUSTES'!$A$4:$A$303,0)),IF($K761="","",$K761)))</f>
        <v/>
      </c>
      <c r="N761" s="5">
        <f>IF($A761="","",IFERROR(INDEX('CAT_ESTADOS_ERP'!$B$4:$B$7,MATCH(IFERROR(INDEX('2_IMPORTAR_EJECUCION'!$C$9:$C$1208,MATCH($AT761,'2_IMPORTAR_EJECUCION'!$J$9:$J$1208,0)),""),'CAT_ESTADOS_ERP'!$A$4:$A$7,0)),"Pendiente"))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IF($J761="","",$P761&amp;"-"&amp;TEXT($Q761,"00"))</f>
        <v/>
      </c>
      <c r="S761" s="5">
        <f>IF($J761="","",INDEX(lista_dias,WEEKDAY($J761,2)))</f>
        <v/>
      </c>
      <c r="T761" s="5">
        <f>IF($J761="","",IFERROR(INDEX('CALENDARIO'!$C$15:$C$214,MATCH(TEXT($J761,"yyyy-mm-dd")&amp;"|"&amp;$X761&amp;"|"&amp;$Y761,'CALENDARIO'!$G$15:$G$214,0)),IFERROR(INDEX('CALENDARIO'!$C$15:$C$214,MATCH(TEXT($J761,"yyyy-mm-dd")&amp;"|"&amp;$X761&amp;"|",'CALENDARIO'!$G$15:$G$214,0)),IFERROR(INDEX('CALENDARIO'!$C$15:$C$214,MATCH(TEXT($J761,"yyyy-mm-dd")&amp;"||",'CALENDARIO'!$G$15:$G$214,0)),INDEX(patronHabil,WEEKDAY($J761,2))))))</f>
        <v/>
      </c>
      <c r="U761" s="5">
        <f>IF($I761="","",IFERROR(INDEX('CAT_TIPOS_OT'!$C$4:$C$8,MATCH($I761,'CAT_TIPOS_OT'!$A$4:$A$8,0)),"sin_clasificar"))</f>
        <v/>
      </c>
      <c r="V761" s="5">
        <f>IF($I761="","",IF(IFERROR(INDEX('CAT_TIPOS_OT'!$D$4:$D$8,MATCH($I761,'CAT_TIPOS_OT'!$A$4:$A$8,0)),"SIN CLASIFICAR")="","SIN CLASIFICAR",IFERROR(INDEX('CAT_TIPOS_OT'!$D$4:$D$8,MATCH($I761,'CAT_TIPOS_OT'!$A$4:$A$8,0)),"SIN CLASIFICAR")))</f>
        <v/>
      </c>
      <c r="W761" s="5">
        <f>IF($F761="","",IFERROR(INDEX('CAT_CENTROS_COSTO'!$F$4:$F$13,MATCH($F761,'CAT_CENTROS_COSTO'!$A$4:$A$13,0)),"(sin catálogo)"))</f>
        <v/>
      </c>
      <c r="X761" s="5">
        <f>IF($F761="","",IFERROR(INDEX('CAT_CENTROS_COSTO'!$D$4:$D$13,MATCH($F761,'CAT_CENTROS_COSTO'!$A$4:$A$13,0)),"(sin catálogo)"))</f>
        <v/>
      </c>
      <c r="Y761" s="5">
        <f>IF($F761="","",IF((IFERROR(INDEX('CAT_CENTROS_COSTO'!$E$4:$E$13,MATCH($F761,'CAT_CENTROS_COSTO'!$A$4:$A$13,0)),""))&lt;&gt;"",IFERROR(INDEX('CAT_CENTROS_COSTO'!$E$4:$E$13,MATCH($F761,'CAT_CENTROS_COSTO'!$A$4:$A$13,0)),""),$X761))</f>
        <v/>
      </c>
      <c r="Z761" s="5">
        <f>IF($F761="","",IFERROR(INDEX('CAT_CENTROS_COSTO'!$G$4:$G$13,MATCH($F761,'CAT_CENTROS_COSTO'!$A$4:$A$13,0)),"(sin catálogo)"))</f>
        <v/>
      </c>
      <c r="AA761" s="5">
        <f>IF($G761="","",IFERROR(INDEX('CAT_PUESTOS'!$B$4:$B$8,MATCH($G761,'CAT_PUESTOS'!$A$4:$A$8,0)),"(sin catálogo)"))</f>
        <v/>
      </c>
      <c r="AB761" s="5">
        <f>IF($H761="","",IFERROR(INDEX('CAT_ACTIVIDADES'!$B$4:$B$11,MATCH($H761,'CAT_ACTIVIDADES'!$A$4:$A$11,0)),"(sin catálogo)"))</f>
        <v/>
      </c>
      <c r="AC761" s="20">
        <f>IF($J761="","",TODAY()-$J761)</f>
        <v/>
      </c>
      <c r="AD761" s="20">
        <f>IF($J761="","",IF($J761&lt;=TODAY(),COUNTIFS(cal_fechas,"&gt;="&amp;$J761,cal_fechas,"&lt;"&amp;TODAY(),cal_habil,"sí"),-COUNTIFS(cal_fechas,"&gt;="&amp;TODAY(),cal_fechas,"&lt;"&amp;$J761,cal_habil,"sí")))</f>
        <v/>
      </c>
      <c r="AE761" s="5">
        <f>IF($AD761="","",IF($AD761&lt;0,"FUTURO",IF($AD761&gt;p_dias_backlog_max,"BACKLOG","MES CORRIENTE")))</f>
        <v/>
      </c>
      <c r="AF761" s="5">
        <f>IF($AD761="",FALSE,AND($AD761&gt;p_dias_backlog_min,$AD761&lt;=p_dias_backlog_max))</f>
        <v/>
      </c>
      <c r="AG761" s="4" t="n"/>
      <c r="AH761" s="5">
        <f>IF($AG761="","",IF((IFERROR(INDEX('ASIGNACIONES'!$J$4:$J$451,MATCH($O761&amp;"|"&amp;$S761&amp;"|"&amp;$AG761,'ASIGNACIONES'!$N$4:$N$451,0)),""))=0,"",IFERROR(INDEX('ASIGNACIONES'!$J$4:$J$451,MATCH($O761&amp;"|"&amp;$S761&amp;"|"&amp;$AG761,'ASIGNACIONES'!$N$4:$N$451,0)),"")))</f>
        <v/>
      </c>
      <c r="AI761" s="25">
        <f>IF($AG761="","",SUMIFS('ORDENES'!$M$4:$M$1203,'ORDENES'!$AG$4:$AG$1203,$AG761,'ORDENES'!$O$4:$O$1203,$O761,'ORDENES'!$S$4:$S$1203,$S761))</f>
        <v/>
      </c>
      <c r="AJ761" s="25">
        <f>IF($AI761="","",p_factor_productividad*IFERROR(INDEX('ASIGNACIONES'!$M$4:$M$451,MATCH($O761&amp;"|"&amp;$S761&amp;"|"&amp;$AG761,'ASIGNACIONES'!$N$4:$N$451,0)),0)-$AI761)</f>
        <v/>
      </c>
      <c r="AK761" s="18">
        <f>IF($A761="","",IFERROR(INDEX('2_IMPORTAR_EJECUCION'!$F$9:$F$1208,MATCH($AT761,'2_IMPORTAR_EJECUCION'!$J$9:$J$1208,0)),0))</f>
        <v/>
      </c>
      <c r="AL761" s="18">
        <f>IF($A761="","",MAX(0,IFERROR(INDEX('2_IMPORTAR_EJECUCION'!$H$9:$H$1208,MATCH($AT761,'2_IMPORTAR_EJECUCION'!$J$9:$J$1208,0)),0)-$AK761))</f>
        <v/>
      </c>
      <c r="AM761" s="18">
        <f>IF($A761="","",$AK761+$AL761)</f>
        <v/>
      </c>
      <c r="AN761" s="5">
        <f>IF($A761="","",IF(OR((IFERROR(INDEX('CAT_ACTIVIDADES'!$D$4:$D$11,MATCH($H761,'CAT_ACTIVIDADES'!$A$4:$A$11,0)),""))=0,(IFERROR(INDEX('CAT_ACTIVIDADES'!$D$4:$D$11,MATCH($H761,'CAT_ACTIVIDADES'!$A$4:$A$11,0)),""))=""),"SIN CLASIFICAR",IFERROR(INDEX('CAT_ACTIVIDADES'!$D$4:$D$11,MATCH($H761,'CAT_ACTIVIDADES'!$A$4:$A$11,0)),"")))</f>
        <v/>
      </c>
      <c r="AO761" s="4" t="n"/>
      <c r="AP761" s="4" t="n"/>
      <c r="AQ761" s="4" t="n"/>
      <c r="AR761" s="5">
        <f>IF($AQ761="","",HYPERLINK(p_ruta_base_checklists&amp;$AQ761,"abrir"))</f>
        <v/>
      </c>
      <c r="AS761" s="4" t="n"/>
      <c r="AT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2" t="n"/>
      <c r="K762" s="5" t="n"/>
      <c r="L762" s="18" t="n"/>
      <c r="M762" s="5">
        <f>IF($A762="","",IFERROR(INDEX('AJUSTES'!$B$4:$B$303,MATCH($AT762,'AJUSTES'!$A$4:$A$303,0)),IF($K762="","",$K762)))</f>
        <v/>
      </c>
      <c r="N762" s="5">
        <f>IF($A762="","",IFERROR(INDEX('CAT_ESTADOS_ERP'!$B$4:$B$7,MATCH(IFERROR(INDEX('2_IMPORTAR_EJECUCION'!$C$9:$C$1208,MATCH($AT762,'2_IMPORTAR_EJECUCION'!$J$9:$J$1208,0)),""),'CAT_ESTADOS_ERP'!$A$4:$A$7,0)),"Pendiente"))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IF($J762="","",$P762&amp;"-"&amp;TEXT($Q762,"00"))</f>
        <v/>
      </c>
      <c r="S762" s="5">
        <f>IF($J762="","",INDEX(lista_dias,WEEKDAY($J762,2)))</f>
        <v/>
      </c>
      <c r="T762" s="5">
        <f>IF($J762="","",IFERROR(INDEX('CALENDARIO'!$C$15:$C$214,MATCH(TEXT($J762,"yyyy-mm-dd")&amp;"|"&amp;$X762&amp;"|"&amp;$Y762,'CALENDARIO'!$G$15:$G$214,0)),IFERROR(INDEX('CALENDARIO'!$C$15:$C$214,MATCH(TEXT($J762,"yyyy-mm-dd")&amp;"|"&amp;$X762&amp;"|",'CALENDARIO'!$G$15:$G$214,0)),IFERROR(INDEX('CALENDARIO'!$C$15:$C$214,MATCH(TEXT($J762,"yyyy-mm-dd")&amp;"||",'CALENDARIO'!$G$15:$G$214,0)),INDEX(patronHabil,WEEKDAY($J762,2))))))</f>
        <v/>
      </c>
      <c r="U762" s="5">
        <f>IF($I762="","",IFERROR(INDEX('CAT_TIPOS_OT'!$C$4:$C$8,MATCH($I762,'CAT_TIPOS_OT'!$A$4:$A$8,0)),"sin_clasificar"))</f>
        <v/>
      </c>
      <c r="V762" s="5">
        <f>IF($I762="","",IF(IFERROR(INDEX('CAT_TIPOS_OT'!$D$4:$D$8,MATCH($I762,'CAT_TIPOS_OT'!$A$4:$A$8,0)),"SIN CLASIFICAR")="","SIN CLASIFICAR",IFERROR(INDEX('CAT_TIPOS_OT'!$D$4:$D$8,MATCH($I762,'CAT_TIPOS_OT'!$A$4:$A$8,0)),"SIN CLASIFICAR")))</f>
        <v/>
      </c>
      <c r="W762" s="5">
        <f>IF($F762="","",IFERROR(INDEX('CAT_CENTROS_COSTO'!$F$4:$F$13,MATCH($F762,'CAT_CENTROS_COSTO'!$A$4:$A$13,0)),"(sin catálogo)"))</f>
        <v/>
      </c>
      <c r="X762" s="5">
        <f>IF($F762="","",IFERROR(INDEX('CAT_CENTROS_COSTO'!$D$4:$D$13,MATCH($F762,'CAT_CENTROS_COSTO'!$A$4:$A$13,0)),"(sin catálogo)"))</f>
        <v/>
      </c>
      <c r="Y762" s="5">
        <f>IF($F762="","",IF((IFERROR(INDEX('CAT_CENTROS_COSTO'!$E$4:$E$13,MATCH($F762,'CAT_CENTROS_COSTO'!$A$4:$A$13,0)),""))&lt;&gt;"",IFERROR(INDEX('CAT_CENTROS_COSTO'!$E$4:$E$13,MATCH($F762,'CAT_CENTROS_COSTO'!$A$4:$A$13,0)),""),$X762))</f>
        <v/>
      </c>
      <c r="Z762" s="5">
        <f>IF($F762="","",IFERROR(INDEX('CAT_CENTROS_COSTO'!$G$4:$G$13,MATCH($F762,'CAT_CENTROS_COSTO'!$A$4:$A$13,0)),"(sin catálogo)"))</f>
        <v/>
      </c>
      <c r="AA762" s="5">
        <f>IF($G762="","",IFERROR(INDEX('CAT_PUESTOS'!$B$4:$B$8,MATCH($G762,'CAT_PUESTOS'!$A$4:$A$8,0)),"(sin catálogo)"))</f>
        <v/>
      </c>
      <c r="AB762" s="5">
        <f>IF($H762="","",IFERROR(INDEX('CAT_ACTIVIDADES'!$B$4:$B$11,MATCH($H762,'CAT_ACTIVIDADES'!$A$4:$A$11,0)),"(sin catálogo)"))</f>
        <v/>
      </c>
      <c r="AC762" s="20">
        <f>IF($J762="","",TODAY()-$J762)</f>
        <v/>
      </c>
      <c r="AD762" s="20">
        <f>IF($J762="","",IF($J762&lt;=TODAY(),COUNTIFS(cal_fechas,"&gt;="&amp;$J762,cal_fechas,"&lt;"&amp;TODAY(),cal_habil,"sí"),-COUNTIFS(cal_fechas,"&gt;="&amp;TODAY(),cal_fechas,"&lt;"&amp;$J762,cal_habil,"sí")))</f>
        <v/>
      </c>
      <c r="AE762" s="5">
        <f>IF($AD762="","",IF($AD762&lt;0,"FUTURO",IF($AD762&gt;p_dias_backlog_max,"BACKLOG","MES CORRIENTE")))</f>
        <v/>
      </c>
      <c r="AF762" s="5">
        <f>IF($AD762="",FALSE,AND($AD762&gt;p_dias_backlog_min,$AD762&lt;=p_dias_backlog_max))</f>
        <v/>
      </c>
      <c r="AG762" s="4" t="n"/>
      <c r="AH762" s="5">
        <f>IF($AG762="","",IF((IFERROR(INDEX('ASIGNACIONES'!$J$4:$J$451,MATCH($O762&amp;"|"&amp;$S762&amp;"|"&amp;$AG762,'ASIGNACIONES'!$N$4:$N$451,0)),""))=0,"",IFERROR(INDEX('ASIGNACIONES'!$J$4:$J$451,MATCH($O762&amp;"|"&amp;$S762&amp;"|"&amp;$AG762,'ASIGNACIONES'!$N$4:$N$451,0)),"")))</f>
        <v/>
      </c>
      <c r="AI762" s="25">
        <f>IF($AG762="","",SUMIFS('ORDENES'!$M$4:$M$1203,'ORDENES'!$AG$4:$AG$1203,$AG762,'ORDENES'!$O$4:$O$1203,$O762,'ORDENES'!$S$4:$S$1203,$S762))</f>
        <v/>
      </c>
      <c r="AJ762" s="25">
        <f>IF($AI762="","",p_factor_productividad*IFERROR(INDEX('ASIGNACIONES'!$M$4:$M$451,MATCH($O762&amp;"|"&amp;$S762&amp;"|"&amp;$AG762,'ASIGNACIONES'!$N$4:$N$451,0)),0)-$AI762)</f>
        <v/>
      </c>
      <c r="AK762" s="18">
        <f>IF($A762="","",IFERROR(INDEX('2_IMPORTAR_EJECUCION'!$F$9:$F$1208,MATCH($AT762,'2_IMPORTAR_EJECUCION'!$J$9:$J$1208,0)),0))</f>
        <v/>
      </c>
      <c r="AL762" s="18">
        <f>IF($A762="","",MAX(0,IFERROR(INDEX('2_IMPORTAR_EJECUCION'!$H$9:$H$1208,MATCH($AT762,'2_IMPORTAR_EJECUCION'!$J$9:$J$1208,0)),0)-$AK762))</f>
        <v/>
      </c>
      <c r="AM762" s="18">
        <f>IF($A762="","",$AK762+$AL762)</f>
        <v/>
      </c>
      <c r="AN762" s="5">
        <f>IF($A762="","",IF(OR((IFERROR(INDEX('CAT_ACTIVIDADES'!$D$4:$D$11,MATCH($H762,'CAT_ACTIVIDADES'!$A$4:$A$11,0)),""))=0,(IFERROR(INDEX('CAT_ACTIVIDADES'!$D$4:$D$11,MATCH($H762,'CAT_ACTIVIDADES'!$A$4:$A$11,0)),""))=""),"SIN CLASIFICAR",IFERROR(INDEX('CAT_ACTIVIDADES'!$D$4:$D$11,MATCH($H762,'CAT_ACTIVIDADES'!$A$4:$A$11,0)),"")))</f>
        <v/>
      </c>
      <c r="AO762" s="4" t="n"/>
      <c r="AP762" s="4" t="n"/>
      <c r="AQ762" s="4" t="n"/>
      <c r="AR762" s="5">
        <f>IF($AQ762="","",HYPERLINK(p_ruta_base_checklists&amp;$AQ762,"abrir"))</f>
        <v/>
      </c>
      <c r="AS762" s="4" t="n"/>
      <c r="AT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2" t="n"/>
      <c r="K763" s="5" t="n"/>
      <c r="L763" s="18" t="n"/>
      <c r="M763" s="5">
        <f>IF($A763="","",IFERROR(INDEX('AJUSTES'!$B$4:$B$303,MATCH($AT763,'AJUSTES'!$A$4:$A$303,0)),IF($K763="","",$K763)))</f>
        <v/>
      </c>
      <c r="N763" s="5">
        <f>IF($A763="","",IFERROR(INDEX('CAT_ESTADOS_ERP'!$B$4:$B$7,MATCH(IFERROR(INDEX('2_IMPORTAR_EJECUCION'!$C$9:$C$1208,MATCH($AT763,'2_IMPORTAR_EJECUCION'!$J$9:$J$1208,0)),""),'CAT_ESTADOS_ERP'!$A$4:$A$7,0)),"Pendiente"))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IF($J763="","",$P763&amp;"-"&amp;TEXT($Q763,"00"))</f>
        <v/>
      </c>
      <c r="S763" s="5">
        <f>IF($J763="","",INDEX(lista_dias,WEEKDAY($J763,2)))</f>
        <v/>
      </c>
      <c r="T763" s="5">
        <f>IF($J763="","",IFERROR(INDEX('CALENDARIO'!$C$15:$C$214,MATCH(TEXT($J763,"yyyy-mm-dd")&amp;"|"&amp;$X763&amp;"|"&amp;$Y763,'CALENDARIO'!$G$15:$G$214,0)),IFERROR(INDEX('CALENDARIO'!$C$15:$C$214,MATCH(TEXT($J763,"yyyy-mm-dd")&amp;"|"&amp;$X763&amp;"|",'CALENDARIO'!$G$15:$G$214,0)),IFERROR(INDEX('CALENDARIO'!$C$15:$C$214,MATCH(TEXT($J763,"yyyy-mm-dd")&amp;"||",'CALENDARIO'!$G$15:$G$214,0)),INDEX(patronHabil,WEEKDAY($J763,2))))))</f>
        <v/>
      </c>
      <c r="U763" s="5">
        <f>IF($I763="","",IFERROR(INDEX('CAT_TIPOS_OT'!$C$4:$C$8,MATCH($I763,'CAT_TIPOS_OT'!$A$4:$A$8,0)),"sin_clasificar"))</f>
        <v/>
      </c>
      <c r="V763" s="5">
        <f>IF($I763="","",IF(IFERROR(INDEX('CAT_TIPOS_OT'!$D$4:$D$8,MATCH($I763,'CAT_TIPOS_OT'!$A$4:$A$8,0)),"SIN CLASIFICAR")="","SIN CLASIFICAR",IFERROR(INDEX('CAT_TIPOS_OT'!$D$4:$D$8,MATCH($I763,'CAT_TIPOS_OT'!$A$4:$A$8,0)),"SIN CLASIFICAR")))</f>
        <v/>
      </c>
      <c r="W763" s="5">
        <f>IF($F763="","",IFERROR(INDEX('CAT_CENTROS_COSTO'!$F$4:$F$13,MATCH($F763,'CAT_CENTROS_COSTO'!$A$4:$A$13,0)),"(sin catálogo)"))</f>
        <v/>
      </c>
      <c r="X763" s="5">
        <f>IF($F763="","",IFERROR(INDEX('CAT_CENTROS_COSTO'!$D$4:$D$13,MATCH($F763,'CAT_CENTROS_COSTO'!$A$4:$A$13,0)),"(sin catálogo)"))</f>
        <v/>
      </c>
      <c r="Y763" s="5">
        <f>IF($F763="","",IF((IFERROR(INDEX('CAT_CENTROS_COSTO'!$E$4:$E$13,MATCH($F763,'CAT_CENTROS_COSTO'!$A$4:$A$13,0)),""))&lt;&gt;"",IFERROR(INDEX('CAT_CENTROS_COSTO'!$E$4:$E$13,MATCH($F763,'CAT_CENTROS_COSTO'!$A$4:$A$13,0)),""),$X763))</f>
        <v/>
      </c>
      <c r="Z763" s="5">
        <f>IF($F763="","",IFERROR(INDEX('CAT_CENTROS_COSTO'!$G$4:$G$13,MATCH($F763,'CAT_CENTROS_COSTO'!$A$4:$A$13,0)),"(sin catálogo)"))</f>
        <v/>
      </c>
      <c r="AA763" s="5">
        <f>IF($G763="","",IFERROR(INDEX('CAT_PUESTOS'!$B$4:$B$8,MATCH($G763,'CAT_PUESTOS'!$A$4:$A$8,0)),"(sin catálogo)"))</f>
        <v/>
      </c>
      <c r="AB763" s="5">
        <f>IF($H763="","",IFERROR(INDEX('CAT_ACTIVIDADES'!$B$4:$B$11,MATCH($H763,'CAT_ACTIVIDADES'!$A$4:$A$11,0)),"(sin catálogo)"))</f>
        <v/>
      </c>
      <c r="AC763" s="20">
        <f>IF($J763="","",TODAY()-$J763)</f>
        <v/>
      </c>
      <c r="AD763" s="20">
        <f>IF($J763="","",IF($J763&lt;=TODAY(),COUNTIFS(cal_fechas,"&gt;="&amp;$J763,cal_fechas,"&lt;"&amp;TODAY(),cal_habil,"sí"),-COUNTIFS(cal_fechas,"&gt;="&amp;TODAY(),cal_fechas,"&lt;"&amp;$J763,cal_habil,"sí")))</f>
        <v/>
      </c>
      <c r="AE763" s="5">
        <f>IF($AD763="","",IF($AD763&lt;0,"FUTURO",IF($AD763&gt;p_dias_backlog_max,"BACKLOG","MES CORRIENTE")))</f>
        <v/>
      </c>
      <c r="AF763" s="5">
        <f>IF($AD763="",FALSE,AND($AD763&gt;p_dias_backlog_min,$AD763&lt;=p_dias_backlog_max))</f>
        <v/>
      </c>
      <c r="AG763" s="4" t="n"/>
      <c r="AH763" s="5">
        <f>IF($AG763="","",IF((IFERROR(INDEX('ASIGNACIONES'!$J$4:$J$451,MATCH($O763&amp;"|"&amp;$S763&amp;"|"&amp;$AG763,'ASIGNACIONES'!$N$4:$N$451,0)),""))=0,"",IFERROR(INDEX('ASIGNACIONES'!$J$4:$J$451,MATCH($O763&amp;"|"&amp;$S763&amp;"|"&amp;$AG763,'ASIGNACIONES'!$N$4:$N$451,0)),"")))</f>
        <v/>
      </c>
      <c r="AI763" s="25">
        <f>IF($AG763="","",SUMIFS('ORDENES'!$M$4:$M$1203,'ORDENES'!$AG$4:$AG$1203,$AG763,'ORDENES'!$O$4:$O$1203,$O763,'ORDENES'!$S$4:$S$1203,$S763))</f>
        <v/>
      </c>
      <c r="AJ763" s="25">
        <f>IF($AI763="","",p_factor_productividad*IFERROR(INDEX('ASIGNACIONES'!$M$4:$M$451,MATCH($O763&amp;"|"&amp;$S763&amp;"|"&amp;$AG763,'ASIGNACIONES'!$N$4:$N$451,0)),0)-$AI763)</f>
        <v/>
      </c>
      <c r="AK763" s="18">
        <f>IF($A763="","",IFERROR(INDEX('2_IMPORTAR_EJECUCION'!$F$9:$F$1208,MATCH($AT763,'2_IMPORTAR_EJECUCION'!$J$9:$J$1208,0)),0))</f>
        <v/>
      </c>
      <c r="AL763" s="18">
        <f>IF($A763="","",MAX(0,IFERROR(INDEX('2_IMPORTAR_EJECUCION'!$H$9:$H$1208,MATCH($AT763,'2_IMPORTAR_EJECUCION'!$J$9:$J$1208,0)),0)-$AK763))</f>
        <v/>
      </c>
      <c r="AM763" s="18">
        <f>IF($A763="","",$AK763+$AL763)</f>
        <v/>
      </c>
      <c r="AN763" s="5">
        <f>IF($A763="","",IF(OR((IFERROR(INDEX('CAT_ACTIVIDADES'!$D$4:$D$11,MATCH($H763,'CAT_ACTIVIDADES'!$A$4:$A$11,0)),""))=0,(IFERROR(INDEX('CAT_ACTIVIDADES'!$D$4:$D$11,MATCH($H763,'CAT_ACTIVIDADES'!$A$4:$A$11,0)),""))=""),"SIN CLASIFICAR",IFERROR(INDEX('CAT_ACTIVIDADES'!$D$4:$D$11,MATCH($H763,'CAT_ACTIVIDADES'!$A$4:$A$11,0)),"")))</f>
        <v/>
      </c>
      <c r="AO763" s="4" t="n"/>
      <c r="AP763" s="4" t="n"/>
      <c r="AQ763" s="4" t="n"/>
      <c r="AR763" s="5">
        <f>IF($AQ763="","",HYPERLINK(p_ruta_base_checklists&amp;$AQ763,"abrir"))</f>
        <v/>
      </c>
      <c r="AS763" s="4" t="n"/>
      <c r="AT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2" t="n"/>
      <c r="K764" s="5" t="n"/>
      <c r="L764" s="18" t="n"/>
      <c r="M764" s="5">
        <f>IF($A764="","",IFERROR(INDEX('AJUSTES'!$B$4:$B$303,MATCH($AT764,'AJUSTES'!$A$4:$A$303,0)),IF($K764="","",$K764)))</f>
        <v/>
      </c>
      <c r="N764" s="5">
        <f>IF($A764="","",IFERROR(INDEX('CAT_ESTADOS_ERP'!$B$4:$B$7,MATCH(IFERROR(INDEX('2_IMPORTAR_EJECUCION'!$C$9:$C$1208,MATCH($AT764,'2_IMPORTAR_EJECUCION'!$J$9:$J$1208,0)),""),'CAT_ESTADOS_ERP'!$A$4:$A$7,0)),"Pendiente"))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IF($J764="","",$P764&amp;"-"&amp;TEXT($Q764,"00"))</f>
        <v/>
      </c>
      <c r="S764" s="5">
        <f>IF($J764="","",INDEX(lista_dias,WEEKDAY($J764,2)))</f>
        <v/>
      </c>
      <c r="T764" s="5">
        <f>IF($J764="","",IFERROR(INDEX('CALENDARIO'!$C$15:$C$214,MATCH(TEXT($J764,"yyyy-mm-dd")&amp;"|"&amp;$X764&amp;"|"&amp;$Y764,'CALENDARIO'!$G$15:$G$214,0)),IFERROR(INDEX('CALENDARIO'!$C$15:$C$214,MATCH(TEXT($J764,"yyyy-mm-dd")&amp;"|"&amp;$X764&amp;"|",'CALENDARIO'!$G$15:$G$214,0)),IFERROR(INDEX('CALENDARIO'!$C$15:$C$214,MATCH(TEXT($J764,"yyyy-mm-dd")&amp;"||",'CALENDARIO'!$G$15:$G$214,0)),INDEX(patronHabil,WEEKDAY($J764,2))))))</f>
        <v/>
      </c>
      <c r="U764" s="5">
        <f>IF($I764="","",IFERROR(INDEX('CAT_TIPOS_OT'!$C$4:$C$8,MATCH($I764,'CAT_TIPOS_OT'!$A$4:$A$8,0)),"sin_clasificar"))</f>
        <v/>
      </c>
      <c r="V764" s="5">
        <f>IF($I764="","",IF(IFERROR(INDEX('CAT_TIPOS_OT'!$D$4:$D$8,MATCH($I764,'CAT_TIPOS_OT'!$A$4:$A$8,0)),"SIN CLASIFICAR")="","SIN CLASIFICAR",IFERROR(INDEX('CAT_TIPOS_OT'!$D$4:$D$8,MATCH($I764,'CAT_TIPOS_OT'!$A$4:$A$8,0)),"SIN CLASIFICAR")))</f>
        <v/>
      </c>
      <c r="W764" s="5">
        <f>IF($F764="","",IFERROR(INDEX('CAT_CENTROS_COSTO'!$F$4:$F$13,MATCH($F764,'CAT_CENTROS_COSTO'!$A$4:$A$13,0)),"(sin catálogo)"))</f>
        <v/>
      </c>
      <c r="X764" s="5">
        <f>IF($F764="","",IFERROR(INDEX('CAT_CENTROS_COSTO'!$D$4:$D$13,MATCH($F764,'CAT_CENTROS_COSTO'!$A$4:$A$13,0)),"(sin catálogo)"))</f>
        <v/>
      </c>
      <c r="Y764" s="5">
        <f>IF($F764="","",IF((IFERROR(INDEX('CAT_CENTROS_COSTO'!$E$4:$E$13,MATCH($F764,'CAT_CENTROS_COSTO'!$A$4:$A$13,0)),""))&lt;&gt;"",IFERROR(INDEX('CAT_CENTROS_COSTO'!$E$4:$E$13,MATCH($F764,'CAT_CENTROS_COSTO'!$A$4:$A$13,0)),""),$X764))</f>
        <v/>
      </c>
      <c r="Z764" s="5">
        <f>IF($F764="","",IFERROR(INDEX('CAT_CENTROS_COSTO'!$G$4:$G$13,MATCH($F764,'CAT_CENTROS_COSTO'!$A$4:$A$13,0)),"(sin catálogo)"))</f>
        <v/>
      </c>
      <c r="AA764" s="5">
        <f>IF($G764="","",IFERROR(INDEX('CAT_PUESTOS'!$B$4:$B$8,MATCH($G764,'CAT_PUESTOS'!$A$4:$A$8,0)),"(sin catálogo)"))</f>
        <v/>
      </c>
      <c r="AB764" s="5">
        <f>IF($H764="","",IFERROR(INDEX('CAT_ACTIVIDADES'!$B$4:$B$11,MATCH($H764,'CAT_ACTIVIDADES'!$A$4:$A$11,0)),"(sin catálogo)"))</f>
        <v/>
      </c>
      <c r="AC764" s="20">
        <f>IF($J764="","",TODAY()-$J764)</f>
        <v/>
      </c>
      <c r="AD764" s="20">
        <f>IF($J764="","",IF($J764&lt;=TODAY(),COUNTIFS(cal_fechas,"&gt;="&amp;$J764,cal_fechas,"&lt;"&amp;TODAY(),cal_habil,"sí"),-COUNTIFS(cal_fechas,"&gt;="&amp;TODAY(),cal_fechas,"&lt;"&amp;$J764,cal_habil,"sí")))</f>
        <v/>
      </c>
      <c r="AE764" s="5">
        <f>IF($AD764="","",IF($AD764&lt;0,"FUTURO",IF($AD764&gt;p_dias_backlog_max,"BACKLOG","MES CORRIENTE")))</f>
        <v/>
      </c>
      <c r="AF764" s="5">
        <f>IF($AD764="",FALSE,AND($AD764&gt;p_dias_backlog_min,$AD764&lt;=p_dias_backlog_max))</f>
        <v/>
      </c>
      <c r="AG764" s="4" t="n"/>
      <c r="AH764" s="5">
        <f>IF($AG764="","",IF((IFERROR(INDEX('ASIGNACIONES'!$J$4:$J$451,MATCH($O764&amp;"|"&amp;$S764&amp;"|"&amp;$AG764,'ASIGNACIONES'!$N$4:$N$451,0)),""))=0,"",IFERROR(INDEX('ASIGNACIONES'!$J$4:$J$451,MATCH($O764&amp;"|"&amp;$S764&amp;"|"&amp;$AG764,'ASIGNACIONES'!$N$4:$N$451,0)),"")))</f>
        <v/>
      </c>
      <c r="AI764" s="25">
        <f>IF($AG764="","",SUMIFS('ORDENES'!$M$4:$M$1203,'ORDENES'!$AG$4:$AG$1203,$AG764,'ORDENES'!$O$4:$O$1203,$O764,'ORDENES'!$S$4:$S$1203,$S764))</f>
        <v/>
      </c>
      <c r="AJ764" s="25">
        <f>IF($AI764="","",p_factor_productividad*IFERROR(INDEX('ASIGNACIONES'!$M$4:$M$451,MATCH($O764&amp;"|"&amp;$S764&amp;"|"&amp;$AG764,'ASIGNACIONES'!$N$4:$N$451,0)),0)-$AI764)</f>
        <v/>
      </c>
      <c r="AK764" s="18">
        <f>IF($A764="","",IFERROR(INDEX('2_IMPORTAR_EJECUCION'!$F$9:$F$1208,MATCH($AT764,'2_IMPORTAR_EJECUCION'!$J$9:$J$1208,0)),0))</f>
        <v/>
      </c>
      <c r="AL764" s="18">
        <f>IF($A764="","",MAX(0,IFERROR(INDEX('2_IMPORTAR_EJECUCION'!$H$9:$H$1208,MATCH($AT764,'2_IMPORTAR_EJECUCION'!$J$9:$J$1208,0)),0)-$AK764))</f>
        <v/>
      </c>
      <c r="AM764" s="18">
        <f>IF($A764="","",$AK764+$AL764)</f>
        <v/>
      </c>
      <c r="AN764" s="5">
        <f>IF($A764="","",IF(OR((IFERROR(INDEX('CAT_ACTIVIDADES'!$D$4:$D$11,MATCH($H764,'CAT_ACTIVIDADES'!$A$4:$A$11,0)),""))=0,(IFERROR(INDEX('CAT_ACTIVIDADES'!$D$4:$D$11,MATCH($H764,'CAT_ACTIVIDADES'!$A$4:$A$11,0)),""))=""),"SIN CLASIFICAR",IFERROR(INDEX('CAT_ACTIVIDADES'!$D$4:$D$11,MATCH($H764,'CAT_ACTIVIDADES'!$A$4:$A$11,0)),"")))</f>
        <v/>
      </c>
      <c r="AO764" s="4" t="n"/>
      <c r="AP764" s="4" t="n"/>
      <c r="AQ764" s="4" t="n"/>
      <c r="AR764" s="5">
        <f>IF($AQ764="","",HYPERLINK(p_ruta_base_checklists&amp;$AQ764,"abrir"))</f>
        <v/>
      </c>
      <c r="AS764" s="4" t="n"/>
      <c r="AT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2" t="n"/>
      <c r="K765" s="5" t="n"/>
      <c r="L765" s="18" t="n"/>
      <c r="M765" s="5">
        <f>IF($A765="","",IFERROR(INDEX('AJUSTES'!$B$4:$B$303,MATCH($AT765,'AJUSTES'!$A$4:$A$303,0)),IF($K765="","",$K765)))</f>
        <v/>
      </c>
      <c r="N765" s="5">
        <f>IF($A765="","",IFERROR(INDEX('CAT_ESTADOS_ERP'!$B$4:$B$7,MATCH(IFERROR(INDEX('2_IMPORTAR_EJECUCION'!$C$9:$C$1208,MATCH($AT765,'2_IMPORTAR_EJECUCION'!$J$9:$J$1208,0)),""),'CAT_ESTADOS_ERP'!$A$4:$A$7,0)),"Pendiente"))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IF($J765="","",$P765&amp;"-"&amp;TEXT($Q765,"00"))</f>
        <v/>
      </c>
      <c r="S765" s="5">
        <f>IF($J765="","",INDEX(lista_dias,WEEKDAY($J765,2)))</f>
        <v/>
      </c>
      <c r="T765" s="5">
        <f>IF($J765="","",IFERROR(INDEX('CALENDARIO'!$C$15:$C$214,MATCH(TEXT($J765,"yyyy-mm-dd")&amp;"|"&amp;$X765&amp;"|"&amp;$Y765,'CALENDARIO'!$G$15:$G$214,0)),IFERROR(INDEX('CALENDARIO'!$C$15:$C$214,MATCH(TEXT($J765,"yyyy-mm-dd")&amp;"|"&amp;$X765&amp;"|",'CALENDARIO'!$G$15:$G$214,0)),IFERROR(INDEX('CALENDARIO'!$C$15:$C$214,MATCH(TEXT($J765,"yyyy-mm-dd")&amp;"||",'CALENDARIO'!$G$15:$G$214,0)),INDEX(patronHabil,WEEKDAY($J765,2))))))</f>
        <v/>
      </c>
      <c r="U765" s="5">
        <f>IF($I765="","",IFERROR(INDEX('CAT_TIPOS_OT'!$C$4:$C$8,MATCH($I765,'CAT_TIPOS_OT'!$A$4:$A$8,0)),"sin_clasificar"))</f>
        <v/>
      </c>
      <c r="V765" s="5">
        <f>IF($I765="","",IF(IFERROR(INDEX('CAT_TIPOS_OT'!$D$4:$D$8,MATCH($I765,'CAT_TIPOS_OT'!$A$4:$A$8,0)),"SIN CLASIFICAR")="","SIN CLASIFICAR",IFERROR(INDEX('CAT_TIPOS_OT'!$D$4:$D$8,MATCH($I765,'CAT_TIPOS_OT'!$A$4:$A$8,0)),"SIN CLASIFICAR")))</f>
        <v/>
      </c>
      <c r="W765" s="5">
        <f>IF($F765="","",IFERROR(INDEX('CAT_CENTROS_COSTO'!$F$4:$F$13,MATCH($F765,'CAT_CENTROS_COSTO'!$A$4:$A$13,0)),"(sin catálogo)"))</f>
        <v/>
      </c>
      <c r="X765" s="5">
        <f>IF($F765="","",IFERROR(INDEX('CAT_CENTROS_COSTO'!$D$4:$D$13,MATCH($F765,'CAT_CENTROS_COSTO'!$A$4:$A$13,0)),"(sin catálogo)"))</f>
        <v/>
      </c>
      <c r="Y765" s="5">
        <f>IF($F765="","",IF((IFERROR(INDEX('CAT_CENTROS_COSTO'!$E$4:$E$13,MATCH($F765,'CAT_CENTROS_COSTO'!$A$4:$A$13,0)),""))&lt;&gt;"",IFERROR(INDEX('CAT_CENTROS_COSTO'!$E$4:$E$13,MATCH($F765,'CAT_CENTROS_COSTO'!$A$4:$A$13,0)),""),$X765))</f>
        <v/>
      </c>
      <c r="Z765" s="5">
        <f>IF($F765="","",IFERROR(INDEX('CAT_CENTROS_COSTO'!$G$4:$G$13,MATCH($F765,'CAT_CENTROS_COSTO'!$A$4:$A$13,0)),"(sin catálogo)"))</f>
        <v/>
      </c>
      <c r="AA765" s="5">
        <f>IF($G765="","",IFERROR(INDEX('CAT_PUESTOS'!$B$4:$B$8,MATCH($G765,'CAT_PUESTOS'!$A$4:$A$8,0)),"(sin catálogo)"))</f>
        <v/>
      </c>
      <c r="AB765" s="5">
        <f>IF($H765="","",IFERROR(INDEX('CAT_ACTIVIDADES'!$B$4:$B$11,MATCH($H765,'CAT_ACTIVIDADES'!$A$4:$A$11,0)),"(sin catálogo)"))</f>
        <v/>
      </c>
      <c r="AC765" s="20">
        <f>IF($J765="","",TODAY()-$J765)</f>
        <v/>
      </c>
      <c r="AD765" s="20">
        <f>IF($J765="","",IF($J765&lt;=TODAY(),COUNTIFS(cal_fechas,"&gt;="&amp;$J765,cal_fechas,"&lt;"&amp;TODAY(),cal_habil,"sí"),-COUNTIFS(cal_fechas,"&gt;="&amp;TODAY(),cal_fechas,"&lt;"&amp;$J765,cal_habil,"sí")))</f>
        <v/>
      </c>
      <c r="AE765" s="5">
        <f>IF($AD765="","",IF($AD765&lt;0,"FUTURO",IF($AD765&gt;p_dias_backlog_max,"BACKLOG","MES CORRIENTE")))</f>
        <v/>
      </c>
      <c r="AF765" s="5">
        <f>IF($AD765="",FALSE,AND($AD765&gt;p_dias_backlog_min,$AD765&lt;=p_dias_backlog_max))</f>
        <v/>
      </c>
      <c r="AG765" s="4" t="n"/>
      <c r="AH765" s="5">
        <f>IF($AG765="","",IF((IFERROR(INDEX('ASIGNACIONES'!$J$4:$J$451,MATCH($O765&amp;"|"&amp;$S765&amp;"|"&amp;$AG765,'ASIGNACIONES'!$N$4:$N$451,0)),""))=0,"",IFERROR(INDEX('ASIGNACIONES'!$J$4:$J$451,MATCH($O765&amp;"|"&amp;$S765&amp;"|"&amp;$AG765,'ASIGNACIONES'!$N$4:$N$451,0)),"")))</f>
        <v/>
      </c>
      <c r="AI765" s="25">
        <f>IF($AG765="","",SUMIFS('ORDENES'!$M$4:$M$1203,'ORDENES'!$AG$4:$AG$1203,$AG765,'ORDENES'!$O$4:$O$1203,$O765,'ORDENES'!$S$4:$S$1203,$S765))</f>
        <v/>
      </c>
      <c r="AJ765" s="25">
        <f>IF($AI765="","",p_factor_productividad*IFERROR(INDEX('ASIGNACIONES'!$M$4:$M$451,MATCH($O765&amp;"|"&amp;$S765&amp;"|"&amp;$AG765,'ASIGNACIONES'!$N$4:$N$451,0)),0)-$AI765)</f>
        <v/>
      </c>
      <c r="AK765" s="18">
        <f>IF($A765="","",IFERROR(INDEX('2_IMPORTAR_EJECUCION'!$F$9:$F$1208,MATCH($AT765,'2_IMPORTAR_EJECUCION'!$J$9:$J$1208,0)),0))</f>
        <v/>
      </c>
      <c r="AL765" s="18">
        <f>IF($A765="","",MAX(0,IFERROR(INDEX('2_IMPORTAR_EJECUCION'!$H$9:$H$1208,MATCH($AT765,'2_IMPORTAR_EJECUCION'!$J$9:$J$1208,0)),0)-$AK765))</f>
        <v/>
      </c>
      <c r="AM765" s="18">
        <f>IF($A765="","",$AK765+$AL765)</f>
        <v/>
      </c>
      <c r="AN765" s="5">
        <f>IF($A765="","",IF(OR((IFERROR(INDEX('CAT_ACTIVIDADES'!$D$4:$D$11,MATCH($H765,'CAT_ACTIVIDADES'!$A$4:$A$11,0)),""))=0,(IFERROR(INDEX('CAT_ACTIVIDADES'!$D$4:$D$11,MATCH($H765,'CAT_ACTIVIDADES'!$A$4:$A$11,0)),""))=""),"SIN CLASIFICAR",IFERROR(INDEX('CAT_ACTIVIDADES'!$D$4:$D$11,MATCH($H765,'CAT_ACTIVIDADES'!$A$4:$A$11,0)),"")))</f>
        <v/>
      </c>
      <c r="AO765" s="4" t="n"/>
      <c r="AP765" s="4" t="n"/>
      <c r="AQ765" s="4" t="n"/>
      <c r="AR765" s="5">
        <f>IF($AQ765="","",HYPERLINK(p_ruta_base_checklists&amp;$AQ765,"abrir"))</f>
        <v/>
      </c>
      <c r="AS765" s="4" t="n"/>
      <c r="AT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2" t="n"/>
      <c r="K766" s="5" t="n"/>
      <c r="L766" s="18" t="n"/>
      <c r="M766" s="5">
        <f>IF($A766="","",IFERROR(INDEX('AJUSTES'!$B$4:$B$303,MATCH($AT766,'AJUSTES'!$A$4:$A$303,0)),IF($K766="","",$K766)))</f>
        <v/>
      </c>
      <c r="N766" s="5">
        <f>IF($A766="","",IFERROR(INDEX('CAT_ESTADOS_ERP'!$B$4:$B$7,MATCH(IFERROR(INDEX('2_IMPORTAR_EJECUCION'!$C$9:$C$1208,MATCH($AT766,'2_IMPORTAR_EJECUCION'!$J$9:$J$1208,0)),""),'CAT_ESTADOS_ERP'!$A$4:$A$7,0)),"Pendiente"))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IF($J766="","",$P766&amp;"-"&amp;TEXT($Q766,"00"))</f>
        <v/>
      </c>
      <c r="S766" s="5">
        <f>IF($J766="","",INDEX(lista_dias,WEEKDAY($J766,2)))</f>
        <v/>
      </c>
      <c r="T766" s="5">
        <f>IF($J766="","",IFERROR(INDEX('CALENDARIO'!$C$15:$C$214,MATCH(TEXT($J766,"yyyy-mm-dd")&amp;"|"&amp;$X766&amp;"|"&amp;$Y766,'CALENDARIO'!$G$15:$G$214,0)),IFERROR(INDEX('CALENDARIO'!$C$15:$C$214,MATCH(TEXT($J766,"yyyy-mm-dd")&amp;"|"&amp;$X766&amp;"|",'CALENDARIO'!$G$15:$G$214,0)),IFERROR(INDEX('CALENDARIO'!$C$15:$C$214,MATCH(TEXT($J766,"yyyy-mm-dd")&amp;"||",'CALENDARIO'!$G$15:$G$214,0)),INDEX(patronHabil,WEEKDAY($J766,2))))))</f>
        <v/>
      </c>
      <c r="U766" s="5">
        <f>IF($I766="","",IFERROR(INDEX('CAT_TIPOS_OT'!$C$4:$C$8,MATCH($I766,'CAT_TIPOS_OT'!$A$4:$A$8,0)),"sin_clasificar"))</f>
        <v/>
      </c>
      <c r="V766" s="5">
        <f>IF($I766="","",IF(IFERROR(INDEX('CAT_TIPOS_OT'!$D$4:$D$8,MATCH($I766,'CAT_TIPOS_OT'!$A$4:$A$8,0)),"SIN CLASIFICAR")="","SIN CLASIFICAR",IFERROR(INDEX('CAT_TIPOS_OT'!$D$4:$D$8,MATCH($I766,'CAT_TIPOS_OT'!$A$4:$A$8,0)),"SIN CLASIFICAR")))</f>
        <v/>
      </c>
      <c r="W766" s="5">
        <f>IF($F766="","",IFERROR(INDEX('CAT_CENTROS_COSTO'!$F$4:$F$13,MATCH($F766,'CAT_CENTROS_COSTO'!$A$4:$A$13,0)),"(sin catálogo)"))</f>
        <v/>
      </c>
      <c r="X766" s="5">
        <f>IF($F766="","",IFERROR(INDEX('CAT_CENTROS_COSTO'!$D$4:$D$13,MATCH($F766,'CAT_CENTROS_COSTO'!$A$4:$A$13,0)),"(sin catálogo)"))</f>
        <v/>
      </c>
      <c r="Y766" s="5">
        <f>IF($F766="","",IF((IFERROR(INDEX('CAT_CENTROS_COSTO'!$E$4:$E$13,MATCH($F766,'CAT_CENTROS_COSTO'!$A$4:$A$13,0)),""))&lt;&gt;"",IFERROR(INDEX('CAT_CENTROS_COSTO'!$E$4:$E$13,MATCH($F766,'CAT_CENTROS_COSTO'!$A$4:$A$13,0)),""),$X766))</f>
        <v/>
      </c>
      <c r="Z766" s="5">
        <f>IF($F766="","",IFERROR(INDEX('CAT_CENTROS_COSTO'!$G$4:$G$13,MATCH($F766,'CAT_CENTROS_COSTO'!$A$4:$A$13,0)),"(sin catálogo)"))</f>
        <v/>
      </c>
      <c r="AA766" s="5">
        <f>IF($G766="","",IFERROR(INDEX('CAT_PUESTOS'!$B$4:$B$8,MATCH($G766,'CAT_PUESTOS'!$A$4:$A$8,0)),"(sin catálogo)"))</f>
        <v/>
      </c>
      <c r="AB766" s="5">
        <f>IF($H766="","",IFERROR(INDEX('CAT_ACTIVIDADES'!$B$4:$B$11,MATCH($H766,'CAT_ACTIVIDADES'!$A$4:$A$11,0)),"(sin catálogo)"))</f>
        <v/>
      </c>
      <c r="AC766" s="20">
        <f>IF($J766="","",TODAY()-$J766)</f>
        <v/>
      </c>
      <c r="AD766" s="20">
        <f>IF($J766="","",IF($J766&lt;=TODAY(),COUNTIFS(cal_fechas,"&gt;="&amp;$J766,cal_fechas,"&lt;"&amp;TODAY(),cal_habil,"sí"),-COUNTIFS(cal_fechas,"&gt;="&amp;TODAY(),cal_fechas,"&lt;"&amp;$J766,cal_habil,"sí")))</f>
        <v/>
      </c>
      <c r="AE766" s="5">
        <f>IF($AD766="","",IF($AD766&lt;0,"FUTURO",IF($AD766&gt;p_dias_backlog_max,"BACKLOG","MES CORRIENTE")))</f>
        <v/>
      </c>
      <c r="AF766" s="5">
        <f>IF($AD766="",FALSE,AND($AD766&gt;p_dias_backlog_min,$AD766&lt;=p_dias_backlog_max))</f>
        <v/>
      </c>
      <c r="AG766" s="4" t="n"/>
      <c r="AH766" s="5">
        <f>IF($AG766="","",IF((IFERROR(INDEX('ASIGNACIONES'!$J$4:$J$451,MATCH($O766&amp;"|"&amp;$S766&amp;"|"&amp;$AG766,'ASIGNACIONES'!$N$4:$N$451,0)),""))=0,"",IFERROR(INDEX('ASIGNACIONES'!$J$4:$J$451,MATCH($O766&amp;"|"&amp;$S766&amp;"|"&amp;$AG766,'ASIGNACIONES'!$N$4:$N$451,0)),"")))</f>
        <v/>
      </c>
      <c r="AI766" s="25">
        <f>IF($AG766="","",SUMIFS('ORDENES'!$M$4:$M$1203,'ORDENES'!$AG$4:$AG$1203,$AG766,'ORDENES'!$O$4:$O$1203,$O766,'ORDENES'!$S$4:$S$1203,$S766))</f>
        <v/>
      </c>
      <c r="AJ766" s="25">
        <f>IF($AI766="","",p_factor_productividad*IFERROR(INDEX('ASIGNACIONES'!$M$4:$M$451,MATCH($O766&amp;"|"&amp;$S766&amp;"|"&amp;$AG766,'ASIGNACIONES'!$N$4:$N$451,0)),0)-$AI766)</f>
        <v/>
      </c>
      <c r="AK766" s="18">
        <f>IF($A766="","",IFERROR(INDEX('2_IMPORTAR_EJECUCION'!$F$9:$F$1208,MATCH($AT766,'2_IMPORTAR_EJECUCION'!$J$9:$J$1208,0)),0))</f>
        <v/>
      </c>
      <c r="AL766" s="18">
        <f>IF($A766="","",MAX(0,IFERROR(INDEX('2_IMPORTAR_EJECUCION'!$H$9:$H$1208,MATCH($AT766,'2_IMPORTAR_EJECUCION'!$J$9:$J$1208,0)),0)-$AK766))</f>
        <v/>
      </c>
      <c r="AM766" s="18">
        <f>IF($A766="","",$AK766+$AL766)</f>
        <v/>
      </c>
      <c r="AN766" s="5">
        <f>IF($A766="","",IF(OR((IFERROR(INDEX('CAT_ACTIVIDADES'!$D$4:$D$11,MATCH($H766,'CAT_ACTIVIDADES'!$A$4:$A$11,0)),""))=0,(IFERROR(INDEX('CAT_ACTIVIDADES'!$D$4:$D$11,MATCH($H766,'CAT_ACTIVIDADES'!$A$4:$A$11,0)),""))=""),"SIN CLASIFICAR",IFERROR(INDEX('CAT_ACTIVIDADES'!$D$4:$D$11,MATCH($H766,'CAT_ACTIVIDADES'!$A$4:$A$11,0)),"")))</f>
        <v/>
      </c>
      <c r="AO766" s="4" t="n"/>
      <c r="AP766" s="4" t="n"/>
      <c r="AQ766" s="4" t="n"/>
      <c r="AR766" s="5">
        <f>IF($AQ766="","",HYPERLINK(p_ruta_base_checklists&amp;$AQ766,"abrir"))</f>
        <v/>
      </c>
      <c r="AS766" s="4" t="n"/>
      <c r="AT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2" t="n"/>
      <c r="K767" s="5" t="n"/>
      <c r="L767" s="18" t="n"/>
      <c r="M767" s="5">
        <f>IF($A767="","",IFERROR(INDEX('AJUSTES'!$B$4:$B$303,MATCH($AT767,'AJUSTES'!$A$4:$A$303,0)),IF($K767="","",$K767)))</f>
        <v/>
      </c>
      <c r="N767" s="5">
        <f>IF($A767="","",IFERROR(INDEX('CAT_ESTADOS_ERP'!$B$4:$B$7,MATCH(IFERROR(INDEX('2_IMPORTAR_EJECUCION'!$C$9:$C$1208,MATCH($AT767,'2_IMPORTAR_EJECUCION'!$J$9:$J$1208,0)),""),'CAT_ESTADOS_ERP'!$A$4:$A$7,0)),"Pendiente"))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IF($J767="","",$P767&amp;"-"&amp;TEXT($Q767,"00"))</f>
        <v/>
      </c>
      <c r="S767" s="5">
        <f>IF($J767="","",INDEX(lista_dias,WEEKDAY($J767,2)))</f>
        <v/>
      </c>
      <c r="T767" s="5">
        <f>IF($J767="","",IFERROR(INDEX('CALENDARIO'!$C$15:$C$214,MATCH(TEXT($J767,"yyyy-mm-dd")&amp;"|"&amp;$X767&amp;"|"&amp;$Y767,'CALENDARIO'!$G$15:$G$214,0)),IFERROR(INDEX('CALENDARIO'!$C$15:$C$214,MATCH(TEXT($J767,"yyyy-mm-dd")&amp;"|"&amp;$X767&amp;"|",'CALENDARIO'!$G$15:$G$214,0)),IFERROR(INDEX('CALENDARIO'!$C$15:$C$214,MATCH(TEXT($J767,"yyyy-mm-dd")&amp;"||",'CALENDARIO'!$G$15:$G$214,0)),INDEX(patronHabil,WEEKDAY($J767,2))))))</f>
        <v/>
      </c>
      <c r="U767" s="5">
        <f>IF($I767="","",IFERROR(INDEX('CAT_TIPOS_OT'!$C$4:$C$8,MATCH($I767,'CAT_TIPOS_OT'!$A$4:$A$8,0)),"sin_clasificar"))</f>
        <v/>
      </c>
      <c r="V767" s="5">
        <f>IF($I767="","",IF(IFERROR(INDEX('CAT_TIPOS_OT'!$D$4:$D$8,MATCH($I767,'CAT_TIPOS_OT'!$A$4:$A$8,0)),"SIN CLASIFICAR")="","SIN CLASIFICAR",IFERROR(INDEX('CAT_TIPOS_OT'!$D$4:$D$8,MATCH($I767,'CAT_TIPOS_OT'!$A$4:$A$8,0)),"SIN CLASIFICAR")))</f>
        <v/>
      </c>
      <c r="W767" s="5">
        <f>IF($F767="","",IFERROR(INDEX('CAT_CENTROS_COSTO'!$F$4:$F$13,MATCH($F767,'CAT_CENTROS_COSTO'!$A$4:$A$13,0)),"(sin catálogo)"))</f>
        <v/>
      </c>
      <c r="X767" s="5">
        <f>IF($F767="","",IFERROR(INDEX('CAT_CENTROS_COSTO'!$D$4:$D$13,MATCH($F767,'CAT_CENTROS_COSTO'!$A$4:$A$13,0)),"(sin catálogo)"))</f>
        <v/>
      </c>
      <c r="Y767" s="5">
        <f>IF($F767="","",IF((IFERROR(INDEX('CAT_CENTROS_COSTO'!$E$4:$E$13,MATCH($F767,'CAT_CENTROS_COSTO'!$A$4:$A$13,0)),""))&lt;&gt;"",IFERROR(INDEX('CAT_CENTROS_COSTO'!$E$4:$E$13,MATCH($F767,'CAT_CENTROS_COSTO'!$A$4:$A$13,0)),""),$X767))</f>
        <v/>
      </c>
      <c r="Z767" s="5">
        <f>IF($F767="","",IFERROR(INDEX('CAT_CENTROS_COSTO'!$G$4:$G$13,MATCH($F767,'CAT_CENTROS_COSTO'!$A$4:$A$13,0)),"(sin catálogo)"))</f>
        <v/>
      </c>
      <c r="AA767" s="5">
        <f>IF($G767="","",IFERROR(INDEX('CAT_PUESTOS'!$B$4:$B$8,MATCH($G767,'CAT_PUESTOS'!$A$4:$A$8,0)),"(sin catálogo)"))</f>
        <v/>
      </c>
      <c r="AB767" s="5">
        <f>IF($H767="","",IFERROR(INDEX('CAT_ACTIVIDADES'!$B$4:$B$11,MATCH($H767,'CAT_ACTIVIDADES'!$A$4:$A$11,0)),"(sin catálogo)"))</f>
        <v/>
      </c>
      <c r="AC767" s="20">
        <f>IF($J767="","",TODAY()-$J767)</f>
        <v/>
      </c>
      <c r="AD767" s="20">
        <f>IF($J767="","",IF($J767&lt;=TODAY(),COUNTIFS(cal_fechas,"&gt;="&amp;$J767,cal_fechas,"&lt;"&amp;TODAY(),cal_habil,"sí"),-COUNTIFS(cal_fechas,"&gt;="&amp;TODAY(),cal_fechas,"&lt;"&amp;$J767,cal_habil,"sí")))</f>
        <v/>
      </c>
      <c r="AE767" s="5">
        <f>IF($AD767="","",IF($AD767&lt;0,"FUTURO",IF($AD767&gt;p_dias_backlog_max,"BACKLOG","MES CORRIENTE")))</f>
        <v/>
      </c>
      <c r="AF767" s="5">
        <f>IF($AD767="",FALSE,AND($AD767&gt;p_dias_backlog_min,$AD767&lt;=p_dias_backlog_max))</f>
        <v/>
      </c>
      <c r="AG767" s="4" t="n"/>
      <c r="AH767" s="5">
        <f>IF($AG767="","",IF((IFERROR(INDEX('ASIGNACIONES'!$J$4:$J$451,MATCH($O767&amp;"|"&amp;$S767&amp;"|"&amp;$AG767,'ASIGNACIONES'!$N$4:$N$451,0)),""))=0,"",IFERROR(INDEX('ASIGNACIONES'!$J$4:$J$451,MATCH($O767&amp;"|"&amp;$S767&amp;"|"&amp;$AG767,'ASIGNACIONES'!$N$4:$N$451,0)),"")))</f>
        <v/>
      </c>
      <c r="AI767" s="25">
        <f>IF($AG767="","",SUMIFS('ORDENES'!$M$4:$M$1203,'ORDENES'!$AG$4:$AG$1203,$AG767,'ORDENES'!$O$4:$O$1203,$O767,'ORDENES'!$S$4:$S$1203,$S767))</f>
        <v/>
      </c>
      <c r="AJ767" s="25">
        <f>IF($AI767="","",p_factor_productividad*IFERROR(INDEX('ASIGNACIONES'!$M$4:$M$451,MATCH($O767&amp;"|"&amp;$S767&amp;"|"&amp;$AG767,'ASIGNACIONES'!$N$4:$N$451,0)),0)-$AI767)</f>
        <v/>
      </c>
      <c r="AK767" s="18">
        <f>IF($A767="","",IFERROR(INDEX('2_IMPORTAR_EJECUCION'!$F$9:$F$1208,MATCH($AT767,'2_IMPORTAR_EJECUCION'!$J$9:$J$1208,0)),0))</f>
        <v/>
      </c>
      <c r="AL767" s="18">
        <f>IF($A767="","",MAX(0,IFERROR(INDEX('2_IMPORTAR_EJECUCION'!$H$9:$H$1208,MATCH($AT767,'2_IMPORTAR_EJECUCION'!$J$9:$J$1208,0)),0)-$AK767))</f>
        <v/>
      </c>
      <c r="AM767" s="18">
        <f>IF($A767="","",$AK767+$AL767)</f>
        <v/>
      </c>
      <c r="AN767" s="5">
        <f>IF($A767="","",IF(OR((IFERROR(INDEX('CAT_ACTIVIDADES'!$D$4:$D$11,MATCH($H767,'CAT_ACTIVIDADES'!$A$4:$A$11,0)),""))=0,(IFERROR(INDEX('CAT_ACTIVIDADES'!$D$4:$D$11,MATCH($H767,'CAT_ACTIVIDADES'!$A$4:$A$11,0)),""))=""),"SIN CLASIFICAR",IFERROR(INDEX('CAT_ACTIVIDADES'!$D$4:$D$11,MATCH($H767,'CAT_ACTIVIDADES'!$A$4:$A$11,0)),"")))</f>
        <v/>
      </c>
      <c r="AO767" s="4" t="n"/>
      <c r="AP767" s="4" t="n"/>
      <c r="AQ767" s="4" t="n"/>
      <c r="AR767" s="5">
        <f>IF($AQ767="","",HYPERLINK(p_ruta_base_checklists&amp;$AQ767,"abrir"))</f>
        <v/>
      </c>
      <c r="AS767" s="4" t="n"/>
      <c r="AT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2" t="n"/>
      <c r="K768" s="5" t="n"/>
      <c r="L768" s="18" t="n"/>
      <c r="M768" s="5">
        <f>IF($A768="","",IFERROR(INDEX('AJUSTES'!$B$4:$B$303,MATCH($AT768,'AJUSTES'!$A$4:$A$303,0)),IF($K768="","",$K768)))</f>
        <v/>
      </c>
      <c r="N768" s="5">
        <f>IF($A768="","",IFERROR(INDEX('CAT_ESTADOS_ERP'!$B$4:$B$7,MATCH(IFERROR(INDEX('2_IMPORTAR_EJECUCION'!$C$9:$C$1208,MATCH($AT768,'2_IMPORTAR_EJECUCION'!$J$9:$J$1208,0)),""),'CAT_ESTADOS_ERP'!$A$4:$A$7,0)),"Pendiente"))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IF($J768="","",$P768&amp;"-"&amp;TEXT($Q768,"00"))</f>
        <v/>
      </c>
      <c r="S768" s="5">
        <f>IF($J768="","",INDEX(lista_dias,WEEKDAY($J768,2)))</f>
        <v/>
      </c>
      <c r="T768" s="5">
        <f>IF($J768="","",IFERROR(INDEX('CALENDARIO'!$C$15:$C$214,MATCH(TEXT($J768,"yyyy-mm-dd")&amp;"|"&amp;$X768&amp;"|"&amp;$Y768,'CALENDARIO'!$G$15:$G$214,0)),IFERROR(INDEX('CALENDARIO'!$C$15:$C$214,MATCH(TEXT($J768,"yyyy-mm-dd")&amp;"|"&amp;$X768&amp;"|",'CALENDARIO'!$G$15:$G$214,0)),IFERROR(INDEX('CALENDARIO'!$C$15:$C$214,MATCH(TEXT($J768,"yyyy-mm-dd")&amp;"||",'CALENDARIO'!$G$15:$G$214,0)),INDEX(patronHabil,WEEKDAY($J768,2))))))</f>
        <v/>
      </c>
      <c r="U768" s="5">
        <f>IF($I768="","",IFERROR(INDEX('CAT_TIPOS_OT'!$C$4:$C$8,MATCH($I768,'CAT_TIPOS_OT'!$A$4:$A$8,0)),"sin_clasificar"))</f>
        <v/>
      </c>
      <c r="V768" s="5">
        <f>IF($I768="","",IF(IFERROR(INDEX('CAT_TIPOS_OT'!$D$4:$D$8,MATCH($I768,'CAT_TIPOS_OT'!$A$4:$A$8,0)),"SIN CLASIFICAR")="","SIN CLASIFICAR",IFERROR(INDEX('CAT_TIPOS_OT'!$D$4:$D$8,MATCH($I768,'CAT_TIPOS_OT'!$A$4:$A$8,0)),"SIN CLASIFICAR")))</f>
        <v/>
      </c>
      <c r="W768" s="5">
        <f>IF($F768="","",IFERROR(INDEX('CAT_CENTROS_COSTO'!$F$4:$F$13,MATCH($F768,'CAT_CENTROS_COSTO'!$A$4:$A$13,0)),"(sin catálogo)"))</f>
        <v/>
      </c>
      <c r="X768" s="5">
        <f>IF($F768="","",IFERROR(INDEX('CAT_CENTROS_COSTO'!$D$4:$D$13,MATCH($F768,'CAT_CENTROS_COSTO'!$A$4:$A$13,0)),"(sin catálogo)"))</f>
        <v/>
      </c>
      <c r="Y768" s="5">
        <f>IF($F768="","",IF((IFERROR(INDEX('CAT_CENTROS_COSTO'!$E$4:$E$13,MATCH($F768,'CAT_CENTROS_COSTO'!$A$4:$A$13,0)),""))&lt;&gt;"",IFERROR(INDEX('CAT_CENTROS_COSTO'!$E$4:$E$13,MATCH($F768,'CAT_CENTROS_COSTO'!$A$4:$A$13,0)),""),$X768))</f>
        <v/>
      </c>
      <c r="Z768" s="5">
        <f>IF($F768="","",IFERROR(INDEX('CAT_CENTROS_COSTO'!$G$4:$G$13,MATCH($F768,'CAT_CENTROS_COSTO'!$A$4:$A$13,0)),"(sin catálogo)"))</f>
        <v/>
      </c>
      <c r="AA768" s="5">
        <f>IF($G768="","",IFERROR(INDEX('CAT_PUESTOS'!$B$4:$B$8,MATCH($G768,'CAT_PUESTOS'!$A$4:$A$8,0)),"(sin catálogo)"))</f>
        <v/>
      </c>
      <c r="AB768" s="5">
        <f>IF($H768="","",IFERROR(INDEX('CAT_ACTIVIDADES'!$B$4:$B$11,MATCH($H768,'CAT_ACTIVIDADES'!$A$4:$A$11,0)),"(sin catálogo)"))</f>
        <v/>
      </c>
      <c r="AC768" s="20">
        <f>IF($J768="","",TODAY()-$J768)</f>
        <v/>
      </c>
      <c r="AD768" s="20">
        <f>IF($J768="","",IF($J768&lt;=TODAY(),COUNTIFS(cal_fechas,"&gt;="&amp;$J768,cal_fechas,"&lt;"&amp;TODAY(),cal_habil,"sí"),-COUNTIFS(cal_fechas,"&gt;="&amp;TODAY(),cal_fechas,"&lt;"&amp;$J768,cal_habil,"sí")))</f>
        <v/>
      </c>
      <c r="AE768" s="5">
        <f>IF($AD768="","",IF($AD768&lt;0,"FUTURO",IF($AD768&gt;p_dias_backlog_max,"BACKLOG","MES CORRIENTE")))</f>
        <v/>
      </c>
      <c r="AF768" s="5">
        <f>IF($AD768="",FALSE,AND($AD768&gt;p_dias_backlog_min,$AD768&lt;=p_dias_backlog_max))</f>
        <v/>
      </c>
      <c r="AG768" s="4" t="n"/>
      <c r="AH768" s="5">
        <f>IF($AG768="","",IF((IFERROR(INDEX('ASIGNACIONES'!$J$4:$J$451,MATCH($O768&amp;"|"&amp;$S768&amp;"|"&amp;$AG768,'ASIGNACIONES'!$N$4:$N$451,0)),""))=0,"",IFERROR(INDEX('ASIGNACIONES'!$J$4:$J$451,MATCH($O768&amp;"|"&amp;$S768&amp;"|"&amp;$AG768,'ASIGNACIONES'!$N$4:$N$451,0)),"")))</f>
        <v/>
      </c>
      <c r="AI768" s="25">
        <f>IF($AG768="","",SUMIFS('ORDENES'!$M$4:$M$1203,'ORDENES'!$AG$4:$AG$1203,$AG768,'ORDENES'!$O$4:$O$1203,$O768,'ORDENES'!$S$4:$S$1203,$S768))</f>
        <v/>
      </c>
      <c r="AJ768" s="25">
        <f>IF($AI768="","",p_factor_productividad*IFERROR(INDEX('ASIGNACIONES'!$M$4:$M$451,MATCH($O768&amp;"|"&amp;$S768&amp;"|"&amp;$AG768,'ASIGNACIONES'!$N$4:$N$451,0)),0)-$AI768)</f>
        <v/>
      </c>
      <c r="AK768" s="18">
        <f>IF($A768="","",IFERROR(INDEX('2_IMPORTAR_EJECUCION'!$F$9:$F$1208,MATCH($AT768,'2_IMPORTAR_EJECUCION'!$J$9:$J$1208,0)),0))</f>
        <v/>
      </c>
      <c r="AL768" s="18">
        <f>IF($A768="","",MAX(0,IFERROR(INDEX('2_IMPORTAR_EJECUCION'!$H$9:$H$1208,MATCH($AT768,'2_IMPORTAR_EJECUCION'!$J$9:$J$1208,0)),0)-$AK768))</f>
        <v/>
      </c>
      <c r="AM768" s="18">
        <f>IF($A768="","",$AK768+$AL768)</f>
        <v/>
      </c>
      <c r="AN768" s="5">
        <f>IF($A768="","",IF(OR((IFERROR(INDEX('CAT_ACTIVIDADES'!$D$4:$D$11,MATCH($H768,'CAT_ACTIVIDADES'!$A$4:$A$11,0)),""))=0,(IFERROR(INDEX('CAT_ACTIVIDADES'!$D$4:$D$11,MATCH($H768,'CAT_ACTIVIDADES'!$A$4:$A$11,0)),""))=""),"SIN CLASIFICAR",IFERROR(INDEX('CAT_ACTIVIDADES'!$D$4:$D$11,MATCH($H768,'CAT_ACTIVIDADES'!$A$4:$A$11,0)),"")))</f>
        <v/>
      </c>
      <c r="AO768" s="4" t="n"/>
      <c r="AP768" s="4" t="n"/>
      <c r="AQ768" s="4" t="n"/>
      <c r="AR768" s="5">
        <f>IF($AQ768="","",HYPERLINK(p_ruta_base_checklists&amp;$AQ768,"abrir"))</f>
        <v/>
      </c>
      <c r="AS768" s="4" t="n"/>
      <c r="AT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2" t="n"/>
      <c r="K769" s="5" t="n"/>
      <c r="L769" s="18" t="n"/>
      <c r="M769" s="5">
        <f>IF($A769="","",IFERROR(INDEX('AJUSTES'!$B$4:$B$303,MATCH($AT769,'AJUSTES'!$A$4:$A$303,0)),IF($K769="","",$K769)))</f>
        <v/>
      </c>
      <c r="N769" s="5">
        <f>IF($A769="","",IFERROR(INDEX('CAT_ESTADOS_ERP'!$B$4:$B$7,MATCH(IFERROR(INDEX('2_IMPORTAR_EJECUCION'!$C$9:$C$1208,MATCH($AT769,'2_IMPORTAR_EJECUCION'!$J$9:$J$1208,0)),""),'CAT_ESTADOS_ERP'!$A$4:$A$7,0)),"Pendiente"))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IF($J769="","",$P769&amp;"-"&amp;TEXT($Q769,"00"))</f>
        <v/>
      </c>
      <c r="S769" s="5">
        <f>IF($J769="","",INDEX(lista_dias,WEEKDAY($J769,2)))</f>
        <v/>
      </c>
      <c r="T769" s="5">
        <f>IF($J769="","",IFERROR(INDEX('CALENDARIO'!$C$15:$C$214,MATCH(TEXT($J769,"yyyy-mm-dd")&amp;"|"&amp;$X769&amp;"|"&amp;$Y769,'CALENDARIO'!$G$15:$G$214,0)),IFERROR(INDEX('CALENDARIO'!$C$15:$C$214,MATCH(TEXT($J769,"yyyy-mm-dd")&amp;"|"&amp;$X769&amp;"|",'CALENDARIO'!$G$15:$G$214,0)),IFERROR(INDEX('CALENDARIO'!$C$15:$C$214,MATCH(TEXT($J769,"yyyy-mm-dd")&amp;"||",'CALENDARIO'!$G$15:$G$214,0)),INDEX(patronHabil,WEEKDAY($J769,2))))))</f>
        <v/>
      </c>
      <c r="U769" s="5">
        <f>IF($I769="","",IFERROR(INDEX('CAT_TIPOS_OT'!$C$4:$C$8,MATCH($I769,'CAT_TIPOS_OT'!$A$4:$A$8,0)),"sin_clasificar"))</f>
        <v/>
      </c>
      <c r="V769" s="5">
        <f>IF($I769="","",IF(IFERROR(INDEX('CAT_TIPOS_OT'!$D$4:$D$8,MATCH($I769,'CAT_TIPOS_OT'!$A$4:$A$8,0)),"SIN CLASIFICAR")="","SIN CLASIFICAR",IFERROR(INDEX('CAT_TIPOS_OT'!$D$4:$D$8,MATCH($I769,'CAT_TIPOS_OT'!$A$4:$A$8,0)),"SIN CLASIFICAR")))</f>
        <v/>
      </c>
      <c r="W769" s="5">
        <f>IF($F769="","",IFERROR(INDEX('CAT_CENTROS_COSTO'!$F$4:$F$13,MATCH($F769,'CAT_CENTROS_COSTO'!$A$4:$A$13,0)),"(sin catálogo)"))</f>
        <v/>
      </c>
      <c r="X769" s="5">
        <f>IF($F769="","",IFERROR(INDEX('CAT_CENTROS_COSTO'!$D$4:$D$13,MATCH($F769,'CAT_CENTROS_COSTO'!$A$4:$A$13,0)),"(sin catálogo)"))</f>
        <v/>
      </c>
      <c r="Y769" s="5">
        <f>IF($F769="","",IF((IFERROR(INDEX('CAT_CENTROS_COSTO'!$E$4:$E$13,MATCH($F769,'CAT_CENTROS_COSTO'!$A$4:$A$13,0)),""))&lt;&gt;"",IFERROR(INDEX('CAT_CENTROS_COSTO'!$E$4:$E$13,MATCH($F769,'CAT_CENTROS_COSTO'!$A$4:$A$13,0)),""),$X769))</f>
        <v/>
      </c>
      <c r="Z769" s="5">
        <f>IF($F769="","",IFERROR(INDEX('CAT_CENTROS_COSTO'!$G$4:$G$13,MATCH($F769,'CAT_CENTROS_COSTO'!$A$4:$A$13,0)),"(sin catálogo)"))</f>
        <v/>
      </c>
      <c r="AA769" s="5">
        <f>IF($G769="","",IFERROR(INDEX('CAT_PUESTOS'!$B$4:$B$8,MATCH($G769,'CAT_PUESTOS'!$A$4:$A$8,0)),"(sin catálogo)"))</f>
        <v/>
      </c>
      <c r="AB769" s="5">
        <f>IF($H769="","",IFERROR(INDEX('CAT_ACTIVIDADES'!$B$4:$B$11,MATCH($H769,'CAT_ACTIVIDADES'!$A$4:$A$11,0)),"(sin catálogo)"))</f>
        <v/>
      </c>
      <c r="AC769" s="20">
        <f>IF($J769="","",TODAY()-$J769)</f>
        <v/>
      </c>
      <c r="AD769" s="20">
        <f>IF($J769="","",IF($J769&lt;=TODAY(),COUNTIFS(cal_fechas,"&gt;="&amp;$J769,cal_fechas,"&lt;"&amp;TODAY(),cal_habil,"sí"),-COUNTIFS(cal_fechas,"&gt;="&amp;TODAY(),cal_fechas,"&lt;"&amp;$J769,cal_habil,"sí")))</f>
        <v/>
      </c>
      <c r="AE769" s="5">
        <f>IF($AD769="","",IF($AD769&lt;0,"FUTURO",IF($AD769&gt;p_dias_backlog_max,"BACKLOG","MES CORRIENTE")))</f>
        <v/>
      </c>
      <c r="AF769" s="5">
        <f>IF($AD769="",FALSE,AND($AD769&gt;p_dias_backlog_min,$AD769&lt;=p_dias_backlog_max))</f>
        <v/>
      </c>
      <c r="AG769" s="4" t="n"/>
      <c r="AH769" s="5">
        <f>IF($AG769="","",IF((IFERROR(INDEX('ASIGNACIONES'!$J$4:$J$451,MATCH($O769&amp;"|"&amp;$S769&amp;"|"&amp;$AG769,'ASIGNACIONES'!$N$4:$N$451,0)),""))=0,"",IFERROR(INDEX('ASIGNACIONES'!$J$4:$J$451,MATCH($O769&amp;"|"&amp;$S769&amp;"|"&amp;$AG769,'ASIGNACIONES'!$N$4:$N$451,0)),"")))</f>
        <v/>
      </c>
      <c r="AI769" s="25">
        <f>IF($AG769="","",SUMIFS('ORDENES'!$M$4:$M$1203,'ORDENES'!$AG$4:$AG$1203,$AG769,'ORDENES'!$O$4:$O$1203,$O769,'ORDENES'!$S$4:$S$1203,$S769))</f>
        <v/>
      </c>
      <c r="AJ769" s="25">
        <f>IF($AI769="","",p_factor_productividad*IFERROR(INDEX('ASIGNACIONES'!$M$4:$M$451,MATCH($O769&amp;"|"&amp;$S769&amp;"|"&amp;$AG769,'ASIGNACIONES'!$N$4:$N$451,0)),0)-$AI769)</f>
        <v/>
      </c>
      <c r="AK769" s="18">
        <f>IF($A769="","",IFERROR(INDEX('2_IMPORTAR_EJECUCION'!$F$9:$F$1208,MATCH($AT769,'2_IMPORTAR_EJECUCION'!$J$9:$J$1208,0)),0))</f>
        <v/>
      </c>
      <c r="AL769" s="18">
        <f>IF($A769="","",MAX(0,IFERROR(INDEX('2_IMPORTAR_EJECUCION'!$H$9:$H$1208,MATCH($AT769,'2_IMPORTAR_EJECUCION'!$J$9:$J$1208,0)),0)-$AK769))</f>
        <v/>
      </c>
      <c r="AM769" s="18">
        <f>IF($A769="","",$AK769+$AL769)</f>
        <v/>
      </c>
      <c r="AN769" s="5">
        <f>IF($A769="","",IF(OR((IFERROR(INDEX('CAT_ACTIVIDADES'!$D$4:$D$11,MATCH($H769,'CAT_ACTIVIDADES'!$A$4:$A$11,0)),""))=0,(IFERROR(INDEX('CAT_ACTIVIDADES'!$D$4:$D$11,MATCH($H769,'CAT_ACTIVIDADES'!$A$4:$A$11,0)),""))=""),"SIN CLASIFICAR",IFERROR(INDEX('CAT_ACTIVIDADES'!$D$4:$D$11,MATCH($H769,'CAT_ACTIVIDADES'!$A$4:$A$11,0)),"")))</f>
        <v/>
      </c>
      <c r="AO769" s="4" t="n"/>
      <c r="AP769" s="4" t="n"/>
      <c r="AQ769" s="4" t="n"/>
      <c r="AR769" s="5">
        <f>IF($AQ769="","",HYPERLINK(p_ruta_base_checklists&amp;$AQ769,"abrir"))</f>
        <v/>
      </c>
      <c r="AS769" s="4" t="n"/>
      <c r="AT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2" t="n"/>
      <c r="K770" s="5" t="n"/>
      <c r="L770" s="18" t="n"/>
      <c r="M770" s="5">
        <f>IF($A770="","",IFERROR(INDEX('AJUSTES'!$B$4:$B$303,MATCH($AT770,'AJUSTES'!$A$4:$A$303,0)),IF($K770="","",$K770)))</f>
        <v/>
      </c>
      <c r="N770" s="5">
        <f>IF($A770="","",IFERROR(INDEX('CAT_ESTADOS_ERP'!$B$4:$B$7,MATCH(IFERROR(INDEX('2_IMPORTAR_EJECUCION'!$C$9:$C$1208,MATCH($AT770,'2_IMPORTAR_EJECUCION'!$J$9:$J$1208,0)),""),'CAT_ESTADOS_ERP'!$A$4:$A$7,0)),"Pendiente"))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IF($J770="","",$P770&amp;"-"&amp;TEXT($Q770,"00"))</f>
        <v/>
      </c>
      <c r="S770" s="5">
        <f>IF($J770="","",INDEX(lista_dias,WEEKDAY($J770,2)))</f>
        <v/>
      </c>
      <c r="T770" s="5">
        <f>IF($J770="","",IFERROR(INDEX('CALENDARIO'!$C$15:$C$214,MATCH(TEXT($J770,"yyyy-mm-dd")&amp;"|"&amp;$X770&amp;"|"&amp;$Y770,'CALENDARIO'!$G$15:$G$214,0)),IFERROR(INDEX('CALENDARIO'!$C$15:$C$214,MATCH(TEXT($J770,"yyyy-mm-dd")&amp;"|"&amp;$X770&amp;"|",'CALENDARIO'!$G$15:$G$214,0)),IFERROR(INDEX('CALENDARIO'!$C$15:$C$214,MATCH(TEXT($J770,"yyyy-mm-dd")&amp;"||",'CALENDARIO'!$G$15:$G$214,0)),INDEX(patronHabil,WEEKDAY($J770,2))))))</f>
        <v/>
      </c>
      <c r="U770" s="5">
        <f>IF($I770="","",IFERROR(INDEX('CAT_TIPOS_OT'!$C$4:$C$8,MATCH($I770,'CAT_TIPOS_OT'!$A$4:$A$8,0)),"sin_clasificar"))</f>
        <v/>
      </c>
      <c r="V770" s="5">
        <f>IF($I770="","",IF(IFERROR(INDEX('CAT_TIPOS_OT'!$D$4:$D$8,MATCH($I770,'CAT_TIPOS_OT'!$A$4:$A$8,0)),"SIN CLASIFICAR")="","SIN CLASIFICAR",IFERROR(INDEX('CAT_TIPOS_OT'!$D$4:$D$8,MATCH($I770,'CAT_TIPOS_OT'!$A$4:$A$8,0)),"SIN CLASIFICAR")))</f>
        <v/>
      </c>
      <c r="W770" s="5">
        <f>IF($F770="","",IFERROR(INDEX('CAT_CENTROS_COSTO'!$F$4:$F$13,MATCH($F770,'CAT_CENTROS_COSTO'!$A$4:$A$13,0)),"(sin catálogo)"))</f>
        <v/>
      </c>
      <c r="X770" s="5">
        <f>IF($F770="","",IFERROR(INDEX('CAT_CENTROS_COSTO'!$D$4:$D$13,MATCH($F770,'CAT_CENTROS_COSTO'!$A$4:$A$13,0)),"(sin catálogo)"))</f>
        <v/>
      </c>
      <c r="Y770" s="5">
        <f>IF($F770="","",IF((IFERROR(INDEX('CAT_CENTROS_COSTO'!$E$4:$E$13,MATCH($F770,'CAT_CENTROS_COSTO'!$A$4:$A$13,0)),""))&lt;&gt;"",IFERROR(INDEX('CAT_CENTROS_COSTO'!$E$4:$E$13,MATCH($F770,'CAT_CENTROS_COSTO'!$A$4:$A$13,0)),""),$X770))</f>
        <v/>
      </c>
      <c r="Z770" s="5">
        <f>IF($F770="","",IFERROR(INDEX('CAT_CENTROS_COSTO'!$G$4:$G$13,MATCH($F770,'CAT_CENTROS_COSTO'!$A$4:$A$13,0)),"(sin catálogo)"))</f>
        <v/>
      </c>
      <c r="AA770" s="5">
        <f>IF($G770="","",IFERROR(INDEX('CAT_PUESTOS'!$B$4:$B$8,MATCH($G770,'CAT_PUESTOS'!$A$4:$A$8,0)),"(sin catálogo)"))</f>
        <v/>
      </c>
      <c r="AB770" s="5">
        <f>IF($H770="","",IFERROR(INDEX('CAT_ACTIVIDADES'!$B$4:$B$11,MATCH($H770,'CAT_ACTIVIDADES'!$A$4:$A$11,0)),"(sin catálogo)"))</f>
        <v/>
      </c>
      <c r="AC770" s="20">
        <f>IF($J770="","",TODAY()-$J770)</f>
        <v/>
      </c>
      <c r="AD770" s="20">
        <f>IF($J770="","",IF($J770&lt;=TODAY(),COUNTIFS(cal_fechas,"&gt;="&amp;$J770,cal_fechas,"&lt;"&amp;TODAY(),cal_habil,"sí"),-COUNTIFS(cal_fechas,"&gt;="&amp;TODAY(),cal_fechas,"&lt;"&amp;$J770,cal_habil,"sí")))</f>
        <v/>
      </c>
      <c r="AE770" s="5">
        <f>IF($AD770="","",IF($AD770&lt;0,"FUTURO",IF($AD770&gt;p_dias_backlog_max,"BACKLOG","MES CORRIENTE")))</f>
        <v/>
      </c>
      <c r="AF770" s="5">
        <f>IF($AD770="",FALSE,AND($AD770&gt;p_dias_backlog_min,$AD770&lt;=p_dias_backlog_max))</f>
        <v/>
      </c>
      <c r="AG770" s="4" t="n"/>
      <c r="AH770" s="5">
        <f>IF($AG770="","",IF((IFERROR(INDEX('ASIGNACIONES'!$J$4:$J$451,MATCH($O770&amp;"|"&amp;$S770&amp;"|"&amp;$AG770,'ASIGNACIONES'!$N$4:$N$451,0)),""))=0,"",IFERROR(INDEX('ASIGNACIONES'!$J$4:$J$451,MATCH($O770&amp;"|"&amp;$S770&amp;"|"&amp;$AG770,'ASIGNACIONES'!$N$4:$N$451,0)),"")))</f>
        <v/>
      </c>
      <c r="AI770" s="25">
        <f>IF($AG770="","",SUMIFS('ORDENES'!$M$4:$M$1203,'ORDENES'!$AG$4:$AG$1203,$AG770,'ORDENES'!$O$4:$O$1203,$O770,'ORDENES'!$S$4:$S$1203,$S770))</f>
        <v/>
      </c>
      <c r="AJ770" s="25">
        <f>IF($AI770="","",p_factor_productividad*IFERROR(INDEX('ASIGNACIONES'!$M$4:$M$451,MATCH($O770&amp;"|"&amp;$S770&amp;"|"&amp;$AG770,'ASIGNACIONES'!$N$4:$N$451,0)),0)-$AI770)</f>
        <v/>
      </c>
      <c r="AK770" s="18">
        <f>IF($A770="","",IFERROR(INDEX('2_IMPORTAR_EJECUCION'!$F$9:$F$1208,MATCH($AT770,'2_IMPORTAR_EJECUCION'!$J$9:$J$1208,0)),0))</f>
        <v/>
      </c>
      <c r="AL770" s="18">
        <f>IF($A770="","",MAX(0,IFERROR(INDEX('2_IMPORTAR_EJECUCION'!$H$9:$H$1208,MATCH($AT770,'2_IMPORTAR_EJECUCION'!$J$9:$J$1208,0)),0)-$AK770))</f>
        <v/>
      </c>
      <c r="AM770" s="18">
        <f>IF($A770="","",$AK770+$AL770)</f>
        <v/>
      </c>
      <c r="AN770" s="5">
        <f>IF($A770="","",IF(OR((IFERROR(INDEX('CAT_ACTIVIDADES'!$D$4:$D$11,MATCH($H770,'CAT_ACTIVIDADES'!$A$4:$A$11,0)),""))=0,(IFERROR(INDEX('CAT_ACTIVIDADES'!$D$4:$D$11,MATCH($H770,'CAT_ACTIVIDADES'!$A$4:$A$11,0)),""))=""),"SIN CLASIFICAR",IFERROR(INDEX('CAT_ACTIVIDADES'!$D$4:$D$11,MATCH($H770,'CAT_ACTIVIDADES'!$A$4:$A$11,0)),"")))</f>
        <v/>
      </c>
      <c r="AO770" s="4" t="n"/>
      <c r="AP770" s="4" t="n"/>
      <c r="AQ770" s="4" t="n"/>
      <c r="AR770" s="5">
        <f>IF($AQ770="","",HYPERLINK(p_ruta_base_checklists&amp;$AQ770,"abrir"))</f>
        <v/>
      </c>
      <c r="AS770" s="4" t="n"/>
      <c r="AT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2" t="n"/>
      <c r="K771" s="5" t="n"/>
      <c r="L771" s="18" t="n"/>
      <c r="M771" s="5">
        <f>IF($A771="","",IFERROR(INDEX('AJUSTES'!$B$4:$B$303,MATCH($AT771,'AJUSTES'!$A$4:$A$303,0)),IF($K771="","",$K771)))</f>
        <v/>
      </c>
      <c r="N771" s="5">
        <f>IF($A771="","",IFERROR(INDEX('CAT_ESTADOS_ERP'!$B$4:$B$7,MATCH(IFERROR(INDEX('2_IMPORTAR_EJECUCION'!$C$9:$C$1208,MATCH($AT771,'2_IMPORTAR_EJECUCION'!$J$9:$J$1208,0)),""),'CAT_ESTADOS_ERP'!$A$4:$A$7,0)),"Pendiente"))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IF($J771="","",$P771&amp;"-"&amp;TEXT($Q771,"00"))</f>
        <v/>
      </c>
      <c r="S771" s="5">
        <f>IF($J771="","",INDEX(lista_dias,WEEKDAY($J771,2)))</f>
        <v/>
      </c>
      <c r="T771" s="5">
        <f>IF($J771="","",IFERROR(INDEX('CALENDARIO'!$C$15:$C$214,MATCH(TEXT($J771,"yyyy-mm-dd")&amp;"|"&amp;$X771&amp;"|"&amp;$Y771,'CALENDARIO'!$G$15:$G$214,0)),IFERROR(INDEX('CALENDARIO'!$C$15:$C$214,MATCH(TEXT($J771,"yyyy-mm-dd")&amp;"|"&amp;$X771&amp;"|",'CALENDARIO'!$G$15:$G$214,0)),IFERROR(INDEX('CALENDARIO'!$C$15:$C$214,MATCH(TEXT($J771,"yyyy-mm-dd")&amp;"||",'CALENDARIO'!$G$15:$G$214,0)),INDEX(patronHabil,WEEKDAY($J771,2))))))</f>
        <v/>
      </c>
      <c r="U771" s="5">
        <f>IF($I771="","",IFERROR(INDEX('CAT_TIPOS_OT'!$C$4:$C$8,MATCH($I771,'CAT_TIPOS_OT'!$A$4:$A$8,0)),"sin_clasificar"))</f>
        <v/>
      </c>
      <c r="V771" s="5">
        <f>IF($I771="","",IF(IFERROR(INDEX('CAT_TIPOS_OT'!$D$4:$D$8,MATCH($I771,'CAT_TIPOS_OT'!$A$4:$A$8,0)),"SIN CLASIFICAR")="","SIN CLASIFICAR",IFERROR(INDEX('CAT_TIPOS_OT'!$D$4:$D$8,MATCH($I771,'CAT_TIPOS_OT'!$A$4:$A$8,0)),"SIN CLASIFICAR")))</f>
        <v/>
      </c>
      <c r="W771" s="5">
        <f>IF($F771="","",IFERROR(INDEX('CAT_CENTROS_COSTO'!$F$4:$F$13,MATCH($F771,'CAT_CENTROS_COSTO'!$A$4:$A$13,0)),"(sin catálogo)"))</f>
        <v/>
      </c>
      <c r="X771" s="5">
        <f>IF($F771="","",IFERROR(INDEX('CAT_CENTROS_COSTO'!$D$4:$D$13,MATCH($F771,'CAT_CENTROS_COSTO'!$A$4:$A$13,0)),"(sin catálogo)"))</f>
        <v/>
      </c>
      <c r="Y771" s="5">
        <f>IF($F771="","",IF((IFERROR(INDEX('CAT_CENTROS_COSTO'!$E$4:$E$13,MATCH($F771,'CAT_CENTROS_COSTO'!$A$4:$A$13,0)),""))&lt;&gt;"",IFERROR(INDEX('CAT_CENTROS_COSTO'!$E$4:$E$13,MATCH($F771,'CAT_CENTROS_COSTO'!$A$4:$A$13,0)),""),$X771))</f>
        <v/>
      </c>
      <c r="Z771" s="5">
        <f>IF($F771="","",IFERROR(INDEX('CAT_CENTROS_COSTO'!$G$4:$G$13,MATCH($F771,'CAT_CENTROS_COSTO'!$A$4:$A$13,0)),"(sin catálogo)"))</f>
        <v/>
      </c>
      <c r="AA771" s="5">
        <f>IF($G771="","",IFERROR(INDEX('CAT_PUESTOS'!$B$4:$B$8,MATCH($G771,'CAT_PUESTOS'!$A$4:$A$8,0)),"(sin catálogo)"))</f>
        <v/>
      </c>
      <c r="AB771" s="5">
        <f>IF($H771="","",IFERROR(INDEX('CAT_ACTIVIDADES'!$B$4:$B$11,MATCH($H771,'CAT_ACTIVIDADES'!$A$4:$A$11,0)),"(sin catálogo)"))</f>
        <v/>
      </c>
      <c r="AC771" s="20">
        <f>IF($J771="","",TODAY()-$J771)</f>
        <v/>
      </c>
      <c r="AD771" s="20">
        <f>IF($J771="","",IF($J771&lt;=TODAY(),COUNTIFS(cal_fechas,"&gt;="&amp;$J771,cal_fechas,"&lt;"&amp;TODAY(),cal_habil,"sí"),-COUNTIFS(cal_fechas,"&gt;="&amp;TODAY(),cal_fechas,"&lt;"&amp;$J771,cal_habil,"sí")))</f>
        <v/>
      </c>
      <c r="AE771" s="5">
        <f>IF($AD771="","",IF($AD771&lt;0,"FUTURO",IF($AD771&gt;p_dias_backlog_max,"BACKLOG","MES CORRIENTE")))</f>
        <v/>
      </c>
      <c r="AF771" s="5">
        <f>IF($AD771="",FALSE,AND($AD771&gt;p_dias_backlog_min,$AD771&lt;=p_dias_backlog_max))</f>
        <v/>
      </c>
      <c r="AG771" s="4" t="n"/>
      <c r="AH771" s="5">
        <f>IF($AG771="","",IF((IFERROR(INDEX('ASIGNACIONES'!$J$4:$J$451,MATCH($O771&amp;"|"&amp;$S771&amp;"|"&amp;$AG771,'ASIGNACIONES'!$N$4:$N$451,0)),""))=0,"",IFERROR(INDEX('ASIGNACIONES'!$J$4:$J$451,MATCH($O771&amp;"|"&amp;$S771&amp;"|"&amp;$AG771,'ASIGNACIONES'!$N$4:$N$451,0)),"")))</f>
        <v/>
      </c>
      <c r="AI771" s="25">
        <f>IF($AG771="","",SUMIFS('ORDENES'!$M$4:$M$1203,'ORDENES'!$AG$4:$AG$1203,$AG771,'ORDENES'!$O$4:$O$1203,$O771,'ORDENES'!$S$4:$S$1203,$S771))</f>
        <v/>
      </c>
      <c r="AJ771" s="25">
        <f>IF($AI771="","",p_factor_productividad*IFERROR(INDEX('ASIGNACIONES'!$M$4:$M$451,MATCH($O771&amp;"|"&amp;$S771&amp;"|"&amp;$AG771,'ASIGNACIONES'!$N$4:$N$451,0)),0)-$AI771)</f>
        <v/>
      </c>
      <c r="AK771" s="18">
        <f>IF($A771="","",IFERROR(INDEX('2_IMPORTAR_EJECUCION'!$F$9:$F$1208,MATCH($AT771,'2_IMPORTAR_EJECUCION'!$J$9:$J$1208,0)),0))</f>
        <v/>
      </c>
      <c r="AL771" s="18">
        <f>IF($A771="","",MAX(0,IFERROR(INDEX('2_IMPORTAR_EJECUCION'!$H$9:$H$1208,MATCH($AT771,'2_IMPORTAR_EJECUCION'!$J$9:$J$1208,0)),0)-$AK771))</f>
        <v/>
      </c>
      <c r="AM771" s="18">
        <f>IF($A771="","",$AK771+$AL771)</f>
        <v/>
      </c>
      <c r="AN771" s="5">
        <f>IF($A771="","",IF(OR((IFERROR(INDEX('CAT_ACTIVIDADES'!$D$4:$D$11,MATCH($H771,'CAT_ACTIVIDADES'!$A$4:$A$11,0)),""))=0,(IFERROR(INDEX('CAT_ACTIVIDADES'!$D$4:$D$11,MATCH($H771,'CAT_ACTIVIDADES'!$A$4:$A$11,0)),""))=""),"SIN CLASIFICAR",IFERROR(INDEX('CAT_ACTIVIDADES'!$D$4:$D$11,MATCH($H771,'CAT_ACTIVIDADES'!$A$4:$A$11,0)),"")))</f>
        <v/>
      </c>
      <c r="AO771" s="4" t="n"/>
      <c r="AP771" s="4" t="n"/>
      <c r="AQ771" s="4" t="n"/>
      <c r="AR771" s="5">
        <f>IF($AQ771="","",HYPERLINK(p_ruta_base_checklists&amp;$AQ771,"abrir"))</f>
        <v/>
      </c>
      <c r="AS771" s="4" t="n"/>
      <c r="AT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2" t="n"/>
      <c r="K772" s="5" t="n"/>
      <c r="L772" s="18" t="n"/>
      <c r="M772" s="5">
        <f>IF($A772="","",IFERROR(INDEX('AJUSTES'!$B$4:$B$303,MATCH($AT772,'AJUSTES'!$A$4:$A$303,0)),IF($K772="","",$K772)))</f>
        <v/>
      </c>
      <c r="N772" s="5">
        <f>IF($A772="","",IFERROR(INDEX('CAT_ESTADOS_ERP'!$B$4:$B$7,MATCH(IFERROR(INDEX('2_IMPORTAR_EJECUCION'!$C$9:$C$1208,MATCH($AT772,'2_IMPORTAR_EJECUCION'!$J$9:$J$1208,0)),""),'CAT_ESTADOS_ERP'!$A$4:$A$7,0)),"Pendiente"))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IF($J772="","",$P772&amp;"-"&amp;TEXT($Q772,"00"))</f>
        <v/>
      </c>
      <c r="S772" s="5">
        <f>IF($J772="","",INDEX(lista_dias,WEEKDAY($J772,2)))</f>
        <v/>
      </c>
      <c r="T772" s="5">
        <f>IF($J772="","",IFERROR(INDEX('CALENDARIO'!$C$15:$C$214,MATCH(TEXT($J772,"yyyy-mm-dd")&amp;"|"&amp;$X772&amp;"|"&amp;$Y772,'CALENDARIO'!$G$15:$G$214,0)),IFERROR(INDEX('CALENDARIO'!$C$15:$C$214,MATCH(TEXT($J772,"yyyy-mm-dd")&amp;"|"&amp;$X772&amp;"|",'CALENDARIO'!$G$15:$G$214,0)),IFERROR(INDEX('CALENDARIO'!$C$15:$C$214,MATCH(TEXT($J772,"yyyy-mm-dd")&amp;"||",'CALENDARIO'!$G$15:$G$214,0)),INDEX(patronHabil,WEEKDAY($J772,2))))))</f>
        <v/>
      </c>
      <c r="U772" s="5">
        <f>IF($I772="","",IFERROR(INDEX('CAT_TIPOS_OT'!$C$4:$C$8,MATCH($I772,'CAT_TIPOS_OT'!$A$4:$A$8,0)),"sin_clasificar"))</f>
        <v/>
      </c>
      <c r="V772" s="5">
        <f>IF($I772="","",IF(IFERROR(INDEX('CAT_TIPOS_OT'!$D$4:$D$8,MATCH($I772,'CAT_TIPOS_OT'!$A$4:$A$8,0)),"SIN CLASIFICAR")="","SIN CLASIFICAR",IFERROR(INDEX('CAT_TIPOS_OT'!$D$4:$D$8,MATCH($I772,'CAT_TIPOS_OT'!$A$4:$A$8,0)),"SIN CLASIFICAR")))</f>
        <v/>
      </c>
      <c r="W772" s="5">
        <f>IF($F772="","",IFERROR(INDEX('CAT_CENTROS_COSTO'!$F$4:$F$13,MATCH($F772,'CAT_CENTROS_COSTO'!$A$4:$A$13,0)),"(sin catálogo)"))</f>
        <v/>
      </c>
      <c r="X772" s="5">
        <f>IF($F772="","",IFERROR(INDEX('CAT_CENTROS_COSTO'!$D$4:$D$13,MATCH($F772,'CAT_CENTROS_COSTO'!$A$4:$A$13,0)),"(sin catálogo)"))</f>
        <v/>
      </c>
      <c r="Y772" s="5">
        <f>IF($F772="","",IF((IFERROR(INDEX('CAT_CENTROS_COSTO'!$E$4:$E$13,MATCH($F772,'CAT_CENTROS_COSTO'!$A$4:$A$13,0)),""))&lt;&gt;"",IFERROR(INDEX('CAT_CENTROS_COSTO'!$E$4:$E$13,MATCH($F772,'CAT_CENTROS_COSTO'!$A$4:$A$13,0)),""),$X772))</f>
        <v/>
      </c>
      <c r="Z772" s="5">
        <f>IF($F772="","",IFERROR(INDEX('CAT_CENTROS_COSTO'!$G$4:$G$13,MATCH($F772,'CAT_CENTROS_COSTO'!$A$4:$A$13,0)),"(sin catálogo)"))</f>
        <v/>
      </c>
      <c r="AA772" s="5">
        <f>IF($G772="","",IFERROR(INDEX('CAT_PUESTOS'!$B$4:$B$8,MATCH($G772,'CAT_PUESTOS'!$A$4:$A$8,0)),"(sin catálogo)"))</f>
        <v/>
      </c>
      <c r="AB772" s="5">
        <f>IF($H772="","",IFERROR(INDEX('CAT_ACTIVIDADES'!$B$4:$B$11,MATCH($H772,'CAT_ACTIVIDADES'!$A$4:$A$11,0)),"(sin catálogo)"))</f>
        <v/>
      </c>
      <c r="AC772" s="20">
        <f>IF($J772="","",TODAY()-$J772)</f>
        <v/>
      </c>
      <c r="AD772" s="20">
        <f>IF($J772="","",IF($J772&lt;=TODAY(),COUNTIFS(cal_fechas,"&gt;="&amp;$J772,cal_fechas,"&lt;"&amp;TODAY(),cal_habil,"sí"),-COUNTIFS(cal_fechas,"&gt;="&amp;TODAY(),cal_fechas,"&lt;"&amp;$J772,cal_habil,"sí")))</f>
        <v/>
      </c>
      <c r="AE772" s="5">
        <f>IF($AD772="","",IF($AD772&lt;0,"FUTURO",IF($AD772&gt;p_dias_backlog_max,"BACKLOG","MES CORRIENTE")))</f>
        <v/>
      </c>
      <c r="AF772" s="5">
        <f>IF($AD772="",FALSE,AND($AD772&gt;p_dias_backlog_min,$AD772&lt;=p_dias_backlog_max))</f>
        <v/>
      </c>
      <c r="AG772" s="4" t="n"/>
      <c r="AH772" s="5">
        <f>IF($AG772="","",IF((IFERROR(INDEX('ASIGNACIONES'!$J$4:$J$451,MATCH($O772&amp;"|"&amp;$S772&amp;"|"&amp;$AG772,'ASIGNACIONES'!$N$4:$N$451,0)),""))=0,"",IFERROR(INDEX('ASIGNACIONES'!$J$4:$J$451,MATCH($O772&amp;"|"&amp;$S772&amp;"|"&amp;$AG772,'ASIGNACIONES'!$N$4:$N$451,0)),"")))</f>
        <v/>
      </c>
      <c r="AI772" s="25">
        <f>IF($AG772="","",SUMIFS('ORDENES'!$M$4:$M$1203,'ORDENES'!$AG$4:$AG$1203,$AG772,'ORDENES'!$O$4:$O$1203,$O772,'ORDENES'!$S$4:$S$1203,$S772))</f>
        <v/>
      </c>
      <c r="AJ772" s="25">
        <f>IF($AI772="","",p_factor_productividad*IFERROR(INDEX('ASIGNACIONES'!$M$4:$M$451,MATCH($O772&amp;"|"&amp;$S772&amp;"|"&amp;$AG772,'ASIGNACIONES'!$N$4:$N$451,0)),0)-$AI772)</f>
        <v/>
      </c>
      <c r="AK772" s="18">
        <f>IF($A772="","",IFERROR(INDEX('2_IMPORTAR_EJECUCION'!$F$9:$F$1208,MATCH($AT772,'2_IMPORTAR_EJECUCION'!$J$9:$J$1208,0)),0))</f>
        <v/>
      </c>
      <c r="AL772" s="18">
        <f>IF($A772="","",MAX(0,IFERROR(INDEX('2_IMPORTAR_EJECUCION'!$H$9:$H$1208,MATCH($AT772,'2_IMPORTAR_EJECUCION'!$J$9:$J$1208,0)),0)-$AK772))</f>
        <v/>
      </c>
      <c r="AM772" s="18">
        <f>IF($A772="","",$AK772+$AL772)</f>
        <v/>
      </c>
      <c r="AN772" s="5">
        <f>IF($A772="","",IF(OR((IFERROR(INDEX('CAT_ACTIVIDADES'!$D$4:$D$11,MATCH($H772,'CAT_ACTIVIDADES'!$A$4:$A$11,0)),""))=0,(IFERROR(INDEX('CAT_ACTIVIDADES'!$D$4:$D$11,MATCH($H772,'CAT_ACTIVIDADES'!$A$4:$A$11,0)),""))=""),"SIN CLASIFICAR",IFERROR(INDEX('CAT_ACTIVIDADES'!$D$4:$D$11,MATCH($H772,'CAT_ACTIVIDADES'!$A$4:$A$11,0)),"")))</f>
        <v/>
      </c>
      <c r="AO772" s="4" t="n"/>
      <c r="AP772" s="4" t="n"/>
      <c r="AQ772" s="4" t="n"/>
      <c r="AR772" s="5">
        <f>IF($AQ772="","",HYPERLINK(p_ruta_base_checklists&amp;$AQ772,"abrir"))</f>
        <v/>
      </c>
      <c r="AS772" s="4" t="n"/>
      <c r="AT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2" t="n"/>
      <c r="K773" s="5" t="n"/>
      <c r="L773" s="18" t="n"/>
      <c r="M773" s="5">
        <f>IF($A773="","",IFERROR(INDEX('AJUSTES'!$B$4:$B$303,MATCH($AT773,'AJUSTES'!$A$4:$A$303,0)),IF($K773="","",$K773)))</f>
        <v/>
      </c>
      <c r="N773" s="5">
        <f>IF($A773="","",IFERROR(INDEX('CAT_ESTADOS_ERP'!$B$4:$B$7,MATCH(IFERROR(INDEX('2_IMPORTAR_EJECUCION'!$C$9:$C$1208,MATCH($AT773,'2_IMPORTAR_EJECUCION'!$J$9:$J$1208,0)),""),'CAT_ESTADOS_ERP'!$A$4:$A$7,0)),"Pendiente"))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IF($J773="","",$P773&amp;"-"&amp;TEXT($Q773,"00"))</f>
        <v/>
      </c>
      <c r="S773" s="5">
        <f>IF($J773="","",INDEX(lista_dias,WEEKDAY($J773,2)))</f>
        <v/>
      </c>
      <c r="T773" s="5">
        <f>IF($J773="","",IFERROR(INDEX('CALENDARIO'!$C$15:$C$214,MATCH(TEXT($J773,"yyyy-mm-dd")&amp;"|"&amp;$X773&amp;"|"&amp;$Y773,'CALENDARIO'!$G$15:$G$214,0)),IFERROR(INDEX('CALENDARIO'!$C$15:$C$214,MATCH(TEXT($J773,"yyyy-mm-dd")&amp;"|"&amp;$X773&amp;"|",'CALENDARIO'!$G$15:$G$214,0)),IFERROR(INDEX('CALENDARIO'!$C$15:$C$214,MATCH(TEXT($J773,"yyyy-mm-dd")&amp;"||",'CALENDARIO'!$G$15:$G$214,0)),INDEX(patronHabil,WEEKDAY($J773,2))))))</f>
        <v/>
      </c>
      <c r="U773" s="5">
        <f>IF($I773="","",IFERROR(INDEX('CAT_TIPOS_OT'!$C$4:$C$8,MATCH($I773,'CAT_TIPOS_OT'!$A$4:$A$8,0)),"sin_clasificar"))</f>
        <v/>
      </c>
      <c r="V773" s="5">
        <f>IF($I773="","",IF(IFERROR(INDEX('CAT_TIPOS_OT'!$D$4:$D$8,MATCH($I773,'CAT_TIPOS_OT'!$A$4:$A$8,0)),"SIN CLASIFICAR")="","SIN CLASIFICAR",IFERROR(INDEX('CAT_TIPOS_OT'!$D$4:$D$8,MATCH($I773,'CAT_TIPOS_OT'!$A$4:$A$8,0)),"SIN CLASIFICAR")))</f>
        <v/>
      </c>
      <c r="W773" s="5">
        <f>IF($F773="","",IFERROR(INDEX('CAT_CENTROS_COSTO'!$F$4:$F$13,MATCH($F773,'CAT_CENTROS_COSTO'!$A$4:$A$13,0)),"(sin catálogo)"))</f>
        <v/>
      </c>
      <c r="X773" s="5">
        <f>IF($F773="","",IFERROR(INDEX('CAT_CENTROS_COSTO'!$D$4:$D$13,MATCH($F773,'CAT_CENTROS_COSTO'!$A$4:$A$13,0)),"(sin catálogo)"))</f>
        <v/>
      </c>
      <c r="Y773" s="5">
        <f>IF($F773="","",IF((IFERROR(INDEX('CAT_CENTROS_COSTO'!$E$4:$E$13,MATCH($F773,'CAT_CENTROS_COSTO'!$A$4:$A$13,0)),""))&lt;&gt;"",IFERROR(INDEX('CAT_CENTROS_COSTO'!$E$4:$E$13,MATCH($F773,'CAT_CENTROS_COSTO'!$A$4:$A$13,0)),""),$X773))</f>
        <v/>
      </c>
      <c r="Z773" s="5">
        <f>IF($F773="","",IFERROR(INDEX('CAT_CENTROS_COSTO'!$G$4:$G$13,MATCH($F773,'CAT_CENTROS_COSTO'!$A$4:$A$13,0)),"(sin catálogo)"))</f>
        <v/>
      </c>
      <c r="AA773" s="5">
        <f>IF($G773="","",IFERROR(INDEX('CAT_PUESTOS'!$B$4:$B$8,MATCH($G773,'CAT_PUESTOS'!$A$4:$A$8,0)),"(sin catálogo)"))</f>
        <v/>
      </c>
      <c r="AB773" s="5">
        <f>IF($H773="","",IFERROR(INDEX('CAT_ACTIVIDADES'!$B$4:$B$11,MATCH($H773,'CAT_ACTIVIDADES'!$A$4:$A$11,0)),"(sin catálogo)"))</f>
        <v/>
      </c>
      <c r="AC773" s="20">
        <f>IF($J773="","",TODAY()-$J773)</f>
        <v/>
      </c>
      <c r="AD773" s="20">
        <f>IF($J773="","",IF($J773&lt;=TODAY(),COUNTIFS(cal_fechas,"&gt;="&amp;$J773,cal_fechas,"&lt;"&amp;TODAY(),cal_habil,"sí"),-COUNTIFS(cal_fechas,"&gt;="&amp;TODAY(),cal_fechas,"&lt;"&amp;$J773,cal_habil,"sí")))</f>
        <v/>
      </c>
      <c r="AE773" s="5">
        <f>IF($AD773="","",IF($AD773&lt;0,"FUTURO",IF($AD773&gt;p_dias_backlog_max,"BACKLOG","MES CORRIENTE")))</f>
        <v/>
      </c>
      <c r="AF773" s="5">
        <f>IF($AD773="",FALSE,AND($AD773&gt;p_dias_backlog_min,$AD773&lt;=p_dias_backlog_max))</f>
        <v/>
      </c>
      <c r="AG773" s="4" t="n"/>
      <c r="AH773" s="5">
        <f>IF($AG773="","",IF((IFERROR(INDEX('ASIGNACIONES'!$J$4:$J$451,MATCH($O773&amp;"|"&amp;$S773&amp;"|"&amp;$AG773,'ASIGNACIONES'!$N$4:$N$451,0)),""))=0,"",IFERROR(INDEX('ASIGNACIONES'!$J$4:$J$451,MATCH($O773&amp;"|"&amp;$S773&amp;"|"&amp;$AG773,'ASIGNACIONES'!$N$4:$N$451,0)),"")))</f>
        <v/>
      </c>
      <c r="AI773" s="25">
        <f>IF($AG773="","",SUMIFS('ORDENES'!$M$4:$M$1203,'ORDENES'!$AG$4:$AG$1203,$AG773,'ORDENES'!$O$4:$O$1203,$O773,'ORDENES'!$S$4:$S$1203,$S773))</f>
        <v/>
      </c>
      <c r="AJ773" s="25">
        <f>IF($AI773="","",p_factor_productividad*IFERROR(INDEX('ASIGNACIONES'!$M$4:$M$451,MATCH($O773&amp;"|"&amp;$S773&amp;"|"&amp;$AG773,'ASIGNACIONES'!$N$4:$N$451,0)),0)-$AI773)</f>
        <v/>
      </c>
      <c r="AK773" s="18">
        <f>IF($A773="","",IFERROR(INDEX('2_IMPORTAR_EJECUCION'!$F$9:$F$1208,MATCH($AT773,'2_IMPORTAR_EJECUCION'!$J$9:$J$1208,0)),0))</f>
        <v/>
      </c>
      <c r="AL773" s="18">
        <f>IF($A773="","",MAX(0,IFERROR(INDEX('2_IMPORTAR_EJECUCION'!$H$9:$H$1208,MATCH($AT773,'2_IMPORTAR_EJECUCION'!$J$9:$J$1208,0)),0)-$AK773))</f>
        <v/>
      </c>
      <c r="AM773" s="18">
        <f>IF($A773="","",$AK773+$AL773)</f>
        <v/>
      </c>
      <c r="AN773" s="5">
        <f>IF($A773="","",IF(OR((IFERROR(INDEX('CAT_ACTIVIDADES'!$D$4:$D$11,MATCH($H773,'CAT_ACTIVIDADES'!$A$4:$A$11,0)),""))=0,(IFERROR(INDEX('CAT_ACTIVIDADES'!$D$4:$D$11,MATCH($H773,'CAT_ACTIVIDADES'!$A$4:$A$11,0)),""))=""),"SIN CLASIFICAR",IFERROR(INDEX('CAT_ACTIVIDADES'!$D$4:$D$11,MATCH($H773,'CAT_ACTIVIDADES'!$A$4:$A$11,0)),"")))</f>
        <v/>
      </c>
      <c r="AO773" s="4" t="n"/>
      <c r="AP773" s="4" t="n"/>
      <c r="AQ773" s="4" t="n"/>
      <c r="AR773" s="5">
        <f>IF($AQ773="","",HYPERLINK(p_ruta_base_checklists&amp;$AQ773,"abrir"))</f>
        <v/>
      </c>
      <c r="AS773" s="4" t="n"/>
      <c r="AT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2" t="n"/>
      <c r="K774" s="5" t="n"/>
      <c r="L774" s="18" t="n"/>
      <c r="M774" s="5">
        <f>IF($A774="","",IFERROR(INDEX('AJUSTES'!$B$4:$B$303,MATCH($AT774,'AJUSTES'!$A$4:$A$303,0)),IF($K774="","",$K774)))</f>
        <v/>
      </c>
      <c r="N774" s="5">
        <f>IF($A774="","",IFERROR(INDEX('CAT_ESTADOS_ERP'!$B$4:$B$7,MATCH(IFERROR(INDEX('2_IMPORTAR_EJECUCION'!$C$9:$C$1208,MATCH($AT774,'2_IMPORTAR_EJECUCION'!$J$9:$J$1208,0)),""),'CAT_ESTADOS_ERP'!$A$4:$A$7,0)),"Pendiente"))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IF($J774="","",$P774&amp;"-"&amp;TEXT($Q774,"00"))</f>
        <v/>
      </c>
      <c r="S774" s="5">
        <f>IF($J774="","",INDEX(lista_dias,WEEKDAY($J774,2)))</f>
        <v/>
      </c>
      <c r="T774" s="5">
        <f>IF($J774="","",IFERROR(INDEX('CALENDARIO'!$C$15:$C$214,MATCH(TEXT($J774,"yyyy-mm-dd")&amp;"|"&amp;$X774&amp;"|"&amp;$Y774,'CALENDARIO'!$G$15:$G$214,0)),IFERROR(INDEX('CALENDARIO'!$C$15:$C$214,MATCH(TEXT($J774,"yyyy-mm-dd")&amp;"|"&amp;$X774&amp;"|",'CALENDARIO'!$G$15:$G$214,0)),IFERROR(INDEX('CALENDARIO'!$C$15:$C$214,MATCH(TEXT($J774,"yyyy-mm-dd")&amp;"||",'CALENDARIO'!$G$15:$G$214,0)),INDEX(patronHabil,WEEKDAY($J774,2))))))</f>
        <v/>
      </c>
      <c r="U774" s="5">
        <f>IF($I774="","",IFERROR(INDEX('CAT_TIPOS_OT'!$C$4:$C$8,MATCH($I774,'CAT_TIPOS_OT'!$A$4:$A$8,0)),"sin_clasificar"))</f>
        <v/>
      </c>
      <c r="V774" s="5">
        <f>IF($I774="","",IF(IFERROR(INDEX('CAT_TIPOS_OT'!$D$4:$D$8,MATCH($I774,'CAT_TIPOS_OT'!$A$4:$A$8,0)),"SIN CLASIFICAR")="","SIN CLASIFICAR",IFERROR(INDEX('CAT_TIPOS_OT'!$D$4:$D$8,MATCH($I774,'CAT_TIPOS_OT'!$A$4:$A$8,0)),"SIN CLASIFICAR")))</f>
        <v/>
      </c>
      <c r="W774" s="5">
        <f>IF($F774="","",IFERROR(INDEX('CAT_CENTROS_COSTO'!$F$4:$F$13,MATCH($F774,'CAT_CENTROS_COSTO'!$A$4:$A$13,0)),"(sin catálogo)"))</f>
        <v/>
      </c>
      <c r="X774" s="5">
        <f>IF($F774="","",IFERROR(INDEX('CAT_CENTROS_COSTO'!$D$4:$D$13,MATCH($F774,'CAT_CENTROS_COSTO'!$A$4:$A$13,0)),"(sin catálogo)"))</f>
        <v/>
      </c>
      <c r="Y774" s="5">
        <f>IF($F774="","",IF((IFERROR(INDEX('CAT_CENTROS_COSTO'!$E$4:$E$13,MATCH($F774,'CAT_CENTROS_COSTO'!$A$4:$A$13,0)),""))&lt;&gt;"",IFERROR(INDEX('CAT_CENTROS_COSTO'!$E$4:$E$13,MATCH($F774,'CAT_CENTROS_COSTO'!$A$4:$A$13,0)),""),$X774))</f>
        <v/>
      </c>
      <c r="Z774" s="5">
        <f>IF($F774="","",IFERROR(INDEX('CAT_CENTROS_COSTO'!$G$4:$G$13,MATCH($F774,'CAT_CENTROS_COSTO'!$A$4:$A$13,0)),"(sin catálogo)"))</f>
        <v/>
      </c>
      <c r="AA774" s="5">
        <f>IF($G774="","",IFERROR(INDEX('CAT_PUESTOS'!$B$4:$B$8,MATCH($G774,'CAT_PUESTOS'!$A$4:$A$8,0)),"(sin catálogo)"))</f>
        <v/>
      </c>
      <c r="AB774" s="5">
        <f>IF($H774="","",IFERROR(INDEX('CAT_ACTIVIDADES'!$B$4:$B$11,MATCH($H774,'CAT_ACTIVIDADES'!$A$4:$A$11,0)),"(sin catálogo)"))</f>
        <v/>
      </c>
      <c r="AC774" s="20">
        <f>IF($J774="","",TODAY()-$J774)</f>
        <v/>
      </c>
      <c r="AD774" s="20">
        <f>IF($J774="","",IF($J774&lt;=TODAY(),COUNTIFS(cal_fechas,"&gt;="&amp;$J774,cal_fechas,"&lt;"&amp;TODAY(),cal_habil,"sí"),-COUNTIFS(cal_fechas,"&gt;="&amp;TODAY(),cal_fechas,"&lt;"&amp;$J774,cal_habil,"sí")))</f>
        <v/>
      </c>
      <c r="AE774" s="5">
        <f>IF($AD774="","",IF($AD774&lt;0,"FUTURO",IF($AD774&gt;p_dias_backlog_max,"BACKLOG","MES CORRIENTE")))</f>
        <v/>
      </c>
      <c r="AF774" s="5">
        <f>IF($AD774="",FALSE,AND($AD774&gt;p_dias_backlog_min,$AD774&lt;=p_dias_backlog_max))</f>
        <v/>
      </c>
      <c r="AG774" s="4" t="n"/>
      <c r="AH774" s="5">
        <f>IF($AG774="","",IF((IFERROR(INDEX('ASIGNACIONES'!$J$4:$J$451,MATCH($O774&amp;"|"&amp;$S774&amp;"|"&amp;$AG774,'ASIGNACIONES'!$N$4:$N$451,0)),""))=0,"",IFERROR(INDEX('ASIGNACIONES'!$J$4:$J$451,MATCH($O774&amp;"|"&amp;$S774&amp;"|"&amp;$AG774,'ASIGNACIONES'!$N$4:$N$451,0)),"")))</f>
        <v/>
      </c>
      <c r="AI774" s="25">
        <f>IF($AG774="","",SUMIFS('ORDENES'!$M$4:$M$1203,'ORDENES'!$AG$4:$AG$1203,$AG774,'ORDENES'!$O$4:$O$1203,$O774,'ORDENES'!$S$4:$S$1203,$S774))</f>
        <v/>
      </c>
      <c r="AJ774" s="25">
        <f>IF($AI774="","",p_factor_productividad*IFERROR(INDEX('ASIGNACIONES'!$M$4:$M$451,MATCH($O774&amp;"|"&amp;$S774&amp;"|"&amp;$AG774,'ASIGNACIONES'!$N$4:$N$451,0)),0)-$AI774)</f>
        <v/>
      </c>
      <c r="AK774" s="18">
        <f>IF($A774="","",IFERROR(INDEX('2_IMPORTAR_EJECUCION'!$F$9:$F$1208,MATCH($AT774,'2_IMPORTAR_EJECUCION'!$J$9:$J$1208,0)),0))</f>
        <v/>
      </c>
      <c r="AL774" s="18">
        <f>IF($A774="","",MAX(0,IFERROR(INDEX('2_IMPORTAR_EJECUCION'!$H$9:$H$1208,MATCH($AT774,'2_IMPORTAR_EJECUCION'!$J$9:$J$1208,0)),0)-$AK774))</f>
        <v/>
      </c>
      <c r="AM774" s="18">
        <f>IF($A774="","",$AK774+$AL774)</f>
        <v/>
      </c>
      <c r="AN774" s="5">
        <f>IF($A774="","",IF(OR((IFERROR(INDEX('CAT_ACTIVIDADES'!$D$4:$D$11,MATCH($H774,'CAT_ACTIVIDADES'!$A$4:$A$11,0)),""))=0,(IFERROR(INDEX('CAT_ACTIVIDADES'!$D$4:$D$11,MATCH($H774,'CAT_ACTIVIDADES'!$A$4:$A$11,0)),""))=""),"SIN CLASIFICAR",IFERROR(INDEX('CAT_ACTIVIDADES'!$D$4:$D$11,MATCH($H774,'CAT_ACTIVIDADES'!$A$4:$A$11,0)),"")))</f>
        <v/>
      </c>
      <c r="AO774" s="4" t="n"/>
      <c r="AP774" s="4" t="n"/>
      <c r="AQ774" s="4" t="n"/>
      <c r="AR774" s="5">
        <f>IF($AQ774="","",HYPERLINK(p_ruta_base_checklists&amp;$AQ774,"abrir"))</f>
        <v/>
      </c>
      <c r="AS774" s="4" t="n"/>
      <c r="AT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2" t="n"/>
      <c r="K775" s="5" t="n"/>
      <c r="L775" s="18" t="n"/>
      <c r="M775" s="5">
        <f>IF($A775="","",IFERROR(INDEX('AJUSTES'!$B$4:$B$303,MATCH($AT775,'AJUSTES'!$A$4:$A$303,0)),IF($K775="","",$K775)))</f>
        <v/>
      </c>
      <c r="N775" s="5">
        <f>IF($A775="","",IFERROR(INDEX('CAT_ESTADOS_ERP'!$B$4:$B$7,MATCH(IFERROR(INDEX('2_IMPORTAR_EJECUCION'!$C$9:$C$1208,MATCH($AT775,'2_IMPORTAR_EJECUCION'!$J$9:$J$1208,0)),""),'CAT_ESTADOS_ERP'!$A$4:$A$7,0)),"Pendiente"))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IF($J775="","",$P775&amp;"-"&amp;TEXT($Q775,"00"))</f>
        <v/>
      </c>
      <c r="S775" s="5">
        <f>IF($J775="","",INDEX(lista_dias,WEEKDAY($J775,2)))</f>
        <v/>
      </c>
      <c r="T775" s="5">
        <f>IF($J775="","",IFERROR(INDEX('CALENDARIO'!$C$15:$C$214,MATCH(TEXT($J775,"yyyy-mm-dd")&amp;"|"&amp;$X775&amp;"|"&amp;$Y775,'CALENDARIO'!$G$15:$G$214,0)),IFERROR(INDEX('CALENDARIO'!$C$15:$C$214,MATCH(TEXT($J775,"yyyy-mm-dd")&amp;"|"&amp;$X775&amp;"|",'CALENDARIO'!$G$15:$G$214,0)),IFERROR(INDEX('CALENDARIO'!$C$15:$C$214,MATCH(TEXT($J775,"yyyy-mm-dd")&amp;"||",'CALENDARIO'!$G$15:$G$214,0)),INDEX(patronHabil,WEEKDAY($J775,2))))))</f>
        <v/>
      </c>
      <c r="U775" s="5">
        <f>IF($I775="","",IFERROR(INDEX('CAT_TIPOS_OT'!$C$4:$C$8,MATCH($I775,'CAT_TIPOS_OT'!$A$4:$A$8,0)),"sin_clasificar"))</f>
        <v/>
      </c>
      <c r="V775" s="5">
        <f>IF($I775="","",IF(IFERROR(INDEX('CAT_TIPOS_OT'!$D$4:$D$8,MATCH($I775,'CAT_TIPOS_OT'!$A$4:$A$8,0)),"SIN CLASIFICAR")="","SIN CLASIFICAR",IFERROR(INDEX('CAT_TIPOS_OT'!$D$4:$D$8,MATCH($I775,'CAT_TIPOS_OT'!$A$4:$A$8,0)),"SIN CLASIFICAR")))</f>
        <v/>
      </c>
      <c r="W775" s="5">
        <f>IF($F775="","",IFERROR(INDEX('CAT_CENTROS_COSTO'!$F$4:$F$13,MATCH($F775,'CAT_CENTROS_COSTO'!$A$4:$A$13,0)),"(sin catálogo)"))</f>
        <v/>
      </c>
      <c r="X775" s="5">
        <f>IF($F775="","",IFERROR(INDEX('CAT_CENTROS_COSTO'!$D$4:$D$13,MATCH($F775,'CAT_CENTROS_COSTO'!$A$4:$A$13,0)),"(sin catálogo)"))</f>
        <v/>
      </c>
      <c r="Y775" s="5">
        <f>IF($F775="","",IF((IFERROR(INDEX('CAT_CENTROS_COSTO'!$E$4:$E$13,MATCH($F775,'CAT_CENTROS_COSTO'!$A$4:$A$13,0)),""))&lt;&gt;"",IFERROR(INDEX('CAT_CENTROS_COSTO'!$E$4:$E$13,MATCH($F775,'CAT_CENTROS_COSTO'!$A$4:$A$13,0)),""),$X775))</f>
        <v/>
      </c>
      <c r="Z775" s="5">
        <f>IF($F775="","",IFERROR(INDEX('CAT_CENTROS_COSTO'!$G$4:$G$13,MATCH($F775,'CAT_CENTROS_COSTO'!$A$4:$A$13,0)),"(sin catálogo)"))</f>
        <v/>
      </c>
      <c r="AA775" s="5">
        <f>IF($G775="","",IFERROR(INDEX('CAT_PUESTOS'!$B$4:$B$8,MATCH($G775,'CAT_PUESTOS'!$A$4:$A$8,0)),"(sin catálogo)"))</f>
        <v/>
      </c>
      <c r="AB775" s="5">
        <f>IF($H775="","",IFERROR(INDEX('CAT_ACTIVIDADES'!$B$4:$B$11,MATCH($H775,'CAT_ACTIVIDADES'!$A$4:$A$11,0)),"(sin catálogo)"))</f>
        <v/>
      </c>
      <c r="AC775" s="20">
        <f>IF($J775="","",TODAY()-$J775)</f>
        <v/>
      </c>
      <c r="AD775" s="20">
        <f>IF($J775="","",IF($J775&lt;=TODAY(),COUNTIFS(cal_fechas,"&gt;="&amp;$J775,cal_fechas,"&lt;"&amp;TODAY(),cal_habil,"sí"),-COUNTIFS(cal_fechas,"&gt;="&amp;TODAY(),cal_fechas,"&lt;"&amp;$J775,cal_habil,"sí")))</f>
        <v/>
      </c>
      <c r="AE775" s="5">
        <f>IF($AD775="","",IF($AD775&lt;0,"FUTURO",IF($AD775&gt;p_dias_backlog_max,"BACKLOG","MES CORRIENTE")))</f>
        <v/>
      </c>
      <c r="AF775" s="5">
        <f>IF($AD775="",FALSE,AND($AD775&gt;p_dias_backlog_min,$AD775&lt;=p_dias_backlog_max))</f>
        <v/>
      </c>
      <c r="AG775" s="4" t="n"/>
      <c r="AH775" s="5">
        <f>IF($AG775="","",IF((IFERROR(INDEX('ASIGNACIONES'!$J$4:$J$451,MATCH($O775&amp;"|"&amp;$S775&amp;"|"&amp;$AG775,'ASIGNACIONES'!$N$4:$N$451,0)),""))=0,"",IFERROR(INDEX('ASIGNACIONES'!$J$4:$J$451,MATCH($O775&amp;"|"&amp;$S775&amp;"|"&amp;$AG775,'ASIGNACIONES'!$N$4:$N$451,0)),"")))</f>
        <v/>
      </c>
      <c r="AI775" s="25">
        <f>IF($AG775="","",SUMIFS('ORDENES'!$M$4:$M$1203,'ORDENES'!$AG$4:$AG$1203,$AG775,'ORDENES'!$O$4:$O$1203,$O775,'ORDENES'!$S$4:$S$1203,$S775))</f>
        <v/>
      </c>
      <c r="AJ775" s="25">
        <f>IF($AI775="","",p_factor_productividad*IFERROR(INDEX('ASIGNACIONES'!$M$4:$M$451,MATCH($O775&amp;"|"&amp;$S775&amp;"|"&amp;$AG775,'ASIGNACIONES'!$N$4:$N$451,0)),0)-$AI775)</f>
        <v/>
      </c>
      <c r="AK775" s="18">
        <f>IF($A775="","",IFERROR(INDEX('2_IMPORTAR_EJECUCION'!$F$9:$F$1208,MATCH($AT775,'2_IMPORTAR_EJECUCION'!$J$9:$J$1208,0)),0))</f>
        <v/>
      </c>
      <c r="AL775" s="18">
        <f>IF($A775="","",MAX(0,IFERROR(INDEX('2_IMPORTAR_EJECUCION'!$H$9:$H$1208,MATCH($AT775,'2_IMPORTAR_EJECUCION'!$J$9:$J$1208,0)),0)-$AK775))</f>
        <v/>
      </c>
      <c r="AM775" s="18">
        <f>IF($A775="","",$AK775+$AL775)</f>
        <v/>
      </c>
      <c r="AN775" s="5">
        <f>IF($A775="","",IF(OR((IFERROR(INDEX('CAT_ACTIVIDADES'!$D$4:$D$11,MATCH($H775,'CAT_ACTIVIDADES'!$A$4:$A$11,0)),""))=0,(IFERROR(INDEX('CAT_ACTIVIDADES'!$D$4:$D$11,MATCH($H775,'CAT_ACTIVIDADES'!$A$4:$A$11,0)),""))=""),"SIN CLASIFICAR",IFERROR(INDEX('CAT_ACTIVIDADES'!$D$4:$D$11,MATCH($H775,'CAT_ACTIVIDADES'!$A$4:$A$11,0)),"")))</f>
        <v/>
      </c>
      <c r="AO775" s="4" t="n"/>
      <c r="AP775" s="4" t="n"/>
      <c r="AQ775" s="4" t="n"/>
      <c r="AR775" s="5">
        <f>IF($AQ775="","",HYPERLINK(p_ruta_base_checklists&amp;$AQ775,"abrir"))</f>
        <v/>
      </c>
      <c r="AS775" s="4" t="n"/>
      <c r="AT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2" t="n"/>
      <c r="K776" s="5" t="n"/>
      <c r="L776" s="18" t="n"/>
      <c r="M776" s="5">
        <f>IF($A776="","",IFERROR(INDEX('AJUSTES'!$B$4:$B$303,MATCH($AT776,'AJUSTES'!$A$4:$A$303,0)),IF($K776="","",$K776)))</f>
        <v/>
      </c>
      <c r="N776" s="5">
        <f>IF($A776="","",IFERROR(INDEX('CAT_ESTADOS_ERP'!$B$4:$B$7,MATCH(IFERROR(INDEX('2_IMPORTAR_EJECUCION'!$C$9:$C$1208,MATCH($AT776,'2_IMPORTAR_EJECUCION'!$J$9:$J$1208,0)),""),'CAT_ESTADOS_ERP'!$A$4:$A$7,0)),"Pendiente"))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IF($J776="","",$P776&amp;"-"&amp;TEXT($Q776,"00"))</f>
        <v/>
      </c>
      <c r="S776" s="5">
        <f>IF($J776="","",INDEX(lista_dias,WEEKDAY($J776,2)))</f>
        <v/>
      </c>
      <c r="T776" s="5">
        <f>IF($J776="","",IFERROR(INDEX('CALENDARIO'!$C$15:$C$214,MATCH(TEXT($J776,"yyyy-mm-dd")&amp;"|"&amp;$X776&amp;"|"&amp;$Y776,'CALENDARIO'!$G$15:$G$214,0)),IFERROR(INDEX('CALENDARIO'!$C$15:$C$214,MATCH(TEXT($J776,"yyyy-mm-dd")&amp;"|"&amp;$X776&amp;"|",'CALENDARIO'!$G$15:$G$214,0)),IFERROR(INDEX('CALENDARIO'!$C$15:$C$214,MATCH(TEXT($J776,"yyyy-mm-dd")&amp;"||",'CALENDARIO'!$G$15:$G$214,0)),INDEX(patronHabil,WEEKDAY($J776,2))))))</f>
        <v/>
      </c>
      <c r="U776" s="5">
        <f>IF($I776="","",IFERROR(INDEX('CAT_TIPOS_OT'!$C$4:$C$8,MATCH($I776,'CAT_TIPOS_OT'!$A$4:$A$8,0)),"sin_clasificar"))</f>
        <v/>
      </c>
      <c r="V776" s="5">
        <f>IF($I776="","",IF(IFERROR(INDEX('CAT_TIPOS_OT'!$D$4:$D$8,MATCH($I776,'CAT_TIPOS_OT'!$A$4:$A$8,0)),"SIN CLASIFICAR")="","SIN CLASIFICAR",IFERROR(INDEX('CAT_TIPOS_OT'!$D$4:$D$8,MATCH($I776,'CAT_TIPOS_OT'!$A$4:$A$8,0)),"SIN CLASIFICAR")))</f>
        <v/>
      </c>
      <c r="W776" s="5">
        <f>IF($F776="","",IFERROR(INDEX('CAT_CENTROS_COSTO'!$F$4:$F$13,MATCH($F776,'CAT_CENTROS_COSTO'!$A$4:$A$13,0)),"(sin catálogo)"))</f>
        <v/>
      </c>
      <c r="X776" s="5">
        <f>IF($F776="","",IFERROR(INDEX('CAT_CENTROS_COSTO'!$D$4:$D$13,MATCH($F776,'CAT_CENTROS_COSTO'!$A$4:$A$13,0)),"(sin catálogo)"))</f>
        <v/>
      </c>
      <c r="Y776" s="5">
        <f>IF($F776="","",IF((IFERROR(INDEX('CAT_CENTROS_COSTO'!$E$4:$E$13,MATCH($F776,'CAT_CENTROS_COSTO'!$A$4:$A$13,0)),""))&lt;&gt;"",IFERROR(INDEX('CAT_CENTROS_COSTO'!$E$4:$E$13,MATCH($F776,'CAT_CENTROS_COSTO'!$A$4:$A$13,0)),""),$X776))</f>
        <v/>
      </c>
      <c r="Z776" s="5">
        <f>IF($F776="","",IFERROR(INDEX('CAT_CENTROS_COSTO'!$G$4:$G$13,MATCH($F776,'CAT_CENTROS_COSTO'!$A$4:$A$13,0)),"(sin catálogo)"))</f>
        <v/>
      </c>
      <c r="AA776" s="5">
        <f>IF($G776="","",IFERROR(INDEX('CAT_PUESTOS'!$B$4:$B$8,MATCH($G776,'CAT_PUESTOS'!$A$4:$A$8,0)),"(sin catálogo)"))</f>
        <v/>
      </c>
      <c r="AB776" s="5">
        <f>IF($H776="","",IFERROR(INDEX('CAT_ACTIVIDADES'!$B$4:$B$11,MATCH($H776,'CAT_ACTIVIDADES'!$A$4:$A$11,0)),"(sin catálogo)"))</f>
        <v/>
      </c>
      <c r="AC776" s="20">
        <f>IF($J776="","",TODAY()-$J776)</f>
        <v/>
      </c>
      <c r="AD776" s="20">
        <f>IF($J776="","",IF($J776&lt;=TODAY(),COUNTIFS(cal_fechas,"&gt;="&amp;$J776,cal_fechas,"&lt;"&amp;TODAY(),cal_habil,"sí"),-COUNTIFS(cal_fechas,"&gt;="&amp;TODAY(),cal_fechas,"&lt;"&amp;$J776,cal_habil,"sí")))</f>
        <v/>
      </c>
      <c r="AE776" s="5">
        <f>IF($AD776="","",IF($AD776&lt;0,"FUTURO",IF($AD776&gt;p_dias_backlog_max,"BACKLOG","MES CORRIENTE")))</f>
        <v/>
      </c>
      <c r="AF776" s="5">
        <f>IF($AD776="",FALSE,AND($AD776&gt;p_dias_backlog_min,$AD776&lt;=p_dias_backlog_max))</f>
        <v/>
      </c>
      <c r="AG776" s="4" t="n"/>
      <c r="AH776" s="5">
        <f>IF($AG776="","",IF((IFERROR(INDEX('ASIGNACIONES'!$J$4:$J$451,MATCH($O776&amp;"|"&amp;$S776&amp;"|"&amp;$AG776,'ASIGNACIONES'!$N$4:$N$451,0)),""))=0,"",IFERROR(INDEX('ASIGNACIONES'!$J$4:$J$451,MATCH($O776&amp;"|"&amp;$S776&amp;"|"&amp;$AG776,'ASIGNACIONES'!$N$4:$N$451,0)),"")))</f>
        <v/>
      </c>
      <c r="AI776" s="25">
        <f>IF($AG776="","",SUMIFS('ORDENES'!$M$4:$M$1203,'ORDENES'!$AG$4:$AG$1203,$AG776,'ORDENES'!$O$4:$O$1203,$O776,'ORDENES'!$S$4:$S$1203,$S776))</f>
        <v/>
      </c>
      <c r="AJ776" s="25">
        <f>IF($AI776="","",p_factor_productividad*IFERROR(INDEX('ASIGNACIONES'!$M$4:$M$451,MATCH($O776&amp;"|"&amp;$S776&amp;"|"&amp;$AG776,'ASIGNACIONES'!$N$4:$N$451,0)),0)-$AI776)</f>
        <v/>
      </c>
      <c r="AK776" s="18">
        <f>IF($A776="","",IFERROR(INDEX('2_IMPORTAR_EJECUCION'!$F$9:$F$1208,MATCH($AT776,'2_IMPORTAR_EJECUCION'!$J$9:$J$1208,0)),0))</f>
        <v/>
      </c>
      <c r="AL776" s="18">
        <f>IF($A776="","",MAX(0,IFERROR(INDEX('2_IMPORTAR_EJECUCION'!$H$9:$H$1208,MATCH($AT776,'2_IMPORTAR_EJECUCION'!$J$9:$J$1208,0)),0)-$AK776))</f>
        <v/>
      </c>
      <c r="AM776" s="18">
        <f>IF($A776="","",$AK776+$AL776)</f>
        <v/>
      </c>
      <c r="AN776" s="5">
        <f>IF($A776="","",IF(OR((IFERROR(INDEX('CAT_ACTIVIDADES'!$D$4:$D$11,MATCH($H776,'CAT_ACTIVIDADES'!$A$4:$A$11,0)),""))=0,(IFERROR(INDEX('CAT_ACTIVIDADES'!$D$4:$D$11,MATCH($H776,'CAT_ACTIVIDADES'!$A$4:$A$11,0)),""))=""),"SIN CLASIFICAR",IFERROR(INDEX('CAT_ACTIVIDADES'!$D$4:$D$11,MATCH($H776,'CAT_ACTIVIDADES'!$A$4:$A$11,0)),"")))</f>
        <v/>
      </c>
      <c r="AO776" s="4" t="n"/>
      <c r="AP776" s="4" t="n"/>
      <c r="AQ776" s="4" t="n"/>
      <c r="AR776" s="5">
        <f>IF($AQ776="","",HYPERLINK(p_ruta_base_checklists&amp;$AQ776,"abrir"))</f>
        <v/>
      </c>
      <c r="AS776" s="4" t="n"/>
      <c r="AT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2" t="n"/>
      <c r="K777" s="5" t="n"/>
      <c r="L777" s="18" t="n"/>
      <c r="M777" s="5">
        <f>IF($A777="","",IFERROR(INDEX('AJUSTES'!$B$4:$B$303,MATCH($AT777,'AJUSTES'!$A$4:$A$303,0)),IF($K777="","",$K777)))</f>
        <v/>
      </c>
      <c r="N777" s="5">
        <f>IF($A777="","",IFERROR(INDEX('CAT_ESTADOS_ERP'!$B$4:$B$7,MATCH(IFERROR(INDEX('2_IMPORTAR_EJECUCION'!$C$9:$C$1208,MATCH($AT777,'2_IMPORTAR_EJECUCION'!$J$9:$J$1208,0)),""),'CAT_ESTADOS_ERP'!$A$4:$A$7,0)),"Pendiente"))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IF($J777="","",$P777&amp;"-"&amp;TEXT($Q777,"00"))</f>
        <v/>
      </c>
      <c r="S777" s="5">
        <f>IF($J777="","",INDEX(lista_dias,WEEKDAY($J777,2)))</f>
        <v/>
      </c>
      <c r="T777" s="5">
        <f>IF($J777="","",IFERROR(INDEX('CALENDARIO'!$C$15:$C$214,MATCH(TEXT($J777,"yyyy-mm-dd")&amp;"|"&amp;$X777&amp;"|"&amp;$Y777,'CALENDARIO'!$G$15:$G$214,0)),IFERROR(INDEX('CALENDARIO'!$C$15:$C$214,MATCH(TEXT($J777,"yyyy-mm-dd")&amp;"|"&amp;$X777&amp;"|",'CALENDARIO'!$G$15:$G$214,0)),IFERROR(INDEX('CALENDARIO'!$C$15:$C$214,MATCH(TEXT($J777,"yyyy-mm-dd")&amp;"||",'CALENDARIO'!$G$15:$G$214,0)),INDEX(patronHabil,WEEKDAY($J777,2))))))</f>
        <v/>
      </c>
      <c r="U777" s="5">
        <f>IF($I777="","",IFERROR(INDEX('CAT_TIPOS_OT'!$C$4:$C$8,MATCH($I777,'CAT_TIPOS_OT'!$A$4:$A$8,0)),"sin_clasificar"))</f>
        <v/>
      </c>
      <c r="V777" s="5">
        <f>IF($I777="","",IF(IFERROR(INDEX('CAT_TIPOS_OT'!$D$4:$D$8,MATCH($I777,'CAT_TIPOS_OT'!$A$4:$A$8,0)),"SIN CLASIFICAR")="","SIN CLASIFICAR",IFERROR(INDEX('CAT_TIPOS_OT'!$D$4:$D$8,MATCH($I777,'CAT_TIPOS_OT'!$A$4:$A$8,0)),"SIN CLASIFICAR")))</f>
        <v/>
      </c>
      <c r="W777" s="5">
        <f>IF($F777="","",IFERROR(INDEX('CAT_CENTROS_COSTO'!$F$4:$F$13,MATCH($F777,'CAT_CENTROS_COSTO'!$A$4:$A$13,0)),"(sin catálogo)"))</f>
        <v/>
      </c>
      <c r="X777" s="5">
        <f>IF($F777="","",IFERROR(INDEX('CAT_CENTROS_COSTO'!$D$4:$D$13,MATCH($F777,'CAT_CENTROS_COSTO'!$A$4:$A$13,0)),"(sin catálogo)"))</f>
        <v/>
      </c>
      <c r="Y777" s="5">
        <f>IF($F777="","",IF((IFERROR(INDEX('CAT_CENTROS_COSTO'!$E$4:$E$13,MATCH($F777,'CAT_CENTROS_COSTO'!$A$4:$A$13,0)),""))&lt;&gt;"",IFERROR(INDEX('CAT_CENTROS_COSTO'!$E$4:$E$13,MATCH($F777,'CAT_CENTROS_COSTO'!$A$4:$A$13,0)),""),$X777))</f>
        <v/>
      </c>
      <c r="Z777" s="5">
        <f>IF($F777="","",IFERROR(INDEX('CAT_CENTROS_COSTO'!$G$4:$G$13,MATCH($F777,'CAT_CENTROS_COSTO'!$A$4:$A$13,0)),"(sin catálogo)"))</f>
        <v/>
      </c>
      <c r="AA777" s="5">
        <f>IF($G777="","",IFERROR(INDEX('CAT_PUESTOS'!$B$4:$B$8,MATCH($G777,'CAT_PUESTOS'!$A$4:$A$8,0)),"(sin catálogo)"))</f>
        <v/>
      </c>
      <c r="AB777" s="5">
        <f>IF($H777="","",IFERROR(INDEX('CAT_ACTIVIDADES'!$B$4:$B$11,MATCH($H777,'CAT_ACTIVIDADES'!$A$4:$A$11,0)),"(sin catálogo)"))</f>
        <v/>
      </c>
      <c r="AC777" s="20">
        <f>IF($J777="","",TODAY()-$J777)</f>
        <v/>
      </c>
      <c r="AD777" s="20">
        <f>IF($J777="","",IF($J777&lt;=TODAY(),COUNTIFS(cal_fechas,"&gt;="&amp;$J777,cal_fechas,"&lt;"&amp;TODAY(),cal_habil,"sí"),-COUNTIFS(cal_fechas,"&gt;="&amp;TODAY(),cal_fechas,"&lt;"&amp;$J777,cal_habil,"sí")))</f>
        <v/>
      </c>
      <c r="AE777" s="5">
        <f>IF($AD777="","",IF($AD777&lt;0,"FUTURO",IF($AD777&gt;p_dias_backlog_max,"BACKLOG","MES CORRIENTE")))</f>
        <v/>
      </c>
      <c r="AF777" s="5">
        <f>IF($AD777="",FALSE,AND($AD777&gt;p_dias_backlog_min,$AD777&lt;=p_dias_backlog_max))</f>
        <v/>
      </c>
      <c r="AG777" s="4" t="n"/>
      <c r="AH777" s="5">
        <f>IF($AG777="","",IF((IFERROR(INDEX('ASIGNACIONES'!$J$4:$J$451,MATCH($O777&amp;"|"&amp;$S777&amp;"|"&amp;$AG777,'ASIGNACIONES'!$N$4:$N$451,0)),""))=0,"",IFERROR(INDEX('ASIGNACIONES'!$J$4:$J$451,MATCH($O777&amp;"|"&amp;$S777&amp;"|"&amp;$AG777,'ASIGNACIONES'!$N$4:$N$451,0)),"")))</f>
        <v/>
      </c>
      <c r="AI777" s="25">
        <f>IF($AG777="","",SUMIFS('ORDENES'!$M$4:$M$1203,'ORDENES'!$AG$4:$AG$1203,$AG777,'ORDENES'!$O$4:$O$1203,$O777,'ORDENES'!$S$4:$S$1203,$S777))</f>
        <v/>
      </c>
      <c r="AJ777" s="25">
        <f>IF($AI777="","",p_factor_productividad*IFERROR(INDEX('ASIGNACIONES'!$M$4:$M$451,MATCH($O777&amp;"|"&amp;$S777&amp;"|"&amp;$AG777,'ASIGNACIONES'!$N$4:$N$451,0)),0)-$AI777)</f>
        <v/>
      </c>
      <c r="AK777" s="18">
        <f>IF($A777="","",IFERROR(INDEX('2_IMPORTAR_EJECUCION'!$F$9:$F$1208,MATCH($AT777,'2_IMPORTAR_EJECUCION'!$J$9:$J$1208,0)),0))</f>
        <v/>
      </c>
      <c r="AL777" s="18">
        <f>IF($A777="","",MAX(0,IFERROR(INDEX('2_IMPORTAR_EJECUCION'!$H$9:$H$1208,MATCH($AT777,'2_IMPORTAR_EJECUCION'!$J$9:$J$1208,0)),0)-$AK777))</f>
        <v/>
      </c>
      <c r="AM777" s="18">
        <f>IF($A777="","",$AK777+$AL777)</f>
        <v/>
      </c>
      <c r="AN777" s="5">
        <f>IF($A777="","",IF(OR((IFERROR(INDEX('CAT_ACTIVIDADES'!$D$4:$D$11,MATCH($H777,'CAT_ACTIVIDADES'!$A$4:$A$11,0)),""))=0,(IFERROR(INDEX('CAT_ACTIVIDADES'!$D$4:$D$11,MATCH($H777,'CAT_ACTIVIDADES'!$A$4:$A$11,0)),""))=""),"SIN CLASIFICAR",IFERROR(INDEX('CAT_ACTIVIDADES'!$D$4:$D$11,MATCH($H777,'CAT_ACTIVIDADES'!$A$4:$A$11,0)),"")))</f>
        <v/>
      </c>
      <c r="AO777" s="4" t="n"/>
      <c r="AP777" s="4" t="n"/>
      <c r="AQ777" s="4" t="n"/>
      <c r="AR777" s="5">
        <f>IF($AQ777="","",HYPERLINK(p_ruta_base_checklists&amp;$AQ777,"abrir"))</f>
        <v/>
      </c>
      <c r="AS777" s="4" t="n"/>
      <c r="AT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2" t="n"/>
      <c r="K778" s="5" t="n"/>
      <c r="L778" s="18" t="n"/>
      <c r="M778" s="5">
        <f>IF($A778="","",IFERROR(INDEX('AJUSTES'!$B$4:$B$303,MATCH($AT778,'AJUSTES'!$A$4:$A$303,0)),IF($K778="","",$K778)))</f>
        <v/>
      </c>
      <c r="N778" s="5">
        <f>IF($A778="","",IFERROR(INDEX('CAT_ESTADOS_ERP'!$B$4:$B$7,MATCH(IFERROR(INDEX('2_IMPORTAR_EJECUCION'!$C$9:$C$1208,MATCH($AT778,'2_IMPORTAR_EJECUCION'!$J$9:$J$1208,0)),""),'CAT_ESTADOS_ERP'!$A$4:$A$7,0)),"Pendiente"))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IF($J778="","",$P778&amp;"-"&amp;TEXT($Q778,"00"))</f>
        <v/>
      </c>
      <c r="S778" s="5">
        <f>IF($J778="","",INDEX(lista_dias,WEEKDAY($J778,2)))</f>
        <v/>
      </c>
      <c r="T778" s="5">
        <f>IF($J778="","",IFERROR(INDEX('CALENDARIO'!$C$15:$C$214,MATCH(TEXT($J778,"yyyy-mm-dd")&amp;"|"&amp;$X778&amp;"|"&amp;$Y778,'CALENDARIO'!$G$15:$G$214,0)),IFERROR(INDEX('CALENDARIO'!$C$15:$C$214,MATCH(TEXT($J778,"yyyy-mm-dd")&amp;"|"&amp;$X778&amp;"|",'CALENDARIO'!$G$15:$G$214,0)),IFERROR(INDEX('CALENDARIO'!$C$15:$C$214,MATCH(TEXT($J778,"yyyy-mm-dd")&amp;"||",'CALENDARIO'!$G$15:$G$214,0)),INDEX(patronHabil,WEEKDAY($J778,2))))))</f>
        <v/>
      </c>
      <c r="U778" s="5">
        <f>IF($I778="","",IFERROR(INDEX('CAT_TIPOS_OT'!$C$4:$C$8,MATCH($I778,'CAT_TIPOS_OT'!$A$4:$A$8,0)),"sin_clasificar"))</f>
        <v/>
      </c>
      <c r="V778" s="5">
        <f>IF($I778="","",IF(IFERROR(INDEX('CAT_TIPOS_OT'!$D$4:$D$8,MATCH($I778,'CAT_TIPOS_OT'!$A$4:$A$8,0)),"SIN CLASIFICAR")="","SIN CLASIFICAR",IFERROR(INDEX('CAT_TIPOS_OT'!$D$4:$D$8,MATCH($I778,'CAT_TIPOS_OT'!$A$4:$A$8,0)),"SIN CLASIFICAR")))</f>
        <v/>
      </c>
      <c r="W778" s="5">
        <f>IF($F778="","",IFERROR(INDEX('CAT_CENTROS_COSTO'!$F$4:$F$13,MATCH($F778,'CAT_CENTROS_COSTO'!$A$4:$A$13,0)),"(sin catálogo)"))</f>
        <v/>
      </c>
      <c r="X778" s="5">
        <f>IF($F778="","",IFERROR(INDEX('CAT_CENTROS_COSTO'!$D$4:$D$13,MATCH($F778,'CAT_CENTROS_COSTO'!$A$4:$A$13,0)),"(sin catálogo)"))</f>
        <v/>
      </c>
      <c r="Y778" s="5">
        <f>IF($F778="","",IF((IFERROR(INDEX('CAT_CENTROS_COSTO'!$E$4:$E$13,MATCH($F778,'CAT_CENTROS_COSTO'!$A$4:$A$13,0)),""))&lt;&gt;"",IFERROR(INDEX('CAT_CENTROS_COSTO'!$E$4:$E$13,MATCH($F778,'CAT_CENTROS_COSTO'!$A$4:$A$13,0)),""),$X778))</f>
        <v/>
      </c>
      <c r="Z778" s="5">
        <f>IF($F778="","",IFERROR(INDEX('CAT_CENTROS_COSTO'!$G$4:$G$13,MATCH($F778,'CAT_CENTROS_COSTO'!$A$4:$A$13,0)),"(sin catálogo)"))</f>
        <v/>
      </c>
      <c r="AA778" s="5">
        <f>IF($G778="","",IFERROR(INDEX('CAT_PUESTOS'!$B$4:$B$8,MATCH($G778,'CAT_PUESTOS'!$A$4:$A$8,0)),"(sin catálogo)"))</f>
        <v/>
      </c>
      <c r="AB778" s="5">
        <f>IF($H778="","",IFERROR(INDEX('CAT_ACTIVIDADES'!$B$4:$B$11,MATCH($H778,'CAT_ACTIVIDADES'!$A$4:$A$11,0)),"(sin catálogo)"))</f>
        <v/>
      </c>
      <c r="AC778" s="20">
        <f>IF($J778="","",TODAY()-$J778)</f>
        <v/>
      </c>
      <c r="AD778" s="20">
        <f>IF($J778="","",IF($J778&lt;=TODAY(),COUNTIFS(cal_fechas,"&gt;="&amp;$J778,cal_fechas,"&lt;"&amp;TODAY(),cal_habil,"sí"),-COUNTIFS(cal_fechas,"&gt;="&amp;TODAY(),cal_fechas,"&lt;"&amp;$J778,cal_habil,"sí")))</f>
        <v/>
      </c>
      <c r="AE778" s="5">
        <f>IF($AD778="","",IF($AD778&lt;0,"FUTURO",IF($AD778&gt;p_dias_backlog_max,"BACKLOG","MES CORRIENTE")))</f>
        <v/>
      </c>
      <c r="AF778" s="5">
        <f>IF($AD778="",FALSE,AND($AD778&gt;p_dias_backlog_min,$AD778&lt;=p_dias_backlog_max))</f>
        <v/>
      </c>
      <c r="AG778" s="4" t="n"/>
      <c r="AH778" s="5">
        <f>IF($AG778="","",IF((IFERROR(INDEX('ASIGNACIONES'!$J$4:$J$451,MATCH($O778&amp;"|"&amp;$S778&amp;"|"&amp;$AG778,'ASIGNACIONES'!$N$4:$N$451,0)),""))=0,"",IFERROR(INDEX('ASIGNACIONES'!$J$4:$J$451,MATCH($O778&amp;"|"&amp;$S778&amp;"|"&amp;$AG778,'ASIGNACIONES'!$N$4:$N$451,0)),"")))</f>
        <v/>
      </c>
      <c r="AI778" s="25">
        <f>IF($AG778="","",SUMIFS('ORDENES'!$M$4:$M$1203,'ORDENES'!$AG$4:$AG$1203,$AG778,'ORDENES'!$O$4:$O$1203,$O778,'ORDENES'!$S$4:$S$1203,$S778))</f>
        <v/>
      </c>
      <c r="AJ778" s="25">
        <f>IF($AI778="","",p_factor_productividad*IFERROR(INDEX('ASIGNACIONES'!$M$4:$M$451,MATCH($O778&amp;"|"&amp;$S778&amp;"|"&amp;$AG778,'ASIGNACIONES'!$N$4:$N$451,0)),0)-$AI778)</f>
        <v/>
      </c>
      <c r="AK778" s="18">
        <f>IF($A778="","",IFERROR(INDEX('2_IMPORTAR_EJECUCION'!$F$9:$F$1208,MATCH($AT778,'2_IMPORTAR_EJECUCION'!$J$9:$J$1208,0)),0))</f>
        <v/>
      </c>
      <c r="AL778" s="18">
        <f>IF($A778="","",MAX(0,IFERROR(INDEX('2_IMPORTAR_EJECUCION'!$H$9:$H$1208,MATCH($AT778,'2_IMPORTAR_EJECUCION'!$J$9:$J$1208,0)),0)-$AK778))</f>
        <v/>
      </c>
      <c r="AM778" s="18">
        <f>IF($A778="","",$AK778+$AL778)</f>
        <v/>
      </c>
      <c r="AN778" s="5">
        <f>IF($A778="","",IF(OR((IFERROR(INDEX('CAT_ACTIVIDADES'!$D$4:$D$11,MATCH($H778,'CAT_ACTIVIDADES'!$A$4:$A$11,0)),""))=0,(IFERROR(INDEX('CAT_ACTIVIDADES'!$D$4:$D$11,MATCH($H778,'CAT_ACTIVIDADES'!$A$4:$A$11,0)),""))=""),"SIN CLASIFICAR",IFERROR(INDEX('CAT_ACTIVIDADES'!$D$4:$D$11,MATCH($H778,'CAT_ACTIVIDADES'!$A$4:$A$11,0)),"")))</f>
        <v/>
      </c>
      <c r="AO778" s="4" t="n"/>
      <c r="AP778" s="4" t="n"/>
      <c r="AQ778" s="4" t="n"/>
      <c r="AR778" s="5">
        <f>IF($AQ778="","",HYPERLINK(p_ruta_base_checklists&amp;$AQ778,"abrir"))</f>
        <v/>
      </c>
      <c r="AS778" s="4" t="n"/>
      <c r="AT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2" t="n"/>
      <c r="K779" s="5" t="n"/>
      <c r="L779" s="18" t="n"/>
      <c r="M779" s="5">
        <f>IF($A779="","",IFERROR(INDEX('AJUSTES'!$B$4:$B$303,MATCH($AT779,'AJUSTES'!$A$4:$A$303,0)),IF($K779="","",$K779)))</f>
        <v/>
      </c>
      <c r="N779" s="5">
        <f>IF($A779="","",IFERROR(INDEX('CAT_ESTADOS_ERP'!$B$4:$B$7,MATCH(IFERROR(INDEX('2_IMPORTAR_EJECUCION'!$C$9:$C$1208,MATCH($AT779,'2_IMPORTAR_EJECUCION'!$J$9:$J$1208,0)),""),'CAT_ESTADOS_ERP'!$A$4:$A$7,0)),"Pendiente"))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IF($J779="","",$P779&amp;"-"&amp;TEXT($Q779,"00"))</f>
        <v/>
      </c>
      <c r="S779" s="5">
        <f>IF($J779="","",INDEX(lista_dias,WEEKDAY($J779,2)))</f>
        <v/>
      </c>
      <c r="T779" s="5">
        <f>IF($J779="","",IFERROR(INDEX('CALENDARIO'!$C$15:$C$214,MATCH(TEXT($J779,"yyyy-mm-dd")&amp;"|"&amp;$X779&amp;"|"&amp;$Y779,'CALENDARIO'!$G$15:$G$214,0)),IFERROR(INDEX('CALENDARIO'!$C$15:$C$214,MATCH(TEXT($J779,"yyyy-mm-dd")&amp;"|"&amp;$X779&amp;"|",'CALENDARIO'!$G$15:$G$214,0)),IFERROR(INDEX('CALENDARIO'!$C$15:$C$214,MATCH(TEXT($J779,"yyyy-mm-dd")&amp;"||",'CALENDARIO'!$G$15:$G$214,0)),INDEX(patronHabil,WEEKDAY($J779,2))))))</f>
        <v/>
      </c>
      <c r="U779" s="5">
        <f>IF($I779="","",IFERROR(INDEX('CAT_TIPOS_OT'!$C$4:$C$8,MATCH($I779,'CAT_TIPOS_OT'!$A$4:$A$8,0)),"sin_clasificar"))</f>
        <v/>
      </c>
      <c r="V779" s="5">
        <f>IF($I779="","",IF(IFERROR(INDEX('CAT_TIPOS_OT'!$D$4:$D$8,MATCH($I779,'CAT_TIPOS_OT'!$A$4:$A$8,0)),"SIN CLASIFICAR")="","SIN CLASIFICAR",IFERROR(INDEX('CAT_TIPOS_OT'!$D$4:$D$8,MATCH($I779,'CAT_TIPOS_OT'!$A$4:$A$8,0)),"SIN CLASIFICAR")))</f>
        <v/>
      </c>
      <c r="W779" s="5">
        <f>IF($F779="","",IFERROR(INDEX('CAT_CENTROS_COSTO'!$F$4:$F$13,MATCH($F779,'CAT_CENTROS_COSTO'!$A$4:$A$13,0)),"(sin catálogo)"))</f>
        <v/>
      </c>
      <c r="X779" s="5">
        <f>IF($F779="","",IFERROR(INDEX('CAT_CENTROS_COSTO'!$D$4:$D$13,MATCH($F779,'CAT_CENTROS_COSTO'!$A$4:$A$13,0)),"(sin catálogo)"))</f>
        <v/>
      </c>
      <c r="Y779" s="5">
        <f>IF($F779="","",IF((IFERROR(INDEX('CAT_CENTROS_COSTO'!$E$4:$E$13,MATCH($F779,'CAT_CENTROS_COSTO'!$A$4:$A$13,0)),""))&lt;&gt;"",IFERROR(INDEX('CAT_CENTROS_COSTO'!$E$4:$E$13,MATCH($F779,'CAT_CENTROS_COSTO'!$A$4:$A$13,0)),""),$X779))</f>
        <v/>
      </c>
      <c r="Z779" s="5">
        <f>IF($F779="","",IFERROR(INDEX('CAT_CENTROS_COSTO'!$G$4:$G$13,MATCH($F779,'CAT_CENTROS_COSTO'!$A$4:$A$13,0)),"(sin catálogo)"))</f>
        <v/>
      </c>
      <c r="AA779" s="5">
        <f>IF($G779="","",IFERROR(INDEX('CAT_PUESTOS'!$B$4:$B$8,MATCH($G779,'CAT_PUESTOS'!$A$4:$A$8,0)),"(sin catálogo)"))</f>
        <v/>
      </c>
      <c r="AB779" s="5">
        <f>IF($H779="","",IFERROR(INDEX('CAT_ACTIVIDADES'!$B$4:$B$11,MATCH($H779,'CAT_ACTIVIDADES'!$A$4:$A$11,0)),"(sin catálogo)"))</f>
        <v/>
      </c>
      <c r="AC779" s="20">
        <f>IF($J779="","",TODAY()-$J779)</f>
        <v/>
      </c>
      <c r="AD779" s="20">
        <f>IF($J779="","",IF($J779&lt;=TODAY(),COUNTIFS(cal_fechas,"&gt;="&amp;$J779,cal_fechas,"&lt;"&amp;TODAY(),cal_habil,"sí"),-COUNTIFS(cal_fechas,"&gt;="&amp;TODAY(),cal_fechas,"&lt;"&amp;$J779,cal_habil,"sí")))</f>
        <v/>
      </c>
      <c r="AE779" s="5">
        <f>IF($AD779="","",IF($AD779&lt;0,"FUTURO",IF($AD779&gt;p_dias_backlog_max,"BACKLOG","MES CORRIENTE")))</f>
        <v/>
      </c>
      <c r="AF779" s="5">
        <f>IF($AD779="",FALSE,AND($AD779&gt;p_dias_backlog_min,$AD779&lt;=p_dias_backlog_max))</f>
        <v/>
      </c>
      <c r="AG779" s="4" t="n"/>
      <c r="AH779" s="5">
        <f>IF($AG779="","",IF((IFERROR(INDEX('ASIGNACIONES'!$J$4:$J$451,MATCH($O779&amp;"|"&amp;$S779&amp;"|"&amp;$AG779,'ASIGNACIONES'!$N$4:$N$451,0)),""))=0,"",IFERROR(INDEX('ASIGNACIONES'!$J$4:$J$451,MATCH($O779&amp;"|"&amp;$S779&amp;"|"&amp;$AG779,'ASIGNACIONES'!$N$4:$N$451,0)),"")))</f>
        <v/>
      </c>
      <c r="AI779" s="25">
        <f>IF($AG779="","",SUMIFS('ORDENES'!$M$4:$M$1203,'ORDENES'!$AG$4:$AG$1203,$AG779,'ORDENES'!$O$4:$O$1203,$O779,'ORDENES'!$S$4:$S$1203,$S779))</f>
        <v/>
      </c>
      <c r="AJ779" s="25">
        <f>IF($AI779="","",p_factor_productividad*IFERROR(INDEX('ASIGNACIONES'!$M$4:$M$451,MATCH($O779&amp;"|"&amp;$S779&amp;"|"&amp;$AG779,'ASIGNACIONES'!$N$4:$N$451,0)),0)-$AI779)</f>
        <v/>
      </c>
      <c r="AK779" s="18">
        <f>IF($A779="","",IFERROR(INDEX('2_IMPORTAR_EJECUCION'!$F$9:$F$1208,MATCH($AT779,'2_IMPORTAR_EJECUCION'!$J$9:$J$1208,0)),0))</f>
        <v/>
      </c>
      <c r="AL779" s="18">
        <f>IF($A779="","",MAX(0,IFERROR(INDEX('2_IMPORTAR_EJECUCION'!$H$9:$H$1208,MATCH($AT779,'2_IMPORTAR_EJECUCION'!$J$9:$J$1208,0)),0)-$AK779))</f>
        <v/>
      </c>
      <c r="AM779" s="18">
        <f>IF($A779="","",$AK779+$AL779)</f>
        <v/>
      </c>
      <c r="AN779" s="5">
        <f>IF($A779="","",IF(OR((IFERROR(INDEX('CAT_ACTIVIDADES'!$D$4:$D$11,MATCH($H779,'CAT_ACTIVIDADES'!$A$4:$A$11,0)),""))=0,(IFERROR(INDEX('CAT_ACTIVIDADES'!$D$4:$D$11,MATCH($H779,'CAT_ACTIVIDADES'!$A$4:$A$11,0)),""))=""),"SIN CLASIFICAR",IFERROR(INDEX('CAT_ACTIVIDADES'!$D$4:$D$11,MATCH($H779,'CAT_ACTIVIDADES'!$A$4:$A$11,0)),"")))</f>
        <v/>
      </c>
      <c r="AO779" s="4" t="n"/>
      <c r="AP779" s="4" t="n"/>
      <c r="AQ779" s="4" t="n"/>
      <c r="AR779" s="5">
        <f>IF($AQ779="","",HYPERLINK(p_ruta_base_checklists&amp;$AQ779,"abrir"))</f>
        <v/>
      </c>
      <c r="AS779" s="4" t="n"/>
      <c r="AT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2" t="n"/>
      <c r="K780" s="5" t="n"/>
      <c r="L780" s="18" t="n"/>
      <c r="M780" s="5">
        <f>IF($A780="","",IFERROR(INDEX('AJUSTES'!$B$4:$B$303,MATCH($AT780,'AJUSTES'!$A$4:$A$303,0)),IF($K780="","",$K780)))</f>
        <v/>
      </c>
      <c r="N780" s="5">
        <f>IF($A780="","",IFERROR(INDEX('CAT_ESTADOS_ERP'!$B$4:$B$7,MATCH(IFERROR(INDEX('2_IMPORTAR_EJECUCION'!$C$9:$C$1208,MATCH($AT780,'2_IMPORTAR_EJECUCION'!$J$9:$J$1208,0)),""),'CAT_ESTADOS_ERP'!$A$4:$A$7,0)),"Pendiente"))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IF($J780="","",$P780&amp;"-"&amp;TEXT($Q780,"00"))</f>
        <v/>
      </c>
      <c r="S780" s="5">
        <f>IF($J780="","",INDEX(lista_dias,WEEKDAY($J780,2)))</f>
        <v/>
      </c>
      <c r="T780" s="5">
        <f>IF($J780="","",IFERROR(INDEX('CALENDARIO'!$C$15:$C$214,MATCH(TEXT($J780,"yyyy-mm-dd")&amp;"|"&amp;$X780&amp;"|"&amp;$Y780,'CALENDARIO'!$G$15:$G$214,0)),IFERROR(INDEX('CALENDARIO'!$C$15:$C$214,MATCH(TEXT($J780,"yyyy-mm-dd")&amp;"|"&amp;$X780&amp;"|",'CALENDARIO'!$G$15:$G$214,0)),IFERROR(INDEX('CALENDARIO'!$C$15:$C$214,MATCH(TEXT($J780,"yyyy-mm-dd")&amp;"||",'CALENDARIO'!$G$15:$G$214,0)),INDEX(patronHabil,WEEKDAY($J780,2))))))</f>
        <v/>
      </c>
      <c r="U780" s="5">
        <f>IF($I780="","",IFERROR(INDEX('CAT_TIPOS_OT'!$C$4:$C$8,MATCH($I780,'CAT_TIPOS_OT'!$A$4:$A$8,0)),"sin_clasificar"))</f>
        <v/>
      </c>
      <c r="V780" s="5">
        <f>IF($I780="","",IF(IFERROR(INDEX('CAT_TIPOS_OT'!$D$4:$D$8,MATCH($I780,'CAT_TIPOS_OT'!$A$4:$A$8,0)),"SIN CLASIFICAR")="","SIN CLASIFICAR",IFERROR(INDEX('CAT_TIPOS_OT'!$D$4:$D$8,MATCH($I780,'CAT_TIPOS_OT'!$A$4:$A$8,0)),"SIN CLASIFICAR")))</f>
        <v/>
      </c>
      <c r="W780" s="5">
        <f>IF($F780="","",IFERROR(INDEX('CAT_CENTROS_COSTO'!$F$4:$F$13,MATCH($F780,'CAT_CENTROS_COSTO'!$A$4:$A$13,0)),"(sin catálogo)"))</f>
        <v/>
      </c>
      <c r="X780" s="5">
        <f>IF($F780="","",IFERROR(INDEX('CAT_CENTROS_COSTO'!$D$4:$D$13,MATCH($F780,'CAT_CENTROS_COSTO'!$A$4:$A$13,0)),"(sin catálogo)"))</f>
        <v/>
      </c>
      <c r="Y780" s="5">
        <f>IF($F780="","",IF((IFERROR(INDEX('CAT_CENTROS_COSTO'!$E$4:$E$13,MATCH($F780,'CAT_CENTROS_COSTO'!$A$4:$A$13,0)),""))&lt;&gt;"",IFERROR(INDEX('CAT_CENTROS_COSTO'!$E$4:$E$13,MATCH($F780,'CAT_CENTROS_COSTO'!$A$4:$A$13,0)),""),$X780))</f>
        <v/>
      </c>
      <c r="Z780" s="5">
        <f>IF($F780="","",IFERROR(INDEX('CAT_CENTROS_COSTO'!$G$4:$G$13,MATCH($F780,'CAT_CENTROS_COSTO'!$A$4:$A$13,0)),"(sin catálogo)"))</f>
        <v/>
      </c>
      <c r="AA780" s="5">
        <f>IF($G780="","",IFERROR(INDEX('CAT_PUESTOS'!$B$4:$B$8,MATCH($G780,'CAT_PUESTOS'!$A$4:$A$8,0)),"(sin catálogo)"))</f>
        <v/>
      </c>
      <c r="AB780" s="5">
        <f>IF($H780="","",IFERROR(INDEX('CAT_ACTIVIDADES'!$B$4:$B$11,MATCH($H780,'CAT_ACTIVIDADES'!$A$4:$A$11,0)),"(sin catálogo)"))</f>
        <v/>
      </c>
      <c r="AC780" s="20">
        <f>IF($J780="","",TODAY()-$J780)</f>
        <v/>
      </c>
      <c r="AD780" s="20">
        <f>IF($J780="","",IF($J780&lt;=TODAY(),COUNTIFS(cal_fechas,"&gt;="&amp;$J780,cal_fechas,"&lt;"&amp;TODAY(),cal_habil,"sí"),-COUNTIFS(cal_fechas,"&gt;="&amp;TODAY(),cal_fechas,"&lt;"&amp;$J780,cal_habil,"sí")))</f>
        <v/>
      </c>
      <c r="AE780" s="5">
        <f>IF($AD780="","",IF($AD780&lt;0,"FUTURO",IF($AD780&gt;p_dias_backlog_max,"BACKLOG","MES CORRIENTE")))</f>
        <v/>
      </c>
      <c r="AF780" s="5">
        <f>IF($AD780="",FALSE,AND($AD780&gt;p_dias_backlog_min,$AD780&lt;=p_dias_backlog_max))</f>
        <v/>
      </c>
      <c r="AG780" s="4" t="n"/>
      <c r="AH780" s="5">
        <f>IF($AG780="","",IF((IFERROR(INDEX('ASIGNACIONES'!$J$4:$J$451,MATCH($O780&amp;"|"&amp;$S780&amp;"|"&amp;$AG780,'ASIGNACIONES'!$N$4:$N$451,0)),""))=0,"",IFERROR(INDEX('ASIGNACIONES'!$J$4:$J$451,MATCH($O780&amp;"|"&amp;$S780&amp;"|"&amp;$AG780,'ASIGNACIONES'!$N$4:$N$451,0)),"")))</f>
        <v/>
      </c>
      <c r="AI780" s="25">
        <f>IF($AG780="","",SUMIFS('ORDENES'!$M$4:$M$1203,'ORDENES'!$AG$4:$AG$1203,$AG780,'ORDENES'!$O$4:$O$1203,$O780,'ORDENES'!$S$4:$S$1203,$S780))</f>
        <v/>
      </c>
      <c r="AJ780" s="25">
        <f>IF($AI780="","",p_factor_productividad*IFERROR(INDEX('ASIGNACIONES'!$M$4:$M$451,MATCH($O780&amp;"|"&amp;$S780&amp;"|"&amp;$AG780,'ASIGNACIONES'!$N$4:$N$451,0)),0)-$AI780)</f>
        <v/>
      </c>
      <c r="AK780" s="18">
        <f>IF($A780="","",IFERROR(INDEX('2_IMPORTAR_EJECUCION'!$F$9:$F$1208,MATCH($AT780,'2_IMPORTAR_EJECUCION'!$J$9:$J$1208,0)),0))</f>
        <v/>
      </c>
      <c r="AL780" s="18">
        <f>IF($A780="","",MAX(0,IFERROR(INDEX('2_IMPORTAR_EJECUCION'!$H$9:$H$1208,MATCH($AT780,'2_IMPORTAR_EJECUCION'!$J$9:$J$1208,0)),0)-$AK780))</f>
        <v/>
      </c>
      <c r="AM780" s="18">
        <f>IF($A780="","",$AK780+$AL780)</f>
        <v/>
      </c>
      <c r="AN780" s="5">
        <f>IF($A780="","",IF(OR((IFERROR(INDEX('CAT_ACTIVIDADES'!$D$4:$D$11,MATCH($H780,'CAT_ACTIVIDADES'!$A$4:$A$11,0)),""))=0,(IFERROR(INDEX('CAT_ACTIVIDADES'!$D$4:$D$11,MATCH($H780,'CAT_ACTIVIDADES'!$A$4:$A$11,0)),""))=""),"SIN CLASIFICAR",IFERROR(INDEX('CAT_ACTIVIDADES'!$D$4:$D$11,MATCH($H780,'CAT_ACTIVIDADES'!$A$4:$A$11,0)),"")))</f>
        <v/>
      </c>
      <c r="AO780" s="4" t="n"/>
      <c r="AP780" s="4" t="n"/>
      <c r="AQ780" s="4" t="n"/>
      <c r="AR780" s="5">
        <f>IF($AQ780="","",HYPERLINK(p_ruta_base_checklists&amp;$AQ780,"abrir"))</f>
        <v/>
      </c>
      <c r="AS780" s="4" t="n"/>
      <c r="AT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2" t="n"/>
      <c r="K781" s="5" t="n"/>
      <c r="L781" s="18" t="n"/>
      <c r="M781" s="5">
        <f>IF($A781="","",IFERROR(INDEX('AJUSTES'!$B$4:$B$303,MATCH($AT781,'AJUSTES'!$A$4:$A$303,0)),IF($K781="","",$K781)))</f>
        <v/>
      </c>
      <c r="N781" s="5">
        <f>IF($A781="","",IFERROR(INDEX('CAT_ESTADOS_ERP'!$B$4:$B$7,MATCH(IFERROR(INDEX('2_IMPORTAR_EJECUCION'!$C$9:$C$1208,MATCH($AT781,'2_IMPORTAR_EJECUCION'!$J$9:$J$1208,0)),""),'CAT_ESTADOS_ERP'!$A$4:$A$7,0)),"Pendiente"))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IF($J781="","",$P781&amp;"-"&amp;TEXT($Q781,"00"))</f>
        <v/>
      </c>
      <c r="S781" s="5">
        <f>IF($J781="","",INDEX(lista_dias,WEEKDAY($J781,2)))</f>
        <v/>
      </c>
      <c r="T781" s="5">
        <f>IF($J781="","",IFERROR(INDEX('CALENDARIO'!$C$15:$C$214,MATCH(TEXT($J781,"yyyy-mm-dd")&amp;"|"&amp;$X781&amp;"|"&amp;$Y781,'CALENDARIO'!$G$15:$G$214,0)),IFERROR(INDEX('CALENDARIO'!$C$15:$C$214,MATCH(TEXT($J781,"yyyy-mm-dd")&amp;"|"&amp;$X781&amp;"|",'CALENDARIO'!$G$15:$G$214,0)),IFERROR(INDEX('CALENDARIO'!$C$15:$C$214,MATCH(TEXT($J781,"yyyy-mm-dd")&amp;"||",'CALENDARIO'!$G$15:$G$214,0)),INDEX(patronHabil,WEEKDAY($J781,2))))))</f>
        <v/>
      </c>
      <c r="U781" s="5">
        <f>IF($I781="","",IFERROR(INDEX('CAT_TIPOS_OT'!$C$4:$C$8,MATCH($I781,'CAT_TIPOS_OT'!$A$4:$A$8,0)),"sin_clasificar"))</f>
        <v/>
      </c>
      <c r="V781" s="5">
        <f>IF($I781="","",IF(IFERROR(INDEX('CAT_TIPOS_OT'!$D$4:$D$8,MATCH($I781,'CAT_TIPOS_OT'!$A$4:$A$8,0)),"SIN CLASIFICAR")="","SIN CLASIFICAR",IFERROR(INDEX('CAT_TIPOS_OT'!$D$4:$D$8,MATCH($I781,'CAT_TIPOS_OT'!$A$4:$A$8,0)),"SIN CLASIFICAR")))</f>
        <v/>
      </c>
      <c r="W781" s="5">
        <f>IF($F781="","",IFERROR(INDEX('CAT_CENTROS_COSTO'!$F$4:$F$13,MATCH($F781,'CAT_CENTROS_COSTO'!$A$4:$A$13,0)),"(sin catálogo)"))</f>
        <v/>
      </c>
      <c r="X781" s="5">
        <f>IF($F781="","",IFERROR(INDEX('CAT_CENTROS_COSTO'!$D$4:$D$13,MATCH($F781,'CAT_CENTROS_COSTO'!$A$4:$A$13,0)),"(sin catálogo)"))</f>
        <v/>
      </c>
      <c r="Y781" s="5">
        <f>IF($F781="","",IF((IFERROR(INDEX('CAT_CENTROS_COSTO'!$E$4:$E$13,MATCH($F781,'CAT_CENTROS_COSTO'!$A$4:$A$13,0)),""))&lt;&gt;"",IFERROR(INDEX('CAT_CENTROS_COSTO'!$E$4:$E$13,MATCH($F781,'CAT_CENTROS_COSTO'!$A$4:$A$13,0)),""),$X781))</f>
        <v/>
      </c>
      <c r="Z781" s="5">
        <f>IF($F781="","",IFERROR(INDEX('CAT_CENTROS_COSTO'!$G$4:$G$13,MATCH($F781,'CAT_CENTROS_COSTO'!$A$4:$A$13,0)),"(sin catálogo)"))</f>
        <v/>
      </c>
      <c r="AA781" s="5">
        <f>IF($G781="","",IFERROR(INDEX('CAT_PUESTOS'!$B$4:$B$8,MATCH($G781,'CAT_PUESTOS'!$A$4:$A$8,0)),"(sin catálogo)"))</f>
        <v/>
      </c>
      <c r="AB781" s="5">
        <f>IF($H781="","",IFERROR(INDEX('CAT_ACTIVIDADES'!$B$4:$B$11,MATCH($H781,'CAT_ACTIVIDADES'!$A$4:$A$11,0)),"(sin catálogo)"))</f>
        <v/>
      </c>
      <c r="AC781" s="20">
        <f>IF($J781="","",TODAY()-$J781)</f>
        <v/>
      </c>
      <c r="AD781" s="20">
        <f>IF($J781="","",IF($J781&lt;=TODAY(),COUNTIFS(cal_fechas,"&gt;="&amp;$J781,cal_fechas,"&lt;"&amp;TODAY(),cal_habil,"sí"),-COUNTIFS(cal_fechas,"&gt;="&amp;TODAY(),cal_fechas,"&lt;"&amp;$J781,cal_habil,"sí")))</f>
        <v/>
      </c>
      <c r="AE781" s="5">
        <f>IF($AD781="","",IF($AD781&lt;0,"FUTURO",IF($AD781&gt;p_dias_backlog_max,"BACKLOG","MES CORRIENTE")))</f>
        <v/>
      </c>
      <c r="AF781" s="5">
        <f>IF($AD781="",FALSE,AND($AD781&gt;p_dias_backlog_min,$AD781&lt;=p_dias_backlog_max))</f>
        <v/>
      </c>
      <c r="AG781" s="4" t="n"/>
      <c r="AH781" s="5">
        <f>IF($AG781="","",IF((IFERROR(INDEX('ASIGNACIONES'!$J$4:$J$451,MATCH($O781&amp;"|"&amp;$S781&amp;"|"&amp;$AG781,'ASIGNACIONES'!$N$4:$N$451,0)),""))=0,"",IFERROR(INDEX('ASIGNACIONES'!$J$4:$J$451,MATCH($O781&amp;"|"&amp;$S781&amp;"|"&amp;$AG781,'ASIGNACIONES'!$N$4:$N$451,0)),"")))</f>
        <v/>
      </c>
      <c r="AI781" s="25">
        <f>IF($AG781="","",SUMIFS('ORDENES'!$M$4:$M$1203,'ORDENES'!$AG$4:$AG$1203,$AG781,'ORDENES'!$O$4:$O$1203,$O781,'ORDENES'!$S$4:$S$1203,$S781))</f>
        <v/>
      </c>
      <c r="AJ781" s="25">
        <f>IF($AI781="","",p_factor_productividad*IFERROR(INDEX('ASIGNACIONES'!$M$4:$M$451,MATCH($O781&amp;"|"&amp;$S781&amp;"|"&amp;$AG781,'ASIGNACIONES'!$N$4:$N$451,0)),0)-$AI781)</f>
        <v/>
      </c>
      <c r="AK781" s="18">
        <f>IF($A781="","",IFERROR(INDEX('2_IMPORTAR_EJECUCION'!$F$9:$F$1208,MATCH($AT781,'2_IMPORTAR_EJECUCION'!$J$9:$J$1208,0)),0))</f>
        <v/>
      </c>
      <c r="AL781" s="18">
        <f>IF($A781="","",MAX(0,IFERROR(INDEX('2_IMPORTAR_EJECUCION'!$H$9:$H$1208,MATCH($AT781,'2_IMPORTAR_EJECUCION'!$J$9:$J$1208,0)),0)-$AK781))</f>
        <v/>
      </c>
      <c r="AM781" s="18">
        <f>IF($A781="","",$AK781+$AL781)</f>
        <v/>
      </c>
      <c r="AN781" s="5">
        <f>IF($A781="","",IF(OR((IFERROR(INDEX('CAT_ACTIVIDADES'!$D$4:$D$11,MATCH($H781,'CAT_ACTIVIDADES'!$A$4:$A$11,0)),""))=0,(IFERROR(INDEX('CAT_ACTIVIDADES'!$D$4:$D$11,MATCH($H781,'CAT_ACTIVIDADES'!$A$4:$A$11,0)),""))=""),"SIN CLASIFICAR",IFERROR(INDEX('CAT_ACTIVIDADES'!$D$4:$D$11,MATCH($H781,'CAT_ACTIVIDADES'!$A$4:$A$11,0)),"")))</f>
        <v/>
      </c>
      <c r="AO781" s="4" t="n"/>
      <c r="AP781" s="4" t="n"/>
      <c r="AQ781" s="4" t="n"/>
      <c r="AR781" s="5">
        <f>IF($AQ781="","",HYPERLINK(p_ruta_base_checklists&amp;$AQ781,"abrir"))</f>
        <v/>
      </c>
      <c r="AS781" s="4" t="n"/>
      <c r="AT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2" t="n"/>
      <c r="K782" s="5" t="n"/>
      <c r="L782" s="18" t="n"/>
      <c r="M782" s="5">
        <f>IF($A782="","",IFERROR(INDEX('AJUSTES'!$B$4:$B$303,MATCH($AT782,'AJUSTES'!$A$4:$A$303,0)),IF($K782="","",$K782)))</f>
        <v/>
      </c>
      <c r="N782" s="5">
        <f>IF($A782="","",IFERROR(INDEX('CAT_ESTADOS_ERP'!$B$4:$B$7,MATCH(IFERROR(INDEX('2_IMPORTAR_EJECUCION'!$C$9:$C$1208,MATCH($AT782,'2_IMPORTAR_EJECUCION'!$J$9:$J$1208,0)),""),'CAT_ESTADOS_ERP'!$A$4:$A$7,0)),"Pendiente"))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IF($J782="","",$P782&amp;"-"&amp;TEXT($Q782,"00"))</f>
        <v/>
      </c>
      <c r="S782" s="5">
        <f>IF($J782="","",INDEX(lista_dias,WEEKDAY($J782,2)))</f>
        <v/>
      </c>
      <c r="T782" s="5">
        <f>IF($J782="","",IFERROR(INDEX('CALENDARIO'!$C$15:$C$214,MATCH(TEXT($J782,"yyyy-mm-dd")&amp;"|"&amp;$X782&amp;"|"&amp;$Y782,'CALENDARIO'!$G$15:$G$214,0)),IFERROR(INDEX('CALENDARIO'!$C$15:$C$214,MATCH(TEXT($J782,"yyyy-mm-dd")&amp;"|"&amp;$X782&amp;"|",'CALENDARIO'!$G$15:$G$214,0)),IFERROR(INDEX('CALENDARIO'!$C$15:$C$214,MATCH(TEXT($J782,"yyyy-mm-dd")&amp;"||",'CALENDARIO'!$G$15:$G$214,0)),INDEX(patronHabil,WEEKDAY($J782,2))))))</f>
        <v/>
      </c>
      <c r="U782" s="5">
        <f>IF($I782="","",IFERROR(INDEX('CAT_TIPOS_OT'!$C$4:$C$8,MATCH($I782,'CAT_TIPOS_OT'!$A$4:$A$8,0)),"sin_clasificar"))</f>
        <v/>
      </c>
      <c r="V782" s="5">
        <f>IF($I782="","",IF(IFERROR(INDEX('CAT_TIPOS_OT'!$D$4:$D$8,MATCH($I782,'CAT_TIPOS_OT'!$A$4:$A$8,0)),"SIN CLASIFICAR")="","SIN CLASIFICAR",IFERROR(INDEX('CAT_TIPOS_OT'!$D$4:$D$8,MATCH($I782,'CAT_TIPOS_OT'!$A$4:$A$8,0)),"SIN CLASIFICAR")))</f>
        <v/>
      </c>
      <c r="W782" s="5">
        <f>IF($F782="","",IFERROR(INDEX('CAT_CENTROS_COSTO'!$F$4:$F$13,MATCH($F782,'CAT_CENTROS_COSTO'!$A$4:$A$13,0)),"(sin catálogo)"))</f>
        <v/>
      </c>
      <c r="X782" s="5">
        <f>IF($F782="","",IFERROR(INDEX('CAT_CENTROS_COSTO'!$D$4:$D$13,MATCH($F782,'CAT_CENTROS_COSTO'!$A$4:$A$13,0)),"(sin catálogo)"))</f>
        <v/>
      </c>
      <c r="Y782" s="5">
        <f>IF($F782="","",IF((IFERROR(INDEX('CAT_CENTROS_COSTO'!$E$4:$E$13,MATCH($F782,'CAT_CENTROS_COSTO'!$A$4:$A$13,0)),""))&lt;&gt;"",IFERROR(INDEX('CAT_CENTROS_COSTO'!$E$4:$E$13,MATCH($F782,'CAT_CENTROS_COSTO'!$A$4:$A$13,0)),""),$X782))</f>
        <v/>
      </c>
      <c r="Z782" s="5">
        <f>IF($F782="","",IFERROR(INDEX('CAT_CENTROS_COSTO'!$G$4:$G$13,MATCH($F782,'CAT_CENTROS_COSTO'!$A$4:$A$13,0)),"(sin catálogo)"))</f>
        <v/>
      </c>
      <c r="AA782" s="5">
        <f>IF($G782="","",IFERROR(INDEX('CAT_PUESTOS'!$B$4:$B$8,MATCH($G782,'CAT_PUESTOS'!$A$4:$A$8,0)),"(sin catálogo)"))</f>
        <v/>
      </c>
      <c r="AB782" s="5">
        <f>IF($H782="","",IFERROR(INDEX('CAT_ACTIVIDADES'!$B$4:$B$11,MATCH($H782,'CAT_ACTIVIDADES'!$A$4:$A$11,0)),"(sin catálogo)"))</f>
        <v/>
      </c>
      <c r="AC782" s="20">
        <f>IF($J782="","",TODAY()-$J782)</f>
        <v/>
      </c>
      <c r="AD782" s="20">
        <f>IF($J782="","",IF($J782&lt;=TODAY(),COUNTIFS(cal_fechas,"&gt;="&amp;$J782,cal_fechas,"&lt;"&amp;TODAY(),cal_habil,"sí"),-COUNTIFS(cal_fechas,"&gt;="&amp;TODAY(),cal_fechas,"&lt;"&amp;$J782,cal_habil,"sí")))</f>
        <v/>
      </c>
      <c r="AE782" s="5">
        <f>IF($AD782="","",IF($AD782&lt;0,"FUTURO",IF($AD782&gt;p_dias_backlog_max,"BACKLOG","MES CORRIENTE")))</f>
        <v/>
      </c>
      <c r="AF782" s="5">
        <f>IF($AD782="",FALSE,AND($AD782&gt;p_dias_backlog_min,$AD782&lt;=p_dias_backlog_max))</f>
        <v/>
      </c>
      <c r="AG782" s="4" t="n"/>
      <c r="AH782" s="5">
        <f>IF($AG782="","",IF((IFERROR(INDEX('ASIGNACIONES'!$J$4:$J$451,MATCH($O782&amp;"|"&amp;$S782&amp;"|"&amp;$AG782,'ASIGNACIONES'!$N$4:$N$451,0)),""))=0,"",IFERROR(INDEX('ASIGNACIONES'!$J$4:$J$451,MATCH($O782&amp;"|"&amp;$S782&amp;"|"&amp;$AG782,'ASIGNACIONES'!$N$4:$N$451,0)),"")))</f>
        <v/>
      </c>
      <c r="AI782" s="25">
        <f>IF($AG782="","",SUMIFS('ORDENES'!$M$4:$M$1203,'ORDENES'!$AG$4:$AG$1203,$AG782,'ORDENES'!$O$4:$O$1203,$O782,'ORDENES'!$S$4:$S$1203,$S782))</f>
        <v/>
      </c>
      <c r="AJ782" s="25">
        <f>IF($AI782="","",p_factor_productividad*IFERROR(INDEX('ASIGNACIONES'!$M$4:$M$451,MATCH($O782&amp;"|"&amp;$S782&amp;"|"&amp;$AG782,'ASIGNACIONES'!$N$4:$N$451,0)),0)-$AI782)</f>
        <v/>
      </c>
      <c r="AK782" s="18">
        <f>IF($A782="","",IFERROR(INDEX('2_IMPORTAR_EJECUCION'!$F$9:$F$1208,MATCH($AT782,'2_IMPORTAR_EJECUCION'!$J$9:$J$1208,0)),0))</f>
        <v/>
      </c>
      <c r="AL782" s="18">
        <f>IF($A782="","",MAX(0,IFERROR(INDEX('2_IMPORTAR_EJECUCION'!$H$9:$H$1208,MATCH($AT782,'2_IMPORTAR_EJECUCION'!$J$9:$J$1208,0)),0)-$AK782))</f>
        <v/>
      </c>
      <c r="AM782" s="18">
        <f>IF($A782="","",$AK782+$AL782)</f>
        <v/>
      </c>
      <c r="AN782" s="5">
        <f>IF($A782="","",IF(OR((IFERROR(INDEX('CAT_ACTIVIDADES'!$D$4:$D$11,MATCH($H782,'CAT_ACTIVIDADES'!$A$4:$A$11,0)),""))=0,(IFERROR(INDEX('CAT_ACTIVIDADES'!$D$4:$D$11,MATCH($H782,'CAT_ACTIVIDADES'!$A$4:$A$11,0)),""))=""),"SIN CLASIFICAR",IFERROR(INDEX('CAT_ACTIVIDADES'!$D$4:$D$11,MATCH($H782,'CAT_ACTIVIDADES'!$A$4:$A$11,0)),"")))</f>
        <v/>
      </c>
      <c r="AO782" s="4" t="n"/>
      <c r="AP782" s="4" t="n"/>
      <c r="AQ782" s="4" t="n"/>
      <c r="AR782" s="5">
        <f>IF($AQ782="","",HYPERLINK(p_ruta_base_checklists&amp;$AQ782,"abrir"))</f>
        <v/>
      </c>
      <c r="AS782" s="4" t="n"/>
      <c r="AT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2" t="n"/>
      <c r="K783" s="5" t="n"/>
      <c r="L783" s="18" t="n"/>
      <c r="M783" s="5">
        <f>IF($A783="","",IFERROR(INDEX('AJUSTES'!$B$4:$B$303,MATCH($AT783,'AJUSTES'!$A$4:$A$303,0)),IF($K783="","",$K783)))</f>
        <v/>
      </c>
      <c r="N783" s="5">
        <f>IF($A783="","",IFERROR(INDEX('CAT_ESTADOS_ERP'!$B$4:$B$7,MATCH(IFERROR(INDEX('2_IMPORTAR_EJECUCION'!$C$9:$C$1208,MATCH($AT783,'2_IMPORTAR_EJECUCION'!$J$9:$J$1208,0)),""),'CAT_ESTADOS_ERP'!$A$4:$A$7,0)),"Pendiente"))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IF($J783="","",$P783&amp;"-"&amp;TEXT($Q783,"00"))</f>
        <v/>
      </c>
      <c r="S783" s="5">
        <f>IF($J783="","",INDEX(lista_dias,WEEKDAY($J783,2)))</f>
        <v/>
      </c>
      <c r="T783" s="5">
        <f>IF($J783="","",IFERROR(INDEX('CALENDARIO'!$C$15:$C$214,MATCH(TEXT($J783,"yyyy-mm-dd")&amp;"|"&amp;$X783&amp;"|"&amp;$Y783,'CALENDARIO'!$G$15:$G$214,0)),IFERROR(INDEX('CALENDARIO'!$C$15:$C$214,MATCH(TEXT($J783,"yyyy-mm-dd")&amp;"|"&amp;$X783&amp;"|",'CALENDARIO'!$G$15:$G$214,0)),IFERROR(INDEX('CALENDARIO'!$C$15:$C$214,MATCH(TEXT($J783,"yyyy-mm-dd")&amp;"||",'CALENDARIO'!$G$15:$G$214,0)),INDEX(patronHabil,WEEKDAY($J783,2))))))</f>
        <v/>
      </c>
      <c r="U783" s="5">
        <f>IF($I783="","",IFERROR(INDEX('CAT_TIPOS_OT'!$C$4:$C$8,MATCH($I783,'CAT_TIPOS_OT'!$A$4:$A$8,0)),"sin_clasificar"))</f>
        <v/>
      </c>
      <c r="V783" s="5">
        <f>IF($I783="","",IF(IFERROR(INDEX('CAT_TIPOS_OT'!$D$4:$D$8,MATCH($I783,'CAT_TIPOS_OT'!$A$4:$A$8,0)),"SIN CLASIFICAR")="","SIN CLASIFICAR",IFERROR(INDEX('CAT_TIPOS_OT'!$D$4:$D$8,MATCH($I783,'CAT_TIPOS_OT'!$A$4:$A$8,0)),"SIN CLASIFICAR")))</f>
        <v/>
      </c>
      <c r="W783" s="5">
        <f>IF($F783="","",IFERROR(INDEX('CAT_CENTROS_COSTO'!$F$4:$F$13,MATCH($F783,'CAT_CENTROS_COSTO'!$A$4:$A$13,0)),"(sin catálogo)"))</f>
        <v/>
      </c>
      <c r="X783" s="5">
        <f>IF($F783="","",IFERROR(INDEX('CAT_CENTROS_COSTO'!$D$4:$D$13,MATCH($F783,'CAT_CENTROS_COSTO'!$A$4:$A$13,0)),"(sin catálogo)"))</f>
        <v/>
      </c>
      <c r="Y783" s="5">
        <f>IF($F783="","",IF((IFERROR(INDEX('CAT_CENTROS_COSTO'!$E$4:$E$13,MATCH($F783,'CAT_CENTROS_COSTO'!$A$4:$A$13,0)),""))&lt;&gt;"",IFERROR(INDEX('CAT_CENTROS_COSTO'!$E$4:$E$13,MATCH($F783,'CAT_CENTROS_COSTO'!$A$4:$A$13,0)),""),$X783))</f>
        <v/>
      </c>
      <c r="Z783" s="5">
        <f>IF($F783="","",IFERROR(INDEX('CAT_CENTROS_COSTO'!$G$4:$G$13,MATCH($F783,'CAT_CENTROS_COSTO'!$A$4:$A$13,0)),"(sin catálogo)"))</f>
        <v/>
      </c>
      <c r="AA783" s="5">
        <f>IF($G783="","",IFERROR(INDEX('CAT_PUESTOS'!$B$4:$B$8,MATCH($G783,'CAT_PUESTOS'!$A$4:$A$8,0)),"(sin catálogo)"))</f>
        <v/>
      </c>
      <c r="AB783" s="5">
        <f>IF($H783="","",IFERROR(INDEX('CAT_ACTIVIDADES'!$B$4:$B$11,MATCH($H783,'CAT_ACTIVIDADES'!$A$4:$A$11,0)),"(sin catálogo)"))</f>
        <v/>
      </c>
      <c r="AC783" s="20">
        <f>IF($J783="","",TODAY()-$J783)</f>
        <v/>
      </c>
      <c r="AD783" s="20">
        <f>IF($J783="","",IF($J783&lt;=TODAY(),COUNTIFS(cal_fechas,"&gt;="&amp;$J783,cal_fechas,"&lt;"&amp;TODAY(),cal_habil,"sí"),-COUNTIFS(cal_fechas,"&gt;="&amp;TODAY(),cal_fechas,"&lt;"&amp;$J783,cal_habil,"sí")))</f>
        <v/>
      </c>
      <c r="AE783" s="5">
        <f>IF($AD783="","",IF($AD783&lt;0,"FUTURO",IF($AD783&gt;p_dias_backlog_max,"BACKLOG","MES CORRIENTE")))</f>
        <v/>
      </c>
      <c r="AF783" s="5">
        <f>IF($AD783="",FALSE,AND($AD783&gt;p_dias_backlog_min,$AD783&lt;=p_dias_backlog_max))</f>
        <v/>
      </c>
      <c r="AG783" s="4" t="n"/>
      <c r="AH783" s="5">
        <f>IF($AG783="","",IF((IFERROR(INDEX('ASIGNACIONES'!$J$4:$J$451,MATCH($O783&amp;"|"&amp;$S783&amp;"|"&amp;$AG783,'ASIGNACIONES'!$N$4:$N$451,0)),""))=0,"",IFERROR(INDEX('ASIGNACIONES'!$J$4:$J$451,MATCH($O783&amp;"|"&amp;$S783&amp;"|"&amp;$AG783,'ASIGNACIONES'!$N$4:$N$451,0)),"")))</f>
        <v/>
      </c>
      <c r="AI783" s="25">
        <f>IF($AG783="","",SUMIFS('ORDENES'!$M$4:$M$1203,'ORDENES'!$AG$4:$AG$1203,$AG783,'ORDENES'!$O$4:$O$1203,$O783,'ORDENES'!$S$4:$S$1203,$S783))</f>
        <v/>
      </c>
      <c r="AJ783" s="25">
        <f>IF($AI783="","",p_factor_productividad*IFERROR(INDEX('ASIGNACIONES'!$M$4:$M$451,MATCH($O783&amp;"|"&amp;$S783&amp;"|"&amp;$AG783,'ASIGNACIONES'!$N$4:$N$451,0)),0)-$AI783)</f>
        <v/>
      </c>
      <c r="AK783" s="18">
        <f>IF($A783="","",IFERROR(INDEX('2_IMPORTAR_EJECUCION'!$F$9:$F$1208,MATCH($AT783,'2_IMPORTAR_EJECUCION'!$J$9:$J$1208,0)),0))</f>
        <v/>
      </c>
      <c r="AL783" s="18">
        <f>IF($A783="","",MAX(0,IFERROR(INDEX('2_IMPORTAR_EJECUCION'!$H$9:$H$1208,MATCH($AT783,'2_IMPORTAR_EJECUCION'!$J$9:$J$1208,0)),0)-$AK783))</f>
        <v/>
      </c>
      <c r="AM783" s="18">
        <f>IF($A783="","",$AK783+$AL783)</f>
        <v/>
      </c>
      <c r="AN783" s="5">
        <f>IF($A783="","",IF(OR((IFERROR(INDEX('CAT_ACTIVIDADES'!$D$4:$D$11,MATCH($H783,'CAT_ACTIVIDADES'!$A$4:$A$11,0)),""))=0,(IFERROR(INDEX('CAT_ACTIVIDADES'!$D$4:$D$11,MATCH($H783,'CAT_ACTIVIDADES'!$A$4:$A$11,0)),""))=""),"SIN CLASIFICAR",IFERROR(INDEX('CAT_ACTIVIDADES'!$D$4:$D$11,MATCH($H783,'CAT_ACTIVIDADES'!$A$4:$A$11,0)),"")))</f>
        <v/>
      </c>
      <c r="AO783" s="4" t="n"/>
      <c r="AP783" s="4" t="n"/>
      <c r="AQ783" s="4" t="n"/>
      <c r="AR783" s="5">
        <f>IF($AQ783="","",HYPERLINK(p_ruta_base_checklists&amp;$AQ783,"abrir"))</f>
        <v/>
      </c>
      <c r="AS783" s="4" t="n"/>
      <c r="AT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2" t="n"/>
      <c r="K784" s="5" t="n"/>
      <c r="L784" s="18" t="n"/>
      <c r="M784" s="5">
        <f>IF($A784="","",IFERROR(INDEX('AJUSTES'!$B$4:$B$303,MATCH($AT784,'AJUSTES'!$A$4:$A$303,0)),IF($K784="","",$K784)))</f>
        <v/>
      </c>
      <c r="N784" s="5">
        <f>IF($A784="","",IFERROR(INDEX('CAT_ESTADOS_ERP'!$B$4:$B$7,MATCH(IFERROR(INDEX('2_IMPORTAR_EJECUCION'!$C$9:$C$1208,MATCH($AT784,'2_IMPORTAR_EJECUCION'!$J$9:$J$1208,0)),""),'CAT_ESTADOS_ERP'!$A$4:$A$7,0)),"Pendiente"))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IF($J784="","",$P784&amp;"-"&amp;TEXT($Q784,"00"))</f>
        <v/>
      </c>
      <c r="S784" s="5">
        <f>IF($J784="","",INDEX(lista_dias,WEEKDAY($J784,2)))</f>
        <v/>
      </c>
      <c r="T784" s="5">
        <f>IF($J784="","",IFERROR(INDEX('CALENDARIO'!$C$15:$C$214,MATCH(TEXT($J784,"yyyy-mm-dd")&amp;"|"&amp;$X784&amp;"|"&amp;$Y784,'CALENDARIO'!$G$15:$G$214,0)),IFERROR(INDEX('CALENDARIO'!$C$15:$C$214,MATCH(TEXT($J784,"yyyy-mm-dd")&amp;"|"&amp;$X784&amp;"|",'CALENDARIO'!$G$15:$G$214,0)),IFERROR(INDEX('CALENDARIO'!$C$15:$C$214,MATCH(TEXT($J784,"yyyy-mm-dd")&amp;"||",'CALENDARIO'!$G$15:$G$214,0)),INDEX(patronHabil,WEEKDAY($J784,2))))))</f>
        <v/>
      </c>
      <c r="U784" s="5">
        <f>IF($I784="","",IFERROR(INDEX('CAT_TIPOS_OT'!$C$4:$C$8,MATCH($I784,'CAT_TIPOS_OT'!$A$4:$A$8,0)),"sin_clasificar"))</f>
        <v/>
      </c>
      <c r="V784" s="5">
        <f>IF($I784="","",IF(IFERROR(INDEX('CAT_TIPOS_OT'!$D$4:$D$8,MATCH($I784,'CAT_TIPOS_OT'!$A$4:$A$8,0)),"SIN CLASIFICAR")="","SIN CLASIFICAR",IFERROR(INDEX('CAT_TIPOS_OT'!$D$4:$D$8,MATCH($I784,'CAT_TIPOS_OT'!$A$4:$A$8,0)),"SIN CLASIFICAR")))</f>
        <v/>
      </c>
      <c r="W784" s="5">
        <f>IF($F784="","",IFERROR(INDEX('CAT_CENTROS_COSTO'!$F$4:$F$13,MATCH($F784,'CAT_CENTROS_COSTO'!$A$4:$A$13,0)),"(sin catálogo)"))</f>
        <v/>
      </c>
      <c r="X784" s="5">
        <f>IF($F784="","",IFERROR(INDEX('CAT_CENTROS_COSTO'!$D$4:$D$13,MATCH($F784,'CAT_CENTROS_COSTO'!$A$4:$A$13,0)),"(sin catálogo)"))</f>
        <v/>
      </c>
      <c r="Y784" s="5">
        <f>IF($F784="","",IF((IFERROR(INDEX('CAT_CENTROS_COSTO'!$E$4:$E$13,MATCH($F784,'CAT_CENTROS_COSTO'!$A$4:$A$13,0)),""))&lt;&gt;"",IFERROR(INDEX('CAT_CENTROS_COSTO'!$E$4:$E$13,MATCH($F784,'CAT_CENTROS_COSTO'!$A$4:$A$13,0)),""),$X784))</f>
        <v/>
      </c>
      <c r="Z784" s="5">
        <f>IF($F784="","",IFERROR(INDEX('CAT_CENTROS_COSTO'!$G$4:$G$13,MATCH($F784,'CAT_CENTROS_COSTO'!$A$4:$A$13,0)),"(sin catálogo)"))</f>
        <v/>
      </c>
      <c r="AA784" s="5">
        <f>IF($G784="","",IFERROR(INDEX('CAT_PUESTOS'!$B$4:$B$8,MATCH($G784,'CAT_PUESTOS'!$A$4:$A$8,0)),"(sin catálogo)"))</f>
        <v/>
      </c>
      <c r="AB784" s="5">
        <f>IF($H784="","",IFERROR(INDEX('CAT_ACTIVIDADES'!$B$4:$B$11,MATCH($H784,'CAT_ACTIVIDADES'!$A$4:$A$11,0)),"(sin catálogo)"))</f>
        <v/>
      </c>
      <c r="AC784" s="20">
        <f>IF($J784="","",TODAY()-$J784)</f>
        <v/>
      </c>
      <c r="AD784" s="20">
        <f>IF($J784="","",IF($J784&lt;=TODAY(),COUNTIFS(cal_fechas,"&gt;="&amp;$J784,cal_fechas,"&lt;"&amp;TODAY(),cal_habil,"sí"),-COUNTIFS(cal_fechas,"&gt;="&amp;TODAY(),cal_fechas,"&lt;"&amp;$J784,cal_habil,"sí")))</f>
        <v/>
      </c>
      <c r="AE784" s="5">
        <f>IF($AD784="","",IF($AD784&lt;0,"FUTURO",IF($AD784&gt;p_dias_backlog_max,"BACKLOG","MES CORRIENTE")))</f>
        <v/>
      </c>
      <c r="AF784" s="5">
        <f>IF($AD784="",FALSE,AND($AD784&gt;p_dias_backlog_min,$AD784&lt;=p_dias_backlog_max))</f>
        <v/>
      </c>
      <c r="AG784" s="4" t="n"/>
      <c r="AH784" s="5">
        <f>IF($AG784="","",IF((IFERROR(INDEX('ASIGNACIONES'!$J$4:$J$451,MATCH($O784&amp;"|"&amp;$S784&amp;"|"&amp;$AG784,'ASIGNACIONES'!$N$4:$N$451,0)),""))=0,"",IFERROR(INDEX('ASIGNACIONES'!$J$4:$J$451,MATCH($O784&amp;"|"&amp;$S784&amp;"|"&amp;$AG784,'ASIGNACIONES'!$N$4:$N$451,0)),"")))</f>
        <v/>
      </c>
      <c r="AI784" s="25">
        <f>IF($AG784="","",SUMIFS('ORDENES'!$M$4:$M$1203,'ORDENES'!$AG$4:$AG$1203,$AG784,'ORDENES'!$O$4:$O$1203,$O784,'ORDENES'!$S$4:$S$1203,$S784))</f>
        <v/>
      </c>
      <c r="AJ784" s="25">
        <f>IF($AI784="","",p_factor_productividad*IFERROR(INDEX('ASIGNACIONES'!$M$4:$M$451,MATCH($O784&amp;"|"&amp;$S784&amp;"|"&amp;$AG784,'ASIGNACIONES'!$N$4:$N$451,0)),0)-$AI784)</f>
        <v/>
      </c>
      <c r="AK784" s="18">
        <f>IF($A784="","",IFERROR(INDEX('2_IMPORTAR_EJECUCION'!$F$9:$F$1208,MATCH($AT784,'2_IMPORTAR_EJECUCION'!$J$9:$J$1208,0)),0))</f>
        <v/>
      </c>
      <c r="AL784" s="18">
        <f>IF($A784="","",MAX(0,IFERROR(INDEX('2_IMPORTAR_EJECUCION'!$H$9:$H$1208,MATCH($AT784,'2_IMPORTAR_EJECUCION'!$J$9:$J$1208,0)),0)-$AK784))</f>
        <v/>
      </c>
      <c r="AM784" s="18">
        <f>IF($A784="","",$AK784+$AL784)</f>
        <v/>
      </c>
      <c r="AN784" s="5">
        <f>IF($A784="","",IF(OR((IFERROR(INDEX('CAT_ACTIVIDADES'!$D$4:$D$11,MATCH($H784,'CAT_ACTIVIDADES'!$A$4:$A$11,0)),""))=0,(IFERROR(INDEX('CAT_ACTIVIDADES'!$D$4:$D$11,MATCH($H784,'CAT_ACTIVIDADES'!$A$4:$A$11,0)),""))=""),"SIN CLASIFICAR",IFERROR(INDEX('CAT_ACTIVIDADES'!$D$4:$D$11,MATCH($H784,'CAT_ACTIVIDADES'!$A$4:$A$11,0)),"")))</f>
        <v/>
      </c>
      <c r="AO784" s="4" t="n"/>
      <c r="AP784" s="4" t="n"/>
      <c r="AQ784" s="4" t="n"/>
      <c r="AR784" s="5">
        <f>IF($AQ784="","",HYPERLINK(p_ruta_base_checklists&amp;$AQ784,"abrir"))</f>
        <v/>
      </c>
      <c r="AS784" s="4" t="n"/>
      <c r="AT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2" t="n"/>
      <c r="K785" s="5" t="n"/>
      <c r="L785" s="18" t="n"/>
      <c r="M785" s="5">
        <f>IF($A785="","",IFERROR(INDEX('AJUSTES'!$B$4:$B$303,MATCH($AT785,'AJUSTES'!$A$4:$A$303,0)),IF($K785="","",$K785)))</f>
        <v/>
      </c>
      <c r="N785" s="5">
        <f>IF($A785="","",IFERROR(INDEX('CAT_ESTADOS_ERP'!$B$4:$B$7,MATCH(IFERROR(INDEX('2_IMPORTAR_EJECUCION'!$C$9:$C$1208,MATCH($AT785,'2_IMPORTAR_EJECUCION'!$J$9:$J$1208,0)),""),'CAT_ESTADOS_ERP'!$A$4:$A$7,0)),"Pendiente"))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IF($J785="","",$P785&amp;"-"&amp;TEXT($Q785,"00"))</f>
        <v/>
      </c>
      <c r="S785" s="5">
        <f>IF($J785="","",INDEX(lista_dias,WEEKDAY($J785,2)))</f>
        <v/>
      </c>
      <c r="T785" s="5">
        <f>IF($J785="","",IFERROR(INDEX('CALENDARIO'!$C$15:$C$214,MATCH(TEXT($J785,"yyyy-mm-dd")&amp;"|"&amp;$X785&amp;"|"&amp;$Y785,'CALENDARIO'!$G$15:$G$214,0)),IFERROR(INDEX('CALENDARIO'!$C$15:$C$214,MATCH(TEXT($J785,"yyyy-mm-dd")&amp;"|"&amp;$X785&amp;"|",'CALENDARIO'!$G$15:$G$214,0)),IFERROR(INDEX('CALENDARIO'!$C$15:$C$214,MATCH(TEXT($J785,"yyyy-mm-dd")&amp;"||",'CALENDARIO'!$G$15:$G$214,0)),INDEX(patronHabil,WEEKDAY($J785,2))))))</f>
        <v/>
      </c>
      <c r="U785" s="5">
        <f>IF($I785="","",IFERROR(INDEX('CAT_TIPOS_OT'!$C$4:$C$8,MATCH($I785,'CAT_TIPOS_OT'!$A$4:$A$8,0)),"sin_clasificar"))</f>
        <v/>
      </c>
      <c r="V785" s="5">
        <f>IF($I785="","",IF(IFERROR(INDEX('CAT_TIPOS_OT'!$D$4:$D$8,MATCH($I785,'CAT_TIPOS_OT'!$A$4:$A$8,0)),"SIN CLASIFICAR")="","SIN CLASIFICAR",IFERROR(INDEX('CAT_TIPOS_OT'!$D$4:$D$8,MATCH($I785,'CAT_TIPOS_OT'!$A$4:$A$8,0)),"SIN CLASIFICAR")))</f>
        <v/>
      </c>
      <c r="W785" s="5">
        <f>IF($F785="","",IFERROR(INDEX('CAT_CENTROS_COSTO'!$F$4:$F$13,MATCH($F785,'CAT_CENTROS_COSTO'!$A$4:$A$13,0)),"(sin catálogo)"))</f>
        <v/>
      </c>
      <c r="X785" s="5">
        <f>IF($F785="","",IFERROR(INDEX('CAT_CENTROS_COSTO'!$D$4:$D$13,MATCH($F785,'CAT_CENTROS_COSTO'!$A$4:$A$13,0)),"(sin catálogo)"))</f>
        <v/>
      </c>
      <c r="Y785" s="5">
        <f>IF($F785="","",IF((IFERROR(INDEX('CAT_CENTROS_COSTO'!$E$4:$E$13,MATCH($F785,'CAT_CENTROS_COSTO'!$A$4:$A$13,0)),""))&lt;&gt;"",IFERROR(INDEX('CAT_CENTROS_COSTO'!$E$4:$E$13,MATCH($F785,'CAT_CENTROS_COSTO'!$A$4:$A$13,0)),""),$X785))</f>
        <v/>
      </c>
      <c r="Z785" s="5">
        <f>IF($F785="","",IFERROR(INDEX('CAT_CENTROS_COSTO'!$G$4:$G$13,MATCH($F785,'CAT_CENTROS_COSTO'!$A$4:$A$13,0)),"(sin catálogo)"))</f>
        <v/>
      </c>
      <c r="AA785" s="5">
        <f>IF($G785="","",IFERROR(INDEX('CAT_PUESTOS'!$B$4:$B$8,MATCH($G785,'CAT_PUESTOS'!$A$4:$A$8,0)),"(sin catálogo)"))</f>
        <v/>
      </c>
      <c r="AB785" s="5">
        <f>IF($H785="","",IFERROR(INDEX('CAT_ACTIVIDADES'!$B$4:$B$11,MATCH($H785,'CAT_ACTIVIDADES'!$A$4:$A$11,0)),"(sin catálogo)"))</f>
        <v/>
      </c>
      <c r="AC785" s="20">
        <f>IF($J785="","",TODAY()-$J785)</f>
        <v/>
      </c>
      <c r="AD785" s="20">
        <f>IF($J785="","",IF($J785&lt;=TODAY(),COUNTIFS(cal_fechas,"&gt;="&amp;$J785,cal_fechas,"&lt;"&amp;TODAY(),cal_habil,"sí"),-COUNTIFS(cal_fechas,"&gt;="&amp;TODAY(),cal_fechas,"&lt;"&amp;$J785,cal_habil,"sí")))</f>
        <v/>
      </c>
      <c r="AE785" s="5">
        <f>IF($AD785="","",IF($AD785&lt;0,"FUTURO",IF($AD785&gt;p_dias_backlog_max,"BACKLOG","MES CORRIENTE")))</f>
        <v/>
      </c>
      <c r="AF785" s="5">
        <f>IF($AD785="",FALSE,AND($AD785&gt;p_dias_backlog_min,$AD785&lt;=p_dias_backlog_max))</f>
        <v/>
      </c>
      <c r="AG785" s="4" t="n"/>
      <c r="AH785" s="5">
        <f>IF($AG785="","",IF((IFERROR(INDEX('ASIGNACIONES'!$J$4:$J$451,MATCH($O785&amp;"|"&amp;$S785&amp;"|"&amp;$AG785,'ASIGNACIONES'!$N$4:$N$451,0)),""))=0,"",IFERROR(INDEX('ASIGNACIONES'!$J$4:$J$451,MATCH($O785&amp;"|"&amp;$S785&amp;"|"&amp;$AG785,'ASIGNACIONES'!$N$4:$N$451,0)),"")))</f>
        <v/>
      </c>
      <c r="AI785" s="25">
        <f>IF($AG785="","",SUMIFS('ORDENES'!$M$4:$M$1203,'ORDENES'!$AG$4:$AG$1203,$AG785,'ORDENES'!$O$4:$O$1203,$O785,'ORDENES'!$S$4:$S$1203,$S785))</f>
        <v/>
      </c>
      <c r="AJ785" s="25">
        <f>IF($AI785="","",p_factor_productividad*IFERROR(INDEX('ASIGNACIONES'!$M$4:$M$451,MATCH($O785&amp;"|"&amp;$S785&amp;"|"&amp;$AG785,'ASIGNACIONES'!$N$4:$N$451,0)),0)-$AI785)</f>
        <v/>
      </c>
      <c r="AK785" s="18">
        <f>IF($A785="","",IFERROR(INDEX('2_IMPORTAR_EJECUCION'!$F$9:$F$1208,MATCH($AT785,'2_IMPORTAR_EJECUCION'!$J$9:$J$1208,0)),0))</f>
        <v/>
      </c>
      <c r="AL785" s="18">
        <f>IF($A785="","",MAX(0,IFERROR(INDEX('2_IMPORTAR_EJECUCION'!$H$9:$H$1208,MATCH($AT785,'2_IMPORTAR_EJECUCION'!$J$9:$J$1208,0)),0)-$AK785))</f>
        <v/>
      </c>
      <c r="AM785" s="18">
        <f>IF($A785="","",$AK785+$AL785)</f>
        <v/>
      </c>
      <c r="AN785" s="5">
        <f>IF($A785="","",IF(OR((IFERROR(INDEX('CAT_ACTIVIDADES'!$D$4:$D$11,MATCH($H785,'CAT_ACTIVIDADES'!$A$4:$A$11,0)),""))=0,(IFERROR(INDEX('CAT_ACTIVIDADES'!$D$4:$D$11,MATCH($H785,'CAT_ACTIVIDADES'!$A$4:$A$11,0)),""))=""),"SIN CLASIFICAR",IFERROR(INDEX('CAT_ACTIVIDADES'!$D$4:$D$11,MATCH($H785,'CAT_ACTIVIDADES'!$A$4:$A$11,0)),"")))</f>
        <v/>
      </c>
      <c r="AO785" s="4" t="n"/>
      <c r="AP785" s="4" t="n"/>
      <c r="AQ785" s="4" t="n"/>
      <c r="AR785" s="5">
        <f>IF($AQ785="","",HYPERLINK(p_ruta_base_checklists&amp;$AQ785,"abrir"))</f>
        <v/>
      </c>
      <c r="AS785" s="4" t="n"/>
      <c r="AT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2" t="n"/>
      <c r="K786" s="5" t="n"/>
      <c r="L786" s="18" t="n"/>
      <c r="M786" s="5">
        <f>IF($A786="","",IFERROR(INDEX('AJUSTES'!$B$4:$B$303,MATCH($AT786,'AJUSTES'!$A$4:$A$303,0)),IF($K786="","",$K786)))</f>
        <v/>
      </c>
      <c r="N786" s="5">
        <f>IF($A786="","",IFERROR(INDEX('CAT_ESTADOS_ERP'!$B$4:$B$7,MATCH(IFERROR(INDEX('2_IMPORTAR_EJECUCION'!$C$9:$C$1208,MATCH($AT786,'2_IMPORTAR_EJECUCION'!$J$9:$J$1208,0)),""),'CAT_ESTADOS_ERP'!$A$4:$A$7,0)),"Pendiente"))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IF($J786="","",$P786&amp;"-"&amp;TEXT($Q786,"00"))</f>
        <v/>
      </c>
      <c r="S786" s="5">
        <f>IF($J786="","",INDEX(lista_dias,WEEKDAY($J786,2)))</f>
        <v/>
      </c>
      <c r="T786" s="5">
        <f>IF($J786="","",IFERROR(INDEX('CALENDARIO'!$C$15:$C$214,MATCH(TEXT($J786,"yyyy-mm-dd")&amp;"|"&amp;$X786&amp;"|"&amp;$Y786,'CALENDARIO'!$G$15:$G$214,0)),IFERROR(INDEX('CALENDARIO'!$C$15:$C$214,MATCH(TEXT($J786,"yyyy-mm-dd")&amp;"|"&amp;$X786&amp;"|",'CALENDARIO'!$G$15:$G$214,0)),IFERROR(INDEX('CALENDARIO'!$C$15:$C$214,MATCH(TEXT($J786,"yyyy-mm-dd")&amp;"||",'CALENDARIO'!$G$15:$G$214,0)),INDEX(patronHabil,WEEKDAY($J786,2))))))</f>
        <v/>
      </c>
      <c r="U786" s="5">
        <f>IF($I786="","",IFERROR(INDEX('CAT_TIPOS_OT'!$C$4:$C$8,MATCH($I786,'CAT_TIPOS_OT'!$A$4:$A$8,0)),"sin_clasificar"))</f>
        <v/>
      </c>
      <c r="V786" s="5">
        <f>IF($I786="","",IF(IFERROR(INDEX('CAT_TIPOS_OT'!$D$4:$D$8,MATCH($I786,'CAT_TIPOS_OT'!$A$4:$A$8,0)),"SIN CLASIFICAR")="","SIN CLASIFICAR",IFERROR(INDEX('CAT_TIPOS_OT'!$D$4:$D$8,MATCH($I786,'CAT_TIPOS_OT'!$A$4:$A$8,0)),"SIN CLASIFICAR")))</f>
        <v/>
      </c>
      <c r="W786" s="5">
        <f>IF($F786="","",IFERROR(INDEX('CAT_CENTROS_COSTO'!$F$4:$F$13,MATCH($F786,'CAT_CENTROS_COSTO'!$A$4:$A$13,0)),"(sin catálogo)"))</f>
        <v/>
      </c>
      <c r="X786" s="5">
        <f>IF($F786="","",IFERROR(INDEX('CAT_CENTROS_COSTO'!$D$4:$D$13,MATCH($F786,'CAT_CENTROS_COSTO'!$A$4:$A$13,0)),"(sin catálogo)"))</f>
        <v/>
      </c>
      <c r="Y786" s="5">
        <f>IF($F786="","",IF((IFERROR(INDEX('CAT_CENTROS_COSTO'!$E$4:$E$13,MATCH($F786,'CAT_CENTROS_COSTO'!$A$4:$A$13,0)),""))&lt;&gt;"",IFERROR(INDEX('CAT_CENTROS_COSTO'!$E$4:$E$13,MATCH($F786,'CAT_CENTROS_COSTO'!$A$4:$A$13,0)),""),$X786))</f>
        <v/>
      </c>
      <c r="Z786" s="5">
        <f>IF($F786="","",IFERROR(INDEX('CAT_CENTROS_COSTO'!$G$4:$G$13,MATCH($F786,'CAT_CENTROS_COSTO'!$A$4:$A$13,0)),"(sin catálogo)"))</f>
        <v/>
      </c>
      <c r="AA786" s="5">
        <f>IF($G786="","",IFERROR(INDEX('CAT_PUESTOS'!$B$4:$B$8,MATCH($G786,'CAT_PUESTOS'!$A$4:$A$8,0)),"(sin catálogo)"))</f>
        <v/>
      </c>
      <c r="AB786" s="5">
        <f>IF($H786="","",IFERROR(INDEX('CAT_ACTIVIDADES'!$B$4:$B$11,MATCH($H786,'CAT_ACTIVIDADES'!$A$4:$A$11,0)),"(sin catálogo)"))</f>
        <v/>
      </c>
      <c r="AC786" s="20">
        <f>IF($J786="","",TODAY()-$J786)</f>
        <v/>
      </c>
      <c r="AD786" s="20">
        <f>IF($J786="","",IF($J786&lt;=TODAY(),COUNTIFS(cal_fechas,"&gt;="&amp;$J786,cal_fechas,"&lt;"&amp;TODAY(),cal_habil,"sí"),-COUNTIFS(cal_fechas,"&gt;="&amp;TODAY(),cal_fechas,"&lt;"&amp;$J786,cal_habil,"sí")))</f>
        <v/>
      </c>
      <c r="AE786" s="5">
        <f>IF($AD786="","",IF($AD786&lt;0,"FUTURO",IF($AD786&gt;p_dias_backlog_max,"BACKLOG","MES CORRIENTE")))</f>
        <v/>
      </c>
      <c r="AF786" s="5">
        <f>IF($AD786="",FALSE,AND($AD786&gt;p_dias_backlog_min,$AD786&lt;=p_dias_backlog_max))</f>
        <v/>
      </c>
      <c r="AG786" s="4" t="n"/>
      <c r="AH786" s="5">
        <f>IF($AG786="","",IF((IFERROR(INDEX('ASIGNACIONES'!$J$4:$J$451,MATCH($O786&amp;"|"&amp;$S786&amp;"|"&amp;$AG786,'ASIGNACIONES'!$N$4:$N$451,0)),""))=0,"",IFERROR(INDEX('ASIGNACIONES'!$J$4:$J$451,MATCH($O786&amp;"|"&amp;$S786&amp;"|"&amp;$AG786,'ASIGNACIONES'!$N$4:$N$451,0)),"")))</f>
        <v/>
      </c>
      <c r="AI786" s="25">
        <f>IF($AG786="","",SUMIFS('ORDENES'!$M$4:$M$1203,'ORDENES'!$AG$4:$AG$1203,$AG786,'ORDENES'!$O$4:$O$1203,$O786,'ORDENES'!$S$4:$S$1203,$S786))</f>
        <v/>
      </c>
      <c r="AJ786" s="25">
        <f>IF($AI786="","",p_factor_productividad*IFERROR(INDEX('ASIGNACIONES'!$M$4:$M$451,MATCH($O786&amp;"|"&amp;$S786&amp;"|"&amp;$AG786,'ASIGNACIONES'!$N$4:$N$451,0)),0)-$AI786)</f>
        <v/>
      </c>
      <c r="AK786" s="18">
        <f>IF($A786="","",IFERROR(INDEX('2_IMPORTAR_EJECUCION'!$F$9:$F$1208,MATCH($AT786,'2_IMPORTAR_EJECUCION'!$J$9:$J$1208,0)),0))</f>
        <v/>
      </c>
      <c r="AL786" s="18">
        <f>IF($A786="","",MAX(0,IFERROR(INDEX('2_IMPORTAR_EJECUCION'!$H$9:$H$1208,MATCH($AT786,'2_IMPORTAR_EJECUCION'!$J$9:$J$1208,0)),0)-$AK786))</f>
        <v/>
      </c>
      <c r="AM786" s="18">
        <f>IF($A786="","",$AK786+$AL786)</f>
        <v/>
      </c>
      <c r="AN786" s="5">
        <f>IF($A786="","",IF(OR((IFERROR(INDEX('CAT_ACTIVIDADES'!$D$4:$D$11,MATCH($H786,'CAT_ACTIVIDADES'!$A$4:$A$11,0)),""))=0,(IFERROR(INDEX('CAT_ACTIVIDADES'!$D$4:$D$11,MATCH($H786,'CAT_ACTIVIDADES'!$A$4:$A$11,0)),""))=""),"SIN CLASIFICAR",IFERROR(INDEX('CAT_ACTIVIDADES'!$D$4:$D$11,MATCH($H786,'CAT_ACTIVIDADES'!$A$4:$A$11,0)),"")))</f>
        <v/>
      </c>
      <c r="AO786" s="4" t="n"/>
      <c r="AP786" s="4" t="n"/>
      <c r="AQ786" s="4" t="n"/>
      <c r="AR786" s="5">
        <f>IF($AQ786="","",HYPERLINK(p_ruta_base_checklists&amp;$AQ786,"abrir"))</f>
        <v/>
      </c>
      <c r="AS786" s="4" t="n"/>
      <c r="AT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2" t="n"/>
      <c r="K787" s="5" t="n"/>
      <c r="L787" s="18" t="n"/>
      <c r="M787" s="5">
        <f>IF($A787="","",IFERROR(INDEX('AJUSTES'!$B$4:$B$303,MATCH($AT787,'AJUSTES'!$A$4:$A$303,0)),IF($K787="","",$K787)))</f>
        <v/>
      </c>
      <c r="N787" s="5">
        <f>IF($A787="","",IFERROR(INDEX('CAT_ESTADOS_ERP'!$B$4:$B$7,MATCH(IFERROR(INDEX('2_IMPORTAR_EJECUCION'!$C$9:$C$1208,MATCH($AT787,'2_IMPORTAR_EJECUCION'!$J$9:$J$1208,0)),""),'CAT_ESTADOS_ERP'!$A$4:$A$7,0)),"Pendiente"))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IF($J787="","",$P787&amp;"-"&amp;TEXT($Q787,"00"))</f>
        <v/>
      </c>
      <c r="S787" s="5">
        <f>IF($J787="","",INDEX(lista_dias,WEEKDAY($J787,2)))</f>
        <v/>
      </c>
      <c r="T787" s="5">
        <f>IF($J787="","",IFERROR(INDEX('CALENDARIO'!$C$15:$C$214,MATCH(TEXT($J787,"yyyy-mm-dd")&amp;"|"&amp;$X787&amp;"|"&amp;$Y787,'CALENDARIO'!$G$15:$G$214,0)),IFERROR(INDEX('CALENDARIO'!$C$15:$C$214,MATCH(TEXT($J787,"yyyy-mm-dd")&amp;"|"&amp;$X787&amp;"|",'CALENDARIO'!$G$15:$G$214,0)),IFERROR(INDEX('CALENDARIO'!$C$15:$C$214,MATCH(TEXT($J787,"yyyy-mm-dd")&amp;"||",'CALENDARIO'!$G$15:$G$214,0)),INDEX(patronHabil,WEEKDAY($J787,2))))))</f>
        <v/>
      </c>
      <c r="U787" s="5">
        <f>IF($I787="","",IFERROR(INDEX('CAT_TIPOS_OT'!$C$4:$C$8,MATCH($I787,'CAT_TIPOS_OT'!$A$4:$A$8,0)),"sin_clasificar"))</f>
        <v/>
      </c>
      <c r="V787" s="5">
        <f>IF($I787="","",IF(IFERROR(INDEX('CAT_TIPOS_OT'!$D$4:$D$8,MATCH($I787,'CAT_TIPOS_OT'!$A$4:$A$8,0)),"SIN CLASIFICAR")="","SIN CLASIFICAR",IFERROR(INDEX('CAT_TIPOS_OT'!$D$4:$D$8,MATCH($I787,'CAT_TIPOS_OT'!$A$4:$A$8,0)),"SIN CLASIFICAR")))</f>
        <v/>
      </c>
      <c r="W787" s="5">
        <f>IF($F787="","",IFERROR(INDEX('CAT_CENTROS_COSTO'!$F$4:$F$13,MATCH($F787,'CAT_CENTROS_COSTO'!$A$4:$A$13,0)),"(sin catálogo)"))</f>
        <v/>
      </c>
      <c r="X787" s="5">
        <f>IF($F787="","",IFERROR(INDEX('CAT_CENTROS_COSTO'!$D$4:$D$13,MATCH($F787,'CAT_CENTROS_COSTO'!$A$4:$A$13,0)),"(sin catálogo)"))</f>
        <v/>
      </c>
      <c r="Y787" s="5">
        <f>IF($F787="","",IF((IFERROR(INDEX('CAT_CENTROS_COSTO'!$E$4:$E$13,MATCH($F787,'CAT_CENTROS_COSTO'!$A$4:$A$13,0)),""))&lt;&gt;"",IFERROR(INDEX('CAT_CENTROS_COSTO'!$E$4:$E$13,MATCH($F787,'CAT_CENTROS_COSTO'!$A$4:$A$13,0)),""),$X787))</f>
        <v/>
      </c>
      <c r="Z787" s="5">
        <f>IF($F787="","",IFERROR(INDEX('CAT_CENTROS_COSTO'!$G$4:$G$13,MATCH($F787,'CAT_CENTROS_COSTO'!$A$4:$A$13,0)),"(sin catálogo)"))</f>
        <v/>
      </c>
      <c r="AA787" s="5">
        <f>IF($G787="","",IFERROR(INDEX('CAT_PUESTOS'!$B$4:$B$8,MATCH($G787,'CAT_PUESTOS'!$A$4:$A$8,0)),"(sin catálogo)"))</f>
        <v/>
      </c>
      <c r="AB787" s="5">
        <f>IF($H787="","",IFERROR(INDEX('CAT_ACTIVIDADES'!$B$4:$B$11,MATCH($H787,'CAT_ACTIVIDADES'!$A$4:$A$11,0)),"(sin catálogo)"))</f>
        <v/>
      </c>
      <c r="AC787" s="20">
        <f>IF($J787="","",TODAY()-$J787)</f>
        <v/>
      </c>
      <c r="AD787" s="20">
        <f>IF($J787="","",IF($J787&lt;=TODAY(),COUNTIFS(cal_fechas,"&gt;="&amp;$J787,cal_fechas,"&lt;"&amp;TODAY(),cal_habil,"sí"),-COUNTIFS(cal_fechas,"&gt;="&amp;TODAY(),cal_fechas,"&lt;"&amp;$J787,cal_habil,"sí")))</f>
        <v/>
      </c>
      <c r="AE787" s="5">
        <f>IF($AD787="","",IF($AD787&lt;0,"FUTURO",IF($AD787&gt;p_dias_backlog_max,"BACKLOG","MES CORRIENTE")))</f>
        <v/>
      </c>
      <c r="AF787" s="5">
        <f>IF($AD787="",FALSE,AND($AD787&gt;p_dias_backlog_min,$AD787&lt;=p_dias_backlog_max))</f>
        <v/>
      </c>
      <c r="AG787" s="4" t="n"/>
      <c r="AH787" s="5">
        <f>IF($AG787="","",IF((IFERROR(INDEX('ASIGNACIONES'!$J$4:$J$451,MATCH($O787&amp;"|"&amp;$S787&amp;"|"&amp;$AG787,'ASIGNACIONES'!$N$4:$N$451,0)),""))=0,"",IFERROR(INDEX('ASIGNACIONES'!$J$4:$J$451,MATCH($O787&amp;"|"&amp;$S787&amp;"|"&amp;$AG787,'ASIGNACIONES'!$N$4:$N$451,0)),"")))</f>
        <v/>
      </c>
      <c r="AI787" s="25">
        <f>IF($AG787="","",SUMIFS('ORDENES'!$M$4:$M$1203,'ORDENES'!$AG$4:$AG$1203,$AG787,'ORDENES'!$O$4:$O$1203,$O787,'ORDENES'!$S$4:$S$1203,$S787))</f>
        <v/>
      </c>
      <c r="AJ787" s="25">
        <f>IF($AI787="","",p_factor_productividad*IFERROR(INDEX('ASIGNACIONES'!$M$4:$M$451,MATCH($O787&amp;"|"&amp;$S787&amp;"|"&amp;$AG787,'ASIGNACIONES'!$N$4:$N$451,0)),0)-$AI787)</f>
        <v/>
      </c>
      <c r="AK787" s="18">
        <f>IF($A787="","",IFERROR(INDEX('2_IMPORTAR_EJECUCION'!$F$9:$F$1208,MATCH($AT787,'2_IMPORTAR_EJECUCION'!$J$9:$J$1208,0)),0))</f>
        <v/>
      </c>
      <c r="AL787" s="18">
        <f>IF($A787="","",MAX(0,IFERROR(INDEX('2_IMPORTAR_EJECUCION'!$H$9:$H$1208,MATCH($AT787,'2_IMPORTAR_EJECUCION'!$J$9:$J$1208,0)),0)-$AK787))</f>
        <v/>
      </c>
      <c r="AM787" s="18">
        <f>IF($A787="","",$AK787+$AL787)</f>
        <v/>
      </c>
      <c r="AN787" s="5">
        <f>IF($A787="","",IF(OR((IFERROR(INDEX('CAT_ACTIVIDADES'!$D$4:$D$11,MATCH($H787,'CAT_ACTIVIDADES'!$A$4:$A$11,0)),""))=0,(IFERROR(INDEX('CAT_ACTIVIDADES'!$D$4:$D$11,MATCH($H787,'CAT_ACTIVIDADES'!$A$4:$A$11,0)),""))=""),"SIN CLASIFICAR",IFERROR(INDEX('CAT_ACTIVIDADES'!$D$4:$D$11,MATCH($H787,'CAT_ACTIVIDADES'!$A$4:$A$11,0)),"")))</f>
        <v/>
      </c>
      <c r="AO787" s="4" t="n"/>
      <c r="AP787" s="4" t="n"/>
      <c r="AQ787" s="4" t="n"/>
      <c r="AR787" s="5">
        <f>IF($AQ787="","",HYPERLINK(p_ruta_base_checklists&amp;$AQ787,"abrir"))</f>
        <v/>
      </c>
      <c r="AS787" s="4" t="n"/>
      <c r="AT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2" t="n"/>
      <c r="K788" s="5" t="n"/>
      <c r="L788" s="18" t="n"/>
      <c r="M788" s="5">
        <f>IF($A788="","",IFERROR(INDEX('AJUSTES'!$B$4:$B$303,MATCH($AT788,'AJUSTES'!$A$4:$A$303,0)),IF($K788="","",$K788)))</f>
        <v/>
      </c>
      <c r="N788" s="5">
        <f>IF($A788="","",IFERROR(INDEX('CAT_ESTADOS_ERP'!$B$4:$B$7,MATCH(IFERROR(INDEX('2_IMPORTAR_EJECUCION'!$C$9:$C$1208,MATCH($AT788,'2_IMPORTAR_EJECUCION'!$J$9:$J$1208,0)),""),'CAT_ESTADOS_ERP'!$A$4:$A$7,0)),"Pendiente"))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IF($J788="","",$P788&amp;"-"&amp;TEXT($Q788,"00"))</f>
        <v/>
      </c>
      <c r="S788" s="5">
        <f>IF($J788="","",INDEX(lista_dias,WEEKDAY($J788,2)))</f>
        <v/>
      </c>
      <c r="T788" s="5">
        <f>IF($J788="","",IFERROR(INDEX('CALENDARIO'!$C$15:$C$214,MATCH(TEXT($J788,"yyyy-mm-dd")&amp;"|"&amp;$X788&amp;"|"&amp;$Y788,'CALENDARIO'!$G$15:$G$214,0)),IFERROR(INDEX('CALENDARIO'!$C$15:$C$214,MATCH(TEXT($J788,"yyyy-mm-dd")&amp;"|"&amp;$X788&amp;"|",'CALENDARIO'!$G$15:$G$214,0)),IFERROR(INDEX('CALENDARIO'!$C$15:$C$214,MATCH(TEXT($J788,"yyyy-mm-dd")&amp;"||",'CALENDARIO'!$G$15:$G$214,0)),INDEX(patronHabil,WEEKDAY($J788,2))))))</f>
        <v/>
      </c>
      <c r="U788" s="5">
        <f>IF($I788="","",IFERROR(INDEX('CAT_TIPOS_OT'!$C$4:$C$8,MATCH($I788,'CAT_TIPOS_OT'!$A$4:$A$8,0)),"sin_clasificar"))</f>
        <v/>
      </c>
      <c r="V788" s="5">
        <f>IF($I788="","",IF(IFERROR(INDEX('CAT_TIPOS_OT'!$D$4:$D$8,MATCH($I788,'CAT_TIPOS_OT'!$A$4:$A$8,0)),"SIN CLASIFICAR")="","SIN CLASIFICAR",IFERROR(INDEX('CAT_TIPOS_OT'!$D$4:$D$8,MATCH($I788,'CAT_TIPOS_OT'!$A$4:$A$8,0)),"SIN CLASIFICAR")))</f>
        <v/>
      </c>
      <c r="W788" s="5">
        <f>IF($F788="","",IFERROR(INDEX('CAT_CENTROS_COSTO'!$F$4:$F$13,MATCH($F788,'CAT_CENTROS_COSTO'!$A$4:$A$13,0)),"(sin catálogo)"))</f>
        <v/>
      </c>
      <c r="X788" s="5">
        <f>IF($F788="","",IFERROR(INDEX('CAT_CENTROS_COSTO'!$D$4:$D$13,MATCH($F788,'CAT_CENTROS_COSTO'!$A$4:$A$13,0)),"(sin catálogo)"))</f>
        <v/>
      </c>
      <c r="Y788" s="5">
        <f>IF($F788="","",IF((IFERROR(INDEX('CAT_CENTROS_COSTO'!$E$4:$E$13,MATCH($F788,'CAT_CENTROS_COSTO'!$A$4:$A$13,0)),""))&lt;&gt;"",IFERROR(INDEX('CAT_CENTROS_COSTO'!$E$4:$E$13,MATCH($F788,'CAT_CENTROS_COSTO'!$A$4:$A$13,0)),""),$X788))</f>
        <v/>
      </c>
      <c r="Z788" s="5">
        <f>IF($F788="","",IFERROR(INDEX('CAT_CENTROS_COSTO'!$G$4:$G$13,MATCH($F788,'CAT_CENTROS_COSTO'!$A$4:$A$13,0)),"(sin catálogo)"))</f>
        <v/>
      </c>
      <c r="AA788" s="5">
        <f>IF($G788="","",IFERROR(INDEX('CAT_PUESTOS'!$B$4:$B$8,MATCH($G788,'CAT_PUESTOS'!$A$4:$A$8,0)),"(sin catálogo)"))</f>
        <v/>
      </c>
      <c r="AB788" s="5">
        <f>IF($H788="","",IFERROR(INDEX('CAT_ACTIVIDADES'!$B$4:$B$11,MATCH($H788,'CAT_ACTIVIDADES'!$A$4:$A$11,0)),"(sin catálogo)"))</f>
        <v/>
      </c>
      <c r="AC788" s="20">
        <f>IF($J788="","",TODAY()-$J788)</f>
        <v/>
      </c>
      <c r="AD788" s="20">
        <f>IF($J788="","",IF($J788&lt;=TODAY(),COUNTIFS(cal_fechas,"&gt;="&amp;$J788,cal_fechas,"&lt;"&amp;TODAY(),cal_habil,"sí"),-COUNTIFS(cal_fechas,"&gt;="&amp;TODAY(),cal_fechas,"&lt;"&amp;$J788,cal_habil,"sí")))</f>
        <v/>
      </c>
      <c r="AE788" s="5">
        <f>IF($AD788="","",IF($AD788&lt;0,"FUTURO",IF($AD788&gt;p_dias_backlog_max,"BACKLOG","MES CORRIENTE")))</f>
        <v/>
      </c>
      <c r="AF788" s="5">
        <f>IF($AD788="",FALSE,AND($AD788&gt;p_dias_backlog_min,$AD788&lt;=p_dias_backlog_max))</f>
        <v/>
      </c>
      <c r="AG788" s="4" t="n"/>
      <c r="AH788" s="5">
        <f>IF($AG788="","",IF((IFERROR(INDEX('ASIGNACIONES'!$J$4:$J$451,MATCH($O788&amp;"|"&amp;$S788&amp;"|"&amp;$AG788,'ASIGNACIONES'!$N$4:$N$451,0)),""))=0,"",IFERROR(INDEX('ASIGNACIONES'!$J$4:$J$451,MATCH($O788&amp;"|"&amp;$S788&amp;"|"&amp;$AG788,'ASIGNACIONES'!$N$4:$N$451,0)),"")))</f>
        <v/>
      </c>
      <c r="AI788" s="25">
        <f>IF($AG788="","",SUMIFS('ORDENES'!$M$4:$M$1203,'ORDENES'!$AG$4:$AG$1203,$AG788,'ORDENES'!$O$4:$O$1203,$O788,'ORDENES'!$S$4:$S$1203,$S788))</f>
        <v/>
      </c>
      <c r="AJ788" s="25">
        <f>IF($AI788="","",p_factor_productividad*IFERROR(INDEX('ASIGNACIONES'!$M$4:$M$451,MATCH($O788&amp;"|"&amp;$S788&amp;"|"&amp;$AG788,'ASIGNACIONES'!$N$4:$N$451,0)),0)-$AI788)</f>
        <v/>
      </c>
      <c r="AK788" s="18">
        <f>IF($A788="","",IFERROR(INDEX('2_IMPORTAR_EJECUCION'!$F$9:$F$1208,MATCH($AT788,'2_IMPORTAR_EJECUCION'!$J$9:$J$1208,0)),0))</f>
        <v/>
      </c>
      <c r="AL788" s="18">
        <f>IF($A788="","",MAX(0,IFERROR(INDEX('2_IMPORTAR_EJECUCION'!$H$9:$H$1208,MATCH($AT788,'2_IMPORTAR_EJECUCION'!$J$9:$J$1208,0)),0)-$AK788))</f>
        <v/>
      </c>
      <c r="AM788" s="18">
        <f>IF($A788="","",$AK788+$AL788)</f>
        <v/>
      </c>
      <c r="AN788" s="5">
        <f>IF($A788="","",IF(OR((IFERROR(INDEX('CAT_ACTIVIDADES'!$D$4:$D$11,MATCH($H788,'CAT_ACTIVIDADES'!$A$4:$A$11,0)),""))=0,(IFERROR(INDEX('CAT_ACTIVIDADES'!$D$4:$D$11,MATCH($H788,'CAT_ACTIVIDADES'!$A$4:$A$11,0)),""))=""),"SIN CLASIFICAR",IFERROR(INDEX('CAT_ACTIVIDADES'!$D$4:$D$11,MATCH($H788,'CAT_ACTIVIDADES'!$A$4:$A$11,0)),"")))</f>
        <v/>
      </c>
      <c r="AO788" s="4" t="n"/>
      <c r="AP788" s="4" t="n"/>
      <c r="AQ788" s="4" t="n"/>
      <c r="AR788" s="5">
        <f>IF($AQ788="","",HYPERLINK(p_ruta_base_checklists&amp;$AQ788,"abrir"))</f>
        <v/>
      </c>
      <c r="AS788" s="4" t="n"/>
      <c r="AT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2" t="n"/>
      <c r="K789" s="5" t="n"/>
      <c r="L789" s="18" t="n"/>
      <c r="M789" s="5">
        <f>IF($A789="","",IFERROR(INDEX('AJUSTES'!$B$4:$B$303,MATCH($AT789,'AJUSTES'!$A$4:$A$303,0)),IF($K789="","",$K789)))</f>
        <v/>
      </c>
      <c r="N789" s="5">
        <f>IF($A789="","",IFERROR(INDEX('CAT_ESTADOS_ERP'!$B$4:$B$7,MATCH(IFERROR(INDEX('2_IMPORTAR_EJECUCION'!$C$9:$C$1208,MATCH($AT789,'2_IMPORTAR_EJECUCION'!$J$9:$J$1208,0)),""),'CAT_ESTADOS_ERP'!$A$4:$A$7,0)),"Pendiente"))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IF($J789="","",$P789&amp;"-"&amp;TEXT($Q789,"00"))</f>
        <v/>
      </c>
      <c r="S789" s="5">
        <f>IF($J789="","",INDEX(lista_dias,WEEKDAY($J789,2)))</f>
        <v/>
      </c>
      <c r="T789" s="5">
        <f>IF($J789="","",IFERROR(INDEX('CALENDARIO'!$C$15:$C$214,MATCH(TEXT($J789,"yyyy-mm-dd")&amp;"|"&amp;$X789&amp;"|"&amp;$Y789,'CALENDARIO'!$G$15:$G$214,0)),IFERROR(INDEX('CALENDARIO'!$C$15:$C$214,MATCH(TEXT($J789,"yyyy-mm-dd")&amp;"|"&amp;$X789&amp;"|",'CALENDARIO'!$G$15:$G$214,0)),IFERROR(INDEX('CALENDARIO'!$C$15:$C$214,MATCH(TEXT($J789,"yyyy-mm-dd")&amp;"||",'CALENDARIO'!$G$15:$G$214,0)),INDEX(patronHabil,WEEKDAY($J789,2))))))</f>
        <v/>
      </c>
      <c r="U789" s="5">
        <f>IF($I789="","",IFERROR(INDEX('CAT_TIPOS_OT'!$C$4:$C$8,MATCH($I789,'CAT_TIPOS_OT'!$A$4:$A$8,0)),"sin_clasificar"))</f>
        <v/>
      </c>
      <c r="V789" s="5">
        <f>IF($I789="","",IF(IFERROR(INDEX('CAT_TIPOS_OT'!$D$4:$D$8,MATCH($I789,'CAT_TIPOS_OT'!$A$4:$A$8,0)),"SIN CLASIFICAR")="","SIN CLASIFICAR",IFERROR(INDEX('CAT_TIPOS_OT'!$D$4:$D$8,MATCH($I789,'CAT_TIPOS_OT'!$A$4:$A$8,0)),"SIN CLASIFICAR")))</f>
        <v/>
      </c>
      <c r="W789" s="5">
        <f>IF($F789="","",IFERROR(INDEX('CAT_CENTROS_COSTO'!$F$4:$F$13,MATCH($F789,'CAT_CENTROS_COSTO'!$A$4:$A$13,0)),"(sin catálogo)"))</f>
        <v/>
      </c>
      <c r="X789" s="5">
        <f>IF($F789="","",IFERROR(INDEX('CAT_CENTROS_COSTO'!$D$4:$D$13,MATCH($F789,'CAT_CENTROS_COSTO'!$A$4:$A$13,0)),"(sin catálogo)"))</f>
        <v/>
      </c>
      <c r="Y789" s="5">
        <f>IF($F789="","",IF((IFERROR(INDEX('CAT_CENTROS_COSTO'!$E$4:$E$13,MATCH($F789,'CAT_CENTROS_COSTO'!$A$4:$A$13,0)),""))&lt;&gt;"",IFERROR(INDEX('CAT_CENTROS_COSTO'!$E$4:$E$13,MATCH($F789,'CAT_CENTROS_COSTO'!$A$4:$A$13,0)),""),$X789))</f>
        <v/>
      </c>
      <c r="Z789" s="5">
        <f>IF($F789="","",IFERROR(INDEX('CAT_CENTROS_COSTO'!$G$4:$G$13,MATCH($F789,'CAT_CENTROS_COSTO'!$A$4:$A$13,0)),"(sin catálogo)"))</f>
        <v/>
      </c>
      <c r="AA789" s="5">
        <f>IF($G789="","",IFERROR(INDEX('CAT_PUESTOS'!$B$4:$B$8,MATCH($G789,'CAT_PUESTOS'!$A$4:$A$8,0)),"(sin catálogo)"))</f>
        <v/>
      </c>
      <c r="AB789" s="5">
        <f>IF($H789="","",IFERROR(INDEX('CAT_ACTIVIDADES'!$B$4:$B$11,MATCH($H789,'CAT_ACTIVIDADES'!$A$4:$A$11,0)),"(sin catálogo)"))</f>
        <v/>
      </c>
      <c r="AC789" s="20">
        <f>IF($J789="","",TODAY()-$J789)</f>
        <v/>
      </c>
      <c r="AD789" s="20">
        <f>IF($J789="","",IF($J789&lt;=TODAY(),COUNTIFS(cal_fechas,"&gt;="&amp;$J789,cal_fechas,"&lt;"&amp;TODAY(),cal_habil,"sí"),-COUNTIFS(cal_fechas,"&gt;="&amp;TODAY(),cal_fechas,"&lt;"&amp;$J789,cal_habil,"sí")))</f>
        <v/>
      </c>
      <c r="AE789" s="5">
        <f>IF($AD789="","",IF($AD789&lt;0,"FUTURO",IF($AD789&gt;p_dias_backlog_max,"BACKLOG","MES CORRIENTE")))</f>
        <v/>
      </c>
      <c r="AF789" s="5">
        <f>IF($AD789="",FALSE,AND($AD789&gt;p_dias_backlog_min,$AD789&lt;=p_dias_backlog_max))</f>
        <v/>
      </c>
      <c r="AG789" s="4" t="n"/>
      <c r="AH789" s="5">
        <f>IF($AG789="","",IF((IFERROR(INDEX('ASIGNACIONES'!$J$4:$J$451,MATCH($O789&amp;"|"&amp;$S789&amp;"|"&amp;$AG789,'ASIGNACIONES'!$N$4:$N$451,0)),""))=0,"",IFERROR(INDEX('ASIGNACIONES'!$J$4:$J$451,MATCH($O789&amp;"|"&amp;$S789&amp;"|"&amp;$AG789,'ASIGNACIONES'!$N$4:$N$451,0)),"")))</f>
        <v/>
      </c>
      <c r="AI789" s="25">
        <f>IF($AG789="","",SUMIFS('ORDENES'!$M$4:$M$1203,'ORDENES'!$AG$4:$AG$1203,$AG789,'ORDENES'!$O$4:$O$1203,$O789,'ORDENES'!$S$4:$S$1203,$S789))</f>
        <v/>
      </c>
      <c r="AJ789" s="25">
        <f>IF($AI789="","",p_factor_productividad*IFERROR(INDEX('ASIGNACIONES'!$M$4:$M$451,MATCH($O789&amp;"|"&amp;$S789&amp;"|"&amp;$AG789,'ASIGNACIONES'!$N$4:$N$451,0)),0)-$AI789)</f>
        <v/>
      </c>
      <c r="AK789" s="18">
        <f>IF($A789="","",IFERROR(INDEX('2_IMPORTAR_EJECUCION'!$F$9:$F$1208,MATCH($AT789,'2_IMPORTAR_EJECUCION'!$J$9:$J$1208,0)),0))</f>
        <v/>
      </c>
      <c r="AL789" s="18">
        <f>IF($A789="","",MAX(0,IFERROR(INDEX('2_IMPORTAR_EJECUCION'!$H$9:$H$1208,MATCH($AT789,'2_IMPORTAR_EJECUCION'!$J$9:$J$1208,0)),0)-$AK789))</f>
        <v/>
      </c>
      <c r="AM789" s="18">
        <f>IF($A789="","",$AK789+$AL789)</f>
        <v/>
      </c>
      <c r="AN789" s="5">
        <f>IF($A789="","",IF(OR((IFERROR(INDEX('CAT_ACTIVIDADES'!$D$4:$D$11,MATCH($H789,'CAT_ACTIVIDADES'!$A$4:$A$11,0)),""))=0,(IFERROR(INDEX('CAT_ACTIVIDADES'!$D$4:$D$11,MATCH($H789,'CAT_ACTIVIDADES'!$A$4:$A$11,0)),""))=""),"SIN CLASIFICAR",IFERROR(INDEX('CAT_ACTIVIDADES'!$D$4:$D$11,MATCH($H789,'CAT_ACTIVIDADES'!$A$4:$A$11,0)),"")))</f>
        <v/>
      </c>
      <c r="AO789" s="4" t="n"/>
      <c r="AP789" s="4" t="n"/>
      <c r="AQ789" s="4" t="n"/>
      <c r="AR789" s="5">
        <f>IF($AQ789="","",HYPERLINK(p_ruta_base_checklists&amp;$AQ789,"abrir"))</f>
        <v/>
      </c>
      <c r="AS789" s="4" t="n"/>
      <c r="AT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2" t="n"/>
      <c r="K790" s="5" t="n"/>
      <c r="L790" s="18" t="n"/>
      <c r="M790" s="5">
        <f>IF($A790="","",IFERROR(INDEX('AJUSTES'!$B$4:$B$303,MATCH($AT790,'AJUSTES'!$A$4:$A$303,0)),IF($K790="","",$K790)))</f>
        <v/>
      </c>
      <c r="N790" s="5">
        <f>IF($A790="","",IFERROR(INDEX('CAT_ESTADOS_ERP'!$B$4:$B$7,MATCH(IFERROR(INDEX('2_IMPORTAR_EJECUCION'!$C$9:$C$1208,MATCH($AT790,'2_IMPORTAR_EJECUCION'!$J$9:$J$1208,0)),""),'CAT_ESTADOS_ERP'!$A$4:$A$7,0)),"Pendiente"))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IF($J790="","",$P790&amp;"-"&amp;TEXT($Q790,"00"))</f>
        <v/>
      </c>
      <c r="S790" s="5">
        <f>IF($J790="","",INDEX(lista_dias,WEEKDAY($J790,2)))</f>
        <v/>
      </c>
      <c r="T790" s="5">
        <f>IF($J790="","",IFERROR(INDEX('CALENDARIO'!$C$15:$C$214,MATCH(TEXT($J790,"yyyy-mm-dd")&amp;"|"&amp;$X790&amp;"|"&amp;$Y790,'CALENDARIO'!$G$15:$G$214,0)),IFERROR(INDEX('CALENDARIO'!$C$15:$C$214,MATCH(TEXT($J790,"yyyy-mm-dd")&amp;"|"&amp;$X790&amp;"|",'CALENDARIO'!$G$15:$G$214,0)),IFERROR(INDEX('CALENDARIO'!$C$15:$C$214,MATCH(TEXT($J790,"yyyy-mm-dd")&amp;"||",'CALENDARIO'!$G$15:$G$214,0)),INDEX(patronHabil,WEEKDAY($J790,2))))))</f>
        <v/>
      </c>
      <c r="U790" s="5">
        <f>IF($I790="","",IFERROR(INDEX('CAT_TIPOS_OT'!$C$4:$C$8,MATCH($I790,'CAT_TIPOS_OT'!$A$4:$A$8,0)),"sin_clasificar"))</f>
        <v/>
      </c>
      <c r="V790" s="5">
        <f>IF($I790="","",IF(IFERROR(INDEX('CAT_TIPOS_OT'!$D$4:$D$8,MATCH($I790,'CAT_TIPOS_OT'!$A$4:$A$8,0)),"SIN CLASIFICAR")="","SIN CLASIFICAR",IFERROR(INDEX('CAT_TIPOS_OT'!$D$4:$D$8,MATCH($I790,'CAT_TIPOS_OT'!$A$4:$A$8,0)),"SIN CLASIFICAR")))</f>
        <v/>
      </c>
      <c r="W790" s="5">
        <f>IF($F790="","",IFERROR(INDEX('CAT_CENTROS_COSTO'!$F$4:$F$13,MATCH($F790,'CAT_CENTROS_COSTO'!$A$4:$A$13,0)),"(sin catálogo)"))</f>
        <v/>
      </c>
      <c r="X790" s="5">
        <f>IF($F790="","",IFERROR(INDEX('CAT_CENTROS_COSTO'!$D$4:$D$13,MATCH($F790,'CAT_CENTROS_COSTO'!$A$4:$A$13,0)),"(sin catálogo)"))</f>
        <v/>
      </c>
      <c r="Y790" s="5">
        <f>IF($F790="","",IF((IFERROR(INDEX('CAT_CENTROS_COSTO'!$E$4:$E$13,MATCH($F790,'CAT_CENTROS_COSTO'!$A$4:$A$13,0)),""))&lt;&gt;"",IFERROR(INDEX('CAT_CENTROS_COSTO'!$E$4:$E$13,MATCH($F790,'CAT_CENTROS_COSTO'!$A$4:$A$13,0)),""),$X790))</f>
        <v/>
      </c>
      <c r="Z790" s="5">
        <f>IF($F790="","",IFERROR(INDEX('CAT_CENTROS_COSTO'!$G$4:$G$13,MATCH($F790,'CAT_CENTROS_COSTO'!$A$4:$A$13,0)),"(sin catálogo)"))</f>
        <v/>
      </c>
      <c r="AA790" s="5">
        <f>IF($G790="","",IFERROR(INDEX('CAT_PUESTOS'!$B$4:$B$8,MATCH($G790,'CAT_PUESTOS'!$A$4:$A$8,0)),"(sin catálogo)"))</f>
        <v/>
      </c>
      <c r="AB790" s="5">
        <f>IF($H790="","",IFERROR(INDEX('CAT_ACTIVIDADES'!$B$4:$B$11,MATCH($H790,'CAT_ACTIVIDADES'!$A$4:$A$11,0)),"(sin catálogo)"))</f>
        <v/>
      </c>
      <c r="AC790" s="20">
        <f>IF($J790="","",TODAY()-$J790)</f>
        <v/>
      </c>
      <c r="AD790" s="20">
        <f>IF($J790="","",IF($J790&lt;=TODAY(),COUNTIFS(cal_fechas,"&gt;="&amp;$J790,cal_fechas,"&lt;"&amp;TODAY(),cal_habil,"sí"),-COUNTIFS(cal_fechas,"&gt;="&amp;TODAY(),cal_fechas,"&lt;"&amp;$J790,cal_habil,"sí")))</f>
        <v/>
      </c>
      <c r="AE790" s="5">
        <f>IF($AD790="","",IF($AD790&lt;0,"FUTURO",IF($AD790&gt;p_dias_backlog_max,"BACKLOG","MES CORRIENTE")))</f>
        <v/>
      </c>
      <c r="AF790" s="5">
        <f>IF($AD790="",FALSE,AND($AD790&gt;p_dias_backlog_min,$AD790&lt;=p_dias_backlog_max))</f>
        <v/>
      </c>
      <c r="AG790" s="4" t="n"/>
      <c r="AH790" s="5">
        <f>IF($AG790="","",IF((IFERROR(INDEX('ASIGNACIONES'!$J$4:$J$451,MATCH($O790&amp;"|"&amp;$S790&amp;"|"&amp;$AG790,'ASIGNACIONES'!$N$4:$N$451,0)),""))=0,"",IFERROR(INDEX('ASIGNACIONES'!$J$4:$J$451,MATCH($O790&amp;"|"&amp;$S790&amp;"|"&amp;$AG790,'ASIGNACIONES'!$N$4:$N$451,0)),"")))</f>
        <v/>
      </c>
      <c r="AI790" s="25">
        <f>IF($AG790="","",SUMIFS('ORDENES'!$M$4:$M$1203,'ORDENES'!$AG$4:$AG$1203,$AG790,'ORDENES'!$O$4:$O$1203,$O790,'ORDENES'!$S$4:$S$1203,$S790))</f>
        <v/>
      </c>
      <c r="AJ790" s="25">
        <f>IF($AI790="","",p_factor_productividad*IFERROR(INDEX('ASIGNACIONES'!$M$4:$M$451,MATCH($O790&amp;"|"&amp;$S790&amp;"|"&amp;$AG790,'ASIGNACIONES'!$N$4:$N$451,0)),0)-$AI790)</f>
        <v/>
      </c>
      <c r="AK790" s="18">
        <f>IF($A790="","",IFERROR(INDEX('2_IMPORTAR_EJECUCION'!$F$9:$F$1208,MATCH($AT790,'2_IMPORTAR_EJECUCION'!$J$9:$J$1208,0)),0))</f>
        <v/>
      </c>
      <c r="AL790" s="18">
        <f>IF($A790="","",MAX(0,IFERROR(INDEX('2_IMPORTAR_EJECUCION'!$H$9:$H$1208,MATCH($AT790,'2_IMPORTAR_EJECUCION'!$J$9:$J$1208,0)),0)-$AK790))</f>
        <v/>
      </c>
      <c r="AM790" s="18">
        <f>IF($A790="","",$AK790+$AL790)</f>
        <v/>
      </c>
      <c r="AN790" s="5">
        <f>IF($A790="","",IF(OR((IFERROR(INDEX('CAT_ACTIVIDADES'!$D$4:$D$11,MATCH($H790,'CAT_ACTIVIDADES'!$A$4:$A$11,0)),""))=0,(IFERROR(INDEX('CAT_ACTIVIDADES'!$D$4:$D$11,MATCH($H790,'CAT_ACTIVIDADES'!$A$4:$A$11,0)),""))=""),"SIN CLASIFICAR",IFERROR(INDEX('CAT_ACTIVIDADES'!$D$4:$D$11,MATCH($H790,'CAT_ACTIVIDADES'!$A$4:$A$11,0)),"")))</f>
        <v/>
      </c>
      <c r="AO790" s="4" t="n"/>
      <c r="AP790" s="4" t="n"/>
      <c r="AQ790" s="4" t="n"/>
      <c r="AR790" s="5">
        <f>IF($AQ790="","",HYPERLINK(p_ruta_base_checklists&amp;$AQ790,"abrir"))</f>
        <v/>
      </c>
      <c r="AS790" s="4" t="n"/>
      <c r="AT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2" t="n"/>
      <c r="K791" s="5" t="n"/>
      <c r="L791" s="18" t="n"/>
      <c r="M791" s="5">
        <f>IF($A791="","",IFERROR(INDEX('AJUSTES'!$B$4:$B$303,MATCH($AT791,'AJUSTES'!$A$4:$A$303,0)),IF($K791="","",$K791)))</f>
        <v/>
      </c>
      <c r="N791" s="5">
        <f>IF($A791="","",IFERROR(INDEX('CAT_ESTADOS_ERP'!$B$4:$B$7,MATCH(IFERROR(INDEX('2_IMPORTAR_EJECUCION'!$C$9:$C$1208,MATCH($AT791,'2_IMPORTAR_EJECUCION'!$J$9:$J$1208,0)),""),'CAT_ESTADOS_ERP'!$A$4:$A$7,0)),"Pendiente"))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IF($J791="","",$P791&amp;"-"&amp;TEXT($Q791,"00"))</f>
        <v/>
      </c>
      <c r="S791" s="5">
        <f>IF($J791="","",INDEX(lista_dias,WEEKDAY($J791,2)))</f>
        <v/>
      </c>
      <c r="T791" s="5">
        <f>IF($J791="","",IFERROR(INDEX('CALENDARIO'!$C$15:$C$214,MATCH(TEXT($J791,"yyyy-mm-dd")&amp;"|"&amp;$X791&amp;"|"&amp;$Y791,'CALENDARIO'!$G$15:$G$214,0)),IFERROR(INDEX('CALENDARIO'!$C$15:$C$214,MATCH(TEXT($J791,"yyyy-mm-dd")&amp;"|"&amp;$X791&amp;"|",'CALENDARIO'!$G$15:$G$214,0)),IFERROR(INDEX('CALENDARIO'!$C$15:$C$214,MATCH(TEXT($J791,"yyyy-mm-dd")&amp;"||",'CALENDARIO'!$G$15:$G$214,0)),INDEX(patronHabil,WEEKDAY($J791,2))))))</f>
        <v/>
      </c>
      <c r="U791" s="5">
        <f>IF($I791="","",IFERROR(INDEX('CAT_TIPOS_OT'!$C$4:$C$8,MATCH($I791,'CAT_TIPOS_OT'!$A$4:$A$8,0)),"sin_clasificar"))</f>
        <v/>
      </c>
      <c r="V791" s="5">
        <f>IF($I791="","",IF(IFERROR(INDEX('CAT_TIPOS_OT'!$D$4:$D$8,MATCH($I791,'CAT_TIPOS_OT'!$A$4:$A$8,0)),"SIN CLASIFICAR")="","SIN CLASIFICAR",IFERROR(INDEX('CAT_TIPOS_OT'!$D$4:$D$8,MATCH($I791,'CAT_TIPOS_OT'!$A$4:$A$8,0)),"SIN CLASIFICAR")))</f>
        <v/>
      </c>
      <c r="W791" s="5">
        <f>IF($F791="","",IFERROR(INDEX('CAT_CENTROS_COSTO'!$F$4:$F$13,MATCH($F791,'CAT_CENTROS_COSTO'!$A$4:$A$13,0)),"(sin catálogo)"))</f>
        <v/>
      </c>
      <c r="X791" s="5">
        <f>IF($F791="","",IFERROR(INDEX('CAT_CENTROS_COSTO'!$D$4:$D$13,MATCH($F791,'CAT_CENTROS_COSTO'!$A$4:$A$13,0)),"(sin catálogo)"))</f>
        <v/>
      </c>
      <c r="Y791" s="5">
        <f>IF($F791="","",IF((IFERROR(INDEX('CAT_CENTROS_COSTO'!$E$4:$E$13,MATCH($F791,'CAT_CENTROS_COSTO'!$A$4:$A$13,0)),""))&lt;&gt;"",IFERROR(INDEX('CAT_CENTROS_COSTO'!$E$4:$E$13,MATCH($F791,'CAT_CENTROS_COSTO'!$A$4:$A$13,0)),""),$X791))</f>
        <v/>
      </c>
      <c r="Z791" s="5">
        <f>IF($F791="","",IFERROR(INDEX('CAT_CENTROS_COSTO'!$G$4:$G$13,MATCH($F791,'CAT_CENTROS_COSTO'!$A$4:$A$13,0)),"(sin catálogo)"))</f>
        <v/>
      </c>
      <c r="AA791" s="5">
        <f>IF($G791="","",IFERROR(INDEX('CAT_PUESTOS'!$B$4:$B$8,MATCH($G791,'CAT_PUESTOS'!$A$4:$A$8,0)),"(sin catálogo)"))</f>
        <v/>
      </c>
      <c r="AB791" s="5">
        <f>IF($H791="","",IFERROR(INDEX('CAT_ACTIVIDADES'!$B$4:$B$11,MATCH($H791,'CAT_ACTIVIDADES'!$A$4:$A$11,0)),"(sin catálogo)"))</f>
        <v/>
      </c>
      <c r="AC791" s="20">
        <f>IF($J791="","",TODAY()-$J791)</f>
        <v/>
      </c>
      <c r="AD791" s="20">
        <f>IF($J791="","",IF($J791&lt;=TODAY(),COUNTIFS(cal_fechas,"&gt;="&amp;$J791,cal_fechas,"&lt;"&amp;TODAY(),cal_habil,"sí"),-COUNTIFS(cal_fechas,"&gt;="&amp;TODAY(),cal_fechas,"&lt;"&amp;$J791,cal_habil,"sí")))</f>
        <v/>
      </c>
      <c r="AE791" s="5">
        <f>IF($AD791="","",IF($AD791&lt;0,"FUTURO",IF($AD791&gt;p_dias_backlog_max,"BACKLOG","MES CORRIENTE")))</f>
        <v/>
      </c>
      <c r="AF791" s="5">
        <f>IF($AD791="",FALSE,AND($AD791&gt;p_dias_backlog_min,$AD791&lt;=p_dias_backlog_max))</f>
        <v/>
      </c>
      <c r="AG791" s="4" t="n"/>
      <c r="AH791" s="5">
        <f>IF($AG791="","",IF((IFERROR(INDEX('ASIGNACIONES'!$J$4:$J$451,MATCH($O791&amp;"|"&amp;$S791&amp;"|"&amp;$AG791,'ASIGNACIONES'!$N$4:$N$451,0)),""))=0,"",IFERROR(INDEX('ASIGNACIONES'!$J$4:$J$451,MATCH($O791&amp;"|"&amp;$S791&amp;"|"&amp;$AG791,'ASIGNACIONES'!$N$4:$N$451,0)),"")))</f>
        <v/>
      </c>
      <c r="AI791" s="25">
        <f>IF($AG791="","",SUMIFS('ORDENES'!$M$4:$M$1203,'ORDENES'!$AG$4:$AG$1203,$AG791,'ORDENES'!$O$4:$O$1203,$O791,'ORDENES'!$S$4:$S$1203,$S791))</f>
        <v/>
      </c>
      <c r="AJ791" s="25">
        <f>IF($AI791="","",p_factor_productividad*IFERROR(INDEX('ASIGNACIONES'!$M$4:$M$451,MATCH($O791&amp;"|"&amp;$S791&amp;"|"&amp;$AG791,'ASIGNACIONES'!$N$4:$N$451,0)),0)-$AI791)</f>
        <v/>
      </c>
      <c r="AK791" s="18">
        <f>IF($A791="","",IFERROR(INDEX('2_IMPORTAR_EJECUCION'!$F$9:$F$1208,MATCH($AT791,'2_IMPORTAR_EJECUCION'!$J$9:$J$1208,0)),0))</f>
        <v/>
      </c>
      <c r="AL791" s="18">
        <f>IF($A791="","",MAX(0,IFERROR(INDEX('2_IMPORTAR_EJECUCION'!$H$9:$H$1208,MATCH($AT791,'2_IMPORTAR_EJECUCION'!$J$9:$J$1208,0)),0)-$AK791))</f>
        <v/>
      </c>
      <c r="AM791" s="18">
        <f>IF($A791="","",$AK791+$AL791)</f>
        <v/>
      </c>
      <c r="AN791" s="5">
        <f>IF($A791="","",IF(OR((IFERROR(INDEX('CAT_ACTIVIDADES'!$D$4:$D$11,MATCH($H791,'CAT_ACTIVIDADES'!$A$4:$A$11,0)),""))=0,(IFERROR(INDEX('CAT_ACTIVIDADES'!$D$4:$D$11,MATCH($H791,'CAT_ACTIVIDADES'!$A$4:$A$11,0)),""))=""),"SIN CLASIFICAR",IFERROR(INDEX('CAT_ACTIVIDADES'!$D$4:$D$11,MATCH($H791,'CAT_ACTIVIDADES'!$A$4:$A$11,0)),"")))</f>
        <v/>
      </c>
      <c r="AO791" s="4" t="n"/>
      <c r="AP791" s="4" t="n"/>
      <c r="AQ791" s="4" t="n"/>
      <c r="AR791" s="5">
        <f>IF($AQ791="","",HYPERLINK(p_ruta_base_checklists&amp;$AQ791,"abrir"))</f>
        <v/>
      </c>
      <c r="AS791" s="4" t="n"/>
      <c r="AT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2" t="n"/>
      <c r="K792" s="5" t="n"/>
      <c r="L792" s="18" t="n"/>
      <c r="M792" s="5">
        <f>IF($A792="","",IFERROR(INDEX('AJUSTES'!$B$4:$B$303,MATCH($AT792,'AJUSTES'!$A$4:$A$303,0)),IF($K792="","",$K792)))</f>
        <v/>
      </c>
      <c r="N792" s="5">
        <f>IF($A792="","",IFERROR(INDEX('CAT_ESTADOS_ERP'!$B$4:$B$7,MATCH(IFERROR(INDEX('2_IMPORTAR_EJECUCION'!$C$9:$C$1208,MATCH($AT792,'2_IMPORTAR_EJECUCION'!$J$9:$J$1208,0)),""),'CAT_ESTADOS_ERP'!$A$4:$A$7,0)),"Pendiente"))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IF($J792="","",$P792&amp;"-"&amp;TEXT($Q792,"00"))</f>
        <v/>
      </c>
      <c r="S792" s="5">
        <f>IF($J792="","",INDEX(lista_dias,WEEKDAY($J792,2)))</f>
        <v/>
      </c>
      <c r="T792" s="5">
        <f>IF($J792="","",IFERROR(INDEX('CALENDARIO'!$C$15:$C$214,MATCH(TEXT($J792,"yyyy-mm-dd")&amp;"|"&amp;$X792&amp;"|"&amp;$Y792,'CALENDARIO'!$G$15:$G$214,0)),IFERROR(INDEX('CALENDARIO'!$C$15:$C$214,MATCH(TEXT($J792,"yyyy-mm-dd")&amp;"|"&amp;$X792&amp;"|",'CALENDARIO'!$G$15:$G$214,0)),IFERROR(INDEX('CALENDARIO'!$C$15:$C$214,MATCH(TEXT($J792,"yyyy-mm-dd")&amp;"||",'CALENDARIO'!$G$15:$G$214,0)),INDEX(patronHabil,WEEKDAY($J792,2))))))</f>
        <v/>
      </c>
      <c r="U792" s="5">
        <f>IF($I792="","",IFERROR(INDEX('CAT_TIPOS_OT'!$C$4:$C$8,MATCH($I792,'CAT_TIPOS_OT'!$A$4:$A$8,0)),"sin_clasificar"))</f>
        <v/>
      </c>
      <c r="V792" s="5">
        <f>IF($I792="","",IF(IFERROR(INDEX('CAT_TIPOS_OT'!$D$4:$D$8,MATCH($I792,'CAT_TIPOS_OT'!$A$4:$A$8,0)),"SIN CLASIFICAR")="","SIN CLASIFICAR",IFERROR(INDEX('CAT_TIPOS_OT'!$D$4:$D$8,MATCH($I792,'CAT_TIPOS_OT'!$A$4:$A$8,0)),"SIN CLASIFICAR")))</f>
        <v/>
      </c>
      <c r="W792" s="5">
        <f>IF($F792="","",IFERROR(INDEX('CAT_CENTROS_COSTO'!$F$4:$F$13,MATCH($F792,'CAT_CENTROS_COSTO'!$A$4:$A$13,0)),"(sin catálogo)"))</f>
        <v/>
      </c>
      <c r="X792" s="5">
        <f>IF($F792="","",IFERROR(INDEX('CAT_CENTROS_COSTO'!$D$4:$D$13,MATCH($F792,'CAT_CENTROS_COSTO'!$A$4:$A$13,0)),"(sin catálogo)"))</f>
        <v/>
      </c>
      <c r="Y792" s="5">
        <f>IF($F792="","",IF((IFERROR(INDEX('CAT_CENTROS_COSTO'!$E$4:$E$13,MATCH($F792,'CAT_CENTROS_COSTO'!$A$4:$A$13,0)),""))&lt;&gt;"",IFERROR(INDEX('CAT_CENTROS_COSTO'!$E$4:$E$13,MATCH($F792,'CAT_CENTROS_COSTO'!$A$4:$A$13,0)),""),$X792))</f>
        <v/>
      </c>
      <c r="Z792" s="5">
        <f>IF($F792="","",IFERROR(INDEX('CAT_CENTROS_COSTO'!$G$4:$G$13,MATCH($F792,'CAT_CENTROS_COSTO'!$A$4:$A$13,0)),"(sin catálogo)"))</f>
        <v/>
      </c>
      <c r="AA792" s="5">
        <f>IF($G792="","",IFERROR(INDEX('CAT_PUESTOS'!$B$4:$B$8,MATCH($G792,'CAT_PUESTOS'!$A$4:$A$8,0)),"(sin catálogo)"))</f>
        <v/>
      </c>
      <c r="AB792" s="5">
        <f>IF($H792="","",IFERROR(INDEX('CAT_ACTIVIDADES'!$B$4:$B$11,MATCH($H792,'CAT_ACTIVIDADES'!$A$4:$A$11,0)),"(sin catálogo)"))</f>
        <v/>
      </c>
      <c r="AC792" s="20">
        <f>IF($J792="","",TODAY()-$J792)</f>
        <v/>
      </c>
      <c r="AD792" s="20">
        <f>IF($J792="","",IF($J792&lt;=TODAY(),COUNTIFS(cal_fechas,"&gt;="&amp;$J792,cal_fechas,"&lt;"&amp;TODAY(),cal_habil,"sí"),-COUNTIFS(cal_fechas,"&gt;="&amp;TODAY(),cal_fechas,"&lt;"&amp;$J792,cal_habil,"sí")))</f>
        <v/>
      </c>
      <c r="AE792" s="5">
        <f>IF($AD792="","",IF($AD792&lt;0,"FUTURO",IF($AD792&gt;p_dias_backlog_max,"BACKLOG","MES CORRIENTE")))</f>
        <v/>
      </c>
      <c r="AF792" s="5">
        <f>IF($AD792="",FALSE,AND($AD792&gt;p_dias_backlog_min,$AD792&lt;=p_dias_backlog_max))</f>
        <v/>
      </c>
      <c r="AG792" s="4" t="n"/>
      <c r="AH792" s="5">
        <f>IF($AG792="","",IF((IFERROR(INDEX('ASIGNACIONES'!$J$4:$J$451,MATCH($O792&amp;"|"&amp;$S792&amp;"|"&amp;$AG792,'ASIGNACIONES'!$N$4:$N$451,0)),""))=0,"",IFERROR(INDEX('ASIGNACIONES'!$J$4:$J$451,MATCH($O792&amp;"|"&amp;$S792&amp;"|"&amp;$AG792,'ASIGNACIONES'!$N$4:$N$451,0)),"")))</f>
        <v/>
      </c>
      <c r="AI792" s="25">
        <f>IF($AG792="","",SUMIFS('ORDENES'!$M$4:$M$1203,'ORDENES'!$AG$4:$AG$1203,$AG792,'ORDENES'!$O$4:$O$1203,$O792,'ORDENES'!$S$4:$S$1203,$S792))</f>
        <v/>
      </c>
      <c r="AJ792" s="25">
        <f>IF($AI792="","",p_factor_productividad*IFERROR(INDEX('ASIGNACIONES'!$M$4:$M$451,MATCH($O792&amp;"|"&amp;$S792&amp;"|"&amp;$AG792,'ASIGNACIONES'!$N$4:$N$451,0)),0)-$AI792)</f>
        <v/>
      </c>
      <c r="AK792" s="18">
        <f>IF($A792="","",IFERROR(INDEX('2_IMPORTAR_EJECUCION'!$F$9:$F$1208,MATCH($AT792,'2_IMPORTAR_EJECUCION'!$J$9:$J$1208,0)),0))</f>
        <v/>
      </c>
      <c r="AL792" s="18">
        <f>IF($A792="","",MAX(0,IFERROR(INDEX('2_IMPORTAR_EJECUCION'!$H$9:$H$1208,MATCH($AT792,'2_IMPORTAR_EJECUCION'!$J$9:$J$1208,0)),0)-$AK792))</f>
        <v/>
      </c>
      <c r="AM792" s="18">
        <f>IF($A792="","",$AK792+$AL792)</f>
        <v/>
      </c>
      <c r="AN792" s="5">
        <f>IF($A792="","",IF(OR((IFERROR(INDEX('CAT_ACTIVIDADES'!$D$4:$D$11,MATCH($H792,'CAT_ACTIVIDADES'!$A$4:$A$11,0)),""))=0,(IFERROR(INDEX('CAT_ACTIVIDADES'!$D$4:$D$11,MATCH($H792,'CAT_ACTIVIDADES'!$A$4:$A$11,0)),""))=""),"SIN CLASIFICAR",IFERROR(INDEX('CAT_ACTIVIDADES'!$D$4:$D$11,MATCH($H792,'CAT_ACTIVIDADES'!$A$4:$A$11,0)),"")))</f>
        <v/>
      </c>
      <c r="AO792" s="4" t="n"/>
      <c r="AP792" s="4" t="n"/>
      <c r="AQ792" s="4" t="n"/>
      <c r="AR792" s="5">
        <f>IF($AQ792="","",HYPERLINK(p_ruta_base_checklists&amp;$AQ792,"abrir"))</f>
        <v/>
      </c>
      <c r="AS792" s="4" t="n"/>
      <c r="AT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2" t="n"/>
      <c r="K793" s="5" t="n"/>
      <c r="L793" s="18" t="n"/>
      <c r="M793" s="5">
        <f>IF($A793="","",IFERROR(INDEX('AJUSTES'!$B$4:$B$303,MATCH($AT793,'AJUSTES'!$A$4:$A$303,0)),IF($K793="","",$K793)))</f>
        <v/>
      </c>
      <c r="N793" s="5">
        <f>IF($A793="","",IFERROR(INDEX('CAT_ESTADOS_ERP'!$B$4:$B$7,MATCH(IFERROR(INDEX('2_IMPORTAR_EJECUCION'!$C$9:$C$1208,MATCH($AT793,'2_IMPORTAR_EJECUCION'!$J$9:$J$1208,0)),""),'CAT_ESTADOS_ERP'!$A$4:$A$7,0)),"Pendiente"))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IF($J793="","",$P793&amp;"-"&amp;TEXT($Q793,"00"))</f>
        <v/>
      </c>
      <c r="S793" s="5">
        <f>IF($J793="","",INDEX(lista_dias,WEEKDAY($J793,2)))</f>
        <v/>
      </c>
      <c r="T793" s="5">
        <f>IF($J793="","",IFERROR(INDEX('CALENDARIO'!$C$15:$C$214,MATCH(TEXT($J793,"yyyy-mm-dd")&amp;"|"&amp;$X793&amp;"|"&amp;$Y793,'CALENDARIO'!$G$15:$G$214,0)),IFERROR(INDEX('CALENDARIO'!$C$15:$C$214,MATCH(TEXT($J793,"yyyy-mm-dd")&amp;"|"&amp;$X793&amp;"|",'CALENDARIO'!$G$15:$G$214,0)),IFERROR(INDEX('CALENDARIO'!$C$15:$C$214,MATCH(TEXT($J793,"yyyy-mm-dd")&amp;"||",'CALENDARIO'!$G$15:$G$214,0)),INDEX(patronHabil,WEEKDAY($J793,2))))))</f>
        <v/>
      </c>
      <c r="U793" s="5">
        <f>IF($I793="","",IFERROR(INDEX('CAT_TIPOS_OT'!$C$4:$C$8,MATCH($I793,'CAT_TIPOS_OT'!$A$4:$A$8,0)),"sin_clasificar"))</f>
        <v/>
      </c>
      <c r="V793" s="5">
        <f>IF($I793="","",IF(IFERROR(INDEX('CAT_TIPOS_OT'!$D$4:$D$8,MATCH($I793,'CAT_TIPOS_OT'!$A$4:$A$8,0)),"SIN CLASIFICAR")="","SIN CLASIFICAR",IFERROR(INDEX('CAT_TIPOS_OT'!$D$4:$D$8,MATCH($I793,'CAT_TIPOS_OT'!$A$4:$A$8,0)),"SIN CLASIFICAR")))</f>
        <v/>
      </c>
      <c r="W793" s="5">
        <f>IF($F793="","",IFERROR(INDEX('CAT_CENTROS_COSTO'!$F$4:$F$13,MATCH($F793,'CAT_CENTROS_COSTO'!$A$4:$A$13,0)),"(sin catálogo)"))</f>
        <v/>
      </c>
      <c r="X793" s="5">
        <f>IF($F793="","",IFERROR(INDEX('CAT_CENTROS_COSTO'!$D$4:$D$13,MATCH($F793,'CAT_CENTROS_COSTO'!$A$4:$A$13,0)),"(sin catálogo)"))</f>
        <v/>
      </c>
      <c r="Y793" s="5">
        <f>IF($F793="","",IF((IFERROR(INDEX('CAT_CENTROS_COSTO'!$E$4:$E$13,MATCH($F793,'CAT_CENTROS_COSTO'!$A$4:$A$13,0)),""))&lt;&gt;"",IFERROR(INDEX('CAT_CENTROS_COSTO'!$E$4:$E$13,MATCH($F793,'CAT_CENTROS_COSTO'!$A$4:$A$13,0)),""),$X793))</f>
        <v/>
      </c>
      <c r="Z793" s="5">
        <f>IF($F793="","",IFERROR(INDEX('CAT_CENTROS_COSTO'!$G$4:$G$13,MATCH($F793,'CAT_CENTROS_COSTO'!$A$4:$A$13,0)),"(sin catálogo)"))</f>
        <v/>
      </c>
      <c r="AA793" s="5">
        <f>IF($G793="","",IFERROR(INDEX('CAT_PUESTOS'!$B$4:$B$8,MATCH($G793,'CAT_PUESTOS'!$A$4:$A$8,0)),"(sin catálogo)"))</f>
        <v/>
      </c>
      <c r="AB793" s="5">
        <f>IF($H793="","",IFERROR(INDEX('CAT_ACTIVIDADES'!$B$4:$B$11,MATCH($H793,'CAT_ACTIVIDADES'!$A$4:$A$11,0)),"(sin catálogo)"))</f>
        <v/>
      </c>
      <c r="AC793" s="20">
        <f>IF($J793="","",TODAY()-$J793)</f>
        <v/>
      </c>
      <c r="AD793" s="20">
        <f>IF($J793="","",IF($J793&lt;=TODAY(),COUNTIFS(cal_fechas,"&gt;="&amp;$J793,cal_fechas,"&lt;"&amp;TODAY(),cal_habil,"sí"),-COUNTIFS(cal_fechas,"&gt;="&amp;TODAY(),cal_fechas,"&lt;"&amp;$J793,cal_habil,"sí")))</f>
        <v/>
      </c>
      <c r="AE793" s="5">
        <f>IF($AD793="","",IF($AD793&lt;0,"FUTURO",IF($AD793&gt;p_dias_backlog_max,"BACKLOG","MES CORRIENTE")))</f>
        <v/>
      </c>
      <c r="AF793" s="5">
        <f>IF($AD793="",FALSE,AND($AD793&gt;p_dias_backlog_min,$AD793&lt;=p_dias_backlog_max))</f>
        <v/>
      </c>
      <c r="AG793" s="4" t="n"/>
      <c r="AH793" s="5">
        <f>IF($AG793="","",IF((IFERROR(INDEX('ASIGNACIONES'!$J$4:$J$451,MATCH($O793&amp;"|"&amp;$S793&amp;"|"&amp;$AG793,'ASIGNACIONES'!$N$4:$N$451,0)),""))=0,"",IFERROR(INDEX('ASIGNACIONES'!$J$4:$J$451,MATCH($O793&amp;"|"&amp;$S793&amp;"|"&amp;$AG793,'ASIGNACIONES'!$N$4:$N$451,0)),"")))</f>
        <v/>
      </c>
      <c r="AI793" s="25">
        <f>IF($AG793="","",SUMIFS('ORDENES'!$M$4:$M$1203,'ORDENES'!$AG$4:$AG$1203,$AG793,'ORDENES'!$O$4:$O$1203,$O793,'ORDENES'!$S$4:$S$1203,$S793))</f>
        <v/>
      </c>
      <c r="AJ793" s="25">
        <f>IF($AI793="","",p_factor_productividad*IFERROR(INDEX('ASIGNACIONES'!$M$4:$M$451,MATCH($O793&amp;"|"&amp;$S793&amp;"|"&amp;$AG793,'ASIGNACIONES'!$N$4:$N$451,0)),0)-$AI793)</f>
        <v/>
      </c>
      <c r="AK793" s="18">
        <f>IF($A793="","",IFERROR(INDEX('2_IMPORTAR_EJECUCION'!$F$9:$F$1208,MATCH($AT793,'2_IMPORTAR_EJECUCION'!$J$9:$J$1208,0)),0))</f>
        <v/>
      </c>
      <c r="AL793" s="18">
        <f>IF($A793="","",MAX(0,IFERROR(INDEX('2_IMPORTAR_EJECUCION'!$H$9:$H$1208,MATCH($AT793,'2_IMPORTAR_EJECUCION'!$J$9:$J$1208,0)),0)-$AK793))</f>
        <v/>
      </c>
      <c r="AM793" s="18">
        <f>IF($A793="","",$AK793+$AL793)</f>
        <v/>
      </c>
      <c r="AN793" s="5">
        <f>IF($A793="","",IF(OR((IFERROR(INDEX('CAT_ACTIVIDADES'!$D$4:$D$11,MATCH($H793,'CAT_ACTIVIDADES'!$A$4:$A$11,0)),""))=0,(IFERROR(INDEX('CAT_ACTIVIDADES'!$D$4:$D$11,MATCH($H793,'CAT_ACTIVIDADES'!$A$4:$A$11,0)),""))=""),"SIN CLASIFICAR",IFERROR(INDEX('CAT_ACTIVIDADES'!$D$4:$D$11,MATCH($H793,'CAT_ACTIVIDADES'!$A$4:$A$11,0)),"")))</f>
        <v/>
      </c>
      <c r="AO793" s="4" t="n"/>
      <c r="AP793" s="4" t="n"/>
      <c r="AQ793" s="4" t="n"/>
      <c r="AR793" s="5">
        <f>IF($AQ793="","",HYPERLINK(p_ruta_base_checklists&amp;$AQ793,"abrir"))</f>
        <v/>
      </c>
      <c r="AS793" s="4" t="n"/>
      <c r="AT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2" t="n"/>
      <c r="K794" s="5" t="n"/>
      <c r="L794" s="18" t="n"/>
      <c r="M794" s="5">
        <f>IF($A794="","",IFERROR(INDEX('AJUSTES'!$B$4:$B$303,MATCH($AT794,'AJUSTES'!$A$4:$A$303,0)),IF($K794="","",$K794)))</f>
        <v/>
      </c>
      <c r="N794" s="5">
        <f>IF($A794="","",IFERROR(INDEX('CAT_ESTADOS_ERP'!$B$4:$B$7,MATCH(IFERROR(INDEX('2_IMPORTAR_EJECUCION'!$C$9:$C$1208,MATCH($AT794,'2_IMPORTAR_EJECUCION'!$J$9:$J$1208,0)),""),'CAT_ESTADOS_ERP'!$A$4:$A$7,0)),"Pendiente"))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IF($J794="","",$P794&amp;"-"&amp;TEXT($Q794,"00"))</f>
        <v/>
      </c>
      <c r="S794" s="5">
        <f>IF($J794="","",INDEX(lista_dias,WEEKDAY($J794,2)))</f>
        <v/>
      </c>
      <c r="T794" s="5">
        <f>IF($J794="","",IFERROR(INDEX('CALENDARIO'!$C$15:$C$214,MATCH(TEXT($J794,"yyyy-mm-dd")&amp;"|"&amp;$X794&amp;"|"&amp;$Y794,'CALENDARIO'!$G$15:$G$214,0)),IFERROR(INDEX('CALENDARIO'!$C$15:$C$214,MATCH(TEXT($J794,"yyyy-mm-dd")&amp;"|"&amp;$X794&amp;"|",'CALENDARIO'!$G$15:$G$214,0)),IFERROR(INDEX('CALENDARIO'!$C$15:$C$214,MATCH(TEXT($J794,"yyyy-mm-dd")&amp;"||",'CALENDARIO'!$G$15:$G$214,0)),INDEX(patronHabil,WEEKDAY($J794,2))))))</f>
        <v/>
      </c>
      <c r="U794" s="5">
        <f>IF($I794="","",IFERROR(INDEX('CAT_TIPOS_OT'!$C$4:$C$8,MATCH($I794,'CAT_TIPOS_OT'!$A$4:$A$8,0)),"sin_clasificar"))</f>
        <v/>
      </c>
      <c r="V794" s="5">
        <f>IF($I794="","",IF(IFERROR(INDEX('CAT_TIPOS_OT'!$D$4:$D$8,MATCH($I794,'CAT_TIPOS_OT'!$A$4:$A$8,0)),"SIN CLASIFICAR")="","SIN CLASIFICAR",IFERROR(INDEX('CAT_TIPOS_OT'!$D$4:$D$8,MATCH($I794,'CAT_TIPOS_OT'!$A$4:$A$8,0)),"SIN CLASIFICAR")))</f>
        <v/>
      </c>
      <c r="W794" s="5">
        <f>IF($F794="","",IFERROR(INDEX('CAT_CENTROS_COSTO'!$F$4:$F$13,MATCH($F794,'CAT_CENTROS_COSTO'!$A$4:$A$13,0)),"(sin catálogo)"))</f>
        <v/>
      </c>
      <c r="X794" s="5">
        <f>IF($F794="","",IFERROR(INDEX('CAT_CENTROS_COSTO'!$D$4:$D$13,MATCH($F794,'CAT_CENTROS_COSTO'!$A$4:$A$13,0)),"(sin catálogo)"))</f>
        <v/>
      </c>
      <c r="Y794" s="5">
        <f>IF($F794="","",IF((IFERROR(INDEX('CAT_CENTROS_COSTO'!$E$4:$E$13,MATCH($F794,'CAT_CENTROS_COSTO'!$A$4:$A$13,0)),""))&lt;&gt;"",IFERROR(INDEX('CAT_CENTROS_COSTO'!$E$4:$E$13,MATCH($F794,'CAT_CENTROS_COSTO'!$A$4:$A$13,0)),""),$X794))</f>
        <v/>
      </c>
      <c r="Z794" s="5">
        <f>IF($F794="","",IFERROR(INDEX('CAT_CENTROS_COSTO'!$G$4:$G$13,MATCH($F794,'CAT_CENTROS_COSTO'!$A$4:$A$13,0)),"(sin catálogo)"))</f>
        <v/>
      </c>
      <c r="AA794" s="5">
        <f>IF($G794="","",IFERROR(INDEX('CAT_PUESTOS'!$B$4:$B$8,MATCH($G794,'CAT_PUESTOS'!$A$4:$A$8,0)),"(sin catálogo)"))</f>
        <v/>
      </c>
      <c r="AB794" s="5">
        <f>IF($H794="","",IFERROR(INDEX('CAT_ACTIVIDADES'!$B$4:$B$11,MATCH($H794,'CAT_ACTIVIDADES'!$A$4:$A$11,0)),"(sin catálogo)"))</f>
        <v/>
      </c>
      <c r="AC794" s="20">
        <f>IF($J794="","",TODAY()-$J794)</f>
        <v/>
      </c>
      <c r="AD794" s="20">
        <f>IF($J794="","",IF($J794&lt;=TODAY(),COUNTIFS(cal_fechas,"&gt;="&amp;$J794,cal_fechas,"&lt;"&amp;TODAY(),cal_habil,"sí"),-COUNTIFS(cal_fechas,"&gt;="&amp;TODAY(),cal_fechas,"&lt;"&amp;$J794,cal_habil,"sí")))</f>
        <v/>
      </c>
      <c r="AE794" s="5">
        <f>IF($AD794="","",IF($AD794&lt;0,"FUTURO",IF($AD794&gt;p_dias_backlog_max,"BACKLOG","MES CORRIENTE")))</f>
        <v/>
      </c>
      <c r="AF794" s="5">
        <f>IF($AD794="",FALSE,AND($AD794&gt;p_dias_backlog_min,$AD794&lt;=p_dias_backlog_max))</f>
        <v/>
      </c>
      <c r="AG794" s="4" t="n"/>
      <c r="AH794" s="5">
        <f>IF($AG794="","",IF((IFERROR(INDEX('ASIGNACIONES'!$J$4:$J$451,MATCH($O794&amp;"|"&amp;$S794&amp;"|"&amp;$AG794,'ASIGNACIONES'!$N$4:$N$451,0)),""))=0,"",IFERROR(INDEX('ASIGNACIONES'!$J$4:$J$451,MATCH($O794&amp;"|"&amp;$S794&amp;"|"&amp;$AG794,'ASIGNACIONES'!$N$4:$N$451,0)),"")))</f>
        <v/>
      </c>
      <c r="AI794" s="25">
        <f>IF($AG794="","",SUMIFS('ORDENES'!$M$4:$M$1203,'ORDENES'!$AG$4:$AG$1203,$AG794,'ORDENES'!$O$4:$O$1203,$O794,'ORDENES'!$S$4:$S$1203,$S794))</f>
        <v/>
      </c>
      <c r="AJ794" s="25">
        <f>IF($AI794="","",p_factor_productividad*IFERROR(INDEX('ASIGNACIONES'!$M$4:$M$451,MATCH($O794&amp;"|"&amp;$S794&amp;"|"&amp;$AG794,'ASIGNACIONES'!$N$4:$N$451,0)),0)-$AI794)</f>
        <v/>
      </c>
      <c r="AK794" s="18">
        <f>IF($A794="","",IFERROR(INDEX('2_IMPORTAR_EJECUCION'!$F$9:$F$1208,MATCH($AT794,'2_IMPORTAR_EJECUCION'!$J$9:$J$1208,0)),0))</f>
        <v/>
      </c>
      <c r="AL794" s="18">
        <f>IF($A794="","",MAX(0,IFERROR(INDEX('2_IMPORTAR_EJECUCION'!$H$9:$H$1208,MATCH($AT794,'2_IMPORTAR_EJECUCION'!$J$9:$J$1208,0)),0)-$AK794))</f>
        <v/>
      </c>
      <c r="AM794" s="18">
        <f>IF($A794="","",$AK794+$AL794)</f>
        <v/>
      </c>
      <c r="AN794" s="5">
        <f>IF($A794="","",IF(OR((IFERROR(INDEX('CAT_ACTIVIDADES'!$D$4:$D$11,MATCH($H794,'CAT_ACTIVIDADES'!$A$4:$A$11,0)),""))=0,(IFERROR(INDEX('CAT_ACTIVIDADES'!$D$4:$D$11,MATCH($H794,'CAT_ACTIVIDADES'!$A$4:$A$11,0)),""))=""),"SIN CLASIFICAR",IFERROR(INDEX('CAT_ACTIVIDADES'!$D$4:$D$11,MATCH($H794,'CAT_ACTIVIDADES'!$A$4:$A$11,0)),"")))</f>
        <v/>
      </c>
      <c r="AO794" s="4" t="n"/>
      <c r="AP794" s="4" t="n"/>
      <c r="AQ794" s="4" t="n"/>
      <c r="AR794" s="5">
        <f>IF($AQ794="","",HYPERLINK(p_ruta_base_checklists&amp;$AQ794,"abrir"))</f>
        <v/>
      </c>
      <c r="AS794" s="4" t="n"/>
      <c r="AT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2" t="n"/>
      <c r="K795" s="5" t="n"/>
      <c r="L795" s="18" t="n"/>
      <c r="M795" s="5">
        <f>IF($A795="","",IFERROR(INDEX('AJUSTES'!$B$4:$B$303,MATCH($AT795,'AJUSTES'!$A$4:$A$303,0)),IF($K795="","",$K795)))</f>
        <v/>
      </c>
      <c r="N795" s="5">
        <f>IF($A795="","",IFERROR(INDEX('CAT_ESTADOS_ERP'!$B$4:$B$7,MATCH(IFERROR(INDEX('2_IMPORTAR_EJECUCION'!$C$9:$C$1208,MATCH($AT795,'2_IMPORTAR_EJECUCION'!$J$9:$J$1208,0)),""),'CAT_ESTADOS_ERP'!$A$4:$A$7,0)),"Pendiente"))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IF($J795="","",$P795&amp;"-"&amp;TEXT($Q795,"00"))</f>
        <v/>
      </c>
      <c r="S795" s="5">
        <f>IF($J795="","",INDEX(lista_dias,WEEKDAY($J795,2)))</f>
        <v/>
      </c>
      <c r="T795" s="5">
        <f>IF($J795="","",IFERROR(INDEX('CALENDARIO'!$C$15:$C$214,MATCH(TEXT($J795,"yyyy-mm-dd")&amp;"|"&amp;$X795&amp;"|"&amp;$Y795,'CALENDARIO'!$G$15:$G$214,0)),IFERROR(INDEX('CALENDARIO'!$C$15:$C$214,MATCH(TEXT($J795,"yyyy-mm-dd")&amp;"|"&amp;$X795&amp;"|",'CALENDARIO'!$G$15:$G$214,0)),IFERROR(INDEX('CALENDARIO'!$C$15:$C$214,MATCH(TEXT($J795,"yyyy-mm-dd")&amp;"||",'CALENDARIO'!$G$15:$G$214,0)),INDEX(patronHabil,WEEKDAY($J795,2))))))</f>
        <v/>
      </c>
      <c r="U795" s="5">
        <f>IF($I795="","",IFERROR(INDEX('CAT_TIPOS_OT'!$C$4:$C$8,MATCH($I795,'CAT_TIPOS_OT'!$A$4:$A$8,0)),"sin_clasificar"))</f>
        <v/>
      </c>
      <c r="V795" s="5">
        <f>IF($I795="","",IF(IFERROR(INDEX('CAT_TIPOS_OT'!$D$4:$D$8,MATCH($I795,'CAT_TIPOS_OT'!$A$4:$A$8,0)),"SIN CLASIFICAR")="","SIN CLASIFICAR",IFERROR(INDEX('CAT_TIPOS_OT'!$D$4:$D$8,MATCH($I795,'CAT_TIPOS_OT'!$A$4:$A$8,0)),"SIN CLASIFICAR")))</f>
        <v/>
      </c>
      <c r="W795" s="5">
        <f>IF($F795="","",IFERROR(INDEX('CAT_CENTROS_COSTO'!$F$4:$F$13,MATCH($F795,'CAT_CENTROS_COSTO'!$A$4:$A$13,0)),"(sin catálogo)"))</f>
        <v/>
      </c>
      <c r="X795" s="5">
        <f>IF($F795="","",IFERROR(INDEX('CAT_CENTROS_COSTO'!$D$4:$D$13,MATCH($F795,'CAT_CENTROS_COSTO'!$A$4:$A$13,0)),"(sin catálogo)"))</f>
        <v/>
      </c>
      <c r="Y795" s="5">
        <f>IF($F795="","",IF((IFERROR(INDEX('CAT_CENTROS_COSTO'!$E$4:$E$13,MATCH($F795,'CAT_CENTROS_COSTO'!$A$4:$A$13,0)),""))&lt;&gt;"",IFERROR(INDEX('CAT_CENTROS_COSTO'!$E$4:$E$13,MATCH($F795,'CAT_CENTROS_COSTO'!$A$4:$A$13,0)),""),$X795))</f>
        <v/>
      </c>
      <c r="Z795" s="5">
        <f>IF($F795="","",IFERROR(INDEX('CAT_CENTROS_COSTO'!$G$4:$G$13,MATCH($F795,'CAT_CENTROS_COSTO'!$A$4:$A$13,0)),"(sin catálogo)"))</f>
        <v/>
      </c>
      <c r="AA795" s="5">
        <f>IF($G795="","",IFERROR(INDEX('CAT_PUESTOS'!$B$4:$B$8,MATCH($G795,'CAT_PUESTOS'!$A$4:$A$8,0)),"(sin catálogo)"))</f>
        <v/>
      </c>
      <c r="AB795" s="5">
        <f>IF($H795="","",IFERROR(INDEX('CAT_ACTIVIDADES'!$B$4:$B$11,MATCH($H795,'CAT_ACTIVIDADES'!$A$4:$A$11,0)),"(sin catálogo)"))</f>
        <v/>
      </c>
      <c r="AC795" s="20">
        <f>IF($J795="","",TODAY()-$J795)</f>
        <v/>
      </c>
      <c r="AD795" s="20">
        <f>IF($J795="","",IF($J795&lt;=TODAY(),COUNTIFS(cal_fechas,"&gt;="&amp;$J795,cal_fechas,"&lt;"&amp;TODAY(),cal_habil,"sí"),-COUNTIFS(cal_fechas,"&gt;="&amp;TODAY(),cal_fechas,"&lt;"&amp;$J795,cal_habil,"sí")))</f>
        <v/>
      </c>
      <c r="AE795" s="5">
        <f>IF($AD795="","",IF($AD795&lt;0,"FUTURO",IF($AD795&gt;p_dias_backlog_max,"BACKLOG","MES CORRIENTE")))</f>
        <v/>
      </c>
      <c r="AF795" s="5">
        <f>IF($AD795="",FALSE,AND($AD795&gt;p_dias_backlog_min,$AD795&lt;=p_dias_backlog_max))</f>
        <v/>
      </c>
      <c r="AG795" s="4" t="n"/>
      <c r="AH795" s="5">
        <f>IF($AG795="","",IF((IFERROR(INDEX('ASIGNACIONES'!$J$4:$J$451,MATCH($O795&amp;"|"&amp;$S795&amp;"|"&amp;$AG795,'ASIGNACIONES'!$N$4:$N$451,0)),""))=0,"",IFERROR(INDEX('ASIGNACIONES'!$J$4:$J$451,MATCH($O795&amp;"|"&amp;$S795&amp;"|"&amp;$AG795,'ASIGNACIONES'!$N$4:$N$451,0)),"")))</f>
        <v/>
      </c>
      <c r="AI795" s="25">
        <f>IF($AG795="","",SUMIFS('ORDENES'!$M$4:$M$1203,'ORDENES'!$AG$4:$AG$1203,$AG795,'ORDENES'!$O$4:$O$1203,$O795,'ORDENES'!$S$4:$S$1203,$S795))</f>
        <v/>
      </c>
      <c r="AJ795" s="25">
        <f>IF($AI795="","",p_factor_productividad*IFERROR(INDEX('ASIGNACIONES'!$M$4:$M$451,MATCH($O795&amp;"|"&amp;$S795&amp;"|"&amp;$AG795,'ASIGNACIONES'!$N$4:$N$451,0)),0)-$AI795)</f>
        <v/>
      </c>
      <c r="AK795" s="18">
        <f>IF($A795="","",IFERROR(INDEX('2_IMPORTAR_EJECUCION'!$F$9:$F$1208,MATCH($AT795,'2_IMPORTAR_EJECUCION'!$J$9:$J$1208,0)),0))</f>
        <v/>
      </c>
      <c r="AL795" s="18">
        <f>IF($A795="","",MAX(0,IFERROR(INDEX('2_IMPORTAR_EJECUCION'!$H$9:$H$1208,MATCH($AT795,'2_IMPORTAR_EJECUCION'!$J$9:$J$1208,0)),0)-$AK795))</f>
        <v/>
      </c>
      <c r="AM795" s="18">
        <f>IF($A795="","",$AK795+$AL795)</f>
        <v/>
      </c>
      <c r="AN795" s="5">
        <f>IF($A795="","",IF(OR((IFERROR(INDEX('CAT_ACTIVIDADES'!$D$4:$D$11,MATCH($H795,'CAT_ACTIVIDADES'!$A$4:$A$11,0)),""))=0,(IFERROR(INDEX('CAT_ACTIVIDADES'!$D$4:$D$11,MATCH($H795,'CAT_ACTIVIDADES'!$A$4:$A$11,0)),""))=""),"SIN CLASIFICAR",IFERROR(INDEX('CAT_ACTIVIDADES'!$D$4:$D$11,MATCH($H795,'CAT_ACTIVIDADES'!$A$4:$A$11,0)),"")))</f>
        <v/>
      </c>
      <c r="AO795" s="4" t="n"/>
      <c r="AP795" s="4" t="n"/>
      <c r="AQ795" s="4" t="n"/>
      <c r="AR795" s="5">
        <f>IF($AQ795="","",HYPERLINK(p_ruta_base_checklists&amp;$AQ795,"abrir"))</f>
        <v/>
      </c>
      <c r="AS795" s="4" t="n"/>
      <c r="AT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2" t="n"/>
      <c r="K796" s="5" t="n"/>
      <c r="L796" s="18" t="n"/>
      <c r="M796" s="5">
        <f>IF($A796="","",IFERROR(INDEX('AJUSTES'!$B$4:$B$303,MATCH($AT796,'AJUSTES'!$A$4:$A$303,0)),IF($K796="","",$K796)))</f>
        <v/>
      </c>
      <c r="N796" s="5">
        <f>IF($A796="","",IFERROR(INDEX('CAT_ESTADOS_ERP'!$B$4:$B$7,MATCH(IFERROR(INDEX('2_IMPORTAR_EJECUCION'!$C$9:$C$1208,MATCH($AT796,'2_IMPORTAR_EJECUCION'!$J$9:$J$1208,0)),""),'CAT_ESTADOS_ERP'!$A$4:$A$7,0)),"Pendiente"))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IF($J796="","",$P796&amp;"-"&amp;TEXT($Q796,"00"))</f>
        <v/>
      </c>
      <c r="S796" s="5">
        <f>IF($J796="","",INDEX(lista_dias,WEEKDAY($J796,2)))</f>
        <v/>
      </c>
      <c r="T796" s="5">
        <f>IF($J796="","",IFERROR(INDEX('CALENDARIO'!$C$15:$C$214,MATCH(TEXT($J796,"yyyy-mm-dd")&amp;"|"&amp;$X796&amp;"|"&amp;$Y796,'CALENDARIO'!$G$15:$G$214,0)),IFERROR(INDEX('CALENDARIO'!$C$15:$C$214,MATCH(TEXT($J796,"yyyy-mm-dd")&amp;"|"&amp;$X796&amp;"|",'CALENDARIO'!$G$15:$G$214,0)),IFERROR(INDEX('CALENDARIO'!$C$15:$C$214,MATCH(TEXT($J796,"yyyy-mm-dd")&amp;"||",'CALENDARIO'!$G$15:$G$214,0)),INDEX(patronHabil,WEEKDAY($J796,2))))))</f>
        <v/>
      </c>
      <c r="U796" s="5">
        <f>IF($I796="","",IFERROR(INDEX('CAT_TIPOS_OT'!$C$4:$C$8,MATCH($I796,'CAT_TIPOS_OT'!$A$4:$A$8,0)),"sin_clasificar"))</f>
        <v/>
      </c>
      <c r="V796" s="5">
        <f>IF($I796="","",IF(IFERROR(INDEX('CAT_TIPOS_OT'!$D$4:$D$8,MATCH($I796,'CAT_TIPOS_OT'!$A$4:$A$8,0)),"SIN CLASIFICAR")="","SIN CLASIFICAR",IFERROR(INDEX('CAT_TIPOS_OT'!$D$4:$D$8,MATCH($I796,'CAT_TIPOS_OT'!$A$4:$A$8,0)),"SIN CLASIFICAR")))</f>
        <v/>
      </c>
      <c r="W796" s="5">
        <f>IF($F796="","",IFERROR(INDEX('CAT_CENTROS_COSTO'!$F$4:$F$13,MATCH($F796,'CAT_CENTROS_COSTO'!$A$4:$A$13,0)),"(sin catálogo)"))</f>
        <v/>
      </c>
      <c r="X796" s="5">
        <f>IF($F796="","",IFERROR(INDEX('CAT_CENTROS_COSTO'!$D$4:$D$13,MATCH($F796,'CAT_CENTROS_COSTO'!$A$4:$A$13,0)),"(sin catálogo)"))</f>
        <v/>
      </c>
      <c r="Y796" s="5">
        <f>IF($F796="","",IF((IFERROR(INDEX('CAT_CENTROS_COSTO'!$E$4:$E$13,MATCH($F796,'CAT_CENTROS_COSTO'!$A$4:$A$13,0)),""))&lt;&gt;"",IFERROR(INDEX('CAT_CENTROS_COSTO'!$E$4:$E$13,MATCH($F796,'CAT_CENTROS_COSTO'!$A$4:$A$13,0)),""),$X796))</f>
        <v/>
      </c>
      <c r="Z796" s="5">
        <f>IF($F796="","",IFERROR(INDEX('CAT_CENTROS_COSTO'!$G$4:$G$13,MATCH($F796,'CAT_CENTROS_COSTO'!$A$4:$A$13,0)),"(sin catálogo)"))</f>
        <v/>
      </c>
      <c r="AA796" s="5">
        <f>IF($G796="","",IFERROR(INDEX('CAT_PUESTOS'!$B$4:$B$8,MATCH($G796,'CAT_PUESTOS'!$A$4:$A$8,0)),"(sin catálogo)"))</f>
        <v/>
      </c>
      <c r="AB796" s="5">
        <f>IF($H796="","",IFERROR(INDEX('CAT_ACTIVIDADES'!$B$4:$B$11,MATCH($H796,'CAT_ACTIVIDADES'!$A$4:$A$11,0)),"(sin catálogo)"))</f>
        <v/>
      </c>
      <c r="AC796" s="20">
        <f>IF($J796="","",TODAY()-$J796)</f>
        <v/>
      </c>
      <c r="AD796" s="20">
        <f>IF($J796="","",IF($J796&lt;=TODAY(),COUNTIFS(cal_fechas,"&gt;="&amp;$J796,cal_fechas,"&lt;"&amp;TODAY(),cal_habil,"sí"),-COUNTIFS(cal_fechas,"&gt;="&amp;TODAY(),cal_fechas,"&lt;"&amp;$J796,cal_habil,"sí")))</f>
        <v/>
      </c>
      <c r="AE796" s="5">
        <f>IF($AD796="","",IF($AD796&lt;0,"FUTURO",IF($AD796&gt;p_dias_backlog_max,"BACKLOG","MES CORRIENTE")))</f>
        <v/>
      </c>
      <c r="AF796" s="5">
        <f>IF($AD796="",FALSE,AND($AD796&gt;p_dias_backlog_min,$AD796&lt;=p_dias_backlog_max))</f>
        <v/>
      </c>
      <c r="AG796" s="4" t="n"/>
      <c r="AH796" s="5">
        <f>IF($AG796="","",IF((IFERROR(INDEX('ASIGNACIONES'!$J$4:$J$451,MATCH($O796&amp;"|"&amp;$S796&amp;"|"&amp;$AG796,'ASIGNACIONES'!$N$4:$N$451,0)),""))=0,"",IFERROR(INDEX('ASIGNACIONES'!$J$4:$J$451,MATCH($O796&amp;"|"&amp;$S796&amp;"|"&amp;$AG796,'ASIGNACIONES'!$N$4:$N$451,0)),"")))</f>
        <v/>
      </c>
      <c r="AI796" s="25">
        <f>IF($AG796="","",SUMIFS('ORDENES'!$M$4:$M$1203,'ORDENES'!$AG$4:$AG$1203,$AG796,'ORDENES'!$O$4:$O$1203,$O796,'ORDENES'!$S$4:$S$1203,$S796))</f>
        <v/>
      </c>
      <c r="AJ796" s="25">
        <f>IF($AI796="","",p_factor_productividad*IFERROR(INDEX('ASIGNACIONES'!$M$4:$M$451,MATCH($O796&amp;"|"&amp;$S796&amp;"|"&amp;$AG796,'ASIGNACIONES'!$N$4:$N$451,0)),0)-$AI796)</f>
        <v/>
      </c>
      <c r="AK796" s="18">
        <f>IF($A796="","",IFERROR(INDEX('2_IMPORTAR_EJECUCION'!$F$9:$F$1208,MATCH($AT796,'2_IMPORTAR_EJECUCION'!$J$9:$J$1208,0)),0))</f>
        <v/>
      </c>
      <c r="AL796" s="18">
        <f>IF($A796="","",MAX(0,IFERROR(INDEX('2_IMPORTAR_EJECUCION'!$H$9:$H$1208,MATCH($AT796,'2_IMPORTAR_EJECUCION'!$J$9:$J$1208,0)),0)-$AK796))</f>
        <v/>
      </c>
      <c r="AM796" s="18">
        <f>IF($A796="","",$AK796+$AL796)</f>
        <v/>
      </c>
      <c r="AN796" s="5">
        <f>IF($A796="","",IF(OR((IFERROR(INDEX('CAT_ACTIVIDADES'!$D$4:$D$11,MATCH($H796,'CAT_ACTIVIDADES'!$A$4:$A$11,0)),""))=0,(IFERROR(INDEX('CAT_ACTIVIDADES'!$D$4:$D$11,MATCH($H796,'CAT_ACTIVIDADES'!$A$4:$A$11,0)),""))=""),"SIN CLASIFICAR",IFERROR(INDEX('CAT_ACTIVIDADES'!$D$4:$D$11,MATCH($H796,'CAT_ACTIVIDADES'!$A$4:$A$11,0)),"")))</f>
        <v/>
      </c>
      <c r="AO796" s="4" t="n"/>
      <c r="AP796" s="4" t="n"/>
      <c r="AQ796" s="4" t="n"/>
      <c r="AR796" s="5">
        <f>IF($AQ796="","",HYPERLINK(p_ruta_base_checklists&amp;$AQ796,"abrir"))</f>
        <v/>
      </c>
      <c r="AS796" s="4" t="n"/>
      <c r="AT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2" t="n"/>
      <c r="K797" s="5" t="n"/>
      <c r="L797" s="18" t="n"/>
      <c r="M797" s="5">
        <f>IF($A797="","",IFERROR(INDEX('AJUSTES'!$B$4:$B$303,MATCH($AT797,'AJUSTES'!$A$4:$A$303,0)),IF($K797="","",$K797)))</f>
        <v/>
      </c>
      <c r="N797" s="5">
        <f>IF($A797="","",IFERROR(INDEX('CAT_ESTADOS_ERP'!$B$4:$B$7,MATCH(IFERROR(INDEX('2_IMPORTAR_EJECUCION'!$C$9:$C$1208,MATCH($AT797,'2_IMPORTAR_EJECUCION'!$J$9:$J$1208,0)),""),'CAT_ESTADOS_ERP'!$A$4:$A$7,0)),"Pendiente"))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IF($J797="","",$P797&amp;"-"&amp;TEXT($Q797,"00"))</f>
        <v/>
      </c>
      <c r="S797" s="5">
        <f>IF($J797="","",INDEX(lista_dias,WEEKDAY($J797,2)))</f>
        <v/>
      </c>
      <c r="T797" s="5">
        <f>IF($J797="","",IFERROR(INDEX('CALENDARIO'!$C$15:$C$214,MATCH(TEXT($J797,"yyyy-mm-dd")&amp;"|"&amp;$X797&amp;"|"&amp;$Y797,'CALENDARIO'!$G$15:$G$214,0)),IFERROR(INDEX('CALENDARIO'!$C$15:$C$214,MATCH(TEXT($J797,"yyyy-mm-dd")&amp;"|"&amp;$X797&amp;"|",'CALENDARIO'!$G$15:$G$214,0)),IFERROR(INDEX('CALENDARIO'!$C$15:$C$214,MATCH(TEXT($J797,"yyyy-mm-dd")&amp;"||",'CALENDARIO'!$G$15:$G$214,0)),INDEX(patronHabil,WEEKDAY($J797,2))))))</f>
        <v/>
      </c>
      <c r="U797" s="5">
        <f>IF($I797="","",IFERROR(INDEX('CAT_TIPOS_OT'!$C$4:$C$8,MATCH($I797,'CAT_TIPOS_OT'!$A$4:$A$8,0)),"sin_clasificar"))</f>
        <v/>
      </c>
      <c r="V797" s="5">
        <f>IF($I797="","",IF(IFERROR(INDEX('CAT_TIPOS_OT'!$D$4:$D$8,MATCH($I797,'CAT_TIPOS_OT'!$A$4:$A$8,0)),"SIN CLASIFICAR")="","SIN CLASIFICAR",IFERROR(INDEX('CAT_TIPOS_OT'!$D$4:$D$8,MATCH($I797,'CAT_TIPOS_OT'!$A$4:$A$8,0)),"SIN CLASIFICAR")))</f>
        <v/>
      </c>
      <c r="W797" s="5">
        <f>IF($F797="","",IFERROR(INDEX('CAT_CENTROS_COSTO'!$F$4:$F$13,MATCH($F797,'CAT_CENTROS_COSTO'!$A$4:$A$13,0)),"(sin catálogo)"))</f>
        <v/>
      </c>
      <c r="X797" s="5">
        <f>IF($F797="","",IFERROR(INDEX('CAT_CENTROS_COSTO'!$D$4:$D$13,MATCH($F797,'CAT_CENTROS_COSTO'!$A$4:$A$13,0)),"(sin catálogo)"))</f>
        <v/>
      </c>
      <c r="Y797" s="5">
        <f>IF($F797="","",IF((IFERROR(INDEX('CAT_CENTROS_COSTO'!$E$4:$E$13,MATCH($F797,'CAT_CENTROS_COSTO'!$A$4:$A$13,0)),""))&lt;&gt;"",IFERROR(INDEX('CAT_CENTROS_COSTO'!$E$4:$E$13,MATCH($F797,'CAT_CENTROS_COSTO'!$A$4:$A$13,0)),""),$X797))</f>
        <v/>
      </c>
      <c r="Z797" s="5">
        <f>IF($F797="","",IFERROR(INDEX('CAT_CENTROS_COSTO'!$G$4:$G$13,MATCH($F797,'CAT_CENTROS_COSTO'!$A$4:$A$13,0)),"(sin catálogo)"))</f>
        <v/>
      </c>
      <c r="AA797" s="5">
        <f>IF($G797="","",IFERROR(INDEX('CAT_PUESTOS'!$B$4:$B$8,MATCH($G797,'CAT_PUESTOS'!$A$4:$A$8,0)),"(sin catálogo)"))</f>
        <v/>
      </c>
      <c r="AB797" s="5">
        <f>IF($H797="","",IFERROR(INDEX('CAT_ACTIVIDADES'!$B$4:$B$11,MATCH($H797,'CAT_ACTIVIDADES'!$A$4:$A$11,0)),"(sin catálogo)"))</f>
        <v/>
      </c>
      <c r="AC797" s="20">
        <f>IF($J797="","",TODAY()-$J797)</f>
        <v/>
      </c>
      <c r="AD797" s="20">
        <f>IF($J797="","",IF($J797&lt;=TODAY(),COUNTIFS(cal_fechas,"&gt;="&amp;$J797,cal_fechas,"&lt;"&amp;TODAY(),cal_habil,"sí"),-COUNTIFS(cal_fechas,"&gt;="&amp;TODAY(),cal_fechas,"&lt;"&amp;$J797,cal_habil,"sí")))</f>
        <v/>
      </c>
      <c r="AE797" s="5">
        <f>IF($AD797="","",IF($AD797&lt;0,"FUTURO",IF($AD797&gt;p_dias_backlog_max,"BACKLOG","MES CORRIENTE")))</f>
        <v/>
      </c>
      <c r="AF797" s="5">
        <f>IF($AD797="",FALSE,AND($AD797&gt;p_dias_backlog_min,$AD797&lt;=p_dias_backlog_max))</f>
        <v/>
      </c>
      <c r="AG797" s="4" t="n"/>
      <c r="AH797" s="5">
        <f>IF($AG797="","",IF((IFERROR(INDEX('ASIGNACIONES'!$J$4:$J$451,MATCH($O797&amp;"|"&amp;$S797&amp;"|"&amp;$AG797,'ASIGNACIONES'!$N$4:$N$451,0)),""))=0,"",IFERROR(INDEX('ASIGNACIONES'!$J$4:$J$451,MATCH($O797&amp;"|"&amp;$S797&amp;"|"&amp;$AG797,'ASIGNACIONES'!$N$4:$N$451,0)),"")))</f>
        <v/>
      </c>
      <c r="AI797" s="25">
        <f>IF($AG797="","",SUMIFS('ORDENES'!$M$4:$M$1203,'ORDENES'!$AG$4:$AG$1203,$AG797,'ORDENES'!$O$4:$O$1203,$O797,'ORDENES'!$S$4:$S$1203,$S797))</f>
        <v/>
      </c>
      <c r="AJ797" s="25">
        <f>IF($AI797="","",p_factor_productividad*IFERROR(INDEX('ASIGNACIONES'!$M$4:$M$451,MATCH($O797&amp;"|"&amp;$S797&amp;"|"&amp;$AG797,'ASIGNACIONES'!$N$4:$N$451,0)),0)-$AI797)</f>
        <v/>
      </c>
      <c r="AK797" s="18">
        <f>IF($A797="","",IFERROR(INDEX('2_IMPORTAR_EJECUCION'!$F$9:$F$1208,MATCH($AT797,'2_IMPORTAR_EJECUCION'!$J$9:$J$1208,0)),0))</f>
        <v/>
      </c>
      <c r="AL797" s="18">
        <f>IF($A797="","",MAX(0,IFERROR(INDEX('2_IMPORTAR_EJECUCION'!$H$9:$H$1208,MATCH($AT797,'2_IMPORTAR_EJECUCION'!$J$9:$J$1208,0)),0)-$AK797))</f>
        <v/>
      </c>
      <c r="AM797" s="18">
        <f>IF($A797="","",$AK797+$AL797)</f>
        <v/>
      </c>
      <c r="AN797" s="5">
        <f>IF($A797="","",IF(OR((IFERROR(INDEX('CAT_ACTIVIDADES'!$D$4:$D$11,MATCH($H797,'CAT_ACTIVIDADES'!$A$4:$A$11,0)),""))=0,(IFERROR(INDEX('CAT_ACTIVIDADES'!$D$4:$D$11,MATCH($H797,'CAT_ACTIVIDADES'!$A$4:$A$11,0)),""))=""),"SIN CLASIFICAR",IFERROR(INDEX('CAT_ACTIVIDADES'!$D$4:$D$11,MATCH($H797,'CAT_ACTIVIDADES'!$A$4:$A$11,0)),"")))</f>
        <v/>
      </c>
      <c r="AO797" s="4" t="n"/>
      <c r="AP797" s="4" t="n"/>
      <c r="AQ797" s="4" t="n"/>
      <c r="AR797" s="5">
        <f>IF($AQ797="","",HYPERLINK(p_ruta_base_checklists&amp;$AQ797,"abrir"))</f>
        <v/>
      </c>
      <c r="AS797" s="4" t="n"/>
      <c r="AT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2" t="n"/>
      <c r="K798" s="5" t="n"/>
      <c r="L798" s="18" t="n"/>
      <c r="M798" s="5">
        <f>IF($A798="","",IFERROR(INDEX('AJUSTES'!$B$4:$B$303,MATCH($AT798,'AJUSTES'!$A$4:$A$303,0)),IF($K798="","",$K798)))</f>
        <v/>
      </c>
      <c r="N798" s="5">
        <f>IF($A798="","",IFERROR(INDEX('CAT_ESTADOS_ERP'!$B$4:$B$7,MATCH(IFERROR(INDEX('2_IMPORTAR_EJECUCION'!$C$9:$C$1208,MATCH($AT798,'2_IMPORTAR_EJECUCION'!$J$9:$J$1208,0)),""),'CAT_ESTADOS_ERP'!$A$4:$A$7,0)),"Pendiente"))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IF($J798="","",$P798&amp;"-"&amp;TEXT($Q798,"00"))</f>
        <v/>
      </c>
      <c r="S798" s="5">
        <f>IF($J798="","",INDEX(lista_dias,WEEKDAY($J798,2)))</f>
        <v/>
      </c>
      <c r="T798" s="5">
        <f>IF($J798="","",IFERROR(INDEX('CALENDARIO'!$C$15:$C$214,MATCH(TEXT($J798,"yyyy-mm-dd")&amp;"|"&amp;$X798&amp;"|"&amp;$Y798,'CALENDARIO'!$G$15:$G$214,0)),IFERROR(INDEX('CALENDARIO'!$C$15:$C$214,MATCH(TEXT($J798,"yyyy-mm-dd")&amp;"|"&amp;$X798&amp;"|",'CALENDARIO'!$G$15:$G$214,0)),IFERROR(INDEX('CALENDARIO'!$C$15:$C$214,MATCH(TEXT($J798,"yyyy-mm-dd")&amp;"||",'CALENDARIO'!$G$15:$G$214,0)),INDEX(patronHabil,WEEKDAY($J798,2))))))</f>
        <v/>
      </c>
      <c r="U798" s="5">
        <f>IF($I798="","",IFERROR(INDEX('CAT_TIPOS_OT'!$C$4:$C$8,MATCH($I798,'CAT_TIPOS_OT'!$A$4:$A$8,0)),"sin_clasificar"))</f>
        <v/>
      </c>
      <c r="V798" s="5">
        <f>IF($I798="","",IF(IFERROR(INDEX('CAT_TIPOS_OT'!$D$4:$D$8,MATCH($I798,'CAT_TIPOS_OT'!$A$4:$A$8,0)),"SIN CLASIFICAR")="","SIN CLASIFICAR",IFERROR(INDEX('CAT_TIPOS_OT'!$D$4:$D$8,MATCH($I798,'CAT_TIPOS_OT'!$A$4:$A$8,0)),"SIN CLASIFICAR")))</f>
        <v/>
      </c>
      <c r="W798" s="5">
        <f>IF($F798="","",IFERROR(INDEX('CAT_CENTROS_COSTO'!$F$4:$F$13,MATCH($F798,'CAT_CENTROS_COSTO'!$A$4:$A$13,0)),"(sin catálogo)"))</f>
        <v/>
      </c>
      <c r="X798" s="5">
        <f>IF($F798="","",IFERROR(INDEX('CAT_CENTROS_COSTO'!$D$4:$D$13,MATCH($F798,'CAT_CENTROS_COSTO'!$A$4:$A$13,0)),"(sin catálogo)"))</f>
        <v/>
      </c>
      <c r="Y798" s="5">
        <f>IF($F798="","",IF((IFERROR(INDEX('CAT_CENTROS_COSTO'!$E$4:$E$13,MATCH($F798,'CAT_CENTROS_COSTO'!$A$4:$A$13,0)),""))&lt;&gt;"",IFERROR(INDEX('CAT_CENTROS_COSTO'!$E$4:$E$13,MATCH($F798,'CAT_CENTROS_COSTO'!$A$4:$A$13,0)),""),$X798))</f>
        <v/>
      </c>
      <c r="Z798" s="5">
        <f>IF($F798="","",IFERROR(INDEX('CAT_CENTROS_COSTO'!$G$4:$G$13,MATCH($F798,'CAT_CENTROS_COSTO'!$A$4:$A$13,0)),"(sin catálogo)"))</f>
        <v/>
      </c>
      <c r="AA798" s="5">
        <f>IF($G798="","",IFERROR(INDEX('CAT_PUESTOS'!$B$4:$B$8,MATCH($G798,'CAT_PUESTOS'!$A$4:$A$8,0)),"(sin catálogo)"))</f>
        <v/>
      </c>
      <c r="AB798" s="5">
        <f>IF($H798="","",IFERROR(INDEX('CAT_ACTIVIDADES'!$B$4:$B$11,MATCH($H798,'CAT_ACTIVIDADES'!$A$4:$A$11,0)),"(sin catálogo)"))</f>
        <v/>
      </c>
      <c r="AC798" s="20">
        <f>IF($J798="","",TODAY()-$J798)</f>
        <v/>
      </c>
      <c r="AD798" s="20">
        <f>IF($J798="","",IF($J798&lt;=TODAY(),COUNTIFS(cal_fechas,"&gt;="&amp;$J798,cal_fechas,"&lt;"&amp;TODAY(),cal_habil,"sí"),-COUNTIFS(cal_fechas,"&gt;="&amp;TODAY(),cal_fechas,"&lt;"&amp;$J798,cal_habil,"sí")))</f>
        <v/>
      </c>
      <c r="AE798" s="5">
        <f>IF($AD798="","",IF($AD798&lt;0,"FUTURO",IF($AD798&gt;p_dias_backlog_max,"BACKLOG","MES CORRIENTE")))</f>
        <v/>
      </c>
      <c r="AF798" s="5">
        <f>IF($AD798="",FALSE,AND($AD798&gt;p_dias_backlog_min,$AD798&lt;=p_dias_backlog_max))</f>
        <v/>
      </c>
      <c r="AG798" s="4" t="n"/>
      <c r="AH798" s="5">
        <f>IF($AG798="","",IF((IFERROR(INDEX('ASIGNACIONES'!$J$4:$J$451,MATCH($O798&amp;"|"&amp;$S798&amp;"|"&amp;$AG798,'ASIGNACIONES'!$N$4:$N$451,0)),""))=0,"",IFERROR(INDEX('ASIGNACIONES'!$J$4:$J$451,MATCH($O798&amp;"|"&amp;$S798&amp;"|"&amp;$AG798,'ASIGNACIONES'!$N$4:$N$451,0)),"")))</f>
        <v/>
      </c>
      <c r="AI798" s="25">
        <f>IF($AG798="","",SUMIFS('ORDENES'!$M$4:$M$1203,'ORDENES'!$AG$4:$AG$1203,$AG798,'ORDENES'!$O$4:$O$1203,$O798,'ORDENES'!$S$4:$S$1203,$S798))</f>
        <v/>
      </c>
      <c r="AJ798" s="25">
        <f>IF($AI798="","",p_factor_productividad*IFERROR(INDEX('ASIGNACIONES'!$M$4:$M$451,MATCH($O798&amp;"|"&amp;$S798&amp;"|"&amp;$AG798,'ASIGNACIONES'!$N$4:$N$451,0)),0)-$AI798)</f>
        <v/>
      </c>
      <c r="AK798" s="18">
        <f>IF($A798="","",IFERROR(INDEX('2_IMPORTAR_EJECUCION'!$F$9:$F$1208,MATCH($AT798,'2_IMPORTAR_EJECUCION'!$J$9:$J$1208,0)),0))</f>
        <v/>
      </c>
      <c r="AL798" s="18">
        <f>IF($A798="","",MAX(0,IFERROR(INDEX('2_IMPORTAR_EJECUCION'!$H$9:$H$1208,MATCH($AT798,'2_IMPORTAR_EJECUCION'!$J$9:$J$1208,0)),0)-$AK798))</f>
        <v/>
      </c>
      <c r="AM798" s="18">
        <f>IF($A798="","",$AK798+$AL798)</f>
        <v/>
      </c>
      <c r="AN798" s="5">
        <f>IF($A798="","",IF(OR((IFERROR(INDEX('CAT_ACTIVIDADES'!$D$4:$D$11,MATCH($H798,'CAT_ACTIVIDADES'!$A$4:$A$11,0)),""))=0,(IFERROR(INDEX('CAT_ACTIVIDADES'!$D$4:$D$11,MATCH($H798,'CAT_ACTIVIDADES'!$A$4:$A$11,0)),""))=""),"SIN CLASIFICAR",IFERROR(INDEX('CAT_ACTIVIDADES'!$D$4:$D$11,MATCH($H798,'CAT_ACTIVIDADES'!$A$4:$A$11,0)),"")))</f>
        <v/>
      </c>
      <c r="AO798" s="4" t="n"/>
      <c r="AP798" s="4" t="n"/>
      <c r="AQ798" s="4" t="n"/>
      <c r="AR798" s="5">
        <f>IF($AQ798="","",HYPERLINK(p_ruta_base_checklists&amp;$AQ798,"abrir"))</f>
        <v/>
      </c>
      <c r="AS798" s="4" t="n"/>
      <c r="AT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2" t="n"/>
      <c r="K799" s="5" t="n"/>
      <c r="L799" s="18" t="n"/>
      <c r="M799" s="5">
        <f>IF($A799="","",IFERROR(INDEX('AJUSTES'!$B$4:$B$303,MATCH($AT799,'AJUSTES'!$A$4:$A$303,0)),IF($K799="","",$K799)))</f>
        <v/>
      </c>
      <c r="N799" s="5">
        <f>IF($A799="","",IFERROR(INDEX('CAT_ESTADOS_ERP'!$B$4:$B$7,MATCH(IFERROR(INDEX('2_IMPORTAR_EJECUCION'!$C$9:$C$1208,MATCH($AT799,'2_IMPORTAR_EJECUCION'!$J$9:$J$1208,0)),""),'CAT_ESTADOS_ERP'!$A$4:$A$7,0)),"Pendiente"))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IF($J799="","",$P799&amp;"-"&amp;TEXT($Q799,"00"))</f>
        <v/>
      </c>
      <c r="S799" s="5">
        <f>IF($J799="","",INDEX(lista_dias,WEEKDAY($J799,2)))</f>
        <v/>
      </c>
      <c r="T799" s="5">
        <f>IF($J799="","",IFERROR(INDEX('CALENDARIO'!$C$15:$C$214,MATCH(TEXT($J799,"yyyy-mm-dd")&amp;"|"&amp;$X799&amp;"|"&amp;$Y799,'CALENDARIO'!$G$15:$G$214,0)),IFERROR(INDEX('CALENDARIO'!$C$15:$C$214,MATCH(TEXT($J799,"yyyy-mm-dd")&amp;"|"&amp;$X799&amp;"|",'CALENDARIO'!$G$15:$G$214,0)),IFERROR(INDEX('CALENDARIO'!$C$15:$C$214,MATCH(TEXT($J799,"yyyy-mm-dd")&amp;"||",'CALENDARIO'!$G$15:$G$214,0)),INDEX(patronHabil,WEEKDAY($J799,2))))))</f>
        <v/>
      </c>
      <c r="U799" s="5">
        <f>IF($I799="","",IFERROR(INDEX('CAT_TIPOS_OT'!$C$4:$C$8,MATCH($I799,'CAT_TIPOS_OT'!$A$4:$A$8,0)),"sin_clasificar"))</f>
        <v/>
      </c>
      <c r="V799" s="5">
        <f>IF($I799="","",IF(IFERROR(INDEX('CAT_TIPOS_OT'!$D$4:$D$8,MATCH($I799,'CAT_TIPOS_OT'!$A$4:$A$8,0)),"SIN CLASIFICAR")="","SIN CLASIFICAR",IFERROR(INDEX('CAT_TIPOS_OT'!$D$4:$D$8,MATCH($I799,'CAT_TIPOS_OT'!$A$4:$A$8,0)),"SIN CLASIFICAR")))</f>
        <v/>
      </c>
      <c r="W799" s="5">
        <f>IF($F799="","",IFERROR(INDEX('CAT_CENTROS_COSTO'!$F$4:$F$13,MATCH($F799,'CAT_CENTROS_COSTO'!$A$4:$A$13,0)),"(sin catálogo)"))</f>
        <v/>
      </c>
      <c r="X799" s="5">
        <f>IF($F799="","",IFERROR(INDEX('CAT_CENTROS_COSTO'!$D$4:$D$13,MATCH($F799,'CAT_CENTROS_COSTO'!$A$4:$A$13,0)),"(sin catálogo)"))</f>
        <v/>
      </c>
      <c r="Y799" s="5">
        <f>IF($F799="","",IF((IFERROR(INDEX('CAT_CENTROS_COSTO'!$E$4:$E$13,MATCH($F799,'CAT_CENTROS_COSTO'!$A$4:$A$13,0)),""))&lt;&gt;"",IFERROR(INDEX('CAT_CENTROS_COSTO'!$E$4:$E$13,MATCH($F799,'CAT_CENTROS_COSTO'!$A$4:$A$13,0)),""),$X799))</f>
        <v/>
      </c>
      <c r="Z799" s="5">
        <f>IF($F799="","",IFERROR(INDEX('CAT_CENTROS_COSTO'!$G$4:$G$13,MATCH($F799,'CAT_CENTROS_COSTO'!$A$4:$A$13,0)),"(sin catálogo)"))</f>
        <v/>
      </c>
      <c r="AA799" s="5">
        <f>IF($G799="","",IFERROR(INDEX('CAT_PUESTOS'!$B$4:$B$8,MATCH($G799,'CAT_PUESTOS'!$A$4:$A$8,0)),"(sin catálogo)"))</f>
        <v/>
      </c>
      <c r="AB799" s="5">
        <f>IF($H799="","",IFERROR(INDEX('CAT_ACTIVIDADES'!$B$4:$B$11,MATCH($H799,'CAT_ACTIVIDADES'!$A$4:$A$11,0)),"(sin catálogo)"))</f>
        <v/>
      </c>
      <c r="AC799" s="20">
        <f>IF($J799="","",TODAY()-$J799)</f>
        <v/>
      </c>
      <c r="AD799" s="20">
        <f>IF($J799="","",IF($J799&lt;=TODAY(),COUNTIFS(cal_fechas,"&gt;="&amp;$J799,cal_fechas,"&lt;"&amp;TODAY(),cal_habil,"sí"),-COUNTIFS(cal_fechas,"&gt;="&amp;TODAY(),cal_fechas,"&lt;"&amp;$J799,cal_habil,"sí")))</f>
        <v/>
      </c>
      <c r="AE799" s="5">
        <f>IF($AD799="","",IF($AD799&lt;0,"FUTURO",IF($AD799&gt;p_dias_backlog_max,"BACKLOG","MES CORRIENTE")))</f>
        <v/>
      </c>
      <c r="AF799" s="5">
        <f>IF($AD799="",FALSE,AND($AD799&gt;p_dias_backlog_min,$AD799&lt;=p_dias_backlog_max))</f>
        <v/>
      </c>
      <c r="AG799" s="4" t="n"/>
      <c r="AH799" s="5">
        <f>IF($AG799="","",IF((IFERROR(INDEX('ASIGNACIONES'!$J$4:$J$451,MATCH($O799&amp;"|"&amp;$S799&amp;"|"&amp;$AG799,'ASIGNACIONES'!$N$4:$N$451,0)),""))=0,"",IFERROR(INDEX('ASIGNACIONES'!$J$4:$J$451,MATCH($O799&amp;"|"&amp;$S799&amp;"|"&amp;$AG799,'ASIGNACIONES'!$N$4:$N$451,0)),"")))</f>
        <v/>
      </c>
      <c r="AI799" s="25">
        <f>IF($AG799="","",SUMIFS('ORDENES'!$M$4:$M$1203,'ORDENES'!$AG$4:$AG$1203,$AG799,'ORDENES'!$O$4:$O$1203,$O799,'ORDENES'!$S$4:$S$1203,$S799))</f>
        <v/>
      </c>
      <c r="AJ799" s="25">
        <f>IF($AI799="","",p_factor_productividad*IFERROR(INDEX('ASIGNACIONES'!$M$4:$M$451,MATCH($O799&amp;"|"&amp;$S799&amp;"|"&amp;$AG799,'ASIGNACIONES'!$N$4:$N$451,0)),0)-$AI799)</f>
        <v/>
      </c>
      <c r="AK799" s="18">
        <f>IF($A799="","",IFERROR(INDEX('2_IMPORTAR_EJECUCION'!$F$9:$F$1208,MATCH($AT799,'2_IMPORTAR_EJECUCION'!$J$9:$J$1208,0)),0))</f>
        <v/>
      </c>
      <c r="AL799" s="18">
        <f>IF($A799="","",MAX(0,IFERROR(INDEX('2_IMPORTAR_EJECUCION'!$H$9:$H$1208,MATCH($AT799,'2_IMPORTAR_EJECUCION'!$J$9:$J$1208,0)),0)-$AK799))</f>
        <v/>
      </c>
      <c r="AM799" s="18">
        <f>IF($A799="","",$AK799+$AL799)</f>
        <v/>
      </c>
      <c r="AN799" s="5">
        <f>IF($A799="","",IF(OR((IFERROR(INDEX('CAT_ACTIVIDADES'!$D$4:$D$11,MATCH($H799,'CAT_ACTIVIDADES'!$A$4:$A$11,0)),""))=0,(IFERROR(INDEX('CAT_ACTIVIDADES'!$D$4:$D$11,MATCH($H799,'CAT_ACTIVIDADES'!$A$4:$A$11,0)),""))=""),"SIN CLASIFICAR",IFERROR(INDEX('CAT_ACTIVIDADES'!$D$4:$D$11,MATCH($H799,'CAT_ACTIVIDADES'!$A$4:$A$11,0)),"")))</f>
        <v/>
      </c>
      <c r="AO799" s="4" t="n"/>
      <c r="AP799" s="4" t="n"/>
      <c r="AQ799" s="4" t="n"/>
      <c r="AR799" s="5">
        <f>IF($AQ799="","",HYPERLINK(p_ruta_base_checklists&amp;$AQ799,"abrir"))</f>
        <v/>
      </c>
      <c r="AS799" s="4" t="n"/>
      <c r="AT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2" t="n"/>
      <c r="K800" s="5" t="n"/>
      <c r="L800" s="18" t="n"/>
      <c r="M800" s="5">
        <f>IF($A800="","",IFERROR(INDEX('AJUSTES'!$B$4:$B$303,MATCH($AT800,'AJUSTES'!$A$4:$A$303,0)),IF($K800="","",$K800)))</f>
        <v/>
      </c>
      <c r="N800" s="5">
        <f>IF($A800="","",IFERROR(INDEX('CAT_ESTADOS_ERP'!$B$4:$B$7,MATCH(IFERROR(INDEX('2_IMPORTAR_EJECUCION'!$C$9:$C$1208,MATCH($AT800,'2_IMPORTAR_EJECUCION'!$J$9:$J$1208,0)),""),'CAT_ESTADOS_ERP'!$A$4:$A$7,0)),"Pendiente"))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IF($J800="","",$P800&amp;"-"&amp;TEXT($Q800,"00"))</f>
        <v/>
      </c>
      <c r="S800" s="5">
        <f>IF($J800="","",INDEX(lista_dias,WEEKDAY($J800,2)))</f>
        <v/>
      </c>
      <c r="T800" s="5">
        <f>IF($J800="","",IFERROR(INDEX('CALENDARIO'!$C$15:$C$214,MATCH(TEXT($J800,"yyyy-mm-dd")&amp;"|"&amp;$X800&amp;"|"&amp;$Y800,'CALENDARIO'!$G$15:$G$214,0)),IFERROR(INDEX('CALENDARIO'!$C$15:$C$214,MATCH(TEXT($J800,"yyyy-mm-dd")&amp;"|"&amp;$X800&amp;"|",'CALENDARIO'!$G$15:$G$214,0)),IFERROR(INDEX('CALENDARIO'!$C$15:$C$214,MATCH(TEXT($J800,"yyyy-mm-dd")&amp;"||",'CALENDARIO'!$G$15:$G$214,0)),INDEX(patronHabil,WEEKDAY($J800,2))))))</f>
        <v/>
      </c>
      <c r="U800" s="5">
        <f>IF($I800="","",IFERROR(INDEX('CAT_TIPOS_OT'!$C$4:$C$8,MATCH($I800,'CAT_TIPOS_OT'!$A$4:$A$8,0)),"sin_clasificar"))</f>
        <v/>
      </c>
      <c r="V800" s="5">
        <f>IF($I800="","",IF(IFERROR(INDEX('CAT_TIPOS_OT'!$D$4:$D$8,MATCH($I800,'CAT_TIPOS_OT'!$A$4:$A$8,0)),"SIN CLASIFICAR")="","SIN CLASIFICAR",IFERROR(INDEX('CAT_TIPOS_OT'!$D$4:$D$8,MATCH($I800,'CAT_TIPOS_OT'!$A$4:$A$8,0)),"SIN CLASIFICAR")))</f>
        <v/>
      </c>
      <c r="W800" s="5">
        <f>IF($F800="","",IFERROR(INDEX('CAT_CENTROS_COSTO'!$F$4:$F$13,MATCH($F800,'CAT_CENTROS_COSTO'!$A$4:$A$13,0)),"(sin catálogo)"))</f>
        <v/>
      </c>
      <c r="X800" s="5">
        <f>IF($F800="","",IFERROR(INDEX('CAT_CENTROS_COSTO'!$D$4:$D$13,MATCH($F800,'CAT_CENTROS_COSTO'!$A$4:$A$13,0)),"(sin catálogo)"))</f>
        <v/>
      </c>
      <c r="Y800" s="5">
        <f>IF($F800="","",IF((IFERROR(INDEX('CAT_CENTROS_COSTO'!$E$4:$E$13,MATCH($F800,'CAT_CENTROS_COSTO'!$A$4:$A$13,0)),""))&lt;&gt;"",IFERROR(INDEX('CAT_CENTROS_COSTO'!$E$4:$E$13,MATCH($F800,'CAT_CENTROS_COSTO'!$A$4:$A$13,0)),""),$X800))</f>
        <v/>
      </c>
      <c r="Z800" s="5">
        <f>IF($F800="","",IFERROR(INDEX('CAT_CENTROS_COSTO'!$G$4:$G$13,MATCH($F800,'CAT_CENTROS_COSTO'!$A$4:$A$13,0)),"(sin catálogo)"))</f>
        <v/>
      </c>
      <c r="AA800" s="5">
        <f>IF($G800="","",IFERROR(INDEX('CAT_PUESTOS'!$B$4:$B$8,MATCH($G800,'CAT_PUESTOS'!$A$4:$A$8,0)),"(sin catálogo)"))</f>
        <v/>
      </c>
      <c r="AB800" s="5">
        <f>IF($H800="","",IFERROR(INDEX('CAT_ACTIVIDADES'!$B$4:$B$11,MATCH($H800,'CAT_ACTIVIDADES'!$A$4:$A$11,0)),"(sin catálogo)"))</f>
        <v/>
      </c>
      <c r="AC800" s="20">
        <f>IF($J800="","",TODAY()-$J800)</f>
        <v/>
      </c>
      <c r="AD800" s="20">
        <f>IF($J800="","",IF($J800&lt;=TODAY(),COUNTIFS(cal_fechas,"&gt;="&amp;$J800,cal_fechas,"&lt;"&amp;TODAY(),cal_habil,"sí"),-COUNTIFS(cal_fechas,"&gt;="&amp;TODAY(),cal_fechas,"&lt;"&amp;$J800,cal_habil,"sí")))</f>
        <v/>
      </c>
      <c r="AE800" s="5">
        <f>IF($AD800="","",IF($AD800&lt;0,"FUTURO",IF($AD800&gt;p_dias_backlog_max,"BACKLOG","MES CORRIENTE")))</f>
        <v/>
      </c>
      <c r="AF800" s="5">
        <f>IF($AD800="",FALSE,AND($AD800&gt;p_dias_backlog_min,$AD800&lt;=p_dias_backlog_max))</f>
        <v/>
      </c>
      <c r="AG800" s="4" t="n"/>
      <c r="AH800" s="5">
        <f>IF($AG800="","",IF((IFERROR(INDEX('ASIGNACIONES'!$J$4:$J$451,MATCH($O800&amp;"|"&amp;$S800&amp;"|"&amp;$AG800,'ASIGNACIONES'!$N$4:$N$451,0)),""))=0,"",IFERROR(INDEX('ASIGNACIONES'!$J$4:$J$451,MATCH($O800&amp;"|"&amp;$S800&amp;"|"&amp;$AG800,'ASIGNACIONES'!$N$4:$N$451,0)),"")))</f>
        <v/>
      </c>
      <c r="AI800" s="25">
        <f>IF($AG800="","",SUMIFS('ORDENES'!$M$4:$M$1203,'ORDENES'!$AG$4:$AG$1203,$AG800,'ORDENES'!$O$4:$O$1203,$O800,'ORDENES'!$S$4:$S$1203,$S800))</f>
        <v/>
      </c>
      <c r="AJ800" s="25">
        <f>IF($AI800="","",p_factor_productividad*IFERROR(INDEX('ASIGNACIONES'!$M$4:$M$451,MATCH($O800&amp;"|"&amp;$S800&amp;"|"&amp;$AG800,'ASIGNACIONES'!$N$4:$N$451,0)),0)-$AI800)</f>
        <v/>
      </c>
      <c r="AK800" s="18">
        <f>IF($A800="","",IFERROR(INDEX('2_IMPORTAR_EJECUCION'!$F$9:$F$1208,MATCH($AT800,'2_IMPORTAR_EJECUCION'!$J$9:$J$1208,0)),0))</f>
        <v/>
      </c>
      <c r="AL800" s="18">
        <f>IF($A800="","",MAX(0,IFERROR(INDEX('2_IMPORTAR_EJECUCION'!$H$9:$H$1208,MATCH($AT800,'2_IMPORTAR_EJECUCION'!$J$9:$J$1208,0)),0)-$AK800))</f>
        <v/>
      </c>
      <c r="AM800" s="18">
        <f>IF($A800="","",$AK800+$AL800)</f>
        <v/>
      </c>
      <c r="AN800" s="5">
        <f>IF($A800="","",IF(OR((IFERROR(INDEX('CAT_ACTIVIDADES'!$D$4:$D$11,MATCH($H800,'CAT_ACTIVIDADES'!$A$4:$A$11,0)),""))=0,(IFERROR(INDEX('CAT_ACTIVIDADES'!$D$4:$D$11,MATCH($H800,'CAT_ACTIVIDADES'!$A$4:$A$11,0)),""))=""),"SIN CLASIFICAR",IFERROR(INDEX('CAT_ACTIVIDADES'!$D$4:$D$11,MATCH($H800,'CAT_ACTIVIDADES'!$A$4:$A$11,0)),"")))</f>
        <v/>
      </c>
      <c r="AO800" s="4" t="n"/>
      <c r="AP800" s="4" t="n"/>
      <c r="AQ800" s="4" t="n"/>
      <c r="AR800" s="5">
        <f>IF($AQ800="","",HYPERLINK(p_ruta_base_checklists&amp;$AQ800,"abrir"))</f>
        <v/>
      </c>
      <c r="AS800" s="4" t="n"/>
      <c r="AT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2" t="n"/>
      <c r="K801" s="5" t="n"/>
      <c r="L801" s="18" t="n"/>
      <c r="M801" s="5">
        <f>IF($A801="","",IFERROR(INDEX('AJUSTES'!$B$4:$B$303,MATCH($AT801,'AJUSTES'!$A$4:$A$303,0)),IF($K801="","",$K801)))</f>
        <v/>
      </c>
      <c r="N801" s="5">
        <f>IF($A801="","",IFERROR(INDEX('CAT_ESTADOS_ERP'!$B$4:$B$7,MATCH(IFERROR(INDEX('2_IMPORTAR_EJECUCION'!$C$9:$C$1208,MATCH($AT801,'2_IMPORTAR_EJECUCION'!$J$9:$J$1208,0)),""),'CAT_ESTADOS_ERP'!$A$4:$A$7,0)),"Pendiente"))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IF($J801="","",$P801&amp;"-"&amp;TEXT($Q801,"00"))</f>
        <v/>
      </c>
      <c r="S801" s="5">
        <f>IF($J801="","",INDEX(lista_dias,WEEKDAY($J801,2)))</f>
        <v/>
      </c>
      <c r="T801" s="5">
        <f>IF($J801="","",IFERROR(INDEX('CALENDARIO'!$C$15:$C$214,MATCH(TEXT($J801,"yyyy-mm-dd")&amp;"|"&amp;$X801&amp;"|"&amp;$Y801,'CALENDARIO'!$G$15:$G$214,0)),IFERROR(INDEX('CALENDARIO'!$C$15:$C$214,MATCH(TEXT($J801,"yyyy-mm-dd")&amp;"|"&amp;$X801&amp;"|",'CALENDARIO'!$G$15:$G$214,0)),IFERROR(INDEX('CALENDARIO'!$C$15:$C$214,MATCH(TEXT($J801,"yyyy-mm-dd")&amp;"||",'CALENDARIO'!$G$15:$G$214,0)),INDEX(patronHabil,WEEKDAY($J801,2))))))</f>
        <v/>
      </c>
      <c r="U801" s="5">
        <f>IF($I801="","",IFERROR(INDEX('CAT_TIPOS_OT'!$C$4:$C$8,MATCH($I801,'CAT_TIPOS_OT'!$A$4:$A$8,0)),"sin_clasificar"))</f>
        <v/>
      </c>
      <c r="V801" s="5">
        <f>IF($I801="","",IF(IFERROR(INDEX('CAT_TIPOS_OT'!$D$4:$D$8,MATCH($I801,'CAT_TIPOS_OT'!$A$4:$A$8,0)),"SIN CLASIFICAR")="","SIN CLASIFICAR",IFERROR(INDEX('CAT_TIPOS_OT'!$D$4:$D$8,MATCH($I801,'CAT_TIPOS_OT'!$A$4:$A$8,0)),"SIN CLASIFICAR")))</f>
        <v/>
      </c>
      <c r="W801" s="5">
        <f>IF($F801="","",IFERROR(INDEX('CAT_CENTROS_COSTO'!$F$4:$F$13,MATCH($F801,'CAT_CENTROS_COSTO'!$A$4:$A$13,0)),"(sin catálogo)"))</f>
        <v/>
      </c>
      <c r="X801" s="5">
        <f>IF($F801="","",IFERROR(INDEX('CAT_CENTROS_COSTO'!$D$4:$D$13,MATCH($F801,'CAT_CENTROS_COSTO'!$A$4:$A$13,0)),"(sin catálogo)"))</f>
        <v/>
      </c>
      <c r="Y801" s="5">
        <f>IF($F801="","",IF((IFERROR(INDEX('CAT_CENTROS_COSTO'!$E$4:$E$13,MATCH($F801,'CAT_CENTROS_COSTO'!$A$4:$A$13,0)),""))&lt;&gt;"",IFERROR(INDEX('CAT_CENTROS_COSTO'!$E$4:$E$13,MATCH($F801,'CAT_CENTROS_COSTO'!$A$4:$A$13,0)),""),$X801))</f>
        <v/>
      </c>
      <c r="Z801" s="5">
        <f>IF($F801="","",IFERROR(INDEX('CAT_CENTROS_COSTO'!$G$4:$G$13,MATCH($F801,'CAT_CENTROS_COSTO'!$A$4:$A$13,0)),"(sin catálogo)"))</f>
        <v/>
      </c>
      <c r="AA801" s="5">
        <f>IF($G801="","",IFERROR(INDEX('CAT_PUESTOS'!$B$4:$B$8,MATCH($G801,'CAT_PUESTOS'!$A$4:$A$8,0)),"(sin catálogo)"))</f>
        <v/>
      </c>
      <c r="AB801" s="5">
        <f>IF($H801="","",IFERROR(INDEX('CAT_ACTIVIDADES'!$B$4:$B$11,MATCH($H801,'CAT_ACTIVIDADES'!$A$4:$A$11,0)),"(sin catálogo)"))</f>
        <v/>
      </c>
      <c r="AC801" s="20">
        <f>IF($J801="","",TODAY()-$J801)</f>
        <v/>
      </c>
      <c r="AD801" s="20">
        <f>IF($J801="","",IF($J801&lt;=TODAY(),COUNTIFS(cal_fechas,"&gt;="&amp;$J801,cal_fechas,"&lt;"&amp;TODAY(),cal_habil,"sí"),-COUNTIFS(cal_fechas,"&gt;="&amp;TODAY(),cal_fechas,"&lt;"&amp;$J801,cal_habil,"sí")))</f>
        <v/>
      </c>
      <c r="AE801" s="5">
        <f>IF($AD801="","",IF($AD801&lt;0,"FUTURO",IF($AD801&gt;p_dias_backlog_max,"BACKLOG","MES CORRIENTE")))</f>
        <v/>
      </c>
      <c r="AF801" s="5">
        <f>IF($AD801="",FALSE,AND($AD801&gt;p_dias_backlog_min,$AD801&lt;=p_dias_backlog_max))</f>
        <v/>
      </c>
      <c r="AG801" s="4" t="n"/>
      <c r="AH801" s="5">
        <f>IF($AG801="","",IF((IFERROR(INDEX('ASIGNACIONES'!$J$4:$J$451,MATCH($O801&amp;"|"&amp;$S801&amp;"|"&amp;$AG801,'ASIGNACIONES'!$N$4:$N$451,0)),""))=0,"",IFERROR(INDEX('ASIGNACIONES'!$J$4:$J$451,MATCH($O801&amp;"|"&amp;$S801&amp;"|"&amp;$AG801,'ASIGNACIONES'!$N$4:$N$451,0)),"")))</f>
        <v/>
      </c>
      <c r="AI801" s="25">
        <f>IF($AG801="","",SUMIFS('ORDENES'!$M$4:$M$1203,'ORDENES'!$AG$4:$AG$1203,$AG801,'ORDENES'!$O$4:$O$1203,$O801,'ORDENES'!$S$4:$S$1203,$S801))</f>
        <v/>
      </c>
      <c r="AJ801" s="25">
        <f>IF($AI801="","",p_factor_productividad*IFERROR(INDEX('ASIGNACIONES'!$M$4:$M$451,MATCH($O801&amp;"|"&amp;$S801&amp;"|"&amp;$AG801,'ASIGNACIONES'!$N$4:$N$451,0)),0)-$AI801)</f>
        <v/>
      </c>
      <c r="AK801" s="18">
        <f>IF($A801="","",IFERROR(INDEX('2_IMPORTAR_EJECUCION'!$F$9:$F$1208,MATCH($AT801,'2_IMPORTAR_EJECUCION'!$J$9:$J$1208,0)),0))</f>
        <v/>
      </c>
      <c r="AL801" s="18">
        <f>IF($A801="","",MAX(0,IFERROR(INDEX('2_IMPORTAR_EJECUCION'!$H$9:$H$1208,MATCH($AT801,'2_IMPORTAR_EJECUCION'!$J$9:$J$1208,0)),0)-$AK801))</f>
        <v/>
      </c>
      <c r="AM801" s="18">
        <f>IF($A801="","",$AK801+$AL801)</f>
        <v/>
      </c>
      <c r="AN801" s="5">
        <f>IF($A801="","",IF(OR((IFERROR(INDEX('CAT_ACTIVIDADES'!$D$4:$D$11,MATCH($H801,'CAT_ACTIVIDADES'!$A$4:$A$11,0)),""))=0,(IFERROR(INDEX('CAT_ACTIVIDADES'!$D$4:$D$11,MATCH($H801,'CAT_ACTIVIDADES'!$A$4:$A$11,0)),""))=""),"SIN CLASIFICAR",IFERROR(INDEX('CAT_ACTIVIDADES'!$D$4:$D$11,MATCH($H801,'CAT_ACTIVIDADES'!$A$4:$A$11,0)),"")))</f>
        <v/>
      </c>
      <c r="AO801" s="4" t="n"/>
      <c r="AP801" s="4" t="n"/>
      <c r="AQ801" s="4" t="n"/>
      <c r="AR801" s="5">
        <f>IF($AQ801="","",HYPERLINK(p_ruta_base_checklists&amp;$AQ801,"abrir"))</f>
        <v/>
      </c>
      <c r="AS801" s="4" t="n"/>
      <c r="AT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2" t="n"/>
      <c r="K802" s="5" t="n"/>
      <c r="L802" s="18" t="n"/>
      <c r="M802" s="5">
        <f>IF($A802="","",IFERROR(INDEX('AJUSTES'!$B$4:$B$303,MATCH($AT802,'AJUSTES'!$A$4:$A$303,0)),IF($K802="","",$K802)))</f>
        <v/>
      </c>
      <c r="N802" s="5">
        <f>IF($A802="","",IFERROR(INDEX('CAT_ESTADOS_ERP'!$B$4:$B$7,MATCH(IFERROR(INDEX('2_IMPORTAR_EJECUCION'!$C$9:$C$1208,MATCH($AT802,'2_IMPORTAR_EJECUCION'!$J$9:$J$1208,0)),""),'CAT_ESTADOS_ERP'!$A$4:$A$7,0)),"Pendiente"))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IF($J802="","",$P802&amp;"-"&amp;TEXT($Q802,"00"))</f>
        <v/>
      </c>
      <c r="S802" s="5">
        <f>IF($J802="","",INDEX(lista_dias,WEEKDAY($J802,2)))</f>
        <v/>
      </c>
      <c r="T802" s="5">
        <f>IF($J802="","",IFERROR(INDEX('CALENDARIO'!$C$15:$C$214,MATCH(TEXT($J802,"yyyy-mm-dd")&amp;"|"&amp;$X802&amp;"|"&amp;$Y802,'CALENDARIO'!$G$15:$G$214,0)),IFERROR(INDEX('CALENDARIO'!$C$15:$C$214,MATCH(TEXT($J802,"yyyy-mm-dd")&amp;"|"&amp;$X802&amp;"|",'CALENDARIO'!$G$15:$G$214,0)),IFERROR(INDEX('CALENDARIO'!$C$15:$C$214,MATCH(TEXT($J802,"yyyy-mm-dd")&amp;"||",'CALENDARIO'!$G$15:$G$214,0)),INDEX(patronHabil,WEEKDAY($J802,2))))))</f>
        <v/>
      </c>
      <c r="U802" s="5">
        <f>IF($I802="","",IFERROR(INDEX('CAT_TIPOS_OT'!$C$4:$C$8,MATCH($I802,'CAT_TIPOS_OT'!$A$4:$A$8,0)),"sin_clasificar"))</f>
        <v/>
      </c>
      <c r="V802" s="5">
        <f>IF($I802="","",IF(IFERROR(INDEX('CAT_TIPOS_OT'!$D$4:$D$8,MATCH($I802,'CAT_TIPOS_OT'!$A$4:$A$8,0)),"SIN CLASIFICAR")="","SIN CLASIFICAR",IFERROR(INDEX('CAT_TIPOS_OT'!$D$4:$D$8,MATCH($I802,'CAT_TIPOS_OT'!$A$4:$A$8,0)),"SIN CLASIFICAR")))</f>
        <v/>
      </c>
      <c r="W802" s="5">
        <f>IF($F802="","",IFERROR(INDEX('CAT_CENTROS_COSTO'!$F$4:$F$13,MATCH($F802,'CAT_CENTROS_COSTO'!$A$4:$A$13,0)),"(sin catálogo)"))</f>
        <v/>
      </c>
      <c r="X802" s="5">
        <f>IF($F802="","",IFERROR(INDEX('CAT_CENTROS_COSTO'!$D$4:$D$13,MATCH($F802,'CAT_CENTROS_COSTO'!$A$4:$A$13,0)),"(sin catálogo)"))</f>
        <v/>
      </c>
      <c r="Y802" s="5">
        <f>IF($F802="","",IF((IFERROR(INDEX('CAT_CENTROS_COSTO'!$E$4:$E$13,MATCH($F802,'CAT_CENTROS_COSTO'!$A$4:$A$13,0)),""))&lt;&gt;"",IFERROR(INDEX('CAT_CENTROS_COSTO'!$E$4:$E$13,MATCH($F802,'CAT_CENTROS_COSTO'!$A$4:$A$13,0)),""),$X802))</f>
        <v/>
      </c>
      <c r="Z802" s="5">
        <f>IF($F802="","",IFERROR(INDEX('CAT_CENTROS_COSTO'!$G$4:$G$13,MATCH($F802,'CAT_CENTROS_COSTO'!$A$4:$A$13,0)),"(sin catálogo)"))</f>
        <v/>
      </c>
      <c r="AA802" s="5">
        <f>IF($G802="","",IFERROR(INDEX('CAT_PUESTOS'!$B$4:$B$8,MATCH($G802,'CAT_PUESTOS'!$A$4:$A$8,0)),"(sin catálogo)"))</f>
        <v/>
      </c>
      <c r="AB802" s="5">
        <f>IF($H802="","",IFERROR(INDEX('CAT_ACTIVIDADES'!$B$4:$B$11,MATCH($H802,'CAT_ACTIVIDADES'!$A$4:$A$11,0)),"(sin catálogo)"))</f>
        <v/>
      </c>
      <c r="AC802" s="20">
        <f>IF($J802="","",TODAY()-$J802)</f>
        <v/>
      </c>
      <c r="AD802" s="20">
        <f>IF($J802="","",IF($J802&lt;=TODAY(),COUNTIFS(cal_fechas,"&gt;="&amp;$J802,cal_fechas,"&lt;"&amp;TODAY(),cal_habil,"sí"),-COUNTIFS(cal_fechas,"&gt;="&amp;TODAY(),cal_fechas,"&lt;"&amp;$J802,cal_habil,"sí")))</f>
        <v/>
      </c>
      <c r="AE802" s="5">
        <f>IF($AD802="","",IF($AD802&lt;0,"FUTURO",IF($AD802&gt;p_dias_backlog_max,"BACKLOG","MES CORRIENTE")))</f>
        <v/>
      </c>
      <c r="AF802" s="5">
        <f>IF($AD802="",FALSE,AND($AD802&gt;p_dias_backlog_min,$AD802&lt;=p_dias_backlog_max))</f>
        <v/>
      </c>
      <c r="AG802" s="4" t="n"/>
      <c r="AH802" s="5">
        <f>IF($AG802="","",IF((IFERROR(INDEX('ASIGNACIONES'!$J$4:$J$451,MATCH($O802&amp;"|"&amp;$S802&amp;"|"&amp;$AG802,'ASIGNACIONES'!$N$4:$N$451,0)),""))=0,"",IFERROR(INDEX('ASIGNACIONES'!$J$4:$J$451,MATCH($O802&amp;"|"&amp;$S802&amp;"|"&amp;$AG802,'ASIGNACIONES'!$N$4:$N$451,0)),"")))</f>
        <v/>
      </c>
      <c r="AI802" s="25">
        <f>IF($AG802="","",SUMIFS('ORDENES'!$M$4:$M$1203,'ORDENES'!$AG$4:$AG$1203,$AG802,'ORDENES'!$O$4:$O$1203,$O802,'ORDENES'!$S$4:$S$1203,$S802))</f>
        <v/>
      </c>
      <c r="AJ802" s="25">
        <f>IF($AI802="","",p_factor_productividad*IFERROR(INDEX('ASIGNACIONES'!$M$4:$M$451,MATCH($O802&amp;"|"&amp;$S802&amp;"|"&amp;$AG802,'ASIGNACIONES'!$N$4:$N$451,0)),0)-$AI802)</f>
        <v/>
      </c>
      <c r="AK802" s="18">
        <f>IF($A802="","",IFERROR(INDEX('2_IMPORTAR_EJECUCION'!$F$9:$F$1208,MATCH($AT802,'2_IMPORTAR_EJECUCION'!$J$9:$J$1208,0)),0))</f>
        <v/>
      </c>
      <c r="AL802" s="18">
        <f>IF($A802="","",MAX(0,IFERROR(INDEX('2_IMPORTAR_EJECUCION'!$H$9:$H$1208,MATCH($AT802,'2_IMPORTAR_EJECUCION'!$J$9:$J$1208,0)),0)-$AK802))</f>
        <v/>
      </c>
      <c r="AM802" s="18">
        <f>IF($A802="","",$AK802+$AL802)</f>
        <v/>
      </c>
      <c r="AN802" s="5">
        <f>IF($A802="","",IF(OR((IFERROR(INDEX('CAT_ACTIVIDADES'!$D$4:$D$11,MATCH($H802,'CAT_ACTIVIDADES'!$A$4:$A$11,0)),""))=0,(IFERROR(INDEX('CAT_ACTIVIDADES'!$D$4:$D$11,MATCH($H802,'CAT_ACTIVIDADES'!$A$4:$A$11,0)),""))=""),"SIN CLASIFICAR",IFERROR(INDEX('CAT_ACTIVIDADES'!$D$4:$D$11,MATCH($H802,'CAT_ACTIVIDADES'!$A$4:$A$11,0)),"")))</f>
        <v/>
      </c>
      <c r="AO802" s="4" t="n"/>
      <c r="AP802" s="4" t="n"/>
      <c r="AQ802" s="4" t="n"/>
      <c r="AR802" s="5">
        <f>IF($AQ802="","",HYPERLINK(p_ruta_base_checklists&amp;$AQ802,"abrir"))</f>
        <v/>
      </c>
      <c r="AS802" s="4" t="n"/>
      <c r="AT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2" t="n"/>
      <c r="K803" s="5" t="n"/>
      <c r="L803" s="18" t="n"/>
      <c r="M803" s="5">
        <f>IF($A803="","",IFERROR(INDEX('AJUSTES'!$B$4:$B$303,MATCH($AT803,'AJUSTES'!$A$4:$A$303,0)),IF($K803="","",$K803)))</f>
        <v/>
      </c>
      <c r="N803" s="5">
        <f>IF($A803="","",IFERROR(INDEX('CAT_ESTADOS_ERP'!$B$4:$B$7,MATCH(IFERROR(INDEX('2_IMPORTAR_EJECUCION'!$C$9:$C$1208,MATCH($AT803,'2_IMPORTAR_EJECUCION'!$J$9:$J$1208,0)),""),'CAT_ESTADOS_ERP'!$A$4:$A$7,0)),"Pendiente"))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IF($J803="","",$P803&amp;"-"&amp;TEXT($Q803,"00"))</f>
        <v/>
      </c>
      <c r="S803" s="5">
        <f>IF($J803="","",INDEX(lista_dias,WEEKDAY($J803,2)))</f>
        <v/>
      </c>
      <c r="T803" s="5">
        <f>IF($J803="","",IFERROR(INDEX('CALENDARIO'!$C$15:$C$214,MATCH(TEXT($J803,"yyyy-mm-dd")&amp;"|"&amp;$X803&amp;"|"&amp;$Y803,'CALENDARIO'!$G$15:$G$214,0)),IFERROR(INDEX('CALENDARIO'!$C$15:$C$214,MATCH(TEXT($J803,"yyyy-mm-dd")&amp;"|"&amp;$X803&amp;"|",'CALENDARIO'!$G$15:$G$214,0)),IFERROR(INDEX('CALENDARIO'!$C$15:$C$214,MATCH(TEXT($J803,"yyyy-mm-dd")&amp;"||",'CALENDARIO'!$G$15:$G$214,0)),INDEX(patronHabil,WEEKDAY($J803,2))))))</f>
        <v/>
      </c>
      <c r="U803" s="5">
        <f>IF($I803="","",IFERROR(INDEX('CAT_TIPOS_OT'!$C$4:$C$8,MATCH($I803,'CAT_TIPOS_OT'!$A$4:$A$8,0)),"sin_clasificar"))</f>
        <v/>
      </c>
      <c r="V803" s="5">
        <f>IF($I803="","",IF(IFERROR(INDEX('CAT_TIPOS_OT'!$D$4:$D$8,MATCH($I803,'CAT_TIPOS_OT'!$A$4:$A$8,0)),"SIN CLASIFICAR")="","SIN CLASIFICAR",IFERROR(INDEX('CAT_TIPOS_OT'!$D$4:$D$8,MATCH($I803,'CAT_TIPOS_OT'!$A$4:$A$8,0)),"SIN CLASIFICAR")))</f>
        <v/>
      </c>
      <c r="W803" s="5">
        <f>IF($F803="","",IFERROR(INDEX('CAT_CENTROS_COSTO'!$F$4:$F$13,MATCH($F803,'CAT_CENTROS_COSTO'!$A$4:$A$13,0)),"(sin catálogo)"))</f>
        <v/>
      </c>
      <c r="X803" s="5">
        <f>IF($F803="","",IFERROR(INDEX('CAT_CENTROS_COSTO'!$D$4:$D$13,MATCH($F803,'CAT_CENTROS_COSTO'!$A$4:$A$13,0)),"(sin catálogo)"))</f>
        <v/>
      </c>
      <c r="Y803" s="5">
        <f>IF($F803="","",IF((IFERROR(INDEX('CAT_CENTROS_COSTO'!$E$4:$E$13,MATCH($F803,'CAT_CENTROS_COSTO'!$A$4:$A$13,0)),""))&lt;&gt;"",IFERROR(INDEX('CAT_CENTROS_COSTO'!$E$4:$E$13,MATCH($F803,'CAT_CENTROS_COSTO'!$A$4:$A$13,0)),""),$X803))</f>
        <v/>
      </c>
      <c r="Z803" s="5">
        <f>IF($F803="","",IFERROR(INDEX('CAT_CENTROS_COSTO'!$G$4:$G$13,MATCH($F803,'CAT_CENTROS_COSTO'!$A$4:$A$13,0)),"(sin catálogo)"))</f>
        <v/>
      </c>
      <c r="AA803" s="5">
        <f>IF($G803="","",IFERROR(INDEX('CAT_PUESTOS'!$B$4:$B$8,MATCH($G803,'CAT_PUESTOS'!$A$4:$A$8,0)),"(sin catálogo)"))</f>
        <v/>
      </c>
      <c r="AB803" s="5">
        <f>IF($H803="","",IFERROR(INDEX('CAT_ACTIVIDADES'!$B$4:$B$11,MATCH($H803,'CAT_ACTIVIDADES'!$A$4:$A$11,0)),"(sin catálogo)"))</f>
        <v/>
      </c>
      <c r="AC803" s="20">
        <f>IF($J803="","",TODAY()-$J803)</f>
        <v/>
      </c>
      <c r="AD803" s="20">
        <f>IF($J803="","",IF($J803&lt;=TODAY(),COUNTIFS(cal_fechas,"&gt;="&amp;$J803,cal_fechas,"&lt;"&amp;TODAY(),cal_habil,"sí"),-COUNTIFS(cal_fechas,"&gt;="&amp;TODAY(),cal_fechas,"&lt;"&amp;$J803,cal_habil,"sí")))</f>
        <v/>
      </c>
      <c r="AE803" s="5">
        <f>IF($AD803="","",IF($AD803&lt;0,"FUTURO",IF($AD803&gt;p_dias_backlog_max,"BACKLOG","MES CORRIENTE")))</f>
        <v/>
      </c>
      <c r="AF803" s="5">
        <f>IF($AD803="",FALSE,AND($AD803&gt;p_dias_backlog_min,$AD803&lt;=p_dias_backlog_max))</f>
        <v/>
      </c>
      <c r="AG803" s="4" t="n"/>
      <c r="AH803" s="5">
        <f>IF($AG803="","",IF((IFERROR(INDEX('ASIGNACIONES'!$J$4:$J$451,MATCH($O803&amp;"|"&amp;$S803&amp;"|"&amp;$AG803,'ASIGNACIONES'!$N$4:$N$451,0)),""))=0,"",IFERROR(INDEX('ASIGNACIONES'!$J$4:$J$451,MATCH($O803&amp;"|"&amp;$S803&amp;"|"&amp;$AG803,'ASIGNACIONES'!$N$4:$N$451,0)),"")))</f>
        <v/>
      </c>
      <c r="AI803" s="25">
        <f>IF($AG803="","",SUMIFS('ORDENES'!$M$4:$M$1203,'ORDENES'!$AG$4:$AG$1203,$AG803,'ORDENES'!$O$4:$O$1203,$O803,'ORDENES'!$S$4:$S$1203,$S803))</f>
        <v/>
      </c>
      <c r="AJ803" s="25">
        <f>IF($AI803="","",p_factor_productividad*IFERROR(INDEX('ASIGNACIONES'!$M$4:$M$451,MATCH($O803&amp;"|"&amp;$S803&amp;"|"&amp;$AG803,'ASIGNACIONES'!$N$4:$N$451,0)),0)-$AI803)</f>
        <v/>
      </c>
      <c r="AK803" s="18">
        <f>IF($A803="","",IFERROR(INDEX('2_IMPORTAR_EJECUCION'!$F$9:$F$1208,MATCH($AT803,'2_IMPORTAR_EJECUCION'!$J$9:$J$1208,0)),0))</f>
        <v/>
      </c>
      <c r="AL803" s="18">
        <f>IF($A803="","",MAX(0,IFERROR(INDEX('2_IMPORTAR_EJECUCION'!$H$9:$H$1208,MATCH($AT803,'2_IMPORTAR_EJECUCION'!$J$9:$J$1208,0)),0)-$AK803))</f>
        <v/>
      </c>
      <c r="AM803" s="18">
        <f>IF($A803="","",$AK803+$AL803)</f>
        <v/>
      </c>
      <c r="AN803" s="5">
        <f>IF($A803="","",IF(OR((IFERROR(INDEX('CAT_ACTIVIDADES'!$D$4:$D$11,MATCH($H803,'CAT_ACTIVIDADES'!$A$4:$A$11,0)),""))=0,(IFERROR(INDEX('CAT_ACTIVIDADES'!$D$4:$D$11,MATCH($H803,'CAT_ACTIVIDADES'!$A$4:$A$11,0)),""))=""),"SIN CLASIFICAR",IFERROR(INDEX('CAT_ACTIVIDADES'!$D$4:$D$11,MATCH($H803,'CAT_ACTIVIDADES'!$A$4:$A$11,0)),"")))</f>
        <v/>
      </c>
      <c r="AO803" s="4" t="n"/>
      <c r="AP803" s="4" t="n"/>
      <c r="AQ803" s="4" t="n"/>
      <c r="AR803" s="5">
        <f>IF($AQ803="","",HYPERLINK(p_ruta_base_checklists&amp;$AQ803,"abrir"))</f>
        <v/>
      </c>
      <c r="AS803" s="4" t="n"/>
      <c r="AT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2" t="n"/>
      <c r="K804" s="5" t="n"/>
      <c r="L804" s="18" t="n"/>
      <c r="M804" s="5">
        <f>IF($A804="","",IFERROR(INDEX('AJUSTES'!$B$4:$B$303,MATCH($AT804,'AJUSTES'!$A$4:$A$303,0)),IF($K804="","",$K804)))</f>
        <v/>
      </c>
      <c r="N804" s="5">
        <f>IF($A804="","",IFERROR(INDEX('CAT_ESTADOS_ERP'!$B$4:$B$7,MATCH(IFERROR(INDEX('2_IMPORTAR_EJECUCION'!$C$9:$C$1208,MATCH($AT804,'2_IMPORTAR_EJECUCION'!$J$9:$J$1208,0)),""),'CAT_ESTADOS_ERP'!$A$4:$A$7,0)),"Pendiente"))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IF($J804="","",$P804&amp;"-"&amp;TEXT($Q804,"00"))</f>
        <v/>
      </c>
      <c r="S804" s="5">
        <f>IF($J804="","",INDEX(lista_dias,WEEKDAY($J804,2)))</f>
        <v/>
      </c>
      <c r="T804" s="5">
        <f>IF($J804="","",IFERROR(INDEX('CALENDARIO'!$C$15:$C$214,MATCH(TEXT($J804,"yyyy-mm-dd")&amp;"|"&amp;$X804&amp;"|"&amp;$Y804,'CALENDARIO'!$G$15:$G$214,0)),IFERROR(INDEX('CALENDARIO'!$C$15:$C$214,MATCH(TEXT($J804,"yyyy-mm-dd")&amp;"|"&amp;$X804&amp;"|",'CALENDARIO'!$G$15:$G$214,0)),IFERROR(INDEX('CALENDARIO'!$C$15:$C$214,MATCH(TEXT($J804,"yyyy-mm-dd")&amp;"||",'CALENDARIO'!$G$15:$G$214,0)),INDEX(patronHabil,WEEKDAY($J804,2))))))</f>
        <v/>
      </c>
      <c r="U804" s="5">
        <f>IF($I804="","",IFERROR(INDEX('CAT_TIPOS_OT'!$C$4:$C$8,MATCH($I804,'CAT_TIPOS_OT'!$A$4:$A$8,0)),"sin_clasificar"))</f>
        <v/>
      </c>
      <c r="V804" s="5">
        <f>IF($I804="","",IF(IFERROR(INDEX('CAT_TIPOS_OT'!$D$4:$D$8,MATCH($I804,'CAT_TIPOS_OT'!$A$4:$A$8,0)),"SIN CLASIFICAR")="","SIN CLASIFICAR",IFERROR(INDEX('CAT_TIPOS_OT'!$D$4:$D$8,MATCH($I804,'CAT_TIPOS_OT'!$A$4:$A$8,0)),"SIN CLASIFICAR")))</f>
        <v/>
      </c>
      <c r="W804" s="5">
        <f>IF($F804="","",IFERROR(INDEX('CAT_CENTROS_COSTO'!$F$4:$F$13,MATCH($F804,'CAT_CENTROS_COSTO'!$A$4:$A$13,0)),"(sin catálogo)"))</f>
        <v/>
      </c>
      <c r="X804" s="5">
        <f>IF($F804="","",IFERROR(INDEX('CAT_CENTROS_COSTO'!$D$4:$D$13,MATCH($F804,'CAT_CENTROS_COSTO'!$A$4:$A$13,0)),"(sin catálogo)"))</f>
        <v/>
      </c>
      <c r="Y804" s="5">
        <f>IF($F804="","",IF((IFERROR(INDEX('CAT_CENTROS_COSTO'!$E$4:$E$13,MATCH($F804,'CAT_CENTROS_COSTO'!$A$4:$A$13,0)),""))&lt;&gt;"",IFERROR(INDEX('CAT_CENTROS_COSTO'!$E$4:$E$13,MATCH($F804,'CAT_CENTROS_COSTO'!$A$4:$A$13,0)),""),$X804))</f>
        <v/>
      </c>
      <c r="Z804" s="5">
        <f>IF($F804="","",IFERROR(INDEX('CAT_CENTROS_COSTO'!$G$4:$G$13,MATCH($F804,'CAT_CENTROS_COSTO'!$A$4:$A$13,0)),"(sin catálogo)"))</f>
        <v/>
      </c>
      <c r="AA804" s="5">
        <f>IF($G804="","",IFERROR(INDEX('CAT_PUESTOS'!$B$4:$B$8,MATCH($G804,'CAT_PUESTOS'!$A$4:$A$8,0)),"(sin catálogo)"))</f>
        <v/>
      </c>
      <c r="AB804" s="5">
        <f>IF($H804="","",IFERROR(INDEX('CAT_ACTIVIDADES'!$B$4:$B$11,MATCH($H804,'CAT_ACTIVIDADES'!$A$4:$A$11,0)),"(sin catálogo)"))</f>
        <v/>
      </c>
      <c r="AC804" s="20">
        <f>IF($J804="","",TODAY()-$J804)</f>
        <v/>
      </c>
      <c r="AD804" s="20">
        <f>IF($J804="","",IF($J804&lt;=TODAY(),COUNTIFS(cal_fechas,"&gt;="&amp;$J804,cal_fechas,"&lt;"&amp;TODAY(),cal_habil,"sí"),-COUNTIFS(cal_fechas,"&gt;="&amp;TODAY(),cal_fechas,"&lt;"&amp;$J804,cal_habil,"sí")))</f>
        <v/>
      </c>
      <c r="AE804" s="5">
        <f>IF($AD804="","",IF($AD804&lt;0,"FUTURO",IF($AD804&gt;p_dias_backlog_max,"BACKLOG","MES CORRIENTE")))</f>
        <v/>
      </c>
      <c r="AF804" s="5">
        <f>IF($AD804="",FALSE,AND($AD804&gt;p_dias_backlog_min,$AD804&lt;=p_dias_backlog_max))</f>
        <v/>
      </c>
      <c r="AG804" s="4" t="n"/>
      <c r="AH804" s="5">
        <f>IF($AG804="","",IF((IFERROR(INDEX('ASIGNACIONES'!$J$4:$J$451,MATCH($O804&amp;"|"&amp;$S804&amp;"|"&amp;$AG804,'ASIGNACIONES'!$N$4:$N$451,0)),""))=0,"",IFERROR(INDEX('ASIGNACIONES'!$J$4:$J$451,MATCH($O804&amp;"|"&amp;$S804&amp;"|"&amp;$AG804,'ASIGNACIONES'!$N$4:$N$451,0)),"")))</f>
        <v/>
      </c>
      <c r="AI804" s="25">
        <f>IF($AG804="","",SUMIFS('ORDENES'!$M$4:$M$1203,'ORDENES'!$AG$4:$AG$1203,$AG804,'ORDENES'!$O$4:$O$1203,$O804,'ORDENES'!$S$4:$S$1203,$S804))</f>
        <v/>
      </c>
      <c r="AJ804" s="25">
        <f>IF($AI804="","",p_factor_productividad*IFERROR(INDEX('ASIGNACIONES'!$M$4:$M$451,MATCH($O804&amp;"|"&amp;$S804&amp;"|"&amp;$AG804,'ASIGNACIONES'!$N$4:$N$451,0)),0)-$AI804)</f>
        <v/>
      </c>
      <c r="AK804" s="18">
        <f>IF($A804="","",IFERROR(INDEX('2_IMPORTAR_EJECUCION'!$F$9:$F$1208,MATCH($AT804,'2_IMPORTAR_EJECUCION'!$J$9:$J$1208,0)),0))</f>
        <v/>
      </c>
      <c r="AL804" s="18">
        <f>IF($A804="","",MAX(0,IFERROR(INDEX('2_IMPORTAR_EJECUCION'!$H$9:$H$1208,MATCH($AT804,'2_IMPORTAR_EJECUCION'!$J$9:$J$1208,0)),0)-$AK804))</f>
        <v/>
      </c>
      <c r="AM804" s="18">
        <f>IF($A804="","",$AK804+$AL804)</f>
        <v/>
      </c>
      <c r="AN804" s="5">
        <f>IF($A804="","",IF(OR((IFERROR(INDEX('CAT_ACTIVIDADES'!$D$4:$D$11,MATCH($H804,'CAT_ACTIVIDADES'!$A$4:$A$11,0)),""))=0,(IFERROR(INDEX('CAT_ACTIVIDADES'!$D$4:$D$11,MATCH($H804,'CAT_ACTIVIDADES'!$A$4:$A$11,0)),""))=""),"SIN CLASIFICAR",IFERROR(INDEX('CAT_ACTIVIDADES'!$D$4:$D$11,MATCH($H804,'CAT_ACTIVIDADES'!$A$4:$A$11,0)),"")))</f>
        <v/>
      </c>
      <c r="AO804" s="4" t="n"/>
      <c r="AP804" s="4" t="n"/>
      <c r="AQ804" s="4" t="n"/>
      <c r="AR804" s="5">
        <f>IF($AQ804="","",HYPERLINK(p_ruta_base_checklists&amp;$AQ804,"abrir"))</f>
        <v/>
      </c>
      <c r="AS804" s="4" t="n"/>
      <c r="AT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2" t="n"/>
      <c r="K805" s="5" t="n"/>
      <c r="L805" s="18" t="n"/>
      <c r="M805" s="5">
        <f>IF($A805="","",IFERROR(INDEX('AJUSTES'!$B$4:$B$303,MATCH($AT805,'AJUSTES'!$A$4:$A$303,0)),IF($K805="","",$K805)))</f>
        <v/>
      </c>
      <c r="N805" s="5">
        <f>IF($A805="","",IFERROR(INDEX('CAT_ESTADOS_ERP'!$B$4:$B$7,MATCH(IFERROR(INDEX('2_IMPORTAR_EJECUCION'!$C$9:$C$1208,MATCH($AT805,'2_IMPORTAR_EJECUCION'!$J$9:$J$1208,0)),""),'CAT_ESTADOS_ERP'!$A$4:$A$7,0)),"Pendiente"))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IF($J805="","",$P805&amp;"-"&amp;TEXT($Q805,"00"))</f>
        <v/>
      </c>
      <c r="S805" s="5">
        <f>IF($J805="","",INDEX(lista_dias,WEEKDAY($J805,2)))</f>
        <v/>
      </c>
      <c r="T805" s="5">
        <f>IF($J805="","",IFERROR(INDEX('CALENDARIO'!$C$15:$C$214,MATCH(TEXT($J805,"yyyy-mm-dd")&amp;"|"&amp;$X805&amp;"|"&amp;$Y805,'CALENDARIO'!$G$15:$G$214,0)),IFERROR(INDEX('CALENDARIO'!$C$15:$C$214,MATCH(TEXT($J805,"yyyy-mm-dd")&amp;"|"&amp;$X805&amp;"|",'CALENDARIO'!$G$15:$G$214,0)),IFERROR(INDEX('CALENDARIO'!$C$15:$C$214,MATCH(TEXT($J805,"yyyy-mm-dd")&amp;"||",'CALENDARIO'!$G$15:$G$214,0)),INDEX(patronHabil,WEEKDAY($J805,2))))))</f>
        <v/>
      </c>
      <c r="U805" s="5">
        <f>IF($I805="","",IFERROR(INDEX('CAT_TIPOS_OT'!$C$4:$C$8,MATCH($I805,'CAT_TIPOS_OT'!$A$4:$A$8,0)),"sin_clasificar"))</f>
        <v/>
      </c>
      <c r="V805" s="5">
        <f>IF($I805="","",IF(IFERROR(INDEX('CAT_TIPOS_OT'!$D$4:$D$8,MATCH($I805,'CAT_TIPOS_OT'!$A$4:$A$8,0)),"SIN CLASIFICAR")="","SIN CLASIFICAR",IFERROR(INDEX('CAT_TIPOS_OT'!$D$4:$D$8,MATCH($I805,'CAT_TIPOS_OT'!$A$4:$A$8,0)),"SIN CLASIFICAR")))</f>
        <v/>
      </c>
      <c r="W805" s="5">
        <f>IF($F805="","",IFERROR(INDEX('CAT_CENTROS_COSTO'!$F$4:$F$13,MATCH($F805,'CAT_CENTROS_COSTO'!$A$4:$A$13,0)),"(sin catálogo)"))</f>
        <v/>
      </c>
      <c r="X805" s="5">
        <f>IF($F805="","",IFERROR(INDEX('CAT_CENTROS_COSTO'!$D$4:$D$13,MATCH($F805,'CAT_CENTROS_COSTO'!$A$4:$A$13,0)),"(sin catálogo)"))</f>
        <v/>
      </c>
      <c r="Y805" s="5">
        <f>IF($F805="","",IF((IFERROR(INDEX('CAT_CENTROS_COSTO'!$E$4:$E$13,MATCH($F805,'CAT_CENTROS_COSTO'!$A$4:$A$13,0)),""))&lt;&gt;"",IFERROR(INDEX('CAT_CENTROS_COSTO'!$E$4:$E$13,MATCH($F805,'CAT_CENTROS_COSTO'!$A$4:$A$13,0)),""),$X805))</f>
        <v/>
      </c>
      <c r="Z805" s="5">
        <f>IF($F805="","",IFERROR(INDEX('CAT_CENTROS_COSTO'!$G$4:$G$13,MATCH($F805,'CAT_CENTROS_COSTO'!$A$4:$A$13,0)),"(sin catálogo)"))</f>
        <v/>
      </c>
      <c r="AA805" s="5">
        <f>IF($G805="","",IFERROR(INDEX('CAT_PUESTOS'!$B$4:$B$8,MATCH($G805,'CAT_PUESTOS'!$A$4:$A$8,0)),"(sin catálogo)"))</f>
        <v/>
      </c>
      <c r="AB805" s="5">
        <f>IF($H805="","",IFERROR(INDEX('CAT_ACTIVIDADES'!$B$4:$B$11,MATCH($H805,'CAT_ACTIVIDADES'!$A$4:$A$11,0)),"(sin catálogo)"))</f>
        <v/>
      </c>
      <c r="AC805" s="20">
        <f>IF($J805="","",TODAY()-$J805)</f>
        <v/>
      </c>
      <c r="AD805" s="20">
        <f>IF($J805="","",IF($J805&lt;=TODAY(),COUNTIFS(cal_fechas,"&gt;="&amp;$J805,cal_fechas,"&lt;"&amp;TODAY(),cal_habil,"sí"),-COUNTIFS(cal_fechas,"&gt;="&amp;TODAY(),cal_fechas,"&lt;"&amp;$J805,cal_habil,"sí")))</f>
        <v/>
      </c>
      <c r="AE805" s="5">
        <f>IF($AD805="","",IF($AD805&lt;0,"FUTURO",IF($AD805&gt;p_dias_backlog_max,"BACKLOG","MES CORRIENTE")))</f>
        <v/>
      </c>
      <c r="AF805" s="5">
        <f>IF($AD805="",FALSE,AND($AD805&gt;p_dias_backlog_min,$AD805&lt;=p_dias_backlog_max))</f>
        <v/>
      </c>
      <c r="AG805" s="4" t="n"/>
      <c r="AH805" s="5">
        <f>IF($AG805="","",IF((IFERROR(INDEX('ASIGNACIONES'!$J$4:$J$451,MATCH($O805&amp;"|"&amp;$S805&amp;"|"&amp;$AG805,'ASIGNACIONES'!$N$4:$N$451,0)),""))=0,"",IFERROR(INDEX('ASIGNACIONES'!$J$4:$J$451,MATCH($O805&amp;"|"&amp;$S805&amp;"|"&amp;$AG805,'ASIGNACIONES'!$N$4:$N$451,0)),"")))</f>
        <v/>
      </c>
      <c r="AI805" s="25">
        <f>IF($AG805="","",SUMIFS('ORDENES'!$M$4:$M$1203,'ORDENES'!$AG$4:$AG$1203,$AG805,'ORDENES'!$O$4:$O$1203,$O805,'ORDENES'!$S$4:$S$1203,$S805))</f>
        <v/>
      </c>
      <c r="AJ805" s="25">
        <f>IF($AI805="","",p_factor_productividad*IFERROR(INDEX('ASIGNACIONES'!$M$4:$M$451,MATCH($O805&amp;"|"&amp;$S805&amp;"|"&amp;$AG805,'ASIGNACIONES'!$N$4:$N$451,0)),0)-$AI805)</f>
        <v/>
      </c>
      <c r="AK805" s="18">
        <f>IF($A805="","",IFERROR(INDEX('2_IMPORTAR_EJECUCION'!$F$9:$F$1208,MATCH($AT805,'2_IMPORTAR_EJECUCION'!$J$9:$J$1208,0)),0))</f>
        <v/>
      </c>
      <c r="AL805" s="18">
        <f>IF($A805="","",MAX(0,IFERROR(INDEX('2_IMPORTAR_EJECUCION'!$H$9:$H$1208,MATCH($AT805,'2_IMPORTAR_EJECUCION'!$J$9:$J$1208,0)),0)-$AK805))</f>
        <v/>
      </c>
      <c r="AM805" s="18">
        <f>IF($A805="","",$AK805+$AL805)</f>
        <v/>
      </c>
      <c r="AN805" s="5">
        <f>IF($A805="","",IF(OR((IFERROR(INDEX('CAT_ACTIVIDADES'!$D$4:$D$11,MATCH($H805,'CAT_ACTIVIDADES'!$A$4:$A$11,0)),""))=0,(IFERROR(INDEX('CAT_ACTIVIDADES'!$D$4:$D$11,MATCH($H805,'CAT_ACTIVIDADES'!$A$4:$A$11,0)),""))=""),"SIN CLASIFICAR",IFERROR(INDEX('CAT_ACTIVIDADES'!$D$4:$D$11,MATCH($H805,'CAT_ACTIVIDADES'!$A$4:$A$11,0)),"")))</f>
        <v/>
      </c>
      <c r="AO805" s="4" t="n"/>
      <c r="AP805" s="4" t="n"/>
      <c r="AQ805" s="4" t="n"/>
      <c r="AR805" s="5">
        <f>IF($AQ805="","",HYPERLINK(p_ruta_base_checklists&amp;$AQ805,"abrir"))</f>
        <v/>
      </c>
      <c r="AS805" s="4" t="n"/>
      <c r="AT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2" t="n"/>
      <c r="K806" s="5" t="n"/>
      <c r="L806" s="18" t="n"/>
      <c r="M806" s="5">
        <f>IF($A806="","",IFERROR(INDEX('AJUSTES'!$B$4:$B$303,MATCH($AT806,'AJUSTES'!$A$4:$A$303,0)),IF($K806="","",$K806)))</f>
        <v/>
      </c>
      <c r="N806" s="5">
        <f>IF($A806="","",IFERROR(INDEX('CAT_ESTADOS_ERP'!$B$4:$B$7,MATCH(IFERROR(INDEX('2_IMPORTAR_EJECUCION'!$C$9:$C$1208,MATCH($AT806,'2_IMPORTAR_EJECUCION'!$J$9:$J$1208,0)),""),'CAT_ESTADOS_ERP'!$A$4:$A$7,0)),"Pendiente"))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IF($J806="","",$P806&amp;"-"&amp;TEXT($Q806,"00"))</f>
        <v/>
      </c>
      <c r="S806" s="5">
        <f>IF($J806="","",INDEX(lista_dias,WEEKDAY($J806,2)))</f>
        <v/>
      </c>
      <c r="T806" s="5">
        <f>IF($J806="","",IFERROR(INDEX('CALENDARIO'!$C$15:$C$214,MATCH(TEXT($J806,"yyyy-mm-dd")&amp;"|"&amp;$X806&amp;"|"&amp;$Y806,'CALENDARIO'!$G$15:$G$214,0)),IFERROR(INDEX('CALENDARIO'!$C$15:$C$214,MATCH(TEXT($J806,"yyyy-mm-dd")&amp;"|"&amp;$X806&amp;"|",'CALENDARIO'!$G$15:$G$214,0)),IFERROR(INDEX('CALENDARIO'!$C$15:$C$214,MATCH(TEXT($J806,"yyyy-mm-dd")&amp;"||",'CALENDARIO'!$G$15:$G$214,0)),INDEX(patronHabil,WEEKDAY($J806,2))))))</f>
        <v/>
      </c>
      <c r="U806" s="5">
        <f>IF($I806="","",IFERROR(INDEX('CAT_TIPOS_OT'!$C$4:$C$8,MATCH($I806,'CAT_TIPOS_OT'!$A$4:$A$8,0)),"sin_clasificar"))</f>
        <v/>
      </c>
      <c r="V806" s="5">
        <f>IF($I806="","",IF(IFERROR(INDEX('CAT_TIPOS_OT'!$D$4:$D$8,MATCH($I806,'CAT_TIPOS_OT'!$A$4:$A$8,0)),"SIN CLASIFICAR")="","SIN CLASIFICAR",IFERROR(INDEX('CAT_TIPOS_OT'!$D$4:$D$8,MATCH($I806,'CAT_TIPOS_OT'!$A$4:$A$8,0)),"SIN CLASIFICAR")))</f>
        <v/>
      </c>
      <c r="W806" s="5">
        <f>IF($F806="","",IFERROR(INDEX('CAT_CENTROS_COSTO'!$F$4:$F$13,MATCH($F806,'CAT_CENTROS_COSTO'!$A$4:$A$13,0)),"(sin catálogo)"))</f>
        <v/>
      </c>
      <c r="X806" s="5">
        <f>IF($F806="","",IFERROR(INDEX('CAT_CENTROS_COSTO'!$D$4:$D$13,MATCH($F806,'CAT_CENTROS_COSTO'!$A$4:$A$13,0)),"(sin catálogo)"))</f>
        <v/>
      </c>
      <c r="Y806" s="5">
        <f>IF($F806="","",IF((IFERROR(INDEX('CAT_CENTROS_COSTO'!$E$4:$E$13,MATCH($F806,'CAT_CENTROS_COSTO'!$A$4:$A$13,0)),""))&lt;&gt;"",IFERROR(INDEX('CAT_CENTROS_COSTO'!$E$4:$E$13,MATCH($F806,'CAT_CENTROS_COSTO'!$A$4:$A$13,0)),""),$X806))</f>
        <v/>
      </c>
      <c r="Z806" s="5">
        <f>IF($F806="","",IFERROR(INDEX('CAT_CENTROS_COSTO'!$G$4:$G$13,MATCH($F806,'CAT_CENTROS_COSTO'!$A$4:$A$13,0)),"(sin catálogo)"))</f>
        <v/>
      </c>
      <c r="AA806" s="5">
        <f>IF($G806="","",IFERROR(INDEX('CAT_PUESTOS'!$B$4:$B$8,MATCH($G806,'CAT_PUESTOS'!$A$4:$A$8,0)),"(sin catálogo)"))</f>
        <v/>
      </c>
      <c r="AB806" s="5">
        <f>IF($H806="","",IFERROR(INDEX('CAT_ACTIVIDADES'!$B$4:$B$11,MATCH($H806,'CAT_ACTIVIDADES'!$A$4:$A$11,0)),"(sin catálogo)"))</f>
        <v/>
      </c>
      <c r="AC806" s="20">
        <f>IF($J806="","",TODAY()-$J806)</f>
        <v/>
      </c>
      <c r="AD806" s="20">
        <f>IF($J806="","",IF($J806&lt;=TODAY(),COUNTIFS(cal_fechas,"&gt;="&amp;$J806,cal_fechas,"&lt;"&amp;TODAY(),cal_habil,"sí"),-COUNTIFS(cal_fechas,"&gt;="&amp;TODAY(),cal_fechas,"&lt;"&amp;$J806,cal_habil,"sí")))</f>
        <v/>
      </c>
      <c r="AE806" s="5">
        <f>IF($AD806="","",IF($AD806&lt;0,"FUTURO",IF($AD806&gt;p_dias_backlog_max,"BACKLOG","MES CORRIENTE")))</f>
        <v/>
      </c>
      <c r="AF806" s="5">
        <f>IF($AD806="",FALSE,AND($AD806&gt;p_dias_backlog_min,$AD806&lt;=p_dias_backlog_max))</f>
        <v/>
      </c>
      <c r="AG806" s="4" t="n"/>
      <c r="AH806" s="5">
        <f>IF($AG806="","",IF((IFERROR(INDEX('ASIGNACIONES'!$J$4:$J$451,MATCH($O806&amp;"|"&amp;$S806&amp;"|"&amp;$AG806,'ASIGNACIONES'!$N$4:$N$451,0)),""))=0,"",IFERROR(INDEX('ASIGNACIONES'!$J$4:$J$451,MATCH($O806&amp;"|"&amp;$S806&amp;"|"&amp;$AG806,'ASIGNACIONES'!$N$4:$N$451,0)),"")))</f>
        <v/>
      </c>
      <c r="AI806" s="25">
        <f>IF($AG806="","",SUMIFS('ORDENES'!$M$4:$M$1203,'ORDENES'!$AG$4:$AG$1203,$AG806,'ORDENES'!$O$4:$O$1203,$O806,'ORDENES'!$S$4:$S$1203,$S806))</f>
        <v/>
      </c>
      <c r="AJ806" s="25">
        <f>IF($AI806="","",p_factor_productividad*IFERROR(INDEX('ASIGNACIONES'!$M$4:$M$451,MATCH($O806&amp;"|"&amp;$S806&amp;"|"&amp;$AG806,'ASIGNACIONES'!$N$4:$N$451,0)),0)-$AI806)</f>
        <v/>
      </c>
      <c r="AK806" s="18">
        <f>IF($A806="","",IFERROR(INDEX('2_IMPORTAR_EJECUCION'!$F$9:$F$1208,MATCH($AT806,'2_IMPORTAR_EJECUCION'!$J$9:$J$1208,0)),0))</f>
        <v/>
      </c>
      <c r="AL806" s="18">
        <f>IF($A806="","",MAX(0,IFERROR(INDEX('2_IMPORTAR_EJECUCION'!$H$9:$H$1208,MATCH($AT806,'2_IMPORTAR_EJECUCION'!$J$9:$J$1208,0)),0)-$AK806))</f>
        <v/>
      </c>
      <c r="AM806" s="18">
        <f>IF($A806="","",$AK806+$AL806)</f>
        <v/>
      </c>
      <c r="AN806" s="5">
        <f>IF($A806="","",IF(OR((IFERROR(INDEX('CAT_ACTIVIDADES'!$D$4:$D$11,MATCH($H806,'CAT_ACTIVIDADES'!$A$4:$A$11,0)),""))=0,(IFERROR(INDEX('CAT_ACTIVIDADES'!$D$4:$D$11,MATCH($H806,'CAT_ACTIVIDADES'!$A$4:$A$11,0)),""))=""),"SIN CLASIFICAR",IFERROR(INDEX('CAT_ACTIVIDADES'!$D$4:$D$11,MATCH($H806,'CAT_ACTIVIDADES'!$A$4:$A$11,0)),"")))</f>
        <v/>
      </c>
      <c r="AO806" s="4" t="n"/>
      <c r="AP806" s="4" t="n"/>
      <c r="AQ806" s="4" t="n"/>
      <c r="AR806" s="5">
        <f>IF($AQ806="","",HYPERLINK(p_ruta_base_checklists&amp;$AQ806,"abrir"))</f>
        <v/>
      </c>
      <c r="AS806" s="4" t="n"/>
      <c r="AT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2" t="n"/>
      <c r="K807" s="5" t="n"/>
      <c r="L807" s="18" t="n"/>
      <c r="M807" s="5">
        <f>IF($A807="","",IFERROR(INDEX('AJUSTES'!$B$4:$B$303,MATCH($AT807,'AJUSTES'!$A$4:$A$303,0)),IF($K807="","",$K807)))</f>
        <v/>
      </c>
      <c r="N807" s="5">
        <f>IF($A807="","",IFERROR(INDEX('CAT_ESTADOS_ERP'!$B$4:$B$7,MATCH(IFERROR(INDEX('2_IMPORTAR_EJECUCION'!$C$9:$C$1208,MATCH($AT807,'2_IMPORTAR_EJECUCION'!$J$9:$J$1208,0)),""),'CAT_ESTADOS_ERP'!$A$4:$A$7,0)),"Pendiente"))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IF($J807="","",$P807&amp;"-"&amp;TEXT($Q807,"00"))</f>
        <v/>
      </c>
      <c r="S807" s="5">
        <f>IF($J807="","",INDEX(lista_dias,WEEKDAY($J807,2)))</f>
        <v/>
      </c>
      <c r="T807" s="5">
        <f>IF($J807="","",IFERROR(INDEX('CALENDARIO'!$C$15:$C$214,MATCH(TEXT($J807,"yyyy-mm-dd")&amp;"|"&amp;$X807&amp;"|"&amp;$Y807,'CALENDARIO'!$G$15:$G$214,0)),IFERROR(INDEX('CALENDARIO'!$C$15:$C$214,MATCH(TEXT($J807,"yyyy-mm-dd")&amp;"|"&amp;$X807&amp;"|",'CALENDARIO'!$G$15:$G$214,0)),IFERROR(INDEX('CALENDARIO'!$C$15:$C$214,MATCH(TEXT($J807,"yyyy-mm-dd")&amp;"||",'CALENDARIO'!$G$15:$G$214,0)),INDEX(patronHabil,WEEKDAY($J807,2))))))</f>
        <v/>
      </c>
      <c r="U807" s="5">
        <f>IF($I807="","",IFERROR(INDEX('CAT_TIPOS_OT'!$C$4:$C$8,MATCH($I807,'CAT_TIPOS_OT'!$A$4:$A$8,0)),"sin_clasificar"))</f>
        <v/>
      </c>
      <c r="V807" s="5">
        <f>IF($I807="","",IF(IFERROR(INDEX('CAT_TIPOS_OT'!$D$4:$D$8,MATCH($I807,'CAT_TIPOS_OT'!$A$4:$A$8,0)),"SIN CLASIFICAR")="","SIN CLASIFICAR",IFERROR(INDEX('CAT_TIPOS_OT'!$D$4:$D$8,MATCH($I807,'CAT_TIPOS_OT'!$A$4:$A$8,0)),"SIN CLASIFICAR")))</f>
        <v/>
      </c>
      <c r="W807" s="5">
        <f>IF($F807="","",IFERROR(INDEX('CAT_CENTROS_COSTO'!$F$4:$F$13,MATCH($F807,'CAT_CENTROS_COSTO'!$A$4:$A$13,0)),"(sin catálogo)"))</f>
        <v/>
      </c>
      <c r="X807" s="5">
        <f>IF($F807="","",IFERROR(INDEX('CAT_CENTROS_COSTO'!$D$4:$D$13,MATCH($F807,'CAT_CENTROS_COSTO'!$A$4:$A$13,0)),"(sin catálogo)"))</f>
        <v/>
      </c>
      <c r="Y807" s="5">
        <f>IF($F807="","",IF((IFERROR(INDEX('CAT_CENTROS_COSTO'!$E$4:$E$13,MATCH($F807,'CAT_CENTROS_COSTO'!$A$4:$A$13,0)),""))&lt;&gt;"",IFERROR(INDEX('CAT_CENTROS_COSTO'!$E$4:$E$13,MATCH($F807,'CAT_CENTROS_COSTO'!$A$4:$A$13,0)),""),$X807))</f>
        <v/>
      </c>
      <c r="Z807" s="5">
        <f>IF($F807="","",IFERROR(INDEX('CAT_CENTROS_COSTO'!$G$4:$G$13,MATCH($F807,'CAT_CENTROS_COSTO'!$A$4:$A$13,0)),"(sin catálogo)"))</f>
        <v/>
      </c>
      <c r="AA807" s="5">
        <f>IF($G807="","",IFERROR(INDEX('CAT_PUESTOS'!$B$4:$B$8,MATCH($G807,'CAT_PUESTOS'!$A$4:$A$8,0)),"(sin catálogo)"))</f>
        <v/>
      </c>
      <c r="AB807" s="5">
        <f>IF($H807="","",IFERROR(INDEX('CAT_ACTIVIDADES'!$B$4:$B$11,MATCH($H807,'CAT_ACTIVIDADES'!$A$4:$A$11,0)),"(sin catálogo)"))</f>
        <v/>
      </c>
      <c r="AC807" s="20">
        <f>IF($J807="","",TODAY()-$J807)</f>
        <v/>
      </c>
      <c r="AD807" s="20">
        <f>IF($J807="","",IF($J807&lt;=TODAY(),COUNTIFS(cal_fechas,"&gt;="&amp;$J807,cal_fechas,"&lt;"&amp;TODAY(),cal_habil,"sí"),-COUNTIFS(cal_fechas,"&gt;="&amp;TODAY(),cal_fechas,"&lt;"&amp;$J807,cal_habil,"sí")))</f>
        <v/>
      </c>
      <c r="AE807" s="5">
        <f>IF($AD807="","",IF($AD807&lt;0,"FUTURO",IF($AD807&gt;p_dias_backlog_max,"BACKLOG","MES CORRIENTE")))</f>
        <v/>
      </c>
      <c r="AF807" s="5">
        <f>IF($AD807="",FALSE,AND($AD807&gt;p_dias_backlog_min,$AD807&lt;=p_dias_backlog_max))</f>
        <v/>
      </c>
      <c r="AG807" s="4" t="n"/>
      <c r="AH807" s="5">
        <f>IF($AG807="","",IF((IFERROR(INDEX('ASIGNACIONES'!$J$4:$J$451,MATCH($O807&amp;"|"&amp;$S807&amp;"|"&amp;$AG807,'ASIGNACIONES'!$N$4:$N$451,0)),""))=0,"",IFERROR(INDEX('ASIGNACIONES'!$J$4:$J$451,MATCH($O807&amp;"|"&amp;$S807&amp;"|"&amp;$AG807,'ASIGNACIONES'!$N$4:$N$451,0)),"")))</f>
        <v/>
      </c>
      <c r="AI807" s="25">
        <f>IF($AG807="","",SUMIFS('ORDENES'!$M$4:$M$1203,'ORDENES'!$AG$4:$AG$1203,$AG807,'ORDENES'!$O$4:$O$1203,$O807,'ORDENES'!$S$4:$S$1203,$S807))</f>
        <v/>
      </c>
      <c r="AJ807" s="25">
        <f>IF($AI807="","",p_factor_productividad*IFERROR(INDEX('ASIGNACIONES'!$M$4:$M$451,MATCH($O807&amp;"|"&amp;$S807&amp;"|"&amp;$AG807,'ASIGNACIONES'!$N$4:$N$451,0)),0)-$AI807)</f>
        <v/>
      </c>
      <c r="AK807" s="18">
        <f>IF($A807="","",IFERROR(INDEX('2_IMPORTAR_EJECUCION'!$F$9:$F$1208,MATCH($AT807,'2_IMPORTAR_EJECUCION'!$J$9:$J$1208,0)),0))</f>
        <v/>
      </c>
      <c r="AL807" s="18">
        <f>IF($A807="","",MAX(0,IFERROR(INDEX('2_IMPORTAR_EJECUCION'!$H$9:$H$1208,MATCH($AT807,'2_IMPORTAR_EJECUCION'!$J$9:$J$1208,0)),0)-$AK807))</f>
        <v/>
      </c>
      <c r="AM807" s="18">
        <f>IF($A807="","",$AK807+$AL807)</f>
        <v/>
      </c>
      <c r="AN807" s="5">
        <f>IF($A807="","",IF(OR((IFERROR(INDEX('CAT_ACTIVIDADES'!$D$4:$D$11,MATCH($H807,'CAT_ACTIVIDADES'!$A$4:$A$11,0)),""))=0,(IFERROR(INDEX('CAT_ACTIVIDADES'!$D$4:$D$11,MATCH($H807,'CAT_ACTIVIDADES'!$A$4:$A$11,0)),""))=""),"SIN CLASIFICAR",IFERROR(INDEX('CAT_ACTIVIDADES'!$D$4:$D$11,MATCH($H807,'CAT_ACTIVIDADES'!$A$4:$A$11,0)),"")))</f>
        <v/>
      </c>
      <c r="AO807" s="4" t="n"/>
      <c r="AP807" s="4" t="n"/>
      <c r="AQ807" s="4" t="n"/>
      <c r="AR807" s="5">
        <f>IF($AQ807="","",HYPERLINK(p_ruta_base_checklists&amp;$AQ807,"abrir"))</f>
        <v/>
      </c>
      <c r="AS807" s="4" t="n"/>
      <c r="AT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2" t="n"/>
      <c r="K808" s="5" t="n"/>
      <c r="L808" s="18" t="n"/>
      <c r="M808" s="5">
        <f>IF($A808="","",IFERROR(INDEX('AJUSTES'!$B$4:$B$303,MATCH($AT808,'AJUSTES'!$A$4:$A$303,0)),IF($K808="","",$K808)))</f>
        <v/>
      </c>
      <c r="N808" s="5">
        <f>IF($A808="","",IFERROR(INDEX('CAT_ESTADOS_ERP'!$B$4:$B$7,MATCH(IFERROR(INDEX('2_IMPORTAR_EJECUCION'!$C$9:$C$1208,MATCH($AT808,'2_IMPORTAR_EJECUCION'!$J$9:$J$1208,0)),""),'CAT_ESTADOS_ERP'!$A$4:$A$7,0)),"Pendiente"))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IF($J808="","",$P808&amp;"-"&amp;TEXT($Q808,"00"))</f>
        <v/>
      </c>
      <c r="S808" s="5">
        <f>IF($J808="","",INDEX(lista_dias,WEEKDAY($J808,2)))</f>
        <v/>
      </c>
      <c r="T808" s="5">
        <f>IF($J808="","",IFERROR(INDEX('CALENDARIO'!$C$15:$C$214,MATCH(TEXT($J808,"yyyy-mm-dd")&amp;"|"&amp;$X808&amp;"|"&amp;$Y808,'CALENDARIO'!$G$15:$G$214,0)),IFERROR(INDEX('CALENDARIO'!$C$15:$C$214,MATCH(TEXT($J808,"yyyy-mm-dd")&amp;"|"&amp;$X808&amp;"|",'CALENDARIO'!$G$15:$G$214,0)),IFERROR(INDEX('CALENDARIO'!$C$15:$C$214,MATCH(TEXT($J808,"yyyy-mm-dd")&amp;"||",'CALENDARIO'!$G$15:$G$214,0)),INDEX(patronHabil,WEEKDAY($J808,2))))))</f>
        <v/>
      </c>
      <c r="U808" s="5">
        <f>IF($I808="","",IFERROR(INDEX('CAT_TIPOS_OT'!$C$4:$C$8,MATCH($I808,'CAT_TIPOS_OT'!$A$4:$A$8,0)),"sin_clasificar"))</f>
        <v/>
      </c>
      <c r="V808" s="5">
        <f>IF($I808="","",IF(IFERROR(INDEX('CAT_TIPOS_OT'!$D$4:$D$8,MATCH($I808,'CAT_TIPOS_OT'!$A$4:$A$8,0)),"SIN CLASIFICAR")="","SIN CLASIFICAR",IFERROR(INDEX('CAT_TIPOS_OT'!$D$4:$D$8,MATCH($I808,'CAT_TIPOS_OT'!$A$4:$A$8,0)),"SIN CLASIFICAR")))</f>
        <v/>
      </c>
      <c r="W808" s="5">
        <f>IF($F808="","",IFERROR(INDEX('CAT_CENTROS_COSTO'!$F$4:$F$13,MATCH($F808,'CAT_CENTROS_COSTO'!$A$4:$A$13,0)),"(sin catálogo)"))</f>
        <v/>
      </c>
      <c r="X808" s="5">
        <f>IF($F808="","",IFERROR(INDEX('CAT_CENTROS_COSTO'!$D$4:$D$13,MATCH($F808,'CAT_CENTROS_COSTO'!$A$4:$A$13,0)),"(sin catálogo)"))</f>
        <v/>
      </c>
      <c r="Y808" s="5">
        <f>IF($F808="","",IF((IFERROR(INDEX('CAT_CENTROS_COSTO'!$E$4:$E$13,MATCH($F808,'CAT_CENTROS_COSTO'!$A$4:$A$13,0)),""))&lt;&gt;"",IFERROR(INDEX('CAT_CENTROS_COSTO'!$E$4:$E$13,MATCH($F808,'CAT_CENTROS_COSTO'!$A$4:$A$13,0)),""),$X808))</f>
        <v/>
      </c>
      <c r="Z808" s="5">
        <f>IF($F808="","",IFERROR(INDEX('CAT_CENTROS_COSTO'!$G$4:$G$13,MATCH($F808,'CAT_CENTROS_COSTO'!$A$4:$A$13,0)),"(sin catálogo)"))</f>
        <v/>
      </c>
      <c r="AA808" s="5">
        <f>IF($G808="","",IFERROR(INDEX('CAT_PUESTOS'!$B$4:$B$8,MATCH($G808,'CAT_PUESTOS'!$A$4:$A$8,0)),"(sin catálogo)"))</f>
        <v/>
      </c>
      <c r="AB808" s="5">
        <f>IF($H808="","",IFERROR(INDEX('CAT_ACTIVIDADES'!$B$4:$B$11,MATCH($H808,'CAT_ACTIVIDADES'!$A$4:$A$11,0)),"(sin catálogo)"))</f>
        <v/>
      </c>
      <c r="AC808" s="20">
        <f>IF($J808="","",TODAY()-$J808)</f>
        <v/>
      </c>
      <c r="AD808" s="20">
        <f>IF($J808="","",IF($J808&lt;=TODAY(),COUNTIFS(cal_fechas,"&gt;="&amp;$J808,cal_fechas,"&lt;"&amp;TODAY(),cal_habil,"sí"),-COUNTIFS(cal_fechas,"&gt;="&amp;TODAY(),cal_fechas,"&lt;"&amp;$J808,cal_habil,"sí")))</f>
        <v/>
      </c>
      <c r="AE808" s="5">
        <f>IF($AD808="","",IF($AD808&lt;0,"FUTURO",IF($AD808&gt;p_dias_backlog_max,"BACKLOG","MES CORRIENTE")))</f>
        <v/>
      </c>
      <c r="AF808" s="5">
        <f>IF($AD808="",FALSE,AND($AD808&gt;p_dias_backlog_min,$AD808&lt;=p_dias_backlog_max))</f>
        <v/>
      </c>
      <c r="AG808" s="4" t="n"/>
      <c r="AH808" s="5">
        <f>IF($AG808="","",IF((IFERROR(INDEX('ASIGNACIONES'!$J$4:$J$451,MATCH($O808&amp;"|"&amp;$S808&amp;"|"&amp;$AG808,'ASIGNACIONES'!$N$4:$N$451,0)),""))=0,"",IFERROR(INDEX('ASIGNACIONES'!$J$4:$J$451,MATCH($O808&amp;"|"&amp;$S808&amp;"|"&amp;$AG808,'ASIGNACIONES'!$N$4:$N$451,0)),"")))</f>
        <v/>
      </c>
      <c r="AI808" s="25">
        <f>IF($AG808="","",SUMIFS('ORDENES'!$M$4:$M$1203,'ORDENES'!$AG$4:$AG$1203,$AG808,'ORDENES'!$O$4:$O$1203,$O808,'ORDENES'!$S$4:$S$1203,$S808))</f>
        <v/>
      </c>
      <c r="AJ808" s="25">
        <f>IF($AI808="","",p_factor_productividad*IFERROR(INDEX('ASIGNACIONES'!$M$4:$M$451,MATCH($O808&amp;"|"&amp;$S808&amp;"|"&amp;$AG808,'ASIGNACIONES'!$N$4:$N$451,0)),0)-$AI808)</f>
        <v/>
      </c>
      <c r="AK808" s="18">
        <f>IF($A808="","",IFERROR(INDEX('2_IMPORTAR_EJECUCION'!$F$9:$F$1208,MATCH($AT808,'2_IMPORTAR_EJECUCION'!$J$9:$J$1208,0)),0))</f>
        <v/>
      </c>
      <c r="AL808" s="18">
        <f>IF($A808="","",MAX(0,IFERROR(INDEX('2_IMPORTAR_EJECUCION'!$H$9:$H$1208,MATCH($AT808,'2_IMPORTAR_EJECUCION'!$J$9:$J$1208,0)),0)-$AK808))</f>
        <v/>
      </c>
      <c r="AM808" s="18">
        <f>IF($A808="","",$AK808+$AL808)</f>
        <v/>
      </c>
      <c r="AN808" s="5">
        <f>IF($A808="","",IF(OR((IFERROR(INDEX('CAT_ACTIVIDADES'!$D$4:$D$11,MATCH($H808,'CAT_ACTIVIDADES'!$A$4:$A$11,0)),""))=0,(IFERROR(INDEX('CAT_ACTIVIDADES'!$D$4:$D$11,MATCH($H808,'CAT_ACTIVIDADES'!$A$4:$A$11,0)),""))=""),"SIN CLASIFICAR",IFERROR(INDEX('CAT_ACTIVIDADES'!$D$4:$D$11,MATCH($H808,'CAT_ACTIVIDADES'!$A$4:$A$11,0)),"")))</f>
        <v/>
      </c>
      <c r="AO808" s="4" t="n"/>
      <c r="AP808" s="4" t="n"/>
      <c r="AQ808" s="4" t="n"/>
      <c r="AR808" s="5">
        <f>IF($AQ808="","",HYPERLINK(p_ruta_base_checklists&amp;$AQ808,"abrir"))</f>
        <v/>
      </c>
      <c r="AS808" s="4" t="n"/>
      <c r="AT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2" t="n"/>
      <c r="K809" s="5" t="n"/>
      <c r="L809" s="18" t="n"/>
      <c r="M809" s="5">
        <f>IF($A809="","",IFERROR(INDEX('AJUSTES'!$B$4:$B$303,MATCH($AT809,'AJUSTES'!$A$4:$A$303,0)),IF($K809="","",$K809)))</f>
        <v/>
      </c>
      <c r="N809" s="5">
        <f>IF($A809="","",IFERROR(INDEX('CAT_ESTADOS_ERP'!$B$4:$B$7,MATCH(IFERROR(INDEX('2_IMPORTAR_EJECUCION'!$C$9:$C$1208,MATCH($AT809,'2_IMPORTAR_EJECUCION'!$J$9:$J$1208,0)),""),'CAT_ESTADOS_ERP'!$A$4:$A$7,0)),"Pendiente"))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IF($J809="","",$P809&amp;"-"&amp;TEXT($Q809,"00"))</f>
        <v/>
      </c>
      <c r="S809" s="5">
        <f>IF($J809="","",INDEX(lista_dias,WEEKDAY($J809,2)))</f>
        <v/>
      </c>
      <c r="T809" s="5">
        <f>IF($J809="","",IFERROR(INDEX('CALENDARIO'!$C$15:$C$214,MATCH(TEXT($J809,"yyyy-mm-dd")&amp;"|"&amp;$X809&amp;"|"&amp;$Y809,'CALENDARIO'!$G$15:$G$214,0)),IFERROR(INDEX('CALENDARIO'!$C$15:$C$214,MATCH(TEXT($J809,"yyyy-mm-dd")&amp;"|"&amp;$X809&amp;"|",'CALENDARIO'!$G$15:$G$214,0)),IFERROR(INDEX('CALENDARIO'!$C$15:$C$214,MATCH(TEXT($J809,"yyyy-mm-dd")&amp;"||",'CALENDARIO'!$G$15:$G$214,0)),INDEX(patronHabil,WEEKDAY($J809,2))))))</f>
        <v/>
      </c>
      <c r="U809" s="5">
        <f>IF($I809="","",IFERROR(INDEX('CAT_TIPOS_OT'!$C$4:$C$8,MATCH($I809,'CAT_TIPOS_OT'!$A$4:$A$8,0)),"sin_clasificar"))</f>
        <v/>
      </c>
      <c r="V809" s="5">
        <f>IF($I809="","",IF(IFERROR(INDEX('CAT_TIPOS_OT'!$D$4:$D$8,MATCH($I809,'CAT_TIPOS_OT'!$A$4:$A$8,0)),"SIN CLASIFICAR")="","SIN CLASIFICAR",IFERROR(INDEX('CAT_TIPOS_OT'!$D$4:$D$8,MATCH($I809,'CAT_TIPOS_OT'!$A$4:$A$8,0)),"SIN CLASIFICAR")))</f>
        <v/>
      </c>
      <c r="W809" s="5">
        <f>IF($F809="","",IFERROR(INDEX('CAT_CENTROS_COSTO'!$F$4:$F$13,MATCH($F809,'CAT_CENTROS_COSTO'!$A$4:$A$13,0)),"(sin catálogo)"))</f>
        <v/>
      </c>
      <c r="X809" s="5">
        <f>IF($F809="","",IFERROR(INDEX('CAT_CENTROS_COSTO'!$D$4:$D$13,MATCH($F809,'CAT_CENTROS_COSTO'!$A$4:$A$13,0)),"(sin catálogo)"))</f>
        <v/>
      </c>
      <c r="Y809" s="5">
        <f>IF($F809="","",IF((IFERROR(INDEX('CAT_CENTROS_COSTO'!$E$4:$E$13,MATCH($F809,'CAT_CENTROS_COSTO'!$A$4:$A$13,0)),""))&lt;&gt;"",IFERROR(INDEX('CAT_CENTROS_COSTO'!$E$4:$E$13,MATCH($F809,'CAT_CENTROS_COSTO'!$A$4:$A$13,0)),""),$X809))</f>
        <v/>
      </c>
      <c r="Z809" s="5">
        <f>IF($F809="","",IFERROR(INDEX('CAT_CENTROS_COSTO'!$G$4:$G$13,MATCH($F809,'CAT_CENTROS_COSTO'!$A$4:$A$13,0)),"(sin catálogo)"))</f>
        <v/>
      </c>
      <c r="AA809" s="5">
        <f>IF($G809="","",IFERROR(INDEX('CAT_PUESTOS'!$B$4:$B$8,MATCH($G809,'CAT_PUESTOS'!$A$4:$A$8,0)),"(sin catálogo)"))</f>
        <v/>
      </c>
      <c r="AB809" s="5">
        <f>IF($H809="","",IFERROR(INDEX('CAT_ACTIVIDADES'!$B$4:$B$11,MATCH($H809,'CAT_ACTIVIDADES'!$A$4:$A$11,0)),"(sin catálogo)"))</f>
        <v/>
      </c>
      <c r="AC809" s="20">
        <f>IF($J809="","",TODAY()-$J809)</f>
        <v/>
      </c>
      <c r="AD809" s="20">
        <f>IF($J809="","",IF($J809&lt;=TODAY(),COUNTIFS(cal_fechas,"&gt;="&amp;$J809,cal_fechas,"&lt;"&amp;TODAY(),cal_habil,"sí"),-COUNTIFS(cal_fechas,"&gt;="&amp;TODAY(),cal_fechas,"&lt;"&amp;$J809,cal_habil,"sí")))</f>
        <v/>
      </c>
      <c r="AE809" s="5">
        <f>IF($AD809="","",IF($AD809&lt;0,"FUTURO",IF($AD809&gt;p_dias_backlog_max,"BACKLOG","MES CORRIENTE")))</f>
        <v/>
      </c>
      <c r="AF809" s="5">
        <f>IF($AD809="",FALSE,AND($AD809&gt;p_dias_backlog_min,$AD809&lt;=p_dias_backlog_max))</f>
        <v/>
      </c>
      <c r="AG809" s="4" t="n"/>
      <c r="AH809" s="5">
        <f>IF($AG809="","",IF((IFERROR(INDEX('ASIGNACIONES'!$J$4:$J$451,MATCH($O809&amp;"|"&amp;$S809&amp;"|"&amp;$AG809,'ASIGNACIONES'!$N$4:$N$451,0)),""))=0,"",IFERROR(INDEX('ASIGNACIONES'!$J$4:$J$451,MATCH($O809&amp;"|"&amp;$S809&amp;"|"&amp;$AG809,'ASIGNACIONES'!$N$4:$N$451,0)),"")))</f>
        <v/>
      </c>
      <c r="AI809" s="25">
        <f>IF($AG809="","",SUMIFS('ORDENES'!$M$4:$M$1203,'ORDENES'!$AG$4:$AG$1203,$AG809,'ORDENES'!$O$4:$O$1203,$O809,'ORDENES'!$S$4:$S$1203,$S809))</f>
        <v/>
      </c>
      <c r="AJ809" s="25">
        <f>IF($AI809="","",p_factor_productividad*IFERROR(INDEX('ASIGNACIONES'!$M$4:$M$451,MATCH($O809&amp;"|"&amp;$S809&amp;"|"&amp;$AG809,'ASIGNACIONES'!$N$4:$N$451,0)),0)-$AI809)</f>
        <v/>
      </c>
      <c r="AK809" s="18">
        <f>IF($A809="","",IFERROR(INDEX('2_IMPORTAR_EJECUCION'!$F$9:$F$1208,MATCH($AT809,'2_IMPORTAR_EJECUCION'!$J$9:$J$1208,0)),0))</f>
        <v/>
      </c>
      <c r="AL809" s="18">
        <f>IF($A809="","",MAX(0,IFERROR(INDEX('2_IMPORTAR_EJECUCION'!$H$9:$H$1208,MATCH($AT809,'2_IMPORTAR_EJECUCION'!$J$9:$J$1208,0)),0)-$AK809))</f>
        <v/>
      </c>
      <c r="AM809" s="18">
        <f>IF($A809="","",$AK809+$AL809)</f>
        <v/>
      </c>
      <c r="AN809" s="5">
        <f>IF($A809="","",IF(OR((IFERROR(INDEX('CAT_ACTIVIDADES'!$D$4:$D$11,MATCH($H809,'CAT_ACTIVIDADES'!$A$4:$A$11,0)),""))=0,(IFERROR(INDEX('CAT_ACTIVIDADES'!$D$4:$D$11,MATCH($H809,'CAT_ACTIVIDADES'!$A$4:$A$11,0)),""))=""),"SIN CLASIFICAR",IFERROR(INDEX('CAT_ACTIVIDADES'!$D$4:$D$11,MATCH($H809,'CAT_ACTIVIDADES'!$A$4:$A$11,0)),"")))</f>
        <v/>
      </c>
      <c r="AO809" s="4" t="n"/>
      <c r="AP809" s="4" t="n"/>
      <c r="AQ809" s="4" t="n"/>
      <c r="AR809" s="5">
        <f>IF($AQ809="","",HYPERLINK(p_ruta_base_checklists&amp;$AQ809,"abrir"))</f>
        <v/>
      </c>
      <c r="AS809" s="4" t="n"/>
      <c r="AT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2" t="n"/>
      <c r="K810" s="5" t="n"/>
      <c r="L810" s="18" t="n"/>
      <c r="M810" s="5">
        <f>IF($A810="","",IFERROR(INDEX('AJUSTES'!$B$4:$B$303,MATCH($AT810,'AJUSTES'!$A$4:$A$303,0)),IF($K810="","",$K810)))</f>
        <v/>
      </c>
      <c r="N810" s="5">
        <f>IF($A810="","",IFERROR(INDEX('CAT_ESTADOS_ERP'!$B$4:$B$7,MATCH(IFERROR(INDEX('2_IMPORTAR_EJECUCION'!$C$9:$C$1208,MATCH($AT810,'2_IMPORTAR_EJECUCION'!$J$9:$J$1208,0)),""),'CAT_ESTADOS_ERP'!$A$4:$A$7,0)),"Pendiente"))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IF($J810="","",$P810&amp;"-"&amp;TEXT($Q810,"00"))</f>
        <v/>
      </c>
      <c r="S810" s="5">
        <f>IF($J810="","",INDEX(lista_dias,WEEKDAY($J810,2)))</f>
        <v/>
      </c>
      <c r="T810" s="5">
        <f>IF($J810="","",IFERROR(INDEX('CALENDARIO'!$C$15:$C$214,MATCH(TEXT($J810,"yyyy-mm-dd")&amp;"|"&amp;$X810&amp;"|"&amp;$Y810,'CALENDARIO'!$G$15:$G$214,0)),IFERROR(INDEX('CALENDARIO'!$C$15:$C$214,MATCH(TEXT($J810,"yyyy-mm-dd")&amp;"|"&amp;$X810&amp;"|",'CALENDARIO'!$G$15:$G$214,0)),IFERROR(INDEX('CALENDARIO'!$C$15:$C$214,MATCH(TEXT($J810,"yyyy-mm-dd")&amp;"||",'CALENDARIO'!$G$15:$G$214,0)),INDEX(patronHabil,WEEKDAY($J810,2))))))</f>
        <v/>
      </c>
      <c r="U810" s="5">
        <f>IF($I810="","",IFERROR(INDEX('CAT_TIPOS_OT'!$C$4:$C$8,MATCH($I810,'CAT_TIPOS_OT'!$A$4:$A$8,0)),"sin_clasificar"))</f>
        <v/>
      </c>
      <c r="V810" s="5">
        <f>IF($I810="","",IF(IFERROR(INDEX('CAT_TIPOS_OT'!$D$4:$D$8,MATCH($I810,'CAT_TIPOS_OT'!$A$4:$A$8,0)),"SIN CLASIFICAR")="","SIN CLASIFICAR",IFERROR(INDEX('CAT_TIPOS_OT'!$D$4:$D$8,MATCH($I810,'CAT_TIPOS_OT'!$A$4:$A$8,0)),"SIN CLASIFICAR")))</f>
        <v/>
      </c>
      <c r="W810" s="5">
        <f>IF($F810="","",IFERROR(INDEX('CAT_CENTROS_COSTO'!$F$4:$F$13,MATCH($F810,'CAT_CENTROS_COSTO'!$A$4:$A$13,0)),"(sin catálogo)"))</f>
        <v/>
      </c>
      <c r="X810" s="5">
        <f>IF($F810="","",IFERROR(INDEX('CAT_CENTROS_COSTO'!$D$4:$D$13,MATCH($F810,'CAT_CENTROS_COSTO'!$A$4:$A$13,0)),"(sin catálogo)"))</f>
        <v/>
      </c>
      <c r="Y810" s="5">
        <f>IF($F810="","",IF((IFERROR(INDEX('CAT_CENTROS_COSTO'!$E$4:$E$13,MATCH($F810,'CAT_CENTROS_COSTO'!$A$4:$A$13,0)),""))&lt;&gt;"",IFERROR(INDEX('CAT_CENTROS_COSTO'!$E$4:$E$13,MATCH($F810,'CAT_CENTROS_COSTO'!$A$4:$A$13,0)),""),$X810))</f>
        <v/>
      </c>
      <c r="Z810" s="5">
        <f>IF($F810="","",IFERROR(INDEX('CAT_CENTROS_COSTO'!$G$4:$G$13,MATCH($F810,'CAT_CENTROS_COSTO'!$A$4:$A$13,0)),"(sin catálogo)"))</f>
        <v/>
      </c>
      <c r="AA810" s="5">
        <f>IF($G810="","",IFERROR(INDEX('CAT_PUESTOS'!$B$4:$B$8,MATCH($G810,'CAT_PUESTOS'!$A$4:$A$8,0)),"(sin catálogo)"))</f>
        <v/>
      </c>
      <c r="AB810" s="5">
        <f>IF($H810="","",IFERROR(INDEX('CAT_ACTIVIDADES'!$B$4:$B$11,MATCH($H810,'CAT_ACTIVIDADES'!$A$4:$A$11,0)),"(sin catálogo)"))</f>
        <v/>
      </c>
      <c r="AC810" s="20">
        <f>IF($J810="","",TODAY()-$J810)</f>
        <v/>
      </c>
      <c r="AD810" s="20">
        <f>IF($J810="","",IF($J810&lt;=TODAY(),COUNTIFS(cal_fechas,"&gt;="&amp;$J810,cal_fechas,"&lt;"&amp;TODAY(),cal_habil,"sí"),-COUNTIFS(cal_fechas,"&gt;="&amp;TODAY(),cal_fechas,"&lt;"&amp;$J810,cal_habil,"sí")))</f>
        <v/>
      </c>
      <c r="AE810" s="5">
        <f>IF($AD810="","",IF($AD810&lt;0,"FUTURO",IF($AD810&gt;p_dias_backlog_max,"BACKLOG","MES CORRIENTE")))</f>
        <v/>
      </c>
      <c r="AF810" s="5">
        <f>IF($AD810="",FALSE,AND($AD810&gt;p_dias_backlog_min,$AD810&lt;=p_dias_backlog_max))</f>
        <v/>
      </c>
      <c r="AG810" s="4" t="n"/>
      <c r="AH810" s="5">
        <f>IF($AG810="","",IF((IFERROR(INDEX('ASIGNACIONES'!$J$4:$J$451,MATCH($O810&amp;"|"&amp;$S810&amp;"|"&amp;$AG810,'ASIGNACIONES'!$N$4:$N$451,0)),""))=0,"",IFERROR(INDEX('ASIGNACIONES'!$J$4:$J$451,MATCH($O810&amp;"|"&amp;$S810&amp;"|"&amp;$AG810,'ASIGNACIONES'!$N$4:$N$451,0)),"")))</f>
        <v/>
      </c>
      <c r="AI810" s="25">
        <f>IF($AG810="","",SUMIFS('ORDENES'!$M$4:$M$1203,'ORDENES'!$AG$4:$AG$1203,$AG810,'ORDENES'!$O$4:$O$1203,$O810,'ORDENES'!$S$4:$S$1203,$S810))</f>
        <v/>
      </c>
      <c r="AJ810" s="25">
        <f>IF($AI810="","",p_factor_productividad*IFERROR(INDEX('ASIGNACIONES'!$M$4:$M$451,MATCH($O810&amp;"|"&amp;$S810&amp;"|"&amp;$AG810,'ASIGNACIONES'!$N$4:$N$451,0)),0)-$AI810)</f>
        <v/>
      </c>
      <c r="AK810" s="18">
        <f>IF($A810="","",IFERROR(INDEX('2_IMPORTAR_EJECUCION'!$F$9:$F$1208,MATCH($AT810,'2_IMPORTAR_EJECUCION'!$J$9:$J$1208,0)),0))</f>
        <v/>
      </c>
      <c r="AL810" s="18">
        <f>IF($A810="","",MAX(0,IFERROR(INDEX('2_IMPORTAR_EJECUCION'!$H$9:$H$1208,MATCH($AT810,'2_IMPORTAR_EJECUCION'!$J$9:$J$1208,0)),0)-$AK810))</f>
        <v/>
      </c>
      <c r="AM810" s="18">
        <f>IF($A810="","",$AK810+$AL810)</f>
        <v/>
      </c>
      <c r="AN810" s="5">
        <f>IF($A810="","",IF(OR((IFERROR(INDEX('CAT_ACTIVIDADES'!$D$4:$D$11,MATCH($H810,'CAT_ACTIVIDADES'!$A$4:$A$11,0)),""))=0,(IFERROR(INDEX('CAT_ACTIVIDADES'!$D$4:$D$11,MATCH($H810,'CAT_ACTIVIDADES'!$A$4:$A$11,0)),""))=""),"SIN CLASIFICAR",IFERROR(INDEX('CAT_ACTIVIDADES'!$D$4:$D$11,MATCH($H810,'CAT_ACTIVIDADES'!$A$4:$A$11,0)),"")))</f>
        <v/>
      </c>
      <c r="AO810" s="4" t="n"/>
      <c r="AP810" s="4" t="n"/>
      <c r="AQ810" s="4" t="n"/>
      <c r="AR810" s="5">
        <f>IF($AQ810="","",HYPERLINK(p_ruta_base_checklists&amp;$AQ810,"abrir"))</f>
        <v/>
      </c>
      <c r="AS810" s="4" t="n"/>
      <c r="AT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2" t="n"/>
      <c r="K811" s="5" t="n"/>
      <c r="L811" s="18" t="n"/>
      <c r="M811" s="5">
        <f>IF($A811="","",IFERROR(INDEX('AJUSTES'!$B$4:$B$303,MATCH($AT811,'AJUSTES'!$A$4:$A$303,0)),IF($K811="","",$K811)))</f>
        <v/>
      </c>
      <c r="N811" s="5">
        <f>IF($A811="","",IFERROR(INDEX('CAT_ESTADOS_ERP'!$B$4:$B$7,MATCH(IFERROR(INDEX('2_IMPORTAR_EJECUCION'!$C$9:$C$1208,MATCH($AT811,'2_IMPORTAR_EJECUCION'!$J$9:$J$1208,0)),""),'CAT_ESTADOS_ERP'!$A$4:$A$7,0)),"Pendiente"))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IF($J811="","",$P811&amp;"-"&amp;TEXT($Q811,"00"))</f>
        <v/>
      </c>
      <c r="S811" s="5">
        <f>IF($J811="","",INDEX(lista_dias,WEEKDAY($J811,2)))</f>
        <v/>
      </c>
      <c r="T811" s="5">
        <f>IF($J811="","",IFERROR(INDEX('CALENDARIO'!$C$15:$C$214,MATCH(TEXT($J811,"yyyy-mm-dd")&amp;"|"&amp;$X811&amp;"|"&amp;$Y811,'CALENDARIO'!$G$15:$G$214,0)),IFERROR(INDEX('CALENDARIO'!$C$15:$C$214,MATCH(TEXT($J811,"yyyy-mm-dd")&amp;"|"&amp;$X811&amp;"|",'CALENDARIO'!$G$15:$G$214,0)),IFERROR(INDEX('CALENDARIO'!$C$15:$C$214,MATCH(TEXT($J811,"yyyy-mm-dd")&amp;"||",'CALENDARIO'!$G$15:$G$214,0)),INDEX(patronHabil,WEEKDAY($J811,2))))))</f>
        <v/>
      </c>
      <c r="U811" s="5">
        <f>IF($I811="","",IFERROR(INDEX('CAT_TIPOS_OT'!$C$4:$C$8,MATCH($I811,'CAT_TIPOS_OT'!$A$4:$A$8,0)),"sin_clasificar"))</f>
        <v/>
      </c>
      <c r="V811" s="5">
        <f>IF($I811="","",IF(IFERROR(INDEX('CAT_TIPOS_OT'!$D$4:$D$8,MATCH($I811,'CAT_TIPOS_OT'!$A$4:$A$8,0)),"SIN CLASIFICAR")="","SIN CLASIFICAR",IFERROR(INDEX('CAT_TIPOS_OT'!$D$4:$D$8,MATCH($I811,'CAT_TIPOS_OT'!$A$4:$A$8,0)),"SIN CLASIFICAR")))</f>
        <v/>
      </c>
      <c r="W811" s="5">
        <f>IF($F811="","",IFERROR(INDEX('CAT_CENTROS_COSTO'!$F$4:$F$13,MATCH($F811,'CAT_CENTROS_COSTO'!$A$4:$A$13,0)),"(sin catálogo)"))</f>
        <v/>
      </c>
      <c r="X811" s="5">
        <f>IF($F811="","",IFERROR(INDEX('CAT_CENTROS_COSTO'!$D$4:$D$13,MATCH($F811,'CAT_CENTROS_COSTO'!$A$4:$A$13,0)),"(sin catálogo)"))</f>
        <v/>
      </c>
      <c r="Y811" s="5">
        <f>IF($F811="","",IF((IFERROR(INDEX('CAT_CENTROS_COSTO'!$E$4:$E$13,MATCH($F811,'CAT_CENTROS_COSTO'!$A$4:$A$13,0)),""))&lt;&gt;"",IFERROR(INDEX('CAT_CENTROS_COSTO'!$E$4:$E$13,MATCH($F811,'CAT_CENTROS_COSTO'!$A$4:$A$13,0)),""),$X811))</f>
        <v/>
      </c>
      <c r="Z811" s="5">
        <f>IF($F811="","",IFERROR(INDEX('CAT_CENTROS_COSTO'!$G$4:$G$13,MATCH($F811,'CAT_CENTROS_COSTO'!$A$4:$A$13,0)),"(sin catálogo)"))</f>
        <v/>
      </c>
      <c r="AA811" s="5">
        <f>IF($G811="","",IFERROR(INDEX('CAT_PUESTOS'!$B$4:$B$8,MATCH($G811,'CAT_PUESTOS'!$A$4:$A$8,0)),"(sin catálogo)"))</f>
        <v/>
      </c>
      <c r="AB811" s="5">
        <f>IF($H811="","",IFERROR(INDEX('CAT_ACTIVIDADES'!$B$4:$B$11,MATCH($H811,'CAT_ACTIVIDADES'!$A$4:$A$11,0)),"(sin catálogo)"))</f>
        <v/>
      </c>
      <c r="AC811" s="20">
        <f>IF($J811="","",TODAY()-$J811)</f>
        <v/>
      </c>
      <c r="AD811" s="20">
        <f>IF($J811="","",IF($J811&lt;=TODAY(),COUNTIFS(cal_fechas,"&gt;="&amp;$J811,cal_fechas,"&lt;"&amp;TODAY(),cal_habil,"sí"),-COUNTIFS(cal_fechas,"&gt;="&amp;TODAY(),cal_fechas,"&lt;"&amp;$J811,cal_habil,"sí")))</f>
        <v/>
      </c>
      <c r="AE811" s="5">
        <f>IF($AD811="","",IF($AD811&lt;0,"FUTURO",IF($AD811&gt;p_dias_backlog_max,"BACKLOG","MES CORRIENTE")))</f>
        <v/>
      </c>
      <c r="AF811" s="5">
        <f>IF($AD811="",FALSE,AND($AD811&gt;p_dias_backlog_min,$AD811&lt;=p_dias_backlog_max))</f>
        <v/>
      </c>
      <c r="AG811" s="4" t="n"/>
      <c r="AH811" s="5">
        <f>IF($AG811="","",IF((IFERROR(INDEX('ASIGNACIONES'!$J$4:$J$451,MATCH($O811&amp;"|"&amp;$S811&amp;"|"&amp;$AG811,'ASIGNACIONES'!$N$4:$N$451,0)),""))=0,"",IFERROR(INDEX('ASIGNACIONES'!$J$4:$J$451,MATCH($O811&amp;"|"&amp;$S811&amp;"|"&amp;$AG811,'ASIGNACIONES'!$N$4:$N$451,0)),"")))</f>
        <v/>
      </c>
      <c r="AI811" s="25">
        <f>IF($AG811="","",SUMIFS('ORDENES'!$M$4:$M$1203,'ORDENES'!$AG$4:$AG$1203,$AG811,'ORDENES'!$O$4:$O$1203,$O811,'ORDENES'!$S$4:$S$1203,$S811))</f>
        <v/>
      </c>
      <c r="AJ811" s="25">
        <f>IF($AI811="","",p_factor_productividad*IFERROR(INDEX('ASIGNACIONES'!$M$4:$M$451,MATCH($O811&amp;"|"&amp;$S811&amp;"|"&amp;$AG811,'ASIGNACIONES'!$N$4:$N$451,0)),0)-$AI811)</f>
        <v/>
      </c>
      <c r="AK811" s="18">
        <f>IF($A811="","",IFERROR(INDEX('2_IMPORTAR_EJECUCION'!$F$9:$F$1208,MATCH($AT811,'2_IMPORTAR_EJECUCION'!$J$9:$J$1208,0)),0))</f>
        <v/>
      </c>
      <c r="AL811" s="18">
        <f>IF($A811="","",MAX(0,IFERROR(INDEX('2_IMPORTAR_EJECUCION'!$H$9:$H$1208,MATCH($AT811,'2_IMPORTAR_EJECUCION'!$J$9:$J$1208,0)),0)-$AK811))</f>
        <v/>
      </c>
      <c r="AM811" s="18">
        <f>IF($A811="","",$AK811+$AL811)</f>
        <v/>
      </c>
      <c r="AN811" s="5">
        <f>IF($A811="","",IF(OR((IFERROR(INDEX('CAT_ACTIVIDADES'!$D$4:$D$11,MATCH($H811,'CAT_ACTIVIDADES'!$A$4:$A$11,0)),""))=0,(IFERROR(INDEX('CAT_ACTIVIDADES'!$D$4:$D$11,MATCH($H811,'CAT_ACTIVIDADES'!$A$4:$A$11,0)),""))=""),"SIN CLASIFICAR",IFERROR(INDEX('CAT_ACTIVIDADES'!$D$4:$D$11,MATCH($H811,'CAT_ACTIVIDADES'!$A$4:$A$11,0)),"")))</f>
        <v/>
      </c>
      <c r="AO811" s="4" t="n"/>
      <c r="AP811" s="4" t="n"/>
      <c r="AQ811" s="4" t="n"/>
      <c r="AR811" s="5">
        <f>IF($AQ811="","",HYPERLINK(p_ruta_base_checklists&amp;$AQ811,"abrir"))</f>
        <v/>
      </c>
      <c r="AS811" s="4" t="n"/>
      <c r="AT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2" t="n"/>
      <c r="K812" s="5" t="n"/>
      <c r="L812" s="18" t="n"/>
      <c r="M812" s="5">
        <f>IF($A812="","",IFERROR(INDEX('AJUSTES'!$B$4:$B$303,MATCH($AT812,'AJUSTES'!$A$4:$A$303,0)),IF($K812="","",$K812)))</f>
        <v/>
      </c>
      <c r="N812" s="5">
        <f>IF($A812="","",IFERROR(INDEX('CAT_ESTADOS_ERP'!$B$4:$B$7,MATCH(IFERROR(INDEX('2_IMPORTAR_EJECUCION'!$C$9:$C$1208,MATCH($AT812,'2_IMPORTAR_EJECUCION'!$J$9:$J$1208,0)),""),'CAT_ESTADOS_ERP'!$A$4:$A$7,0)),"Pendiente"))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IF($J812="","",$P812&amp;"-"&amp;TEXT($Q812,"00"))</f>
        <v/>
      </c>
      <c r="S812" s="5">
        <f>IF($J812="","",INDEX(lista_dias,WEEKDAY($J812,2)))</f>
        <v/>
      </c>
      <c r="T812" s="5">
        <f>IF($J812="","",IFERROR(INDEX('CALENDARIO'!$C$15:$C$214,MATCH(TEXT($J812,"yyyy-mm-dd")&amp;"|"&amp;$X812&amp;"|"&amp;$Y812,'CALENDARIO'!$G$15:$G$214,0)),IFERROR(INDEX('CALENDARIO'!$C$15:$C$214,MATCH(TEXT($J812,"yyyy-mm-dd")&amp;"|"&amp;$X812&amp;"|",'CALENDARIO'!$G$15:$G$214,0)),IFERROR(INDEX('CALENDARIO'!$C$15:$C$214,MATCH(TEXT($J812,"yyyy-mm-dd")&amp;"||",'CALENDARIO'!$G$15:$G$214,0)),INDEX(patronHabil,WEEKDAY($J812,2))))))</f>
        <v/>
      </c>
      <c r="U812" s="5">
        <f>IF($I812="","",IFERROR(INDEX('CAT_TIPOS_OT'!$C$4:$C$8,MATCH($I812,'CAT_TIPOS_OT'!$A$4:$A$8,0)),"sin_clasificar"))</f>
        <v/>
      </c>
      <c r="V812" s="5">
        <f>IF($I812="","",IF(IFERROR(INDEX('CAT_TIPOS_OT'!$D$4:$D$8,MATCH($I812,'CAT_TIPOS_OT'!$A$4:$A$8,0)),"SIN CLASIFICAR")="","SIN CLASIFICAR",IFERROR(INDEX('CAT_TIPOS_OT'!$D$4:$D$8,MATCH($I812,'CAT_TIPOS_OT'!$A$4:$A$8,0)),"SIN CLASIFICAR")))</f>
        <v/>
      </c>
      <c r="W812" s="5">
        <f>IF($F812="","",IFERROR(INDEX('CAT_CENTROS_COSTO'!$F$4:$F$13,MATCH($F812,'CAT_CENTROS_COSTO'!$A$4:$A$13,0)),"(sin catálogo)"))</f>
        <v/>
      </c>
      <c r="X812" s="5">
        <f>IF($F812="","",IFERROR(INDEX('CAT_CENTROS_COSTO'!$D$4:$D$13,MATCH($F812,'CAT_CENTROS_COSTO'!$A$4:$A$13,0)),"(sin catálogo)"))</f>
        <v/>
      </c>
      <c r="Y812" s="5">
        <f>IF($F812="","",IF((IFERROR(INDEX('CAT_CENTROS_COSTO'!$E$4:$E$13,MATCH($F812,'CAT_CENTROS_COSTO'!$A$4:$A$13,0)),""))&lt;&gt;"",IFERROR(INDEX('CAT_CENTROS_COSTO'!$E$4:$E$13,MATCH($F812,'CAT_CENTROS_COSTO'!$A$4:$A$13,0)),""),$X812))</f>
        <v/>
      </c>
      <c r="Z812" s="5">
        <f>IF($F812="","",IFERROR(INDEX('CAT_CENTROS_COSTO'!$G$4:$G$13,MATCH($F812,'CAT_CENTROS_COSTO'!$A$4:$A$13,0)),"(sin catálogo)"))</f>
        <v/>
      </c>
      <c r="AA812" s="5">
        <f>IF($G812="","",IFERROR(INDEX('CAT_PUESTOS'!$B$4:$B$8,MATCH($G812,'CAT_PUESTOS'!$A$4:$A$8,0)),"(sin catálogo)"))</f>
        <v/>
      </c>
      <c r="AB812" s="5">
        <f>IF($H812="","",IFERROR(INDEX('CAT_ACTIVIDADES'!$B$4:$B$11,MATCH($H812,'CAT_ACTIVIDADES'!$A$4:$A$11,0)),"(sin catálogo)"))</f>
        <v/>
      </c>
      <c r="AC812" s="20">
        <f>IF($J812="","",TODAY()-$J812)</f>
        <v/>
      </c>
      <c r="AD812" s="20">
        <f>IF($J812="","",IF($J812&lt;=TODAY(),COUNTIFS(cal_fechas,"&gt;="&amp;$J812,cal_fechas,"&lt;"&amp;TODAY(),cal_habil,"sí"),-COUNTIFS(cal_fechas,"&gt;="&amp;TODAY(),cal_fechas,"&lt;"&amp;$J812,cal_habil,"sí")))</f>
        <v/>
      </c>
      <c r="AE812" s="5">
        <f>IF($AD812="","",IF($AD812&lt;0,"FUTURO",IF($AD812&gt;p_dias_backlog_max,"BACKLOG","MES CORRIENTE")))</f>
        <v/>
      </c>
      <c r="AF812" s="5">
        <f>IF($AD812="",FALSE,AND($AD812&gt;p_dias_backlog_min,$AD812&lt;=p_dias_backlog_max))</f>
        <v/>
      </c>
      <c r="AG812" s="4" t="n"/>
      <c r="AH812" s="5">
        <f>IF($AG812="","",IF((IFERROR(INDEX('ASIGNACIONES'!$J$4:$J$451,MATCH($O812&amp;"|"&amp;$S812&amp;"|"&amp;$AG812,'ASIGNACIONES'!$N$4:$N$451,0)),""))=0,"",IFERROR(INDEX('ASIGNACIONES'!$J$4:$J$451,MATCH($O812&amp;"|"&amp;$S812&amp;"|"&amp;$AG812,'ASIGNACIONES'!$N$4:$N$451,0)),"")))</f>
        <v/>
      </c>
      <c r="AI812" s="25">
        <f>IF($AG812="","",SUMIFS('ORDENES'!$M$4:$M$1203,'ORDENES'!$AG$4:$AG$1203,$AG812,'ORDENES'!$O$4:$O$1203,$O812,'ORDENES'!$S$4:$S$1203,$S812))</f>
        <v/>
      </c>
      <c r="AJ812" s="25">
        <f>IF($AI812="","",p_factor_productividad*IFERROR(INDEX('ASIGNACIONES'!$M$4:$M$451,MATCH($O812&amp;"|"&amp;$S812&amp;"|"&amp;$AG812,'ASIGNACIONES'!$N$4:$N$451,0)),0)-$AI812)</f>
        <v/>
      </c>
      <c r="AK812" s="18">
        <f>IF($A812="","",IFERROR(INDEX('2_IMPORTAR_EJECUCION'!$F$9:$F$1208,MATCH($AT812,'2_IMPORTAR_EJECUCION'!$J$9:$J$1208,0)),0))</f>
        <v/>
      </c>
      <c r="AL812" s="18">
        <f>IF($A812="","",MAX(0,IFERROR(INDEX('2_IMPORTAR_EJECUCION'!$H$9:$H$1208,MATCH($AT812,'2_IMPORTAR_EJECUCION'!$J$9:$J$1208,0)),0)-$AK812))</f>
        <v/>
      </c>
      <c r="AM812" s="18">
        <f>IF($A812="","",$AK812+$AL812)</f>
        <v/>
      </c>
      <c r="AN812" s="5">
        <f>IF($A812="","",IF(OR((IFERROR(INDEX('CAT_ACTIVIDADES'!$D$4:$D$11,MATCH($H812,'CAT_ACTIVIDADES'!$A$4:$A$11,0)),""))=0,(IFERROR(INDEX('CAT_ACTIVIDADES'!$D$4:$D$11,MATCH($H812,'CAT_ACTIVIDADES'!$A$4:$A$11,0)),""))=""),"SIN CLASIFICAR",IFERROR(INDEX('CAT_ACTIVIDADES'!$D$4:$D$11,MATCH($H812,'CAT_ACTIVIDADES'!$A$4:$A$11,0)),"")))</f>
        <v/>
      </c>
      <c r="AO812" s="4" t="n"/>
      <c r="AP812" s="4" t="n"/>
      <c r="AQ812" s="4" t="n"/>
      <c r="AR812" s="5">
        <f>IF($AQ812="","",HYPERLINK(p_ruta_base_checklists&amp;$AQ812,"abrir"))</f>
        <v/>
      </c>
      <c r="AS812" s="4" t="n"/>
      <c r="AT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2" t="n"/>
      <c r="K813" s="5" t="n"/>
      <c r="L813" s="18" t="n"/>
      <c r="M813" s="5">
        <f>IF($A813="","",IFERROR(INDEX('AJUSTES'!$B$4:$B$303,MATCH($AT813,'AJUSTES'!$A$4:$A$303,0)),IF($K813="","",$K813)))</f>
        <v/>
      </c>
      <c r="N813" s="5">
        <f>IF($A813="","",IFERROR(INDEX('CAT_ESTADOS_ERP'!$B$4:$B$7,MATCH(IFERROR(INDEX('2_IMPORTAR_EJECUCION'!$C$9:$C$1208,MATCH($AT813,'2_IMPORTAR_EJECUCION'!$J$9:$J$1208,0)),""),'CAT_ESTADOS_ERP'!$A$4:$A$7,0)),"Pendiente"))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IF($J813="","",$P813&amp;"-"&amp;TEXT($Q813,"00"))</f>
        <v/>
      </c>
      <c r="S813" s="5">
        <f>IF($J813="","",INDEX(lista_dias,WEEKDAY($J813,2)))</f>
        <v/>
      </c>
      <c r="T813" s="5">
        <f>IF($J813="","",IFERROR(INDEX('CALENDARIO'!$C$15:$C$214,MATCH(TEXT($J813,"yyyy-mm-dd")&amp;"|"&amp;$X813&amp;"|"&amp;$Y813,'CALENDARIO'!$G$15:$G$214,0)),IFERROR(INDEX('CALENDARIO'!$C$15:$C$214,MATCH(TEXT($J813,"yyyy-mm-dd")&amp;"|"&amp;$X813&amp;"|",'CALENDARIO'!$G$15:$G$214,0)),IFERROR(INDEX('CALENDARIO'!$C$15:$C$214,MATCH(TEXT($J813,"yyyy-mm-dd")&amp;"||",'CALENDARIO'!$G$15:$G$214,0)),INDEX(patronHabil,WEEKDAY($J813,2))))))</f>
        <v/>
      </c>
      <c r="U813" s="5">
        <f>IF($I813="","",IFERROR(INDEX('CAT_TIPOS_OT'!$C$4:$C$8,MATCH($I813,'CAT_TIPOS_OT'!$A$4:$A$8,0)),"sin_clasificar"))</f>
        <v/>
      </c>
      <c r="V813" s="5">
        <f>IF($I813="","",IF(IFERROR(INDEX('CAT_TIPOS_OT'!$D$4:$D$8,MATCH($I813,'CAT_TIPOS_OT'!$A$4:$A$8,0)),"SIN CLASIFICAR")="","SIN CLASIFICAR",IFERROR(INDEX('CAT_TIPOS_OT'!$D$4:$D$8,MATCH($I813,'CAT_TIPOS_OT'!$A$4:$A$8,0)),"SIN CLASIFICAR")))</f>
        <v/>
      </c>
      <c r="W813" s="5">
        <f>IF($F813="","",IFERROR(INDEX('CAT_CENTROS_COSTO'!$F$4:$F$13,MATCH($F813,'CAT_CENTROS_COSTO'!$A$4:$A$13,0)),"(sin catálogo)"))</f>
        <v/>
      </c>
      <c r="X813" s="5">
        <f>IF($F813="","",IFERROR(INDEX('CAT_CENTROS_COSTO'!$D$4:$D$13,MATCH($F813,'CAT_CENTROS_COSTO'!$A$4:$A$13,0)),"(sin catálogo)"))</f>
        <v/>
      </c>
      <c r="Y813" s="5">
        <f>IF($F813="","",IF((IFERROR(INDEX('CAT_CENTROS_COSTO'!$E$4:$E$13,MATCH($F813,'CAT_CENTROS_COSTO'!$A$4:$A$13,0)),""))&lt;&gt;"",IFERROR(INDEX('CAT_CENTROS_COSTO'!$E$4:$E$13,MATCH($F813,'CAT_CENTROS_COSTO'!$A$4:$A$13,0)),""),$X813))</f>
        <v/>
      </c>
      <c r="Z813" s="5">
        <f>IF($F813="","",IFERROR(INDEX('CAT_CENTROS_COSTO'!$G$4:$G$13,MATCH($F813,'CAT_CENTROS_COSTO'!$A$4:$A$13,0)),"(sin catálogo)"))</f>
        <v/>
      </c>
      <c r="AA813" s="5">
        <f>IF($G813="","",IFERROR(INDEX('CAT_PUESTOS'!$B$4:$B$8,MATCH($G813,'CAT_PUESTOS'!$A$4:$A$8,0)),"(sin catálogo)"))</f>
        <v/>
      </c>
      <c r="AB813" s="5">
        <f>IF($H813="","",IFERROR(INDEX('CAT_ACTIVIDADES'!$B$4:$B$11,MATCH($H813,'CAT_ACTIVIDADES'!$A$4:$A$11,0)),"(sin catálogo)"))</f>
        <v/>
      </c>
      <c r="AC813" s="20">
        <f>IF($J813="","",TODAY()-$J813)</f>
        <v/>
      </c>
      <c r="AD813" s="20">
        <f>IF($J813="","",IF($J813&lt;=TODAY(),COUNTIFS(cal_fechas,"&gt;="&amp;$J813,cal_fechas,"&lt;"&amp;TODAY(),cal_habil,"sí"),-COUNTIFS(cal_fechas,"&gt;="&amp;TODAY(),cal_fechas,"&lt;"&amp;$J813,cal_habil,"sí")))</f>
        <v/>
      </c>
      <c r="AE813" s="5">
        <f>IF($AD813="","",IF($AD813&lt;0,"FUTURO",IF($AD813&gt;p_dias_backlog_max,"BACKLOG","MES CORRIENTE")))</f>
        <v/>
      </c>
      <c r="AF813" s="5">
        <f>IF($AD813="",FALSE,AND($AD813&gt;p_dias_backlog_min,$AD813&lt;=p_dias_backlog_max))</f>
        <v/>
      </c>
      <c r="AG813" s="4" t="n"/>
      <c r="AH813" s="5">
        <f>IF($AG813="","",IF((IFERROR(INDEX('ASIGNACIONES'!$J$4:$J$451,MATCH($O813&amp;"|"&amp;$S813&amp;"|"&amp;$AG813,'ASIGNACIONES'!$N$4:$N$451,0)),""))=0,"",IFERROR(INDEX('ASIGNACIONES'!$J$4:$J$451,MATCH($O813&amp;"|"&amp;$S813&amp;"|"&amp;$AG813,'ASIGNACIONES'!$N$4:$N$451,0)),"")))</f>
        <v/>
      </c>
      <c r="AI813" s="25">
        <f>IF($AG813="","",SUMIFS('ORDENES'!$M$4:$M$1203,'ORDENES'!$AG$4:$AG$1203,$AG813,'ORDENES'!$O$4:$O$1203,$O813,'ORDENES'!$S$4:$S$1203,$S813))</f>
        <v/>
      </c>
      <c r="AJ813" s="25">
        <f>IF($AI813="","",p_factor_productividad*IFERROR(INDEX('ASIGNACIONES'!$M$4:$M$451,MATCH($O813&amp;"|"&amp;$S813&amp;"|"&amp;$AG813,'ASIGNACIONES'!$N$4:$N$451,0)),0)-$AI813)</f>
        <v/>
      </c>
      <c r="AK813" s="18">
        <f>IF($A813="","",IFERROR(INDEX('2_IMPORTAR_EJECUCION'!$F$9:$F$1208,MATCH($AT813,'2_IMPORTAR_EJECUCION'!$J$9:$J$1208,0)),0))</f>
        <v/>
      </c>
      <c r="AL813" s="18">
        <f>IF($A813="","",MAX(0,IFERROR(INDEX('2_IMPORTAR_EJECUCION'!$H$9:$H$1208,MATCH($AT813,'2_IMPORTAR_EJECUCION'!$J$9:$J$1208,0)),0)-$AK813))</f>
        <v/>
      </c>
      <c r="AM813" s="18">
        <f>IF($A813="","",$AK813+$AL813)</f>
        <v/>
      </c>
      <c r="AN813" s="5">
        <f>IF($A813="","",IF(OR((IFERROR(INDEX('CAT_ACTIVIDADES'!$D$4:$D$11,MATCH($H813,'CAT_ACTIVIDADES'!$A$4:$A$11,0)),""))=0,(IFERROR(INDEX('CAT_ACTIVIDADES'!$D$4:$D$11,MATCH($H813,'CAT_ACTIVIDADES'!$A$4:$A$11,0)),""))=""),"SIN CLASIFICAR",IFERROR(INDEX('CAT_ACTIVIDADES'!$D$4:$D$11,MATCH($H813,'CAT_ACTIVIDADES'!$A$4:$A$11,0)),"")))</f>
        <v/>
      </c>
      <c r="AO813" s="4" t="n"/>
      <c r="AP813" s="4" t="n"/>
      <c r="AQ813" s="4" t="n"/>
      <c r="AR813" s="5">
        <f>IF($AQ813="","",HYPERLINK(p_ruta_base_checklists&amp;$AQ813,"abrir"))</f>
        <v/>
      </c>
      <c r="AS813" s="4" t="n"/>
      <c r="AT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2" t="n"/>
      <c r="K814" s="5" t="n"/>
      <c r="L814" s="18" t="n"/>
      <c r="M814" s="5">
        <f>IF($A814="","",IFERROR(INDEX('AJUSTES'!$B$4:$B$303,MATCH($AT814,'AJUSTES'!$A$4:$A$303,0)),IF($K814="","",$K814)))</f>
        <v/>
      </c>
      <c r="N814" s="5">
        <f>IF($A814="","",IFERROR(INDEX('CAT_ESTADOS_ERP'!$B$4:$B$7,MATCH(IFERROR(INDEX('2_IMPORTAR_EJECUCION'!$C$9:$C$1208,MATCH($AT814,'2_IMPORTAR_EJECUCION'!$J$9:$J$1208,0)),""),'CAT_ESTADOS_ERP'!$A$4:$A$7,0)),"Pendiente"))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IF($J814="","",$P814&amp;"-"&amp;TEXT($Q814,"00"))</f>
        <v/>
      </c>
      <c r="S814" s="5">
        <f>IF($J814="","",INDEX(lista_dias,WEEKDAY($J814,2)))</f>
        <v/>
      </c>
      <c r="T814" s="5">
        <f>IF($J814="","",IFERROR(INDEX('CALENDARIO'!$C$15:$C$214,MATCH(TEXT($J814,"yyyy-mm-dd")&amp;"|"&amp;$X814&amp;"|"&amp;$Y814,'CALENDARIO'!$G$15:$G$214,0)),IFERROR(INDEX('CALENDARIO'!$C$15:$C$214,MATCH(TEXT($J814,"yyyy-mm-dd")&amp;"|"&amp;$X814&amp;"|",'CALENDARIO'!$G$15:$G$214,0)),IFERROR(INDEX('CALENDARIO'!$C$15:$C$214,MATCH(TEXT($J814,"yyyy-mm-dd")&amp;"||",'CALENDARIO'!$G$15:$G$214,0)),INDEX(patronHabil,WEEKDAY($J814,2))))))</f>
        <v/>
      </c>
      <c r="U814" s="5">
        <f>IF($I814="","",IFERROR(INDEX('CAT_TIPOS_OT'!$C$4:$C$8,MATCH($I814,'CAT_TIPOS_OT'!$A$4:$A$8,0)),"sin_clasificar"))</f>
        <v/>
      </c>
      <c r="V814" s="5">
        <f>IF($I814="","",IF(IFERROR(INDEX('CAT_TIPOS_OT'!$D$4:$D$8,MATCH($I814,'CAT_TIPOS_OT'!$A$4:$A$8,0)),"SIN CLASIFICAR")="","SIN CLASIFICAR",IFERROR(INDEX('CAT_TIPOS_OT'!$D$4:$D$8,MATCH($I814,'CAT_TIPOS_OT'!$A$4:$A$8,0)),"SIN CLASIFICAR")))</f>
        <v/>
      </c>
      <c r="W814" s="5">
        <f>IF($F814="","",IFERROR(INDEX('CAT_CENTROS_COSTO'!$F$4:$F$13,MATCH($F814,'CAT_CENTROS_COSTO'!$A$4:$A$13,0)),"(sin catálogo)"))</f>
        <v/>
      </c>
      <c r="X814" s="5">
        <f>IF($F814="","",IFERROR(INDEX('CAT_CENTROS_COSTO'!$D$4:$D$13,MATCH($F814,'CAT_CENTROS_COSTO'!$A$4:$A$13,0)),"(sin catálogo)"))</f>
        <v/>
      </c>
      <c r="Y814" s="5">
        <f>IF($F814="","",IF((IFERROR(INDEX('CAT_CENTROS_COSTO'!$E$4:$E$13,MATCH($F814,'CAT_CENTROS_COSTO'!$A$4:$A$13,0)),""))&lt;&gt;"",IFERROR(INDEX('CAT_CENTROS_COSTO'!$E$4:$E$13,MATCH($F814,'CAT_CENTROS_COSTO'!$A$4:$A$13,0)),""),$X814))</f>
        <v/>
      </c>
      <c r="Z814" s="5">
        <f>IF($F814="","",IFERROR(INDEX('CAT_CENTROS_COSTO'!$G$4:$G$13,MATCH($F814,'CAT_CENTROS_COSTO'!$A$4:$A$13,0)),"(sin catálogo)"))</f>
        <v/>
      </c>
      <c r="AA814" s="5">
        <f>IF($G814="","",IFERROR(INDEX('CAT_PUESTOS'!$B$4:$B$8,MATCH($G814,'CAT_PUESTOS'!$A$4:$A$8,0)),"(sin catálogo)"))</f>
        <v/>
      </c>
      <c r="AB814" s="5">
        <f>IF($H814="","",IFERROR(INDEX('CAT_ACTIVIDADES'!$B$4:$B$11,MATCH($H814,'CAT_ACTIVIDADES'!$A$4:$A$11,0)),"(sin catálogo)"))</f>
        <v/>
      </c>
      <c r="AC814" s="20">
        <f>IF($J814="","",TODAY()-$J814)</f>
        <v/>
      </c>
      <c r="AD814" s="20">
        <f>IF($J814="","",IF($J814&lt;=TODAY(),COUNTIFS(cal_fechas,"&gt;="&amp;$J814,cal_fechas,"&lt;"&amp;TODAY(),cal_habil,"sí"),-COUNTIFS(cal_fechas,"&gt;="&amp;TODAY(),cal_fechas,"&lt;"&amp;$J814,cal_habil,"sí")))</f>
        <v/>
      </c>
      <c r="AE814" s="5">
        <f>IF($AD814="","",IF($AD814&lt;0,"FUTURO",IF($AD814&gt;p_dias_backlog_max,"BACKLOG","MES CORRIENTE")))</f>
        <v/>
      </c>
      <c r="AF814" s="5">
        <f>IF($AD814="",FALSE,AND($AD814&gt;p_dias_backlog_min,$AD814&lt;=p_dias_backlog_max))</f>
        <v/>
      </c>
      <c r="AG814" s="4" t="n"/>
      <c r="AH814" s="5">
        <f>IF($AG814="","",IF((IFERROR(INDEX('ASIGNACIONES'!$J$4:$J$451,MATCH($O814&amp;"|"&amp;$S814&amp;"|"&amp;$AG814,'ASIGNACIONES'!$N$4:$N$451,0)),""))=0,"",IFERROR(INDEX('ASIGNACIONES'!$J$4:$J$451,MATCH($O814&amp;"|"&amp;$S814&amp;"|"&amp;$AG814,'ASIGNACIONES'!$N$4:$N$451,0)),"")))</f>
        <v/>
      </c>
      <c r="AI814" s="25">
        <f>IF($AG814="","",SUMIFS('ORDENES'!$M$4:$M$1203,'ORDENES'!$AG$4:$AG$1203,$AG814,'ORDENES'!$O$4:$O$1203,$O814,'ORDENES'!$S$4:$S$1203,$S814))</f>
        <v/>
      </c>
      <c r="AJ814" s="25">
        <f>IF($AI814="","",p_factor_productividad*IFERROR(INDEX('ASIGNACIONES'!$M$4:$M$451,MATCH($O814&amp;"|"&amp;$S814&amp;"|"&amp;$AG814,'ASIGNACIONES'!$N$4:$N$451,0)),0)-$AI814)</f>
        <v/>
      </c>
      <c r="AK814" s="18">
        <f>IF($A814="","",IFERROR(INDEX('2_IMPORTAR_EJECUCION'!$F$9:$F$1208,MATCH($AT814,'2_IMPORTAR_EJECUCION'!$J$9:$J$1208,0)),0))</f>
        <v/>
      </c>
      <c r="AL814" s="18">
        <f>IF($A814="","",MAX(0,IFERROR(INDEX('2_IMPORTAR_EJECUCION'!$H$9:$H$1208,MATCH($AT814,'2_IMPORTAR_EJECUCION'!$J$9:$J$1208,0)),0)-$AK814))</f>
        <v/>
      </c>
      <c r="AM814" s="18">
        <f>IF($A814="","",$AK814+$AL814)</f>
        <v/>
      </c>
      <c r="AN814" s="5">
        <f>IF($A814="","",IF(OR((IFERROR(INDEX('CAT_ACTIVIDADES'!$D$4:$D$11,MATCH($H814,'CAT_ACTIVIDADES'!$A$4:$A$11,0)),""))=0,(IFERROR(INDEX('CAT_ACTIVIDADES'!$D$4:$D$11,MATCH($H814,'CAT_ACTIVIDADES'!$A$4:$A$11,0)),""))=""),"SIN CLASIFICAR",IFERROR(INDEX('CAT_ACTIVIDADES'!$D$4:$D$11,MATCH($H814,'CAT_ACTIVIDADES'!$A$4:$A$11,0)),"")))</f>
        <v/>
      </c>
      <c r="AO814" s="4" t="n"/>
      <c r="AP814" s="4" t="n"/>
      <c r="AQ814" s="4" t="n"/>
      <c r="AR814" s="5">
        <f>IF($AQ814="","",HYPERLINK(p_ruta_base_checklists&amp;$AQ814,"abrir"))</f>
        <v/>
      </c>
      <c r="AS814" s="4" t="n"/>
      <c r="AT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2" t="n"/>
      <c r="K815" s="5" t="n"/>
      <c r="L815" s="18" t="n"/>
      <c r="M815" s="5">
        <f>IF($A815="","",IFERROR(INDEX('AJUSTES'!$B$4:$B$303,MATCH($AT815,'AJUSTES'!$A$4:$A$303,0)),IF($K815="","",$K815)))</f>
        <v/>
      </c>
      <c r="N815" s="5">
        <f>IF($A815="","",IFERROR(INDEX('CAT_ESTADOS_ERP'!$B$4:$B$7,MATCH(IFERROR(INDEX('2_IMPORTAR_EJECUCION'!$C$9:$C$1208,MATCH($AT815,'2_IMPORTAR_EJECUCION'!$J$9:$J$1208,0)),""),'CAT_ESTADOS_ERP'!$A$4:$A$7,0)),"Pendiente"))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IF($J815="","",$P815&amp;"-"&amp;TEXT($Q815,"00"))</f>
        <v/>
      </c>
      <c r="S815" s="5">
        <f>IF($J815="","",INDEX(lista_dias,WEEKDAY($J815,2)))</f>
        <v/>
      </c>
      <c r="T815" s="5">
        <f>IF($J815="","",IFERROR(INDEX('CALENDARIO'!$C$15:$C$214,MATCH(TEXT($J815,"yyyy-mm-dd")&amp;"|"&amp;$X815&amp;"|"&amp;$Y815,'CALENDARIO'!$G$15:$G$214,0)),IFERROR(INDEX('CALENDARIO'!$C$15:$C$214,MATCH(TEXT($J815,"yyyy-mm-dd")&amp;"|"&amp;$X815&amp;"|",'CALENDARIO'!$G$15:$G$214,0)),IFERROR(INDEX('CALENDARIO'!$C$15:$C$214,MATCH(TEXT($J815,"yyyy-mm-dd")&amp;"||",'CALENDARIO'!$G$15:$G$214,0)),INDEX(patronHabil,WEEKDAY($J815,2))))))</f>
        <v/>
      </c>
      <c r="U815" s="5">
        <f>IF($I815="","",IFERROR(INDEX('CAT_TIPOS_OT'!$C$4:$C$8,MATCH($I815,'CAT_TIPOS_OT'!$A$4:$A$8,0)),"sin_clasificar"))</f>
        <v/>
      </c>
      <c r="V815" s="5">
        <f>IF($I815="","",IF(IFERROR(INDEX('CAT_TIPOS_OT'!$D$4:$D$8,MATCH($I815,'CAT_TIPOS_OT'!$A$4:$A$8,0)),"SIN CLASIFICAR")="","SIN CLASIFICAR",IFERROR(INDEX('CAT_TIPOS_OT'!$D$4:$D$8,MATCH($I815,'CAT_TIPOS_OT'!$A$4:$A$8,0)),"SIN CLASIFICAR")))</f>
        <v/>
      </c>
      <c r="W815" s="5">
        <f>IF($F815="","",IFERROR(INDEX('CAT_CENTROS_COSTO'!$F$4:$F$13,MATCH($F815,'CAT_CENTROS_COSTO'!$A$4:$A$13,0)),"(sin catálogo)"))</f>
        <v/>
      </c>
      <c r="X815" s="5">
        <f>IF($F815="","",IFERROR(INDEX('CAT_CENTROS_COSTO'!$D$4:$D$13,MATCH($F815,'CAT_CENTROS_COSTO'!$A$4:$A$13,0)),"(sin catálogo)"))</f>
        <v/>
      </c>
      <c r="Y815" s="5">
        <f>IF($F815="","",IF((IFERROR(INDEX('CAT_CENTROS_COSTO'!$E$4:$E$13,MATCH($F815,'CAT_CENTROS_COSTO'!$A$4:$A$13,0)),""))&lt;&gt;"",IFERROR(INDEX('CAT_CENTROS_COSTO'!$E$4:$E$13,MATCH($F815,'CAT_CENTROS_COSTO'!$A$4:$A$13,0)),""),$X815))</f>
        <v/>
      </c>
      <c r="Z815" s="5">
        <f>IF($F815="","",IFERROR(INDEX('CAT_CENTROS_COSTO'!$G$4:$G$13,MATCH($F815,'CAT_CENTROS_COSTO'!$A$4:$A$13,0)),"(sin catálogo)"))</f>
        <v/>
      </c>
      <c r="AA815" s="5">
        <f>IF($G815="","",IFERROR(INDEX('CAT_PUESTOS'!$B$4:$B$8,MATCH($G815,'CAT_PUESTOS'!$A$4:$A$8,0)),"(sin catálogo)"))</f>
        <v/>
      </c>
      <c r="AB815" s="5">
        <f>IF($H815="","",IFERROR(INDEX('CAT_ACTIVIDADES'!$B$4:$B$11,MATCH($H815,'CAT_ACTIVIDADES'!$A$4:$A$11,0)),"(sin catálogo)"))</f>
        <v/>
      </c>
      <c r="AC815" s="20">
        <f>IF($J815="","",TODAY()-$J815)</f>
        <v/>
      </c>
      <c r="AD815" s="20">
        <f>IF($J815="","",IF($J815&lt;=TODAY(),COUNTIFS(cal_fechas,"&gt;="&amp;$J815,cal_fechas,"&lt;"&amp;TODAY(),cal_habil,"sí"),-COUNTIFS(cal_fechas,"&gt;="&amp;TODAY(),cal_fechas,"&lt;"&amp;$J815,cal_habil,"sí")))</f>
        <v/>
      </c>
      <c r="AE815" s="5">
        <f>IF($AD815="","",IF($AD815&lt;0,"FUTURO",IF($AD815&gt;p_dias_backlog_max,"BACKLOG","MES CORRIENTE")))</f>
        <v/>
      </c>
      <c r="AF815" s="5">
        <f>IF($AD815="",FALSE,AND($AD815&gt;p_dias_backlog_min,$AD815&lt;=p_dias_backlog_max))</f>
        <v/>
      </c>
      <c r="AG815" s="4" t="n"/>
      <c r="AH815" s="5">
        <f>IF($AG815="","",IF((IFERROR(INDEX('ASIGNACIONES'!$J$4:$J$451,MATCH($O815&amp;"|"&amp;$S815&amp;"|"&amp;$AG815,'ASIGNACIONES'!$N$4:$N$451,0)),""))=0,"",IFERROR(INDEX('ASIGNACIONES'!$J$4:$J$451,MATCH($O815&amp;"|"&amp;$S815&amp;"|"&amp;$AG815,'ASIGNACIONES'!$N$4:$N$451,0)),"")))</f>
        <v/>
      </c>
      <c r="AI815" s="25">
        <f>IF($AG815="","",SUMIFS('ORDENES'!$M$4:$M$1203,'ORDENES'!$AG$4:$AG$1203,$AG815,'ORDENES'!$O$4:$O$1203,$O815,'ORDENES'!$S$4:$S$1203,$S815))</f>
        <v/>
      </c>
      <c r="AJ815" s="25">
        <f>IF($AI815="","",p_factor_productividad*IFERROR(INDEX('ASIGNACIONES'!$M$4:$M$451,MATCH($O815&amp;"|"&amp;$S815&amp;"|"&amp;$AG815,'ASIGNACIONES'!$N$4:$N$451,0)),0)-$AI815)</f>
        <v/>
      </c>
      <c r="AK815" s="18">
        <f>IF($A815="","",IFERROR(INDEX('2_IMPORTAR_EJECUCION'!$F$9:$F$1208,MATCH($AT815,'2_IMPORTAR_EJECUCION'!$J$9:$J$1208,0)),0))</f>
        <v/>
      </c>
      <c r="AL815" s="18">
        <f>IF($A815="","",MAX(0,IFERROR(INDEX('2_IMPORTAR_EJECUCION'!$H$9:$H$1208,MATCH($AT815,'2_IMPORTAR_EJECUCION'!$J$9:$J$1208,0)),0)-$AK815))</f>
        <v/>
      </c>
      <c r="AM815" s="18">
        <f>IF($A815="","",$AK815+$AL815)</f>
        <v/>
      </c>
      <c r="AN815" s="5">
        <f>IF($A815="","",IF(OR((IFERROR(INDEX('CAT_ACTIVIDADES'!$D$4:$D$11,MATCH($H815,'CAT_ACTIVIDADES'!$A$4:$A$11,0)),""))=0,(IFERROR(INDEX('CAT_ACTIVIDADES'!$D$4:$D$11,MATCH($H815,'CAT_ACTIVIDADES'!$A$4:$A$11,0)),""))=""),"SIN CLASIFICAR",IFERROR(INDEX('CAT_ACTIVIDADES'!$D$4:$D$11,MATCH($H815,'CAT_ACTIVIDADES'!$A$4:$A$11,0)),"")))</f>
        <v/>
      </c>
      <c r="AO815" s="4" t="n"/>
      <c r="AP815" s="4" t="n"/>
      <c r="AQ815" s="4" t="n"/>
      <c r="AR815" s="5">
        <f>IF($AQ815="","",HYPERLINK(p_ruta_base_checklists&amp;$AQ815,"abrir"))</f>
        <v/>
      </c>
      <c r="AS815" s="4" t="n"/>
      <c r="AT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2" t="n"/>
      <c r="K816" s="5" t="n"/>
      <c r="L816" s="18" t="n"/>
      <c r="M816" s="5">
        <f>IF($A816="","",IFERROR(INDEX('AJUSTES'!$B$4:$B$303,MATCH($AT816,'AJUSTES'!$A$4:$A$303,0)),IF($K816="","",$K816)))</f>
        <v/>
      </c>
      <c r="N816" s="5">
        <f>IF($A816="","",IFERROR(INDEX('CAT_ESTADOS_ERP'!$B$4:$B$7,MATCH(IFERROR(INDEX('2_IMPORTAR_EJECUCION'!$C$9:$C$1208,MATCH($AT816,'2_IMPORTAR_EJECUCION'!$J$9:$J$1208,0)),""),'CAT_ESTADOS_ERP'!$A$4:$A$7,0)),"Pendiente"))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IF($J816="","",$P816&amp;"-"&amp;TEXT($Q816,"00"))</f>
        <v/>
      </c>
      <c r="S816" s="5">
        <f>IF($J816="","",INDEX(lista_dias,WEEKDAY($J816,2)))</f>
        <v/>
      </c>
      <c r="T816" s="5">
        <f>IF($J816="","",IFERROR(INDEX('CALENDARIO'!$C$15:$C$214,MATCH(TEXT($J816,"yyyy-mm-dd")&amp;"|"&amp;$X816&amp;"|"&amp;$Y816,'CALENDARIO'!$G$15:$G$214,0)),IFERROR(INDEX('CALENDARIO'!$C$15:$C$214,MATCH(TEXT($J816,"yyyy-mm-dd")&amp;"|"&amp;$X816&amp;"|",'CALENDARIO'!$G$15:$G$214,0)),IFERROR(INDEX('CALENDARIO'!$C$15:$C$214,MATCH(TEXT($J816,"yyyy-mm-dd")&amp;"||",'CALENDARIO'!$G$15:$G$214,0)),INDEX(patronHabil,WEEKDAY($J816,2))))))</f>
        <v/>
      </c>
      <c r="U816" s="5">
        <f>IF($I816="","",IFERROR(INDEX('CAT_TIPOS_OT'!$C$4:$C$8,MATCH($I816,'CAT_TIPOS_OT'!$A$4:$A$8,0)),"sin_clasificar"))</f>
        <v/>
      </c>
      <c r="V816" s="5">
        <f>IF($I816="","",IF(IFERROR(INDEX('CAT_TIPOS_OT'!$D$4:$D$8,MATCH($I816,'CAT_TIPOS_OT'!$A$4:$A$8,0)),"SIN CLASIFICAR")="","SIN CLASIFICAR",IFERROR(INDEX('CAT_TIPOS_OT'!$D$4:$D$8,MATCH($I816,'CAT_TIPOS_OT'!$A$4:$A$8,0)),"SIN CLASIFICAR")))</f>
        <v/>
      </c>
      <c r="W816" s="5">
        <f>IF($F816="","",IFERROR(INDEX('CAT_CENTROS_COSTO'!$F$4:$F$13,MATCH($F816,'CAT_CENTROS_COSTO'!$A$4:$A$13,0)),"(sin catálogo)"))</f>
        <v/>
      </c>
      <c r="X816" s="5">
        <f>IF($F816="","",IFERROR(INDEX('CAT_CENTROS_COSTO'!$D$4:$D$13,MATCH($F816,'CAT_CENTROS_COSTO'!$A$4:$A$13,0)),"(sin catálogo)"))</f>
        <v/>
      </c>
      <c r="Y816" s="5">
        <f>IF($F816="","",IF((IFERROR(INDEX('CAT_CENTROS_COSTO'!$E$4:$E$13,MATCH($F816,'CAT_CENTROS_COSTO'!$A$4:$A$13,0)),""))&lt;&gt;"",IFERROR(INDEX('CAT_CENTROS_COSTO'!$E$4:$E$13,MATCH($F816,'CAT_CENTROS_COSTO'!$A$4:$A$13,0)),""),$X816))</f>
        <v/>
      </c>
      <c r="Z816" s="5">
        <f>IF($F816="","",IFERROR(INDEX('CAT_CENTROS_COSTO'!$G$4:$G$13,MATCH($F816,'CAT_CENTROS_COSTO'!$A$4:$A$13,0)),"(sin catálogo)"))</f>
        <v/>
      </c>
      <c r="AA816" s="5">
        <f>IF($G816="","",IFERROR(INDEX('CAT_PUESTOS'!$B$4:$B$8,MATCH($G816,'CAT_PUESTOS'!$A$4:$A$8,0)),"(sin catálogo)"))</f>
        <v/>
      </c>
      <c r="AB816" s="5">
        <f>IF($H816="","",IFERROR(INDEX('CAT_ACTIVIDADES'!$B$4:$B$11,MATCH($H816,'CAT_ACTIVIDADES'!$A$4:$A$11,0)),"(sin catálogo)"))</f>
        <v/>
      </c>
      <c r="AC816" s="20">
        <f>IF($J816="","",TODAY()-$J816)</f>
        <v/>
      </c>
      <c r="AD816" s="20">
        <f>IF($J816="","",IF($J816&lt;=TODAY(),COUNTIFS(cal_fechas,"&gt;="&amp;$J816,cal_fechas,"&lt;"&amp;TODAY(),cal_habil,"sí"),-COUNTIFS(cal_fechas,"&gt;="&amp;TODAY(),cal_fechas,"&lt;"&amp;$J816,cal_habil,"sí")))</f>
        <v/>
      </c>
      <c r="AE816" s="5">
        <f>IF($AD816="","",IF($AD816&lt;0,"FUTURO",IF($AD816&gt;p_dias_backlog_max,"BACKLOG","MES CORRIENTE")))</f>
        <v/>
      </c>
      <c r="AF816" s="5">
        <f>IF($AD816="",FALSE,AND($AD816&gt;p_dias_backlog_min,$AD816&lt;=p_dias_backlog_max))</f>
        <v/>
      </c>
      <c r="AG816" s="4" t="n"/>
      <c r="AH816" s="5">
        <f>IF($AG816="","",IF((IFERROR(INDEX('ASIGNACIONES'!$J$4:$J$451,MATCH($O816&amp;"|"&amp;$S816&amp;"|"&amp;$AG816,'ASIGNACIONES'!$N$4:$N$451,0)),""))=0,"",IFERROR(INDEX('ASIGNACIONES'!$J$4:$J$451,MATCH($O816&amp;"|"&amp;$S816&amp;"|"&amp;$AG816,'ASIGNACIONES'!$N$4:$N$451,0)),"")))</f>
        <v/>
      </c>
      <c r="AI816" s="25">
        <f>IF($AG816="","",SUMIFS('ORDENES'!$M$4:$M$1203,'ORDENES'!$AG$4:$AG$1203,$AG816,'ORDENES'!$O$4:$O$1203,$O816,'ORDENES'!$S$4:$S$1203,$S816))</f>
        <v/>
      </c>
      <c r="AJ816" s="25">
        <f>IF($AI816="","",p_factor_productividad*IFERROR(INDEX('ASIGNACIONES'!$M$4:$M$451,MATCH($O816&amp;"|"&amp;$S816&amp;"|"&amp;$AG816,'ASIGNACIONES'!$N$4:$N$451,0)),0)-$AI816)</f>
        <v/>
      </c>
      <c r="AK816" s="18">
        <f>IF($A816="","",IFERROR(INDEX('2_IMPORTAR_EJECUCION'!$F$9:$F$1208,MATCH($AT816,'2_IMPORTAR_EJECUCION'!$J$9:$J$1208,0)),0))</f>
        <v/>
      </c>
      <c r="AL816" s="18">
        <f>IF($A816="","",MAX(0,IFERROR(INDEX('2_IMPORTAR_EJECUCION'!$H$9:$H$1208,MATCH($AT816,'2_IMPORTAR_EJECUCION'!$J$9:$J$1208,0)),0)-$AK816))</f>
        <v/>
      </c>
      <c r="AM816" s="18">
        <f>IF($A816="","",$AK816+$AL816)</f>
        <v/>
      </c>
      <c r="AN816" s="5">
        <f>IF($A816="","",IF(OR((IFERROR(INDEX('CAT_ACTIVIDADES'!$D$4:$D$11,MATCH($H816,'CAT_ACTIVIDADES'!$A$4:$A$11,0)),""))=0,(IFERROR(INDEX('CAT_ACTIVIDADES'!$D$4:$D$11,MATCH($H816,'CAT_ACTIVIDADES'!$A$4:$A$11,0)),""))=""),"SIN CLASIFICAR",IFERROR(INDEX('CAT_ACTIVIDADES'!$D$4:$D$11,MATCH($H816,'CAT_ACTIVIDADES'!$A$4:$A$11,0)),"")))</f>
        <v/>
      </c>
      <c r="AO816" s="4" t="n"/>
      <c r="AP816" s="4" t="n"/>
      <c r="AQ816" s="4" t="n"/>
      <c r="AR816" s="5">
        <f>IF($AQ816="","",HYPERLINK(p_ruta_base_checklists&amp;$AQ816,"abrir"))</f>
        <v/>
      </c>
      <c r="AS816" s="4" t="n"/>
      <c r="AT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2" t="n"/>
      <c r="K817" s="5" t="n"/>
      <c r="L817" s="18" t="n"/>
      <c r="M817" s="5">
        <f>IF($A817="","",IFERROR(INDEX('AJUSTES'!$B$4:$B$303,MATCH($AT817,'AJUSTES'!$A$4:$A$303,0)),IF($K817="","",$K817)))</f>
        <v/>
      </c>
      <c r="N817" s="5">
        <f>IF($A817="","",IFERROR(INDEX('CAT_ESTADOS_ERP'!$B$4:$B$7,MATCH(IFERROR(INDEX('2_IMPORTAR_EJECUCION'!$C$9:$C$1208,MATCH($AT817,'2_IMPORTAR_EJECUCION'!$J$9:$J$1208,0)),""),'CAT_ESTADOS_ERP'!$A$4:$A$7,0)),"Pendiente"))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IF($J817="","",$P817&amp;"-"&amp;TEXT($Q817,"00"))</f>
        <v/>
      </c>
      <c r="S817" s="5">
        <f>IF($J817="","",INDEX(lista_dias,WEEKDAY($J817,2)))</f>
        <v/>
      </c>
      <c r="T817" s="5">
        <f>IF($J817="","",IFERROR(INDEX('CALENDARIO'!$C$15:$C$214,MATCH(TEXT($J817,"yyyy-mm-dd")&amp;"|"&amp;$X817&amp;"|"&amp;$Y817,'CALENDARIO'!$G$15:$G$214,0)),IFERROR(INDEX('CALENDARIO'!$C$15:$C$214,MATCH(TEXT($J817,"yyyy-mm-dd")&amp;"|"&amp;$X817&amp;"|",'CALENDARIO'!$G$15:$G$214,0)),IFERROR(INDEX('CALENDARIO'!$C$15:$C$214,MATCH(TEXT($J817,"yyyy-mm-dd")&amp;"||",'CALENDARIO'!$G$15:$G$214,0)),INDEX(patronHabil,WEEKDAY($J817,2))))))</f>
        <v/>
      </c>
      <c r="U817" s="5">
        <f>IF($I817="","",IFERROR(INDEX('CAT_TIPOS_OT'!$C$4:$C$8,MATCH($I817,'CAT_TIPOS_OT'!$A$4:$A$8,0)),"sin_clasificar"))</f>
        <v/>
      </c>
      <c r="V817" s="5">
        <f>IF($I817="","",IF(IFERROR(INDEX('CAT_TIPOS_OT'!$D$4:$D$8,MATCH($I817,'CAT_TIPOS_OT'!$A$4:$A$8,0)),"SIN CLASIFICAR")="","SIN CLASIFICAR",IFERROR(INDEX('CAT_TIPOS_OT'!$D$4:$D$8,MATCH($I817,'CAT_TIPOS_OT'!$A$4:$A$8,0)),"SIN CLASIFICAR")))</f>
        <v/>
      </c>
      <c r="W817" s="5">
        <f>IF($F817="","",IFERROR(INDEX('CAT_CENTROS_COSTO'!$F$4:$F$13,MATCH($F817,'CAT_CENTROS_COSTO'!$A$4:$A$13,0)),"(sin catálogo)"))</f>
        <v/>
      </c>
      <c r="X817" s="5">
        <f>IF($F817="","",IFERROR(INDEX('CAT_CENTROS_COSTO'!$D$4:$D$13,MATCH($F817,'CAT_CENTROS_COSTO'!$A$4:$A$13,0)),"(sin catálogo)"))</f>
        <v/>
      </c>
      <c r="Y817" s="5">
        <f>IF($F817="","",IF((IFERROR(INDEX('CAT_CENTROS_COSTO'!$E$4:$E$13,MATCH($F817,'CAT_CENTROS_COSTO'!$A$4:$A$13,0)),""))&lt;&gt;"",IFERROR(INDEX('CAT_CENTROS_COSTO'!$E$4:$E$13,MATCH($F817,'CAT_CENTROS_COSTO'!$A$4:$A$13,0)),""),$X817))</f>
        <v/>
      </c>
      <c r="Z817" s="5">
        <f>IF($F817="","",IFERROR(INDEX('CAT_CENTROS_COSTO'!$G$4:$G$13,MATCH($F817,'CAT_CENTROS_COSTO'!$A$4:$A$13,0)),"(sin catálogo)"))</f>
        <v/>
      </c>
      <c r="AA817" s="5">
        <f>IF($G817="","",IFERROR(INDEX('CAT_PUESTOS'!$B$4:$B$8,MATCH($G817,'CAT_PUESTOS'!$A$4:$A$8,0)),"(sin catálogo)"))</f>
        <v/>
      </c>
      <c r="AB817" s="5">
        <f>IF($H817="","",IFERROR(INDEX('CAT_ACTIVIDADES'!$B$4:$B$11,MATCH($H817,'CAT_ACTIVIDADES'!$A$4:$A$11,0)),"(sin catálogo)"))</f>
        <v/>
      </c>
      <c r="AC817" s="20">
        <f>IF($J817="","",TODAY()-$J817)</f>
        <v/>
      </c>
      <c r="AD817" s="20">
        <f>IF($J817="","",IF($J817&lt;=TODAY(),COUNTIFS(cal_fechas,"&gt;="&amp;$J817,cal_fechas,"&lt;"&amp;TODAY(),cal_habil,"sí"),-COUNTIFS(cal_fechas,"&gt;="&amp;TODAY(),cal_fechas,"&lt;"&amp;$J817,cal_habil,"sí")))</f>
        <v/>
      </c>
      <c r="AE817" s="5">
        <f>IF($AD817="","",IF($AD817&lt;0,"FUTURO",IF($AD817&gt;p_dias_backlog_max,"BACKLOG","MES CORRIENTE")))</f>
        <v/>
      </c>
      <c r="AF817" s="5">
        <f>IF($AD817="",FALSE,AND($AD817&gt;p_dias_backlog_min,$AD817&lt;=p_dias_backlog_max))</f>
        <v/>
      </c>
      <c r="AG817" s="4" t="n"/>
      <c r="AH817" s="5">
        <f>IF($AG817="","",IF((IFERROR(INDEX('ASIGNACIONES'!$J$4:$J$451,MATCH($O817&amp;"|"&amp;$S817&amp;"|"&amp;$AG817,'ASIGNACIONES'!$N$4:$N$451,0)),""))=0,"",IFERROR(INDEX('ASIGNACIONES'!$J$4:$J$451,MATCH($O817&amp;"|"&amp;$S817&amp;"|"&amp;$AG817,'ASIGNACIONES'!$N$4:$N$451,0)),"")))</f>
        <v/>
      </c>
      <c r="AI817" s="25">
        <f>IF($AG817="","",SUMIFS('ORDENES'!$M$4:$M$1203,'ORDENES'!$AG$4:$AG$1203,$AG817,'ORDENES'!$O$4:$O$1203,$O817,'ORDENES'!$S$4:$S$1203,$S817))</f>
        <v/>
      </c>
      <c r="AJ817" s="25">
        <f>IF($AI817="","",p_factor_productividad*IFERROR(INDEX('ASIGNACIONES'!$M$4:$M$451,MATCH($O817&amp;"|"&amp;$S817&amp;"|"&amp;$AG817,'ASIGNACIONES'!$N$4:$N$451,0)),0)-$AI817)</f>
        <v/>
      </c>
      <c r="AK817" s="18">
        <f>IF($A817="","",IFERROR(INDEX('2_IMPORTAR_EJECUCION'!$F$9:$F$1208,MATCH($AT817,'2_IMPORTAR_EJECUCION'!$J$9:$J$1208,0)),0))</f>
        <v/>
      </c>
      <c r="AL817" s="18">
        <f>IF($A817="","",MAX(0,IFERROR(INDEX('2_IMPORTAR_EJECUCION'!$H$9:$H$1208,MATCH($AT817,'2_IMPORTAR_EJECUCION'!$J$9:$J$1208,0)),0)-$AK817))</f>
        <v/>
      </c>
      <c r="AM817" s="18">
        <f>IF($A817="","",$AK817+$AL817)</f>
        <v/>
      </c>
      <c r="AN817" s="5">
        <f>IF($A817="","",IF(OR((IFERROR(INDEX('CAT_ACTIVIDADES'!$D$4:$D$11,MATCH($H817,'CAT_ACTIVIDADES'!$A$4:$A$11,0)),""))=0,(IFERROR(INDEX('CAT_ACTIVIDADES'!$D$4:$D$11,MATCH($H817,'CAT_ACTIVIDADES'!$A$4:$A$11,0)),""))=""),"SIN CLASIFICAR",IFERROR(INDEX('CAT_ACTIVIDADES'!$D$4:$D$11,MATCH($H817,'CAT_ACTIVIDADES'!$A$4:$A$11,0)),"")))</f>
        <v/>
      </c>
      <c r="AO817" s="4" t="n"/>
      <c r="AP817" s="4" t="n"/>
      <c r="AQ817" s="4" t="n"/>
      <c r="AR817" s="5">
        <f>IF($AQ817="","",HYPERLINK(p_ruta_base_checklists&amp;$AQ817,"abrir"))</f>
        <v/>
      </c>
      <c r="AS817" s="4" t="n"/>
      <c r="AT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2" t="n"/>
      <c r="K818" s="5" t="n"/>
      <c r="L818" s="18" t="n"/>
      <c r="M818" s="5">
        <f>IF($A818="","",IFERROR(INDEX('AJUSTES'!$B$4:$B$303,MATCH($AT818,'AJUSTES'!$A$4:$A$303,0)),IF($K818="","",$K818)))</f>
        <v/>
      </c>
      <c r="N818" s="5">
        <f>IF($A818="","",IFERROR(INDEX('CAT_ESTADOS_ERP'!$B$4:$B$7,MATCH(IFERROR(INDEX('2_IMPORTAR_EJECUCION'!$C$9:$C$1208,MATCH($AT818,'2_IMPORTAR_EJECUCION'!$J$9:$J$1208,0)),""),'CAT_ESTADOS_ERP'!$A$4:$A$7,0)),"Pendiente"))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IF($J818="","",$P818&amp;"-"&amp;TEXT($Q818,"00"))</f>
        <v/>
      </c>
      <c r="S818" s="5">
        <f>IF($J818="","",INDEX(lista_dias,WEEKDAY($J818,2)))</f>
        <v/>
      </c>
      <c r="T818" s="5">
        <f>IF($J818="","",IFERROR(INDEX('CALENDARIO'!$C$15:$C$214,MATCH(TEXT($J818,"yyyy-mm-dd")&amp;"|"&amp;$X818&amp;"|"&amp;$Y818,'CALENDARIO'!$G$15:$G$214,0)),IFERROR(INDEX('CALENDARIO'!$C$15:$C$214,MATCH(TEXT($J818,"yyyy-mm-dd")&amp;"|"&amp;$X818&amp;"|",'CALENDARIO'!$G$15:$G$214,0)),IFERROR(INDEX('CALENDARIO'!$C$15:$C$214,MATCH(TEXT($J818,"yyyy-mm-dd")&amp;"||",'CALENDARIO'!$G$15:$G$214,0)),INDEX(patronHabil,WEEKDAY($J818,2))))))</f>
        <v/>
      </c>
      <c r="U818" s="5">
        <f>IF($I818="","",IFERROR(INDEX('CAT_TIPOS_OT'!$C$4:$C$8,MATCH($I818,'CAT_TIPOS_OT'!$A$4:$A$8,0)),"sin_clasificar"))</f>
        <v/>
      </c>
      <c r="V818" s="5">
        <f>IF($I818="","",IF(IFERROR(INDEX('CAT_TIPOS_OT'!$D$4:$D$8,MATCH($I818,'CAT_TIPOS_OT'!$A$4:$A$8,0)),"SIN CLASIFICAR")="","SIN CLASIFICAR",IFERROR(INDEX('CAT_TIPOS_OT'!$D$4:$D$8,MATCH($I818,'CAT_TIPOS_OT'!$A$4:$A$8,0)),"SIN CLASIFICAR")))</f>
        <v/>
      </c>
      <c r="W818" s="5">
        <f>IF($F818="","",IFERROR(INDEX('CAT_CENTROS_COSTO'!$F$4:$F$13,MATCH($F818,'CAT_CENTROS_COSTO'!$A$4:$A$13,0)),"(sin catálogo)"))</f>
        <v/>
      </c>
      <c r="X818" s="5">
        <f>IF($F818="","",IFERROR(INDEX('CAT_CENTROS_COSTO'!$D$4:$D$13,MATCH($F818,'CAT_CENTROS_COSTO'!$A$4:$A$13,0)),"(sin catálogo)"))</f>
        <v/>
      </c>
      <c r="Y818" s="5">
        <f>IF($F818="","",IF((IFERROR(INDEX('CAT_CENTROS_COSTO'!$E$4:$E$13,MATCH($F818,'CAT_CENTROS_COSTO'!$A$4:$A$13,0)),""))&lt;&gt;"",IFERROR(INDEX('CAT_CENTROS_COSTO'!$E$4:$E$13,MATCH($F818,'CAT_CENTROS_COSTO'!$A$4:$A$13,0)),""),$X818))</f>
        <v/>
      </c>
      <c r="Z818" s="5">
        <f>IF($F818="","",IFERROR(INDEX('CAT_CENTROS_COSTO'!$G$4:$G$13,MATCH($F818,'CAT_CENTROS_COSTO'!$A$4:$A$13,0)),"(sin catálogo)"))</f>
        <v/>
      </c>
      <c r="AA818" s="5">
        <f>IF($G818="","",IFERROR(INDEX('CAT_PUESTOS'!$B$4:$B$8,MATCH($G818,'CAT_PUESTOS'!$A$4:$A$8,0)),"(sin catálogo)"))</f>
        <v/>
      </c>
      <c r="AB818" s="5">
        <f>IF($H818="","",IFERROR(INDEX('CAT_ACTIVIDADES'!$B$4:$B$11,MATCH($H818,'CAT_ACTIVIDADES'!$A$4:$A$11,0)),"(sin catálogo)"))</f>
        <v/>
      </c>
      <c r="AC818" s="20">
        <f>IF($J818="","",TODAY()-$J818)</f>
        <v/>
      </c>
      <c r="AD818" s="20">
        <f>IF($J818="","",IF($J818&lt;=TODAY(),COUNTIFS(cal_fechas,"&gt;="&amp;$J818,cal_fechas,"&lt;"&amp;TODAY(),cal_habil,"sí"),-COUNTIFS(cal_fechas,"&gt;="&amp;TODAY(),cal_fechas,"&lt;"&amp;$J818,cal_habil,"sí")))</f>
        <v/>
      </c>
      <c r="AE818" s="5">
        <f>IF($AD818="","",IF($AD818&lt;0,"FUTURO",IF($AD818&gt;p_dias_backlog_max,"BACKLOG","MES CORRIENTE")))</f>
        <v/>
      </c>
      <c r="AF818" s="5">
        <f>IF($AD818="",FALSE,AND($AD818&gt;p_dias_backlog_min,$AD818&lt;=p_dias_backlog_max))</f>
        <v/>
      </c>
      <c r="AG818" s="4" t="n"/>
      <c r="AH818" s="5">
        <f>IF($AG818="","",IF((IFERROR(INDEX('ASIGNACIONES'!$J$4:$J$451,MATCH($O818&amp;"|"&amp;$S818&amp;"|"&amp;$AG818,'ASIGNACIONES'!$N$4:$N$451,0)),""))=0,"",IFERROR(INDEX('ASIGNACIONES'!$J$4:$J$451,MATCH($O818&amp;"|"&amp;$S818&amp;"|"&amp;$AG818,'ASIGNACIONES'!$N$4:$N$451,0)),"")))</f>
        <v/>
      </c>
      <c r="AI818" s="25">
        <f>IF($AG818="","",SUMIFS('ORDENES'!$M$4:$M$1203,'ORDENES'!$AG$4:$AG$1203,$AG818,'ORDENES'!$O$4:$O$1203,$O818,'ORDENES'!$S$4:$S$1203,$S818))</f>
        <v/>
      </c>
      <c r="AJ818" s="25">
        <f>IF($AI818="","",p_factor_productividad*IFERROR(INDEX('ASIGNACIONES'!$M$4:$M$451,MATCH($O818&amp;"|"&amp;$S818&amp;"|"&amp;$AG818,'ASIGNACIONES'!$N$4:$N$451,0)),0)-$AI818)</f>
        <v/>
      </c>
      <c r="AK818" s="18">
        <f>IF($A818="","",IFERROR(INDEX('2_IMPORTAR_EJECUCION'!$F$9:$F$1208,MATCH($AT818,'2_IMPORTAR_EJECUCION'!$J$9:$J$1208,0)),0))</f>
        <v/>
      </c>
      <c r="AL818" s="18">
        <f>IF($A818="","",MAX(0,IFERROR(INDEX('2_IMPORTAR_EJECUCION'!$H$9:$H$1208,MATCH($AT818,'2_IMPORTAR_EJECUCION'!$J$9:$J$1208,0)),0)-$AK818))</f>
        <v/>
      </c>
      <c r="AM818" s="18">
        <f>IF($A818="","",$AK818+$AL818)</f>
        <v/>
      </c>
      <c r="AN818" s="5">
        <f>IF($A818="","",IF(OR((IFERROR(INDEX('CAT_ACTIVIDADES'!$D$4:$D$11,MATCH($H818,'CAT_ACTIVIDADES'!$A$4:$A$11,0)),""))=0,(IFERROR(INDEX('CAT_ACTIVIDADES'!$D$4:$D$11,MATCH($H818,'CAT_ACTIVIDADES'!$A$4:$A$11,0)),""))=""),"SIN CLASIFICAR",IFERROR(INDEX('CAT_ACTIVIDADES'!$D$4:$D$11,MATCH($H818,'CAT_ACTIVIDADES'!$A$4:$A$11,0)),"")))</f>
        <v/>
      </c>
      <c r="AO818" s="4" t="n"/>
      <c r="AP818" s="4" t="n"/>
      <c r="AQ818" s="4" t="n"/>
      <c r="AR818" s="5">
        <f>IF($AQ818="","",HYPERLINK(p_ruta_base_checklists&amp;$AQ818,"abrir"))</f>
        <v/>
      </c>
      <c r="AS818" s="4" t="n"/>
      <c r="AT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2" t="n"/>
      <c r="K819" s="5" t="n"/>
      <c r="L819" s="18" t="n"/>
      <c r="M819" s="5">
        <f>IF($A819="","",IFERROR(INDEX('AJUSTES'!$B$4:$B$303,MATCH($AT819,'AJUSTES'!$A$4:$A$303,0)),IF($K819="","",$K819)))</f>
        <v/>
      </c>
      <c r="N819" s="5">
        <f>IF($A819="","",IFERROR(INDEX('CAT_ESTADOS_ERP'!$B$4:$B$7,MATCH(IFERROR(INDEX('2_IMPORTAR_EJECUCION'!$C$9:$C$1208,MATCH($AT819,'2_IMPORTAR_EJECUCION'!$J$9:$J$1208,0)),""),'CAT_ESTADOS_ERP'!$A$4:$A$7,0)),"Pendiente"))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IF($J819="","",$P819&amp;"-"&amp;TEXT($Q819,"00"))</f>
        <v/>
      </c>
      <c r="S819" s="5">
        <f>IF($J819="","",INDEX(lista_dias,WEEKDAY($J819,2)))</f>
        <v/>
      </c>
      <c r="T819" s="5">
        <f>IF($J819="","",IFERROR(INDEX('CALENDARIO'!$C$15:$C$214,MATCH(TEXT($J819,"yyyy-mm-dd")&amp;"|"&amp;$X819&amp;"|"&amp;$Y819,'CALENDARIO'!$G$15:$G$214,0)),IFERROR(INDEX('CALENDARIO'!$C$15:$C$214,MATCH(TEXT($J819,"yyyy-mm-dd")&amp;"|"&amp;$X819&amp;"|",'CALENDARIO'!$G$15:$G$214,0)),IFERROR(INDEX('CALENDARIO'!$C$15:$C$214,MATCH(TEXT($J819,"yyyy-mm-dd")&amp;"||",'CALENDARIO'!$G$15:$G$214,0)),INDEX(patronHabil,WEEKDAY($J819,2))))))</f>
        <v/>
      </c>
      <c r="U819" s="5">
        <f>IF($I819="","",IFERROR(INDEX('CAT_TIPOS_OT'!$C$4:$C$8,MATCH($I819,'CAT_TIPOS_OT'!$A$4:$A$8,0)),"sin_clasificar"))</f>
        <v/>
      </c>
      <c r="V819" s="5">
        <f>IF($I819="","",IF(IFERROR(INDEX('CAT_TIPOS_OT'!$D$4:$D$8,MATCH($I819,'CAT_TIPOS_OT'!$A$4:$A$8,0)),"SIN CLASIFICAR")="","SIN CLASIFICAR",IFERROR(INDEX('CAT_TIPOS_OT'!$D$4:$D$8,MATCH($I819,'CAT_TIPOS_OT'!$A$4:$A$8,0)),"SIN CLASIFICAR")))</f>
        <v/>
      </c>
      <c r="W819" s="5">
        <f>IF($F819="","",IFERROR(INDEX('CAT_CENTROS_COSTO'!$F$4:$F$13,MATCH($F819,'CAT_CENTROS_COSTO'!$A$4:$A$13,0)),"(sin catálogo)"))</f>
        <v/>
      </c>
      <c r="X819" s="5">
        <f>IF($F819="","",IFERROR(INDEX('CAT_CENTROS_COSTO'!$D$4:$D$13,MATCH($F819,'CAT_CENTROS_COSTO'!$A$4:$A$13,0)),"(sin catálogo)"))</f>
        <v/>
      </c>
      <c r="Y819" s="5">
        <f>IF($F819="","",IF((IFERROR(INDEX('CAT_CENTROS_COSTO'!$E$4:$E$13,MATCH($F819,'CAT_CENTROS_COSTO'!$A$4:$A$13,0)),""))&lt;&gt;"",IFERROR(INDEX('CAT_CENTROS_COSTO'!$E$4:$E$13,MATCH($F819,'CAT_CENTROS_COSTO'!$A$4:$A$13,0)),""),$X819))</f>
        <v/>
      </c>
      <c r="Z819" s="5">
        <f>IF($F819="","",IFERROR(INDEX('CAT_CENTROS_COSTO'!$G$4:$G$13,MATCH($F819,'CAT_CENTROS_COSTO'!$A$4:$A$13,0)),"(sin catálogo)"))</f>
        <v/>
      </c>
      <c r="AA819" s="5">
        <f>IF($G819="","",IFERROR(INDEX('CAT_PUESTOS'!$B$4:$B$8,MATCH($G819,'CAT_PUESTOS'!$A$4:$A$8,0)),"(sin catálogo)"))</f>
        <v/>
      </c>
      <c r="AB819" s="5">
        <f>IF($H819="","",IFERROR(INDEX('CAT_ACTIVIDADES'!$B$4:$B$11,MATCH($H819,'CAT_ACTIVIDADES'!$A$4:$A$11,0)),"(sin catálogo)"))</f>
        <v/>
      </c>
      <c r="AC819" s="20">
        <f>IF($J819="","",TODAY()-$J819)</f>
        <v/>
      </c>
      <c r="AD819" s="20">
        <f>IF($J819="","",IF($J819&lt;=TODAY(),COUNTIFS(cal_fechas,"&gt;="&amp;$J819,cal_fechas,"&lt;"&amp;TODAY(),cal_habil,"sí"),-COUNTIFS(cal_fechas,"&gt;="&amp;TODAY(),cal_fechas,"&lt;"&amp;$J819,cal_habil,"sí")))</f>
        <v/>
      </c>
      <c r="AE819" s="5">
        <f>IF($AD819="","",IF($AD819&lt;0,"FUTURO",IF($AD819&gt;p_dias_backlog_max,"BACKLOG","MES CORRIENTE")))</f>
        <v/>
      </c>
      <c r="AF819" s="5">
        <f>IF($AD819="",FALSE,AND($AD819&gt;p_dias_backlog_min,$AD819&lt;=p_dias_backlog_max))</f>
        <v/>
      </c>
      <c r="AG819" s="4" t="n"/>
      <c r="AH819" s="5">
        <f>IF($AG819="","",IF((IFERROR(INDEX('ASIGNACIONES'!$J$4:$J$451,MATCH($O819&amp;"|"&amp;$S819&amp;"|"&amp;$AG819,'ASIGNACIONES'!$N$4:$N$451,0)),""))=0,"",IFERROR(INDEX('ASIGNACIONES'!$J$4:$J$451,MATCH($O819&amp;"|"&amp;$S819&amp;"|"&amp;$AG819,'ASIGNACIONES'!$N$4:$N$451,0)),"")))</f>
        <v/>
      </c>
      <c r="AI819" s="25">
        <f>IF($AG819="","",SUMIFS('ORDENES'!$M$4:$M$1203,'ORDENES'!$AG$4:$AG$1203,$AG819,'ORDENES'!$O$4:$O$1203,$O819,'ORDENES'!$S$4:$S$1203,$S819))</f>
        <v/>
      </c>
      <c r="AJ819" s="25">
        <f>IF($AI819="","",p_factor_productividad*IFERROR(INDEX('ASIGNACIONES'!$M$4:$M$451,MATCH($O819&amp;"|"&amp;$S819&amp;"|"&amp;$AG819,'ASIGNACIONES'!$N$4:$N$451,0)),0)-$AI819)</f>
        <v/>
      </c>
      <c r="AK819" s="18">
        <f>IF($A819="","",IFERROR(INDEX('2_IMPORTAR_EJECUCION'!$F$9:$F$1208,MATCH($AT819,'2_IMPORTAR_EJECUCION'!$J$9:$J$1208,0)),0))</f>
        <v/>
      </c>
      <c r="AL819" s="18">
        <f>IF($A819="","",MAX(0,IFERROR(INDEX('2_IMPORTAR_EJECUCION'!$H$9:$H$1208,MATCH($AT819,'2_IMPORTAR_EJECUCION'!$J$9:$J$1208,0)),0)-$AK819))</f>
        <v/>
      </c>
      <c r="AM819" s="18">
        <f>IF($A819="","",$AK819+$AL819)</f>
        <v/>
      </c>
      <c r="AN819" s="5">
        <f>IF($A819="","",IF(OR((IFERROR(INDEX('CAT_ACTIVIDADES'!$D$4:$D$11,MATCH($H819,'CAT_ACTIVIDADES'!$A$4:$A$11,0)),""))=0,(IFERROR(INDEX('CAT_ACTIVIDADES'!$D$4:$D$11,MATCH($H819,'CAT_ACTIVIDADES'!$A$4:$A$11,0)),""))=""),"SIN CLASIFICAR",IFERROR(INDEX('CAT_ACTIVIDADES'!$D$4:$D$11,MATCH($H819,'CAT_ACTIVIDADES'!$A$4:$A$11,0)),"")))</f>
        <v/>
      </c>
      <c r="AO819" s="4" t="n"/>
      <c r="AP819" s="4" t="n"/>
      <c r="AQ819" s="4" t="n"/>
      <c r="AR819" s="5">
        <f>IF($AQ819="","",HYPERLINK(p_ruta_base_checklists&amp;$AQ819,"abrir"))</f>
        <v/>
      </c>
      <c r="AS819" s="4" t="n"/>
      <c r="AT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2" t="n"/>
      <c r="K820" s="5" t="n"/>
      <c r="L820" s="18" t="n"/>
      <c r="M820" s="5">
        <f>IF($A820="","",IFERROR(INDEX('AJUSTES'!$B$4:$B$303,MATCH($AT820,'AJUSTES'!$A$4:$A$303,0)),IF($K820="","",$K820)))</f>
        <v/>
      </c>
      <c r="N820" s="5">
        <f>IF($A820="","",IFERROR(INDEX('CAT_ESTADOS_ERP'!$B$4:$B$7,MATCH(IFERROR(INDEX('2_IMPORTAR_EJECUCION'!$C$9:$C$1208,MATCH($AT820,'2_IMPORTAR_EJECUCION'!$J$9:$J$1208,0)),""),'CAT_ESTADOS_ERP'!$A$4:$A$7,0)),"Pendiente"))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IF($J820="","",$P820&amp;"-"&amp;TEXT($Q820,"00"))</f>
        <v/>
      </c>
      <c r="S820" s="5">
        <f>IF($J820="","",INDEX(lista_dias,WEEKDAY($J820,2)))</f>
        <v/>
      </c>
      <c r="T820" s="5">
        <f>IF($J820="","",IFERROR(INDEX('CALENDARIO'!$C$15:$C$214,MATCH(TEXT($J820,"yyyy-mm-dd")&amp;"|"&amp;$X820&amp;"|"&amp;$Y820,'CALENDARIO'!$G$15:$G$214,0)),IFERROR(INDEX('CALENDARIO'!$C$15:$C$214,MATCH(TEXT($J820,"yyyy-mm-dd")&amp;"|"&amp;$X820&amp;"|",'CALENDARIO'!$G$15:$G$214,0)),IFERROR(INDEX('CALENDARIO'!$C$15:$C$214,MATCH(TEXT($J820,"yyyy-mm-dd")&amp;"||",'CALENDARIO'!$G$15:$G$214,0)),INDEX(patronHabil,WEEKDAY($J820,2))))))</f>
        <v/>
      </c>
      <c r="U820" s="5">
        <f>IF($I820="","",IFERROR(INDEX('CAT_TIPOS_OT'!$C$4:$C$8,MATCH($I820,'CAT_TIPOS_OT'!$A$4:$A$8,0)),"sin_clasificar"))</f>
        <v/>
      </c>
      <c r="V820" s="5">
        <f>IF($I820="","",IF(IFERROR(INDEX('CAT_TIPOS_OT'!$D$4:$D$8,MATCH($I820,'CAT_TIPOS_OT'!$A$4:$A$8,0)),"SIN CLASIFICAR")="","SIN CLASIFICAR",IFERROR(INDEX('CAT_TIPOS_OT'!$D$4:$D$8,MATCH($I820,'CAT_TIPOS_OT'!$A$4:$A$8,0)),"SIN CLASIFICAR")))</f>
        <v/>
      </c>
      <c r="W820" s="5">
        <f>IF($F820="","",IFERROR(INDEX('CAT_CENTROS_COSTO'!$F$4:$F$13,MATCH($F820,'CAT_CENTROS_COSTO'!$A$4:$A$13,0)),"(sin catálogo)"))</f>
        <v/>
      </c>
      <c r="X820" s="5">
        <f>IF($F820="","",IFERROR(INDEX('CAT_CENTROS_COSTO'!$D$4:$D$13,MATCH($F820,'CAT_CENTROS_COSTO'!$A$4:$A$13,0)),"(sin catálogo)"))</f>
        <v/>
      </c>
      <c r="Y820" s="5">
        <f>IF($F820="","",IF((IFERROR(INDEX('CAT_CENTROS_COSTO'!$E$4:$E$13,MATCH($F820,'CAT_CENTROS_COSTO'!$A$4:$A$13,0)),""))&lt;&gt;"",IFERROR(INDEX('CAT_CENTROS_COSTO'!$E$4:$E$13,MATCH($F820,'CAT_CENTROS_COSTO'!$A$4:$A$13,0)),""),$X820))</f>
        <v/>
      </c>
      <c r="Z820" s="5">
        <f>IF($F820="","",IFERROR(INDEX('CAT_CENTROS_COSTO'!$G$4:$G$13,MATCH($F820,'CAT_CENTROS_COSTO'!$A$4:$A$13,0)),"(sin catálogo)"))</f>
        <v/>
      </c>
      <c r="AA820" s="5">
        <f>IF($G820="","",IFERROR(INDEX('CAT_PUESTOS'!$B$4:$B$8,MATCH($G820,'CAT_PUESTOS'!$A$4:$A$8,0)),"(sin catálogo)"))</f>
        <v/>
      </c>
      <c r="AB820" s="5">
        <f>IF($H820="","",IFERROR(INDEX('CAT_ACTIVIDADES'!$B$4:$B$11,MATCH($H820,'CAT_ACTIVIDADES'!$A$4:$A$11,0)),"(sin catálogo)"))</f>
        <v/>
      </c>
      <c r="AC820" s="20">
        <f>IF($J820="","",TODAY()-$J820)</f>
        <v/>
      </c>
      <c r="AD820" s="20">
        <f>IF($J820="","",IF($J820&lt;=TODAY(),COUNTIFS(cal_fechas,"&gt;="&amp;$J820,cal_fechas,"&lt;"&amp;TODAY(),cal_habil,"sí"),-COUNTIFS(cal_fechas,"&gt;="&amp;TODAY(),cal_fechas,"&lt;"&amp;$J820,cal_habil,"sí")))</f>
        <v/>
      </c>
      <c r="AE820" s="5">
        <f>IF($AD820="","",IF($AD820&lt;0,"FUTURO",IF($AD820&gt;p_dias_backlog_max,"BACKLOG","MES CORRIENTE")))</f>
        <v/>
      </c>
      <c r="AF820" s="5">
        <f>IF($AD820="",FALSE,AND($AD820&gt;p_dias_backlog_min,$AD820&lt;=p_dias_backlog_max))</f>
        <v/>
      </c>
      <c r="AG820" s="4" t="n"/>
      <c r="AH820" s="5">
        <f>IF($AG820="","",IF((IFERROR(INDEX('ASIGNACIONES'!$J$4:$J$451,MATCH($O820&amp;"|"&amp;$S820&amp;"|"&amp;$AG820,'ASIGNACIONES'!$N$4:$N$451,0)),""))=0,"",IFERROR(INDEX('ASIGNACIONES'!$J$4:$J$451,MATCH($O820&amp;"|"&amp;$S820&amp;"|"&amp;$AG820,'ASIGNACIONES'!$N$4:$N$451,0)),"")))</f>
        <v/>
      </c>
      <c r="AI820" s="25">
        <f>IF($AG820="","",SUMIFS('ORDENES'!$M$4:$M$1203,'ORDENES'!$AG$4:$AG$1203,$AG820,'ORDENES'!$O$4:$O$1203,$O820,'ORDENES'!$S$4:$S$1203,$S820))</f>
        <v/>
      </c>
      <c r="AJ820" s="25">
        <f>IF($AI820="","",p_factor_productividad*IFERROR(INDEX('ASIGNACIONES'!$M$4:$M$451,MATCH($O820&amp;"|"&amp;$S820&amp;"|"&amp;$AG820,'ASIGNACIONES'!$N$4:$N$451,0)),0)-$AI820)</f>
        <v/>
      </c>
      <c r="AK820" s="18">
        <f>IF($A820="","",IFERROR(INDEX('2_IMPORTAR_EJECUCION'!$F$9:$F$1208,MATCH($AT820,'2_IMPORTAR_EJECUCION'!$J$9:$J$1208,0)),0))</f>
        <v/>
      </c>
      <c r="AL820" s="18">
        <f>IF($A820="","",MAX(0,IFERROR(INDEX('2_IMPORTAR_EJECUCION'!$H$9:$H$1208,MATCH($AT820,'2_IMPORTAR_EJECUCION'!$J$9:$J$1208,0)),0)-$AK820))</f>
        <v/>
      </c>
      <c r="AM820" s="18">
        <f>IF($A820="","",$AK820+$AL820)</f>
        <v/>
      </c>
      <c r="AN820" s="5">
        <f>IF($A820="","",IF(OR((IFERROR(INDEX('CAT_ACTIVIDADES'!$D$4:$D$11,MATCH($H820,'CAT_ACTIVIDADES'!$A$4:$A$11,0)),""))=0,(IFERROR(INDEX('CAT_ACTIVIDADES'!$D$4:$D$11,MATCH($H820,'CAT_ACTIVIDADES'!$A$4:$A$11,0)),""))=""),"SIN CLASIFICAR",IFERROR(INDEX('CAT_ACTIVIDADES'!$D$4:$D$11,MATCH($H820,'CAT_ACTIVIDADES'!$A$4:$A$11,0)),"")))</f>
        <v/>
      </c>
      <c r="AO820" s="4" t="n"/>
      <c r="AP820" s="4" t="n"/>
      <c r="AQ820" s="4" t="n"/>
      <c r="AR820" s="5">
        <f>IF($AQ820="","",HYPERLINK(p_ruta_base_checklists&amp;$AQ820,"abrir"))</f>
        <v/>
      </c>
      <c r="AS820" s="4" t="n"/>
      <c r="AT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2" t="n"/>
      <c r="K821" s="5" t="n"/>
      <c r="L821" s="18" t="n"/>
      <c r="M821" s="5">
        <f>IF($A821="","",IFERROR(INDEX('AJUSTES'!$B$4:$B$303,MATCH($AT821,'AJUSTES'!$A$4:$A$303,0)),IF($K821="","",$K821)))</f>
        <v/>
      </c>
      <c r="N821" s="5">
        <f>IF($A821="","",IFERROR(INDEX('CAT_ESTADOS_ERP'!$B$4:$B$7,MATCH(IFERROR(INDEX('2_IMPORTAR_EJECUCION'!$C$9:$C$1208,MATCH($AT821,'2_IMPORTAR_EJECUCION'!$J$9:$J$1208,0)),""),'CAT_ESTADOS_ERP'!$A$4:$A$7,0)),"Pendiente"))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IF($J821="","",$P821&amp;"-"&amp;TEXT($Q821,"00"))</f>
        <v/>
      </c>
      <c r="S821" s="5">
        <f>IF($J821="","",INDEX(lista_dias,WEEKDAY($J821,2)))</f>
        <v/>
      </c>
      <c r="T821" s="5">
        <f>IF($J821="","",IFERROR(INDEX('CALENDARIO'!$C$15:$C$214,MATCH(TEXT($J821,"yyyy-mm-dd")&amp;"|"&amp;$X821&amp;"|"&amp;$Y821,'CALENDARIO'!$G$15:$G$214,0)),IFERROR(INDEX('CALENDARIO'!$C$15:$C$214,MATCH(TEXT($J821,"yyyy-mm-dd")&amp;"|"&amp;$X821&amp;"|",'CALENDARIO'!$G$15:$G$214,0)),IFERROR(INDEX('CALENDARIO'!$C$15:$C$214,MATCH(TEXT($J821,"yyyy-mm-dd")&amp;"||",'CALENDARIO'!$G$15:$G$214,0)),INDEX(patronHabil,WEEKDAY($J821,2))))))</f>
        <v/>
      </c>
      <c r="U821" s="5">
        <f>IF($I821="","",IFERROR(INDEX('CAT_TIPOS_OT'!$C$4:$C$8,MATCH($I821,'CAT_TIPOS_OT'!$A$4:$A$8,0)),"sin_clasificar"))</f>
        <v/>
      </c>
      <c r="V821" s="5">
        <f>IF($I821="","",IF(IFERROR(INDEX('CAT_TIPOS_OT'!$D$4:$D$8,MATCH($I821,'CAT_TIPOS_OT'!$A$4:$A$8,0)),"SIN CLASIFICAR")="","SIN CLASIFICAR",IFERROR(INDEX('CAT_TIPOS_OT'!$D$4:$D$8,MATCH($I821,'CAT_TIPOS_OT'!$A$4:$A$8,0)),"SIN CLASIFICAR")))</f>
        <v/>
      </c>
      <c r="W821" s="5">
        <f>IF($F821="","",IFERROR(INDEX('CAT_CENTROS_COSTO'!$F$4:$F$13,MATCH($F821,'CAT_CENTROS_COSTO'!$A$4:$A$13,0)),"(sin catálogo)"))</f>
        <v/>
      </c>
      <c r="X821" s="5">
        <f>IF($F821="","",IFERROR(INDEX('CAT_CENTROS_COSTO'!$D$4:$D$13,MATCH($F821,'CAT_CENTROS_COSTO'!$A$4:$A$13,0)),"(sin catálogo)"))</f>
        <v/>
      </c>
      <c r="Y821" s="5">
        <f>IF($F821="","",IF((IFERROR(INDEX('CAT_CENTROS_COSTO'!$E$4:$E$13,MATCH($F821,'CAT_CENTROS_COSTO'!$A$4:$A$13,0)),""))&lt;&gt;"",IFERROR(INDEX('CAT_CENTROS_COSTO'!$E$4:$E$13,MATCH($F821,'CAT_CENTROS_COSTO'!$A$4:$A$13,0)),""),$X821))</f>
        <v/>
      </c>
      <c r="Z821" s="5">
        <f>IF($F821="","",IFERROR(INDEX('CAT_CENTROS_COSTO'!$G$4:$G$13,MATCH($F821,'CAT_CENTROS_COSTO'!$A$4:$A$13,0)),"(sin catálogo)"))</f>
        <v/>
      </c>
      <c r="AA821" s="5">
        <f>IF($G821="","",IFERROR(INDEX('CAT_PUESTOS'!$B$4:$B$8,MATCH($G821,'CAT_PUESTOS'!$A$4:$A$8,0)),"(sin catálogo)"))</f>
        <v/>
      </c>
      <c r="AB821" s="5">
        <f>IF($H821="","",IFERROR(INDEX('CAT_ACTIVIDADES'!$B$4:$B$11,MATCH($H821,'CAT_ACTIVIDADES'!$A$4:$A$11,0)),"(sin catálogo)"))</f>
        <v/>
      </c>
      <c r="AC821" s="20">
        <f>IF($J821="","",TODAY()-$J821)</f>
        <v/>
      </c>
      <c r="AD821" s="20">
        <f>IF($J821="","",IF($J821&lt;=TODAY(),COUNTIFS(cal_fechas,"&gt;="&amp;$J821,cal_fechas,"&lt;"&amp;TODAY(),cal_habil,"sí"),-COUNTIFS(cal_fechas,"&gt;="&amp;TODAY(),cal_fechas,"&lt;"&amp;$J821,cal_habil,"sí")))</f>
        <v/>
      </c>
      <c r="AE821" s="5">
        <f>IF($AD821="","",IF($AD821&lt;0,"FUTURO",IF($AD821&gt;p_dias_backlog_max,"BACKLOG","MES CORRIENTE")))</f>
        <v/>
      </c>
      <c r="AF821" s="5">
        <f>IF($AD821="",FALSE,AND($AD821&gt;p_dias_backlog_min,$AD821&lt;=p_dias_backlog_max))</f>
        <v/>
      </c>
      <c r="AG821" s="4" t="n"/>
      <c r="AH821" s="5">
        <f>IF($AG821="","",IF((IFERROR(INDEX('ASIGNACIONES'!$J$4:$J$451,MATCH($O821&amp;"|"&amp;$S821&amp;"|"&amp;$AG821,'ASIGNACIONES'!$N$4:$N$451,0)),""))=0,"",IFERROR(INDEX('ASIGNACIONES'!$J$4:$J$451,MATCH($O821&amp;"|"&amp;$S821&amp;"|"&amp;$AG821,'ASIGNACIONES'!$N$4:$N$451,0)),"")))</f>
        <v/>
      </c>
      <c r="AI821" s="25">
        <f>IF($AG821="","",SUMIFS('ORDENES'!$M$4:$M$1203,'ORDENES'!$AG$4:$AG$1203,$AG821,'ORDENES'!$O$4:$O$1203,$O821,'ORDENES'!$S$4:$S$1203,$S821))</f>
        <v/>
      </c>
      <c r="AJ821" s="25">
        <f>IF($AI821="","",p_factor_productividad*IFERROR(INDEX('ASIGNACIONES'!$M$4:$M$451,MATCH($O821&amp;"|"&amp;$S821&amp;"|"&amp;$AG821,'ASIGNACIONES'!$N$4:$N$451,0)),0)-$AI821)</f>
        <v/>
      </c>
      <c r="AK821" s="18">
        <f>IF($A821="","",IFERROR(INDEX('2_IMPORTAR_EJECUCION'!$F$9:$F$1208,MATCH($AT821,'2_IMPORTAR_EJECUCION'!$J$9:$J$1208,0)),0))</f>
        <v/>
      </c>
      <c r="AL821" s="18">
        <f>IF($A821="","",MAX(0,IFERROR(INDEX('2_IMPORTAR_EJECUCION'!$H$9:$H$1208,MATCH($AT821,'2_IMPORTAR_EJECUCION'!$J$9:$J$1208,0)),0)-$AK821))</f>
        <v/>
      </c>
      <c r="AM821" s="18">
        <f>IF($A821="","",$AK821+$AL821)</f>
        <v/>
      </c>
      <c r="AN821" s="5">
        <f>IF($A821="","",IF(OR((IFERROR(INDEX('CAT_ACTIVIDADES'!$D$4:$D$11,MATCH($H821,'CAT_ACTIVIDADES'!$A$4:$A$11,0)),""))=0,(IFERROR(INDEX('CAT_ACTIVIDADES'!$D$4:$D$11,MATCH($H821,'CAT_ACTIVIDADES'!$A$4:$A$11,0)),""))=""),"SIN CLASIFICAR",IFERROR(INDEX('CAT_ACTIVIDADES'!$D$4:$D$11,MATCH($H821,'CAT_ACTIVIDADES'!$A$4:$A$11,0)),"")))</f>
        <v/>
      </c>
      <c r="AO821" s="4" t="n"/>
      <c r="AP821" s="4" t="n"/>
      <c r="AQ821" s="4" t="n"/>
      <c r="AR821" s="5">
        <f>IF($AQ821="","",HYPERLINK(p_ruta_base_checklists&amp;$AQ821,"abrir"))</f>
        <v/>
      </c>
      <c r="AS821" s="4" t="n"/>
      <c r="AT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2" t="n"/>
      <c r="K822" s="5" t="n"/>
      <c r="L822" s="18" t="n"/>
      <c r="M822" s="5">
        <f>IF($A822="","",IFERROR(INDEX('AJUSTES'!$B$4:$B$303,MATCH($AT822,'AJUSTES'!$A$4:$A$303,0)),IF($K822="","",$K822)))</f>
        <v/>
      </c>
      <c r="N822" s="5">
        <f>IF($A822="","",IFERROR(INDEX('CAT_ESTADOS_ERP'!$B$4:$B$7,MATCH(IFERROR(INDEX('2_IMPORTAR_EJECUCION'!$C$9:$C$1208,MATCH($AT822,'2_IMPORTAR_EJECUCION'!$J$9:$J$1208,0)),""),'CAT_ESTADOS_ERP'!$A$4:$A$7,0)),"Pendiente"))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IF($J822="","",$P822&amp;"-"&amp;TEXT($Q822,"00"))</f>
        <v/>
      </c>
      <c r="S822" s="5">
        <f>IF($J822="","",INDEX(lista_dias,WEEKDAY($J822,2)))</f>
        <v/>
      </c>
      <c r="T822" s="5">
        <f>IF($J822="","",IFERROR(INDEX('CALENDARIO'!$C$15:$C$214,MATCH(TEXT($J822,"yyyy-mm-dd")&amp;"|"&amp;$X822&amp;"|"&amp;$Y822,'CALENDARIO'!$G$15:$G$214,0)),IFERROR(INDEX('CALENDARIO'!$C$15:$C$214,MATCH(TEXT($J822,"yyyy-mm-dd")&amp;"|"&amp;$X822&amp;"|",'CALENDARIO'!$G$15:$G$214,0)),IFERROR(INDEX('CALENDARIO'!$C$15:$C$214,MATCH(TEXT($J822,"yyyy-mm-dd")&amp;"||",'CALENDARIO'!$G$15:$G$214,0)),INDEX(patronHabil,WEEKDAY($J822,2))))))</f>
        <v/>
      </c>
      <c r="U822" s="5">
        <f>IF($I822="","",IFERROR(INDEX('CAT_TIPOS_OT'!$C$4:$C$8,MATCH($I822,'CAT_TIPOS_OT'!$A$4:$A$8,0)),"sin_clasificar"))</f>
        <v/>
      </c>
      <c r="V822" s="5">
        <f>IF($I822="","",IF(IFERROR(INDEX('CAT_TIPOS_OT'!$D$4:$D$8,MATCH($I822,'CAT_TIPOS_OT'!$A$4:$A$8,0)),"SIN CLASIFICAR")="","SIN CLASIFICAR",IFERROR(INDEX('CAT_TIPOS_OT'!$D$4:$D$8,MATCH($I822,'CAT_TIPOS_OT'!$A$4:$A$8,0)),"SIN CLASIFICAR")))</f>
        <v/>
      </c>
      <c r="W822" s="5">
        <f>IF($F822="","",IFERROR(INDEX('CAT_CENTROS_COSTO'!$F$4:$F$13,MATCH($F822,'CAT_CENTROS_COSTO'!$A$4:$A$13,0)),"(sin catálogo)"))</f>
        <v/>
      </c>
      <c r="X822" s="5">
        <f>IF($F822="","",IFERROR(INDEX('CAT_CENTROS_COSTO'!$D$4:$D$13,MATCH($F822,'CAT_CENTROS_COSTO'!$A$4:$A$13,0)),"(sin catálogo)"))</f>
        <v/>
      </c>
      <c r="Y822" s="5">
        <f>IF($F822="","",IF((IFERROR(INDEX('CAT_CENTROS_COSTO'!$E$4:$E$13,MATCH($F822,'CAT_CENTROS_COSTO'!$A$4:$A$13,0)),""))&lt;&gt;"",IFERROR(INDEX('CAT_CENTROS_COSTO'!$E$4:$E$13,MATCH($F822,'CAT_CENTROS_COSTO'!$A$4:$A$13,0)),""),$X822))</f>
        <v/>
      </c>
      <c r="Z822" s="5">
        <f>IF($F822="","",IFERROR(INDEX('CAT_CENTROS_COSTO'!$G$4:$G$13,MATCH($F822,'CAT_CENTROS_COSTO'!$A$4:$A$13,0)),"(sin catálogo)"))</f>
        <v/>
      </c>
      <c r="AA822" s="5">
        <f>IF($G822="","",IFERROR(INDEX('CAT_PUESTOS'!$B$4:$B$8,MATCH($G822,'CAT_PUESTOS'!$A$4:$A$8,0)),"(sin catálogo)"))</f>
        <v/>
      </c>
      <c r="AB822" s="5">
        <f>IF($H822="","",IFERROR(INDEX('CAT_ACTIVIDADES'!$B$4:$B$11,MATCH($H822,'CAT_ACTIVIDADES'!$A$4:$A$11,0)),"(sin catálogo)"))</f>
        <v/>
      </c>
      <c r="AC822" s="20">
        <f>IF($J822="","",TODAY()-$J822)</f>
        <v/>
      </c>
      <c r="AD822" s="20">
        <f>IF($J822="","",IF($J822&lt;=TODAY(),COUNTIFS(cal_fechas,"&gt;="&amp;$J822,cal_fechas,"&lt;"&amp;TODAY(),cal_habil,"sí"),-COUNTIFS(cal_fechas,"&gt;="&amp;TODAY(),cal_fechas,"&lt;"&amp;$J822,cal_habil,"sí")))</f>
        <v/>
      </c>
      <c r="AE822" s="5">
        <f>IF($AD822="","",IF($AD822&lt;0,"FUTURO",IF($AD822&gt;p_dias_backlog_max,"BACKLOG","MES CORRIENTE")))</f>
        <v/>
      </c>
      <c r="AF822" s="5">
        <f>IF($AD822="",FALSE,AND($AD822&gt;p_dias_backlog_min,$AD822&lt;=p_dias_backlog_max))</f>
        <v/>
      </c>
      <c r="AG822" s="4" t="n"/>
      <c r="AH822" s="5">
        <f>IF($AG822="","",IF((IFERROR(INDEX('ASIGNACIONES'!$J$4:$J$451,MATCH($O822&amp;"|"&amp;$S822&amp;"|"&amp;$AG822,'ASIGNACIONES'!$N$4:$N$451,0)),""))=0,"",IFERROR(INDEX('ASIGNACIONES'!$J$4:$J$451,MATCH($O822&amp;"|"&amp;$S822&amp;"|"&amp;$AG822,'ASIGNACIONES'!$N$4:$N$451,0)),"")))</f>
        <v/>
      </c>
      <c r="AI822" s="25">
        <f>IF($AG822="","",SUMIFS('ORDENES'!$M$4:$M$1203,'ORDENES'!$AG$4:$AG$1203,$AG822,'ORDENES'!$O$4:$O$1203,$O822,'ORDENES'!$S$4:$S$1203,$S822))</f>
        <v/>
      </c>
      <c r="AJ822" s="25">
        <f>IF($AI822="","",p_factor_productividad*IFERROR(INDEX('ASIGNACIONES'!$M$4:$M$451,MATCH($O822&amp;"|"&amp;$S822&amp;"|"&amp;$AG822,'ASIGNACIONES'!$N$4:$N$451,0)),0)-$AI822)</f>
        <v/>
      </c>
      <c r="AK822" s="18">
        <f>IF($A822="","",IFERROR(INDEX('2_IMPORTAR_EJECUCION'!$F$9:$F$1208,MATCH($AT822,'2_IMPORTAR_EJECUCION'!$J$9:$J$1208,0)),0))</f>
        <v/>
      </c>
      <c r="AL822" s="18">
        <f>IF($A822="","",MAX(0,IFERROR(INDEX('2_IMPORTAR_EJECUCION'!$H$9:$H$1208,MATCH($AT822,'2_IMPORTAR_EJECUCION'!$J$9:$J$1208,0)),0)-$AK822))</f>
        <v/>
      </c>
      <c r="AM822" s="18">
        <f>IF($A822="","",$AK822+$AL822)</f>
        <v/>
      </c>
      <c r="AN822" s="5">
        <f>IF($A822="","",IF(OR((IFERROR(INDEX('CAT_ACTIVIDADES'!$D$4:$D$11,MATCH($H822,'CAT_ACTIVIDADES'!$A$4:$A$11,0)),""))=0,(IFERROR(INDEX('CAT_ACTIVIDADES'!$D$4:$D$11,MATCH($H822,'CAT_ACTIVIDADES'!$A$4:$A$11,0)),""))=""),"SIN CLASIFICAR",IFERROR(INDEX('CAT_ACTIVIDADES'!$D$4:$D$11,MATCH($H822,'CAT_ACTIVIDADES'!$A$4:$A$11,0)),"")))</f>
        <v/>
      </c>
      <c r="AO822" s="4" t="n"/>
      <c r="AP822" s="4" t="n"/>
      <c r="AQ822" s="4" t="n"/>
      <c r="AR822" s="5">
        <f>IF($AQ822="","",HYPERLINK(p_ruta_base_checklists&amp;$AQ822,"abrir"))</f>
        <v/>
      </c>
      <c r="AS822" s="4" t="n"/>
      <c r="AT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2" t="n"/>
      <c r="K823" s="5" t="n"/>
      <c r="L823" s="18" t="n"/>
      <c r="M823" s="5">
        <f>IF($A823="","",IFERROR(INDEX('AJUSTES'!$B$4:$B$303,MATCH($AT823,'AJUSTES'!$A$4:$A$303,0)),IF($K823="","",$K823)))</f>
        <v/>
      </c>
      <c r="N823" s="5">
        <f>IF($A823="","",IFERROR(INDEX('CAT_ESTADOS_ERP'!$B$4:$B$7,MATCH(IFERROR(INDEX('2_IMPORTAR_EJECUCION'!$C$9:$C$1208,MATCH($AT823,'2_IMPORTAR_EJECUCION'!$J$9:$J$1208,0)),""),'CAT_ESTADOS_ERP'!$A$4:$A$7,0)),"Pendiente"))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IF($J823="","",$P823&amp;"-"&amp;TEXT($Q823,"00"))</f>
        <v/>
      </c>
      <c r="S823" s="5">
        <f>IF($J823="","",INDEX(lista_dias,WEEKDAY($J823,2)))</f>
        <v/>
      </c>
      <c r="T823" s="5">
        <f>IF($J823="","",IFERROR(INDEX('CALENDARIO'!$C$15:$C$214,MATCH(TEXT($J823,"yyyy-mm-dd")&amp;"|"&amp;$X823&amp;"|"&amp;$Y823,'CALENDARIO'!$G$15:$G$214,0)),IFERROR(INDEX('CALENDARIO'!$C$15:$C$214,MATCH(TEXT($J823,"yyyy-mm-dd")&amp;"|"&amp;$X823&amp;"|",'CALENDARIO'!$G$15:$G$214,0)),IFERROR(INDEX('CALENDARIO'!$C$15:$C$214,MATCH(TEXT($J823,"yyyy-mm-dd")&amp;"||",'CALENDARIO'!$G$15:$G$214,0)),INDEX(patronHabil,WEEKDAY($J823,2))))))</f>
        <v/>
      </c>
      <c r="U823" s="5">
        <f>IF($I823="","",IFERROR(INDEX('CAT_TIPOS_OT'!$C$4:$C$8,MATCH($I823,'CAT_TIPOS_OT'!$A$4:$A$8,0)),"sin_clasificar"))</f>
        <v/>
      </c>
      <c r="V823" s="5">
        <f>IF($I823="","",IF(IFERROR(INDEX('CAT_TIPOS_OT'!$D$4:$D$8,MATCH($I823,'CAT_TIPOS_OT'!$A$4:$A$8,0)),"SIN CLASIFICAR")="","SIN CLASIFICAR",IFERROR(INDEX('CAT_TIPOS_OT'!$D$4:$D$8,MATCH($I823,'CAT_TIPOS_OT'!$A$4:$A$8,0)),"SIN CLASIFICAR")))</f>
        <v/>
      </c>
      <c r="W823" s="5">
        <f>IF($F823="","",IFERROR(INDEX('CAT_CENTROS_COSTO'!$F$4:$F$13,MATCH($F823,'CAT_CENTROS_COSTO'!$A$4:$A$13,0)),"(sin catálogo)"))</f>
        <v/>
      </c>
      <c r="X823" s="5">
        <f>IF($F823="","",IFERROR(INDEX('CAT_CENTROS_COSTO'!$D$4:$D$13,MATCH($F823,'CAT_CENTROS_COSTO'!$A$4:$A$13,0)),"(sin catálogo)"))</f>
        <v/>
      </c>
      <c r="Y823" s="5">
        <f>IF($F823="","",IF((IFERROR(INDEX('CAT_CENTROS_COSTO'!$E$4:$E$13,MATCH($F823,'CAT_CENTROS_COSTO'!$A$4:$A$13,0)),""))&lt;&gt;"",IFERROR(INDEX('CAT_CENTROS_COSTO'!$E$4:$E$13,MATCH($F823,'CAT_CENTROS_COSTO'!$A$4:$A$13,0)),""),$X823))</f>
        <v/>
      </c>
      <c r="Z823" s="5">
        <f>IF($F823="","",IFERROR(INDEX('CAT_CENTROS_COSTO'!$G$4:$G$13,MATCH($F823,'CAT_CENTROS_COSTO'!$A$4:$A$13,0)),"(sin catálogo)"))</f>
        <v/>
      </c>
      <c r="AA823" s="5">
        <f>IF($G823="","",IFERROR(INDEX('CAT_PUESTOS'!$B$4:$B$8,MATCH($G823,'CAT_PUESTOS'!$A$4:$A$8,0)),"(sin catálogo)"))</f>
        <v/>
      </c>
      <c r="AB823" s="5">
        <f>IF($H823="","",IFERROR(INDEX('CAT_ACTIVIDADES'!$B$4:$B$11,MATCH($H823,'CAT_ACTIVIDADES'!$A$4:$A$11,0)),"(sin catálogo)"))</f>
        <v/>
      </c>
      <c r="AC823" s="20">
        <f>IF($J823="","",TODAY()-$J823)</f>
        <v/>
      </c>
      <c r="AD823" s="20">
        <f>IF($J823="","",IF($J823&lt;=TODAY(),COUNTIFS(cal_fechas,"&gt;="&amp;$J823,cal_fechas,"&lt;"&amp;TODAY(),cal_habil,"sí"),-COUNTIFS(cal_fechas,"&gt;="&amp;TODAY(),cal_fechas,"&lt;"&amp;$J823,cal_habil,"sí")))</f>
        <v/>
      </c>
      <c r="AE823" s="5">
        <f>IF($AD823="","",IF($AD823&lt;0,"FUTURO",IF($AD823&gt;p_dias_backlog_max,"BACKLOG","MES CORRIENTE")))</f>
        <v/>
      </c>
      <c r="AF823" s="5">
        <f>IF($AD823="",FALSE,AND($AD823&gt;p_dias_backlog_min,$AD823&lt;=p_dias_backlog_max))</f>
        <v/>
      </c>
      <c r="AG823" s="4" t="n"/>
      <c r="AH823" s="5">
        <f>IF($AG823="","",IF((IFERROR(INDEX('ASIGNACIONES'!$J$4:$J$451,MATCH($O823&amp;"|"&amp;$S823&amp;"|"&amp;$AG823,'ASIGNACIONES'!$N$4:$N$451,0)),""))=0,"",IFERROR(INDEX('ASIGNACIONES'!$J$4:$J$451,MATCH($O823&amp;"|"&amp;$S823&amp;"|"&amp;$AG823,'ASIGNACIONES'!$N$4:$N$451,0)),"")))</f>
        <v/>
      </c>
      <c r="AI823" s="25">
        <f>IF($AG823="","",SUMIFS('ORDENES'!$M$4:$M$1203,'ORDENES'!$AG$4:$AG$1203,$AG823,'ORDENES'!$O$4:$O$1203,$O823,'ORDENES'!$S$4:$S$1203,$S823))</f>
        <v/>
      </c>
      <c r="AJ823" s="25">
        <f>IF($AI823="","",p_factor_productividad*IFERROR(INDEX('ASIGNACIONES'!$M$4:$M$451,MATCH($O823&amp;"|"&amp;$S823&amp;"|"&amp;$AG823,'ASIGNACIONES'!$N$4:$N$451,0)),0)-$AI823)</f>
        <v/>
      </c>
      <c r="AK823" s="18">
        <f>IF($A823="","",IFERROR(INDEX('2_IMPORTAR_EJECUCION'!$F$9:$F$1208,MATCH($AT823,'2_IMPORTAR_EJECUCION'!$J$9:$J$1208,0)),0))</f>
        <v/>
      </c>
      <c r="AL823" s="18">
        <f>IF($A823="","",MAX(0,IFERROR(INDEX('2_IMPORTAR_EJECUCION'!$H$9:$H$1208,MATCH($AT823,'2_IMPORTAR_EJECUCION'!$J$9:$J$1208,0)),0)-$AK823))</f>
        <v/>
      </c>
      <c r="AM823" s="18">
        <f>IF($A823="","",$AK823+$AL823)</f>
        <v/>
      </c>
      <c r="AN823" s="5">
        <f>IF($A823="","",IF(OR((IFERROR(INDEX('CAT_ACTIVIDADES'!$D$4:$D$11,MATCH($H823,'CAT_ACTIVIDADES'!$A$4:$A$11,0)),""))=0,(IFERROR(INDEX('CAT_ACTIVIDADES'!$D$4:$D$11,MATCH($H823,'CAT_ACTIVIDADES'!$A$4:$A$11,0)),""))=""),"SIN CLASIFICAR",IFERROR(INDEX('CAT_ACTIVIDADES'!$D$4:$D$11,MATCH($H823,'CAT_ACTIVIDADES'!$A$4:$A$11,0)),"")))</f>
        <v/>
      </c>
      <c r="AO823" s="4" t="n"/>
      <c r="AP823" s="4" t="n"/>
      <c r="AQ823" s="4" t="n"/>
      <c r="AR823" s="5">
        <f>IF($AQ823="","",HYPERLINK(p_ruta_base_checklists&amp;$AQ823,"abrir"))</f>
        <v/>
      </c>
      <c r="AS823" s="4" t="n"/>
      <c r="AT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2" t="n"/>
      <c r="K824" s="5" t="n"/>
      <c r="L824" s="18" t="n"/>
      <c r="M824" s="5">
        <f>IF($A824="","",IFERROR(INDEX('AJUSTES'!$B$4:$B$303,MATCH($AT824,'AJUSTES'!$A$4:$A$303,0)),IF($K824="","",$K824)))</f>
        <v/>
      </c>
      <c r="N824" s="5">
        <f>IF($A824="","",IFERROR(INDEX('CAT_ESTADOS_ERP'!$B$4:$B$7,MATCH(IFERROR(INDEX('2_IMPORTAR_EJECUCION'!$C$9:$C$1208,MATCH($AT824,'2_IMPORTAR_EJECUCION'!$J$9:$J$1208,0)),""),'CAT_ESTADOS_ERP'!$A$4:$A$7,0)),"Pendiente"))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IF($J824="","",$P824&amp;"-"&amp;TEXT($Q824,"00"))</f>
        <v/>
      </c>
      <c r="S824" s="5">
        <f>IF($J824="","",INDEX(lista_dias,WEEKDAY($J824,2)))</f>
        <v/>
      </c>
      <c r="T824" s="5">
        <f>IF($J824="","",IFERROR(INDEX('CALENDARIO'!$C$15:$C$214,MATCH(TEXT($J824,"yyyy-mm-dd")&amp;"|"&amp;$X824&amp;"|"&amp;$Y824,'CALENDARIO'!$G$15:$G$214,0)),IFERROR(INDEX('CALENDARIO'!$C$15:$C$214,MATCH(TEXT($J824,"yyyy-mm-dd")&amp;"|"&amp;$X824&amp;"|",'CALENDARIO'!$G$15:$G$214,0)),IFERROR(INDEX('CALENDARIO'!$C$15:$C$214,MATCH(TEXT($J824,"yyyy-mm-dd")&amp;"||",'CALENDARIO'!$G$15:$G$214,0)),INDEX(patronHabil,WEEKDAY($J824,2))))))</f>
        <v/>
      </c>
      <c r="U824" s="5">
        <f>IF($I824="","",IFERROR(INDEX('CAT_TIPOS_OT'!$C$4:$C$8,MATCH($I824,'CAT_TIPOS_OT'!$A$4:$A$8,0)),"sin_clasificar"))</f>
        <v/>
      </c>
      <c r="V824" s="5">
        <f>IF($I824="","",IF(IFERROR(INDEX('CAT_TIPOS_OT'!$D$4:$D$8,MATCH($I824,'CAT_TIPOS_OT'!$A$4:$A$8,0)),"SIN CLASIFICAR")="","SIN CLASIFICAR",IFERROR(INDEX('CAT_TIPOS_OT'!$D$4:$D$8,MATCH($I824,'CAT_TIPOS_OT'!$A$4:$A$8,0)),"SIN CLASIFICAR")))</f>
        <v/>
      </c>
      <c r="W824" s="5">
        <f>IF($F824="","",IFERROR(INDEX('CAT_CENTROS_COSTO'!$F$4:$F$13,MATCH($F824,'CAT_CENTROS_COSTO'!$A$4:$A$13,0)),"(sin catálogo)"))</f>
        <v/>
      </c>
      <c r="X824" s="5">
        <f>IF($F824="","",IFERROR(INDEX('CAT_CENTROS_COSTO'!$D$4:$D$13,MATCH($F824,'CAT_CENTROS_COSTO'!$A$4:$A$13,0)),"(sin catálogo)"))</f>
        <v/>
      </c>
      <c r="Y824" s="5">
        <f>IF($F824="","",IF((IFERROR(INDEX('CAT_CENTROS_COSTO'!$E$4:$E$13,MATCH($F824,'CAT_CENTROS_COSTO'!$A$4:$A$13,0)),""))&lt;&gt;"",IFERROR(INDEX('CAT_CENTROS_COSTO'!$E$4:$E$13,MATCH($F824,'CAT_CENTROS_COSTO'!$A$4:$A$13,0)),""),$X824))</f>
        <v/>
      </c>
      <c r="Z824" s="5">
        <f>IF($F824="","",IFERROR(INDEX('CAT_CENTROS_COSTO'!$G$4:$G$13,MATCH($F824,'CAT_CENTROS_COSTO'!$A$4:$A$13,0)),"(sin catálogo)"))</f>
        <v/>
      </c>
      <c r="AA824" s="5">
        <f>IF($G824="","",IFERROR(INDEX('CAT_PUESTOS'!$B$4:$B$8,MATCH($G824,'CAT_PUESTOS'!$A$4:$A$8,0)),"(sin catálogo)"))</f>
        <v/>
      </c>
      <c r="AB824" s="5">
        <f>IF($H824="","",IFERROR(INDEX('CAT_ACTIVIDADES'!$B$4:$B$11,MATCH($H824,'CAT_ACTIVIDADES'!$A$4:$A$11,0)),"(sin catálogo)"))</f>
        <v/>
      </c>
      <c r="AC824" s="20">
        <f>IF($J824="","",TODAY()-$J824)</f>
        <v/>
      </c>
      <c r="AD824" s="20">
        <f>IF($J824="","",IF($J824&lt;=TODAY(),COUNTIFS(cal_fechas,"&gt;="&amp;$J824,cal_fechas,"&lt;"&amp;TODAY(),cal_habil,"sí"),-COUNTIFS(cal_fechas,"&gt;="&amp;TODAY(),cal_fechas,"&lt;"&amp;$J824,cal_habil,"sí")))</f>
        <v/>
      </c>
      <c r="AE824" s="5">
        <f>IF($AD824="","",IF($AD824&lt;0,"FUTURO",IF($AD824&gt;p_dias_backlog_max,"BACKLOG","MES CORRIENTE")))</f>
        <v/>
      </c>
      <c r="AF824" s="5">
        <f>IF($AD824="",FALSE,AND($AD824&gt;p_dias_backlog_min,$AD824&lt;=p_dias_backlog_max))</f>
        <v/>
      </c>
      <c r="AG824" s="4" t="n"/>
      <c r="AH824" s="5">
        <f>IF($AG824="","",IF((IFERROR(INDEX('ASIGNACIONES'!$J$4:$J$451,MATCH($O824&amp;"|"&amp;$S824&amp;"|"&amp;$AG824,'ASIGNACIONES'!$N$4:$N$451,0)),""))=0,"",IFERROR(INDEX('ASIGNACIONES'!$J$4:$J$451,MATCH($O824&amp;"|"&amp;$S824&amp;"|"&amp;$AG824,'ASIGNACIONES'!$N$4:$N$451,0)),"")))</f>
        <v/>
      </c>
      <c r="AI824" s="25">
        <f>IF($AG824="","",SUMIFS('ORDENES'!$M$4:$M$1203,'ORDENES'!$AG$4:$AG$1203,$AG824,'ORDENES'!$O$4:$O$1203,$O824,'ORDENES'!$S$4:$S$1203,$S824))</f>
        <v/>
      </c>
      <c r="AJ824" s="25">
        <f>IF($AI824="","",p_factor_productividad*IFERROR(INDEX('ASIGNACIONES'!$M$4:$M$451,MATCH($O824&amp;"|"&amp;$S824&amp;"|"&amp;$AG824,'ASIGNACIONES'!$N$4:$N$451,0)),0)-$AI824)</f>
        <v/>
      </c>
      <c r="AK824" s="18">
        <f>IF($A824="","",IFERROR(INDEX('2_IMPORTAR_EJECUCION'!$F$9:$F$1208,MATCH($AT824,'2_IMPORTAR_EJECUCION'!$J$9:$J$1208,0)),0))</f>
        <v/>
      </c>
      <c r="AL824" s="18">
        <f>IF($A824="","",MAX(0,IFERROR(INDEX('2_IMPORTAR_EJECUCION'!$H$9:$H$1208,MATCH($AT824,'2_IMPORTAR_EJECUCION'!$J$9:$J$1208,0)),0)-$AK824))</f>
        <v/>
      </c>
      <c r="AM824" s="18">
        <f>IF($A824="","",$AK824+$AL824)</f>
        <v/>
      </c>
      <c r="AN824" s="5">
        <f>IF($A824="","",IF(OR((IFERROR(INDEX('CAT_ACTIVIDADES'!$D$4:$D$11,MATCH($H824,'CAT_ACTIVIDADES'!$A$4:$A$11,0)),""))=0,(IFERROR(INDEX('CAT_ACTIVIDADES'!$D$4:$D$11,MATCH($H824,'CAT_ACTIVIDADES'!$A$4:$A$11,0)),""))=""),"SIN CLASIFICAR",IFERROR(INDEX('CAT_ACTIVIDADES'!$D$4:$D$11,MATCH($H824,'CAT_ACTIVIDADES'!$A$4:$A$11,0)),"")))</f>
        <v/>
      </c>
      <c r="AO824" s="4" t="n"/>
      <c r="AP824" s="4" t="n"/>
      <c r="AQ824" s="4" t="n"/>
      <c r="AR824" s="5">
        <f>IF($AQ824="","",HYPERLINK(p_ruta_base_checklists&amp;$AQ824,"abrir"))</f>
        <v/>
      </c>
      <c r="AS824" s="4" t="n"/>
      <c r="AT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2" t="n"/>
      <c r="K825" s="5" t="n"/>
      <c r="L825" s="18" t="n"/>
      <c r="M825" s="5">
        <f>IF($A825="","",IFERROR(INDEX('AJUSTES'!$B$4:$B$303,MATCH($AT825,'AJUSTES'!$A$4:$A$303,0)),IF($K825="","",$K825)))</f>
        <v/>
      </c>
      <c r="N825" s="5">
        <f>IF($A825="","",IFERROR(INDEX('CAT_ESTADOS_ERP'!$B$4:$B$7,MATCH(IFERROR(INDEX('2_IMPORTAR_EJECUCION'!$C$9:$C$1208,MATCH($AT825,'2_IMPORTAR_EJECUCION'!$J$9:$J$1208,0)),""),'CAT_ESTADOS_ERP'!$A$4:$A$7,0)),"Pendiente"))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IF($J825="","",$P825&amp;"-"&amp;TEXT($Q825,"00"))</f>
        <v/>
      </c>
      <c r="S825" s="5">
        <f>IF($J825="","",INDEX(lista_dias,WEEKDAY($J825,2)))</f>
        <v/>
      </c>
      <c r="T825" s="5">
        <f>IF($J825="","",IFERROR(INDEX('CALENDARIO'!$C$15:$C$214,MATCH(TEXT($J825,"yyyy-mm-dd")&amp;"|"&amp;$X825&amp;"|"&amp;$Y825,'CALENDARIO'!$G$15:$G$214,0)),IFERROR(INDEX('CALENDARIO'!$C$15:$C$214,MATCH(TEXT($J825,"yyyy-mm-dd")&amp;"|"&amp;$X825&amp;"|",'CALENDARIO'!$G$15:$G$214,0)),IFERROR(INDEX('CALENDARIO'!$C$15:$C$214,MATCH(TEXT($J825,"yyyy-mm-dd")&amp;"||",'CALENDARIO'!$G$15:$G$214,0)),INDEX(patronHabil,WEEKDAY($J825,2))))))</f>
        <v/>
      </c>
      <c r="U825" s="5">
        <f>IF($I825="","",IFERROR(INDEX('CAT_TIPOS_OT'!$C$4:$C$8,MATCH($I825,'CAT_TIPOS_OT'!$A$4:$A$8,0)),"sin_clasificar"))</f>
        <v/>
      </c>
      <c r="V825" s="5">
        <f>IF($I825="","",IF(IFERROR(INDEX('CAT_TIPOS_OT'!$D$4:$D$8,MATCH($I825,'CAT_TIPOS_OT'!$A$4:$A$8,0)),"SIN CLASIFICAR")="","SIN CLASIFICAR",IFERROR(INDEX('CAT_TIPOS_OT'!$D$4:$D$8,MATCH($I825,'CAT_TIPOS_OT'!$A$4:$A$8,0)),"SIN CLASIFICAR")))</f>
        <v/>
      </c>
      <c r="W825" s="5">
        <f>IF($F825="","",IFERROR(INDEX('CAT_CENTROS_COSTO'!$F$4:$F$13,MATCH($F825,'CAT_CENTROS_COSTO'!$A$4:$A$13,0)),"(sin catálogo)"))</f>
        <v/>
      </c>
      <c r="X825" s="5">
        <f>IF($F825="","",IFERROR(INDEX('CAT_CENTROS_COSTO'!$D$4:$D$13,MATCH($F825,'CAT_CENTROS_COSTO'!$A$4:$A$13,0)),"(sin catálogo)"))</f>
        <v/>
      </c>
      <c r="Y825" s="5">
        <f>IF($F825="","",IF((IFERROR(INDEX('CAT_CENTROS_COSTO'!$E$4:$E$13,MATCH($F825,'CAT_CENTROS_COSTO'!$A$4:$A$13,0)),""))&lt;&gt;"",IFERROR(INDEX('CAT_CENTROS_COSTO'!$E$4:$E$13,MATCH($F825,'CAT_CENTROS_COSTO'!$A$4:$A$13,0)),""),$X825))</f>
        <v/>
      </c>
      <c r="Z825" s="5">
        <f>IF($F825="","",IFERROR(INDEX('CAT_CENTROS_COSTO'!$G$4:$G$13,MATCH($F825,'CAT_CENTROS_COSTO'!$A$4:$A$13,0)),"(sin catálogo)"))</f>
        <v/>
      </c>
      <c r="AA825" s="5">
        <f>IF($G825="","",IFERROR(INDEX('CAT_PUESTOS'!$B$4:$B$8,MATCH($G825,'CAT_PUESTOS'!$A$4:$A$8,0)),"(sin catálogo)"))</f>
        <v/>
      </c>
      <c r="AB825" s="5">
        <f>IF($H825="","",IFERROR(INDEX('CAT_ACTIVIDADES'!$B$4:$B$11,MATCH($H825,'CAT_ACTIVIDADES'!$A$4:$A$11,0)),"(sin catálogo)"))</f>
        <v/>
      </c>
      <c r="AC825" s="20">
        <f>IF($J825="","",TODAY()-$J825)</f>
        <v/>
      </c>
      <c r="AD825" s="20">
        <f>IF($J825="","",IF($J825&lt;=TODAY(),COUNTIFS(cal_fechas,"&gt;="&amp;$J825,cal_fechas,"&lt;"&amp;TODAY(),cal_habil,"sí"),-COUNTIFS(cal_fechas,"&gt;="&amp;TODAY(),cal_fechas,"&lt;"&amp;$J825,cal_habil,"sí")))</f>
        <v/>
      </c>
      <c r="AE825" s="5">
        <f>IF($AD825="","",IF($AD825&lt;0,"FUTURO",IF($AD825&gt;p_dias_backlog_max,"BACKLOG","MES CORRIENTE")))</f>
        <v/>
      </c>
      <c r="AF825" s="5">
        <f>IF($AD825="",FALSE,AND($AD825&gt;p_dias_backlog_min,$AD825&lt;=p_dias_backlog_max))</f>
        <v/>
      </c>
      <c r="AG825" s="4" t="n"/>
      <c r="AH825" s="5">
        <f>IF($AG825="","",IF((IFERROR(INDEX('ASIGNACIONES'!$J$4:$J$451,MATCH($O825&amp;"|"&amp;$S825&amp;"|"&amp;$AG825,'ASIGNACIONES'!$N$4:$N$451,0)),""))=0,"",IFERROR(INDEX('ASIGNACIONES'!$J$4:$J$451,MATCH($O825&amp;"|"&amp;$S825&amp;"|"&amp;$AG825,'ASIGNACIONES'!$N$4:$N$451,0)),"")))</f>
        <v/>
      </c>
      <c r="AI825" s="25">
        <f>IF($AG825="","",SUMIFS('ORDENES'!$M$4:$M$1203,'ORDENES'!$AG$4:$AG$1203,$AG825,'ORDENES'!$O$4:$O$1203,$O825,'ORDENES'!$S$4:$S$1203,$S825))</f>
        <v/>
      </c>
      <c r="AJ825" s="25">
        <f>IF($AI825="","",p_factor_productividad*IFERROR(INDEX('ASIGNACIONES'!$M$4:$M$451,MATCH($O825&amp;"|"&amp;$S825&amp;"|"&amp;$AG825,'ASIGNACIONES'!$N$4:$N$451,0)),0)-$AI825)</f>
        <v/>
      </c>
      <c r="AK825" s="18">
        <f>IF($A825="","",IFERROR(INDEX('2_IMPORTAR_EJECUCION'!$F$9:$F$1208,MATCH($AT825,'2_IMPORTAR_EJECUCION'!$J$9:$J$1208,0)),0))</f>
        <v/>
      </c>
      <c r="AL825" s="18">
        <f>IF($A825="","",MAX(0,IFERROR(INDEX('2_IMPORTAR_EJECUCION'!$H$9:$H$1208,MATCH($AT825,'2_IMPORTAR_EJECUCION'!$J$9:$J$1208,0)),0)-$AK825))</f>
        <v/>
      </c>
      <c r="AM825" s="18">
        <f>IF($A825="","",$AK825+$AL825)</f>
        <v/>
      </c>
      <c r="AN825" s="5">
        <f>IF($A825="","",IF(OR((IFERROR(INDEX('CAT_ACTIVIDADES'!$D$4:$D$11,MATCH($H825,'CAT_ACTIVIDADES'!$A$4:$A$11,0)),""))=0,(IFERROR(INDEX('CAT_ACTIVIDADES'!$D$4:$D$11,MATCH($H825,'CAT_ACTIVIDADES'!$A$4:$A$11,0)),""))=""),"SIN CLASIFICAR",IFERROR(INDEX('CAT_ACTIVIDADES'!$D$4:$D$11,MATCH($H825,'CAT_ACTIVIDADES'!$A$4:$A$11,0)),"")))</f>
        <v/>
      </c>
      <c r="AO825" s="4" t="n"/>
      <c r="AP825" s="4" t="n"/>
      <c r="AQ825" s="4" t="n"/>
      <c r="AR825" s="5">
        <f>IF($AQ825="","",HYPERLINK(p_ruta_base_checklists&amp;$AQ825,"abrir"))</f>
        <v/>
      </c>
      <c r="AS825" s="4" t="n"/>
      <c r="AT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2" t="n"/>
      <c r="K826" s="5" t="n"/>
      <c r="L826" s="18" t="n"/>
      <c r="M826" s="5">
        <f>IF($A826="","",IFERROR(INDEX('AJUSTES'!$B$4:$B$303,MATCH($AT826,'AJUSTES'!$A$4:$A$303,0)),IF($K826="","",$K826)))</f>
        <v/>
      </c>
      <c r="N826" s="5">
        <f>IF($A826="","",IFERROR(INDEX('CAT_ESTADOS_ERP'!$B$4:$B$7,MATCH(IFERROR(INDEX('2_IMPORTAR_EJECUCION'!$C$9:$C$1208,MATCH($AT826,'2_IMPORTAR_EJECUCION'!$J$9:$J$1208,0)),""),'CAT_ESTADOS_ERP'!$A$4:$A$7,0)),"Pendiente"))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IF($J826="","",$P826&amp;"-"&amp;TEXT($Q826,"00"))</f>
        <v/>
      </c>
      <c r="S826" s="5">
        <f>IF($J826="","",INDEX(lista_dias,WEEKDAY($J826,2)))</f>
        <v/>
      </c>
      <c r="T826" s="5">
        <f>IF($J826="","",IFERROR(INDEX('CALENDARIO'!$C$15:$C$214,MATCH(TEXT($J826,"yyyy-mm-dd")&amp;"|"&amp;$X826&amp;"|"&amp;$Y826,'CALENDARIO'!$G$15:$G$214,0)),IFERROR(INDEX('CALENDARIO'!$C$15:$C$214,MATCH(TEXT($J826,"yyyy-mm-dd")&amp;"|"&amp;$X826&amp;"|",'CALENDARIO'!$G$15:$G$214,0)),IFERROR(INDEX('CALENDARIO'!$C$15:$C$214,MATCH(TEXT($J826,"yyyy-mm-dd")&amp;"||",'CALENDARIO'!$G$15:$G$214,0)),INDEX(patronHabil,WEEKDAY($J826,2))))))</f>
        <v/>
      </c>
      <c r="U826" s="5">
        <f>IF($I826="","",IFERROR(INDEX('CAT_TIPOS_OT'!$C$4:$C$8,MATCH($I826,'CAT_TIPOS_OT'!$A$4:$A$8,0)),"sin_clasificar"))</f>
        <v/>
      </c>
      <c r="V826" s="5">
        <f>IF($I826="","",IF(IFERROR(INDEX('CAT_TIPOS_OT'!$D$4:$D$8,MATCH($I826,'CAT_TIPOS_OT'!$A$4:$A$8,0)),"SIN CLASIFICAR")="","SIN CLASIFICAR",IFERROR(INDEX('CAT_TIPOS_OT'!$D$4:$D$8,MATCH($I826,'CAT_TIPOS_OT'!$A$4:$A$8,0)),"SIN CLASIFICAR")))</f>
        <v/>
      </c>
      <c r="W826" s="5">
        <f>IF($F826="","",IFERROR(INDEX('CAT_CENTROS_COSTO'!$F$4:$F$13,MATCH($F826,'CAT_CENTROS_COSTO'!$A$4:$A$13,0)),"(sin catálogo)"))</f>
        <v/>
      </c>
      <c r="X826" s="5">
        <f>IF($F826="","",IFERROR(INDEX('CAT_CENTROS_COSTO'!$D$4:$D$13,MATCH($F826,'CAT_CENTROS_COSTO'!$A$4:$A$13,0)),"(sin catálogo)"))</f>
        <v/>
      </c>
      <c r="Y826" s="5">
        <f>IF($F826="","",IF((IFERROR(INDEX('CAT_CENTROS_COSTO'!$E$4:$E$13,MATCH($F826,'CAT_CENTROS_COSTO'!$A$4:$A$13,0)),""))&lt;&gt;"",IFERROR(INDEX('CAT_CENTROS_COSTO'!$E$4:$E$13,MATCH($F826,'CAT_CENTROS_COSTO'!$A$4:$A$13,0)),""),$X826))</f>
        <v/>
      </c>
      <c r="Z826" s="5">
        <f>IF($F826="","",IFERROR(INDEX('CAT_CENTROS_COSTO'!$G$4:$G$13,MATCH($F826,'CAT_CENTROS_COSTO'!$A$4:$A$13,0)),"(sin catálogo)"))</f>
        <v/>
      </c>
      <c r="AA826" s="5">
        <f>IF($G826="","",IFERROR(INDEX('CAT_PUESTOS'!$B$4:$B$8,MATCH($G826,'CAT_PUESTOS'!$A$4:$A$8,0)),"(sin catálogo)"))</f>
        <v/>
      </c>
      <c r="AB826" s="5">
        <f>IF($H826="","",IFERROR(INDEX('CAT_ACTIVIDADES'!$B$4:$B$11,MATCH($H826,'CAT_ACTIVIDADES'!$A$4:$A$11,0)),"(sin catálogo)"))</f>
        <v/>
      </c>
      <c r="AC826" s="20">
        <f>IF($J826="","",TODAY()-$J826)</f>
        <v/>
      </c>
      <c r="AD826" s="20">
        <f>IF($J826="","",IF($J826&lt;=TODAY(),COUNTIFS(cal_fechas,"&gt;="&amp;$J826,cal_fechas,"&lt;"&amp;TODAY(),cal_habil,"sí"),-COUNTIFS(cal_fechas,"&gt;="&amp;TODAY(),cal_fechas,"&lt;"&amp;$J826,cal_habil,"sí")))</f>
        <v/>
      </c>
      <c r="AE826" s="5">
        <f>IF($AD826="","",IF($AD826&lt;0,"FUTURO",IF($AD826&gt;p_dias_backlog_max,"BACKLOG","MES CORRIENTE")))</f>
        <v/>
      </c>
      <c r="AF826" s="5">
        <f>IF($AD826="",FALSE,AND($AD826&gt;p_dias_backlog_min,$AD826&lt;=p_dias_backlog_max))</f>
        <v/>
      </c>
      <c r="AG826" s="4" t="n"/>
      <c r="AH826" s="5">
        <f>IF($AG826="","",IF((IFERROR(INDEX('ASIGNACIONES'!$J$4:$J$451,MATCH($O826&amp;"|"&amp;$S826&amp;"|"&amp;$AG826,'ASIGNACIONES'!$N$4:$N$451,0)),""))=0,"",IFERROR(INDEX('ASIGNACIONES'!$J$4:$J$451,MATCH($O826&amp;"|"&amp;$S826&amp;"|"&amp;$AG826,'ASIGNACIONES'!$N$4:$N$451,0)),"")))</f>
        <v/>
      </c>
      <c r="AI826" s="25">
        <f>IF($AG826="","",SUMIFS('ORDENES'!$M$4:$M$1203,'ORDENES'!$AG$4:$AG$1203,$AG826,'ORDENES'!$O$4:$O$1203,$O826,'ORDENES'!$S$4:$S$1203,$S826))</f>
        <v/>
      </c>
      <c r="AJ826" s="25">
        <f>IF($AI826="","",p_factor_productividad*IFERROR(INDEX('ASIGNACIONES'!$M$4:$M$451,MATCH($O826&amp;"|"&amp;$S826&amp;"|"&amp;$AG826,'ASIGNACIONES'!$N$4:$N$451,0)),0)-$AI826)</f>
        <v/>
      </c>
      <c r="AK826" s="18">
        <f>IF($A826="","",IFERROR(INDEX('2_IMPORTAR_EJECUCION'!$F$9:$F$1208,MATCH($AT826,'2_IMPORTAR_EJECUCION'!$J$9:$J$1208,0)),0))</f>
        <v/>
      </c>
      <c r="AL826" s="18">
        <f>IF($A826="","",MAX(0,IFERROR(INDEX('2_IMPORTAR_EJECUCION'!$H$9:$H$1208,MATCH($AT826,'2_IMPORTAR_EJECUCION'!$J$9:$J$1208,0)),0)-$AK826))</f>
        <v/>
      </c>
      <c r="AM826" s="18">
        <f>IF($A826="","",$AK826+$AL826)</f>
        <v/>
      </c>
      <c r="AN826" s="5">
        <f>IF($A826="","",IF(OR((IFERROR(INDEX('CAT_ACTIVIDADES'!$D$4:$D$11,MATCH($H826,'CAT_ACTIVIDADES'!$A$4:$A$11,0)),""))=0,(IFERROR(INDEX('CAT_ACTIVIDADES'!$D$4:$D$11,MATCH($H826,'CAT_ACTIVIDADES'!$A$4:$A$11,0)),""))=""),"SIN CLASIFICAR",IFERROR(INDEX('CAT_ACTIVIDADES'!$D$4:$D$11,MATCH($H826,'CAT_ACTIVIDADES'!$A$4:$A$11,0)),"")))</f>
        <v/>
      </c>
      <c r="AO826" s="4" t="n"/>
      <c r="AP826" s="4" t="n"/>
      <c r="AQ826" s="4" t="n"/>
      <c r="AR826" s="5">
        <f>IF($AQ826="","",HYPERLINK(p_ruta_base_checklists&amp;$AQ826,"abrir"))</f>
        <v/>
      </c>
      <c r="AS826" s="4" t="n"/>
      <c r="AT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2" t="n"/>
      <c r="K827" s="5" t="n"/>
      <c r="L827" s="18" t="n"/>
      <c r="M827" s="5">
        <f>IF($A827="","",IFERROR(INDEX('AJUSTES'!$B$4:$B$303,MATCH($AT827,'AJUSTES'!$A$4:$A$303,0)),IF($K827="","",$K827)))</f>
        <v/>
      </c>
      <c r="N827" s="5">
        <f>IF($A827="","",IFERROR(INDEX('CAT_ESTADOS_ERP'!$B$4:$B$7,MATCH(IFERROR(INDEX('2_IMPORTAR_EJECUCION'!$C$9:$C$1208,MATCH($AT827,'2_IMPORTAR_EJECUCION'!$J$9:$J$1208,0)),""),'CAT_ESTADOS_ERP'!$A$4:$A$7,0)),"Pendiente"))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IF($J827="","",$P827&amp;"-"&amp;TEXT($Q827,"00"))</f>
        <v/>
      </c>
      <c r="S827" s="5">
        <f>IF($J827="","",INDEX(lista_dias,WEEKDAY($J827,2)))</f>
        <v/>
      </c>
      <c r="T827" s="5">
        <f>IF($J827="","",IFERROR(INDEX('CALENDARIO'!$C$15:$C$214,MATCH(TEXT($J827,"yyyy-mm-dd")&amp;"|"&amp;$X827&amp;"|"&amp;$Y827,'CALENDARIO'!$G$15:$G$214,0)),IFERROR(INDEX('CALENDARIO'!$C$15:$C$214,MATCH(TEXT($J827,"yyyy-mm-dd")&amp;"|"&amp;$X827&amp;"|",'CALENDARIO'!$G$15:$G$214,0)),IFERROR(INDEX('CALENDARIO'!$C$15:$C$214,MATCH(TEXT($J827,"yyyy-mm-dd")&amp;"||",'CALENDARIO'!$G$15:$G$214,0)),INDEX(patronHabil,WEEKDAY($J827,2))))))</f>
        <v/>
      </c>
      <c r="U827" s="5">
        <f>IF($I827="","",IFERROR(INDEX('CAT_TIPOS_OT'!$C$4:$C$8,MATCH($I827,'CAT_TIPOS_OT'!$A$4:$A$8,0)),"sin_clasificar"))</f>
        <v/>
      </c>
      <c r="V827" s="5">
        <f>IF($I827="","",IF(IFERROR(INDEX('CAT_TIPOS_OT'!$D$4:$D$8,MATCH($I827,'CAT_TIPOS_OT'!$A$4:$A$8,0)),"SIN CLASIFICAR")="","SIN CLASIFICAR",IFERROR(INDEX('CAT_TIPOS_OT'!$D$4:$D$8,MATCH($I827,'CAT_TIPOS_OT'!$A$4:$A$8,0)),"SIN CLASIFICAR")))</f>
        <v/>
      </c>
      <c r="W827" s="5">
        <f>IF($F827="","",IFERROR(INDEX('CAT_CENTROS_COSTO'!$F$4:$F$13,MATCH($F827,'CAT_CENTROS_COSTO'!$A$4:$A$13,0)),"(sin catálogo)"))</f>
        <v/>
      </c>
      <c r="X827" s="5">
        <f>IF($F827="","",IFERROR(INDEX('CAT_CENTROS_COSTO'!$D$4:$D$13,MATCH($F827,'CAT_CENTROS_COSTO'!$A$4:$A$13,0)),"(sin catálogo)"))</f>
        <v/>
      </c>
      <c r="Y827" s="5">
        <f>IF($F827="","",IF((IFERROR(INDEX('CAT_CENTROS_COSTO'!$E$4:$E$13,MATCH($F827,'CAT_CENTROS_COSTO'!$A$4:$A$13,0)),""))&lt;&gt;"",IFERROR(INDEX('CAT_CENTROS_COSTO'!$E$4:$E$13,MATCH($F827,'CAT_CENTROS_COSTO'!$A$4:$A$13,0)),""),$X827))</f>
        <v/>
      </c>
      <c r="Z827" s="5">
        <f>IF($F827="","",IFERROR(INDEX('CAT_CENTROS_COSTO'!$G$4:$G$13,MATCH($F827,'CAT_CENTROS_COSTO'!$A$4:$A$13,0)),"(sin catálogo)"))</f>
        <v/>
      </c>
      <c r="AA827" s="5">
        <f>IF($G827="","",IFERROR(INDEX('CAT_PUESTOS'!$B$4:$B$8,MATCH($G827,'CAT_PUESTOS'!$A$4:$A$8,0)),"(sin catálogo)"))</f>
        <v/>
      </c>
      <c r="AB827" s="5">
        <f>IF($H827="","",IFERROR(INDEX('CAT_ACTIVIDADES'!$B$4:$B$11,MATCH($H827,'CAT_ACTIVIDADES'!$A$4:$A$11,0)),"(sin catálogo)"))</f>
        <v/>
      </c>
      <c r="AC827" s="20">
        <f>IF($J827="","",TODAY()-$J827)</f>
        <v/>
      </c>
      <c r="AD827" s="20">
        <f>IF($J827="","",IF($J827&lt;=TODAY(),COUNTIFS(cal_fechas,"&gt;="&amp;$J827,cal_fechas,"&lt;"&amp;TODAY(),cal_habil,"sí"),-COUNTIFS(cal_fechas,"&gt;="&amp;TODAY(),cal_fechas,"&lt;"&amp;$J827,cal_habil,"sí")))</f>
        <v/>
      </c>
      <c r="AE827" s="5">
        <f>IF($AD827="","",IF($AD827&lt;0,"FUTURO",IF($AD827&gt;p_dias_backlog_max,"BACKLOG","MES CORRIENTE")))</f>
        <v/>
      </c>
      <c r="AF827" s="5">
        <f>IF($AD827="",FALSE,AND($AD827&gt;p_dias_backlog_min,$AD827&lt;=p_dias_backlog_max))</f>
        <v/>
      </c>
      <c r="AG827" s="4" t="n"/>
      <c r="AH827" s="5">
        <f>IF($AG827="","",IF((IFERROR(INDEX('ASIGNACIONES'!$J$4:$J$451,MATCH($O827&amp;"|"&amp;$S827&amp;"|"&amp;$AG827,'ASIGNACIONES'!$N$4:$N$451,0)),""))=0,"",IFERROR(INDEX('ASIGNACIONES'!$J$4:$J$451,MATCH($O827&amp;"|"&amp;$S827&amp;"|"&amp;$AG827,'ASIGNACIONES'!$N$4:$N$451,0)),"")))</f>
        <v/>
      </c>
      <c r="AI827" s="25">
        <f>IF($AG827="","",SUMIFS('ORDENES'!$M$4:$M$1203,'ORDENES'!$AG$4:$AG$1203,$AG827,'ORDENES'!$O$4:$O$1203,$O827,'ORDENES'!$S$4:$S$1203,$S827))</f>
        <v/>
      </c>
      <c r="AJ827" s="25">
        <f>IF($AI827="","",p_factor_productividad*IFERROR(INDEX('ASIGNACIONES'!$M$4:$M$451,MATCH($O827&amp;"|"&amp;$S827&amp;"|"&amp;$AG827,'ASIGNACIONES'!$N$4:$N$451,0)),0)-$AI827)</f>
        <v/>
      </c>
      <c r="AK827" s="18">
        <f>IF($A827="","",IFERROR(INDEX('2_IMPORTAR_EJECUCION'!$F$9:$F$1208,MATCH($AT827,'2_IMPORTAR_EJECUCION'!$J$9:$J$1208,0)),0))</f>
        <v/>
      </c>
      <c r="AL827" s="18">
        <f>IF($A827="","",MAX(0,IFERROR(INDEX('2_IMPORTAR_EJECUCION'!$H$9:$H$1208,MATCH($AT827,'2_IMPORTAR_EJECUCION'!$J$9:$J$1208,0)),0)-$AK827))</f>
        <v/>
      </c>
      <c r="AM827" s="18">
        <f>IF($A827="","",$AK827+$AL827)</f>
        <v/>
      </c>
      <c r="AN827" s="5">
        <f>IF($A827="","",IF(OR((IFERROR(INDEX('CAT_ACTIVIDADES'!$D$4:$D$11,MATCH($H827,'CAT_ACTIVIDADES'!$A$4:$A$11,0)),""))=0,(IFERROR(INDEX('CAT_ACTIVIDADES'!$D$4:$D$11,MATCH($H827,'CAT_ACTIVIDADES'!$A$4:$A$11,0)),""))=""),"SIN CLASIFICAR",IFERROR(INDEX('CAT_ACTIVIDADES'!$D$4:$D$11,MATCH($H827,'CAT_ACTIVIDADES'!$A$4:$A$11,0)),"")))</f>
        <v/>
      </c>
      <c r="AO827" s="4" t="n"/>
      <c r="AP827" s="4" t="n"/>
      <c r="AQ827" s="4" t="n"/>
      <c r="AR827" s="5">
        <f>IF($AQ827="","",HYPERLINK(p_ruta_base_checklists&amp;$AQ827,"abrir"))</f>
        <v/>
      </c>
      <c r="AS827" s="4" t="n"/>
      <c r="AT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2" t="n"/>
      <c r="K828" s="5" t="n"/>
      <c r="L828" s="18" t="n"/>
      <c r="M828" s="5">
        <f>IF($A828="","",IFERROR(INDEX('AJUSTES'!$B$4:$B$303,MATCH($AT828,'AJUSTES'!$A$4:$A$303,0)),IF($K828="","",$K828)))</f>
        <v/>
      </c>
      <c r="N828" s="5">
        <f>IF($A828="","",IFERROR(INDEX('CAT_ESTADOS_ERP'!$B$4:$B$7,MATCH(IFERROR(INDEX('2_IMPORTAR_EJECUCION'!$C$9:$C$1208,MATCH($AT828,'2_IMPORTAR_EJECUCION'!$J$9:$J$1208,0)),""),'CAT_ESTADOS_ERP'!$A$4:$A$7,0)),"Pendiente"))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IF($J828="","",$P828&amp;"-"&amp;TEXT($Q828,"00"))</f>
        <v/>
      </c>
      <c r="S828" s="5">
        <f>IF($J828="","",INDEX(lista_dias,WEEKDAY($J828,2)))</f>
        <v/>
      </c>
      <c r="T828" s="5">
        <f>IF($J828="","",IFERROR(INDEX('CALENDARIO'!$C$15:$C$214,MATCH(TEXT($J828,"yyyy-mm-dd")&amp;"|"&amp;$X828&amp;"|"&amp;$Y828,'CALENDARIO'!$G$15:$G$214,0)),IFERROR(INDEX('CALENDARIO'!$C$15:$C$214,MATCH(TEXT($J828,"yyyy-mm-dd")&amp;"|"&amp;$X828&amp;"|",'CALENDARIO'!$G$15:$G$214,0)),IFERROR(INDEX('CALENDARIO'!$C$15:$C$214,MATCH(TEXT($J828,"yyyy-mm-dd")&amp;"||",'CALENDARIO'!$G$15:$G$214,0)),INDEX(patronHabil,WEEKDAY($J828,2))))))</f>
        <v/>
      </c>
      <c r="U828" s="5">
        <f>IF($I828="","",IFERROR(INDEX('CAT_TIPOS_OT'!$C$4:$C$8,MATCH($I828,'CAT_TIPOS_OT'!$A$4:$A$8,0)),"sin_clasificar"))</f>
        <v/>
      </c>
      <c r="V828" s="5">
        <f>IF($I828="","",IF(IFERROR(INDEX('CAT_TIPOS_OT'!$D$4:$D$8,MATCH($I828,'CAT_TIPOS_OT'!$A$4:$A$8,0)),"SIN CLASIFICAR")="","SIN CLASIFICAR",IFERROR(INDEX('CAT_TIPOS_OT'!$D$4:$D$8,MATCH($I828,'CAT_TIPOS_OT'!$A$4:$A$8,0)),"SIN CLASIFICAR")))</f>
        <v/>
      </c>
      <c r="W828" s="5">
        <f>IF($F828="","",IFERROR(INDEX('CAT_CENTROS_COSTO'!$F$4:$F$13,MATCH($F828,'CAT_CENTROS_COSTO'!$A$4:$A$13,0)),"(sin catálogo)"))</f>
        <v/>
      </c>
      <c r="X828" s="5">
        <f>IF($F828="","",IFERROR(INDEX('CAT_CENTROS_COSTO'!$D$4:$D$13,MATCH($F828,'CAT_CENTROS_COSTO'!$A$4:$A$13,0)),"(sin catálogo)"))</f>
        <v/>
      </c>
      <c r="Y828" s="5">
        <f>IF($F828="","",IF((IFERROR(INDEX('CAT_CENTROS_COSTO'!$E$4:$E$13,MATCH($F828,'CAT_CENTROS_COSTO'!$A$4:$A$13,0)),""))&lt;&gt;"",IFERROR(INDEX('CAT_CENTROS_COSTO'!$E$4:$E$13,MATCH($F828,'CAT_CENTROS_COSTO'!$A$4:$A$13,0)),""),$X828))</f>
        <v/>
      </c>
      <c r="Z828" s="5">
        <f>IF($F828="","",IFERROR(INDEX('CAT_CENTROS_COSTO'!$G$4:$G$13,MATCH($F828,'CAT_CENTROS_COSTO'!$A$4:$A$13,0)),"(sin catálogo)"))</f>
        <v/>
      </c>
      <c r="AA828" s="5">
        <f>IF($G828="","",IFERROR(INDEX('CAT_PUESTOS'!$B$4:$B$8,MATCH($G828,'CAT_PUESTOS'!$A$4:$A$8,0)),"(sin catálogo)"))</f>
        <v/>
      </c>
      <c r="AB828" s="5">
        <f>IF($H828="","",IFERROR(INDEX('CAT_ACTIVIDADES'!$B$4:$B$11,MATCH($H828,'CAT_ACTIVIDADES'!$A$4:$A$11,0)),"(sin catálogo)"))</f>
        <v/>
      </c>
      <c r="AC828" s="20">
        <f>IF($J828="","",TODAY()-$J828)</f>
        <v/>
      </c>
      <c r="AD828" s="20">
        <f>IF($J828="","",IF($J828&lt;=TODAY(),COUNTIFS(cal_fechas,"&gt;="&amp;$J828,cal_fechas,"&lt;"&amp;TODAY(),cal_habil,"sí"),-COUNTIFS(cal_fechas,"&gt;="&amp;TODAY(),cal_fechas,"&lt;"&amp;$J828,cal_habil,"sí")))</f>
        <v/>
      </c>
      <c r="AE828" s="5">
        <f>IF($AD828="","",IF($AD828&lt;0,"FUTURO",IF($AD828&gt;p_dias_backlog_max,"BACKLOG","MES CORRIENTE")))</f>
        <v/>
      </c>
      <c r="AF828" s="5">
        <f>IF($AD828="",FALSE,AND($AD828&gt;p_dias_backlog_min,$AD828&lt;=p_dias_backlog_max))</f>
        <v/>
      </c>
      <c r="AG828" s="4" t="n"/>
      <c r="AH828" s="5">
        <f>IF($AG828="","",IF((IFERROR(INDEX('ASIGNACIONES'!$J$4:$J$451,MATCH($O828&amp;"|"&amp;$S828&amp;"|"&amp;$AG828,'ASIGNACIONES'!$N$4:$N$451,0)),""))=0,"",IFERROR(INDEX('ASIGNACIONES'!$J$4:$J$451,MATCH($O828&amp;"|"&amp;$S828&amp;"|"&amp;$AG828,'ASIGNACIONES'!$N$4:$N$451,0)),"")))</f>
        <v/>
      </c>
      <c r="AI828" s="25">
        <f>IF($AG828="","",SUMIFS('ORDENES'!$M$4:$M$1203,'ORDENES'!$AG$4:$AG$1203,$AG828,'ORDENES'!$O$4:$O$1203,$O828,'ORDENES'!$S$4:$S$1203,$S828))</f>
        <v/>
      </c>
      <c r="AJ828" s="25">
        <f>IF($AI828="","",p_factor_productividad*IFERROR(INDEX('ASIGNACIONES'!$M$4:$M$451,MATCH($O828&amp;"|"&amp;$S828&amp;"|"&amp;$AG828,'ASIGNACIONES'!$N$4:$N$451,0)),0)-$AI828)</f>
        <v/>
      </c>
      <c r="AK828" s="18">
        <f>IF($A828="","",IFERROR(INDEX('2_IMPORTAR_EJECUCION'!$F$9:$F$1208,MATCH($AT828,'2_IMPORTAR_EJECUCION'!$J$9:$J$1208,0)),0))</f>
        <v/>
      </c>
      <c r="AL828" s="18">
        <f>IF($A828="","",MAX(0,IFERROR(INDEX('2_IMPORTAR_EJECUCION'!$H$9:$H$1208,MATCH($AT828,'2_IMPORTAR_EJECUCION'!$J$9:$J$1208,0)),0)-$AK828))</f>
        <v/>
      </c>
      <c r="AM828" s="18">
        <f>IF($A828="","",$AK828+$AL828)</f>
        <v/>
      </c>
      <c r="AN828" s="5">
        <f>IF($A828="","",IF(OR((IFERROR(INDEX('CAT_ACTIVIDADES'!$D$4:$D$11,MATCH($H828,'CAT_ACTIVIDADES'!$A$4:$A$11,0)),""))=0,(IFERROR(INDEX('CAT_ACTIVIDADES'!$D$4:$D$11,MATCH($H828,'CAT_ACTIVIDADES'!$A$4:$A$11,0)),""))=""),"SIN CLASIFICAR",IFERROR(INDEX('CAT_ACTIVIDADES'!$D$4:$D$11,MATCH($H828,'CAT_ACTIVIDADES'!$A$4:$A$11,0)),"")))</f>
        <v/>
      </c>
      <c r="AO828" s="4" t="n"/>
      <c r="AP828" s="4" t="n"/>
      <c r="AQ828" s="4" t="n"/>
      <c r="AR828" s="5">
        <f>IF($AQ828="","",HYPERLINK(p_ruta_base_checklists&amp;$AQ828,"abrir"))</f>
        <v/>
      </c>
      <c r="AS828" s="4" t="n"/>
      <c r="AT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2" t="n"/>
      <c r="K829" s="5" t="n"/>
      <c r="L829" s="18" t="n"/>
      <c r="M829" s="5">
        <f>IF($A829="","",IFERROR(INDEX('AJUSTES'!$B$4:$B$303,MATCH($AT829,'AJUSTES'!$A$4:$A$303,0)),IF($K829="","",$K829)))</f>
        <v/>
      </c>
      <c r="N829" s="5">
        <f>IF($A829="","",IFERROR(INDEX('CAT_ESTADOS_ERP'!$B$4:$B$7,MATCH(IFERROR(INDEX('2_IMPORTAR_EJECUCION'!$C$9:$C$1208,MATCH($AT829,'2_IMPORTAR_EJECUCION'!$J$9:$J$1208,0)),""),'CAT_ESTADOS_ERP'!$A$4:$A$7,0)),"Pendiente"))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IF($J829="","",$P829&amp;"-"&amp;TEXT($Q829,"00"))</f>
        <v/>
      </c>
      <c r="S829" s="5">
        <f>IF($J829="","",INDEX(lista_dias,WEEKDAY($J829,2)))</f>
        <v/>
      </c>
      <c r="T829" s="5">
        <f>IF($J829="","",IFERROR(INDEX('CALENDARIO'!$C$15:$C$214,MATCH(TEXT($J829,"yyyy-mm-dd")&amp;"|"&amp;$X829&amp;"|"&amp;$Y829,'CALENDARIO'!$G$15:$G$214,0)),IFERROR(INDEX('CALENDARIO'!$C$15:$C$214,MATCH(TEXT($J829,"yyyy-mm-dd")&amp;"|"&amp;$X829&amp;"|",'CALENDARIO'!$G$15:$G$214,0)),IFERROR(INDEX('CALENDARIO'!$C$15:$C$214,MATCH(TEXT($J829,"yyyy-mm-dd")&amp;"||",'CALENDARIO'!$G$15:$G$214,0)),INDEX(patronHabil,WEEKDAY($J829,2))))))</f>
        <v/>
      </c>
      <c r="U829" s="5">
        <f>IF($I829="","",IFERROR(INDEX('CAT_TIPOS_OT'!$C$4:$C$8,MATCH($I829,'CAT_TIPOS_OT'!$A$4:$A$8,0)),"sin_clasificar"))</f>
        <v/>
      </c>
      <c r="V829" s="5">
        <f>IF($I829="","",IF(IFERROR(INDEX('CAT_TIPOS_OT'!$D$4:$D$8,MATCH($I829,'CAT_TIPOS_OT'!$A$4:$A$8,0)),"SIN CLASIFICAR")="","SIN CLASIFICAR",IFERROR(INDEX('CAT_TIPOS_OT'!$D$4:$D$8,MATCH($I829,'CAT_TIPOS_OT'!$A$4:$A$8,0)),"SIN CLASIFICAR")))</f>
        <v/>
      </c>
      <c r="W829" s="5">
        <f>IF($F829="","",IFERROR(INDEX('CAT_CENTROS_COSTO'!$F$4:$F$13,MATCH($F829,'CAT_CENTROS_COSTO'!$A$4:$A$13,0)),"(sin catálogo)"))</f>
        <v/>
      </c>
      <c r="X829" s="5">
        <f>IF($F829="","",IFERROR(INDEX('CAT_CENTROS_COSTO'!$D$4:$D$13,MATCH($F829,'CAT_CENTROS_COSTO'!$A$4:$A$13,0)),"(sin catálogo)"))</f>
        <v/>
      </c>
      <c r="Y829" s="5">
        <f>IF($F829="","",IF((IFERROR(INDEX('CAT_CENTROS_COSTO'!$E$4:$E$13,MATCH($F829,'CAT_CENTROS_COSTO'!$A$4:$A$13,0)),""))&lt;&gt;"",IFERROR(INDEX('CAT_CENTROS_COSTO'!$E$4:$E$13,MATCH($F829,'CAT_CENTROS_COSTO'!$A$4:$A$13,0)),""),$X829))</f>
        <v/>
      </c>
      <c r="Z829" s="5">
        <f>IF($F829="","",IFERROR(INDEX('CAT_CENTROS_COSTO'!$G$4:$G$13,MATCH($F829,'CAT_CENTROS_COSTO'!$A$4:$A$13,0)),"(sin catálogo)"))</f>
        <v/>
      </c>
      <c r="AA829" s="5">
        <f>IF($G829="","",IFERROR(INDEX('CAT_PUESTOS'!$B$4:$B$8,MATCH($G829,'CAT_PUESTOS'!$A$4:$A$8,0)),"(sin catálogo)"))</f>
        <v/>
      </c>
      <c r="AB829" s="5">
        <f>IF($H829="","",IFERROR(INDEX('CAT_ACTIVIDADES'!$B$4:$B$11,MATCH($H829,'CAT_ACTIVIDADES'!$A$4:$A$11,0)),"(sin catálogo)"))</f>
        <v/>
      </c>
      <c r="AC829" s="20">
        <f>IF($J829="","",TODAY()-$J829)</f>
        <v/>
      </c>
      <c r="AD829" s="20">
        <f>IF($J829="","",IF($J829&lt;=TODAY(),COUNTIFS(cal_fechas,"&gt;="&amp;$J829,cal_fechas,"&lt;"&amp;TODAY(),cal_habil,"sí"),-COUNTIFS(cal_fechas,"&gt;="&amp;TODAY(),cal_fechas,"&lt;"&amp;$J829,cal_habil,"sí")))</f>
        <v/>
      </c>
      <c r="AE829" s="5">
        <f>IF($AD829="","",IF($AD829&lt;0,"FUTURO",IF($AD829&gt;p_dias_backlog_max,"BACKLOG","MES CORRIENTE")))</f>
        <v/>
      </c>
      <c r="AF829" s="5">
        <f>IF($AD829="",FALSE,AND($AD829&gt;p_dias_backlog_min,$AD829&lt;=p_dias_backlog_max))</f>
        <v/>
      </c>
      <c r="AG829" s="4" t="n"/>
      <c r="AH829" s="5">
        <f>IF($AG829="","",IF((IFERROR(INDEX('ASIGNACIONES'!$J$4:$J$451,MATCH($O829&amp;"|"&amp;$S829&amp;"|"&amp;$AG829,'ASIGNACIONES'!$N$4:$N$451,0)),""))=0,"",IFERROR(INDEX('ASIGNACIONES'!$J$4:$J$451,MATCH($O829&amp;"|"&amp;$S829&amp;"|"&amp;$AG829,'ASIGNACIONES'!$N$4:$N$451,0)),"")))</f>
        <v/>
      </c>
      <c r="AI829" s="25">
        <f>IF($AG829="","",SUMIFS('ORDENES'!$M$4:$M$1203,'ORDENES'!$AG$4:$AG$1203,$AG829,'ORDENES'!$O$4:$O$1203,$O829,'ORDENES'!$S$4:$S$1203,$S829))</f>
        <v/>
      </c>
      <c r="AJ829" s="25">
        <f>IF($AI829="","",p_factor_productividad*IFERROR(INDEX('ASIGNACIONES'!$M$4:$M$451,MATCH($O829&amp;"|"&amp;$S829&amp;"|"&amp;$AG829,'ASIGNACIONES'!$N$4:$N$451,0)),0)-$AI829)</f>
        <v/>
      </c>
      <c r="AK829" s="18">
        <f>IF($A829="","",IFERROR(INDEX('2_IMPORTAR_EJECUCION'!$F$9:$F$1208,MATCH($AT829,'2_IMPORTAR_EJECUCION'!$J$9:$J$1208,0)),0))</f>
        <v/>
      </c>
      <c r="AL829" s="18">
        <f>IF($A829="","",MAX(0,IFERROR(INDEX('2_IMPORTAR_EJECUCION'!$H$9:$H$1208,MATCH($AT829,'2_IMPORTAR_EJECUCION'!$J$9:$J$1208,0)),0)-$AK829))</f>
        <v/>
      </c>
      <c r="AM829" s="18">
        <f>IF($A829="","",$AK829+$AL829)</f>
        <v/>
      </c>
      <c r="AN829" s="5">
        <f>IF($A829="","",IF(OR((IFERROR(INDEX('CAT_ACTIVIDADES'!$D$4:$D$11,MATCH($H829,'CAT_ACTIVIDADES'!$A$4:$A$11,0)),""))=0,(IFERROR(INDEX('CAT_ACTIVIDADES'!$D$4:$D$11,MATCH($H829,'CAT_ACTIVIDADES'!$A$4:$A$11,0)),""))=""),"SIN CLASIFICAR",IFERROR(INDEX('CAT_ACTIVIDADES'!$D$4:$D$11,MATCH($H829,'CAT_ACTIVIDADES'!$A$4:$A$11,0)),"")))</f>
        <v/>
      </c>
      <c r="AO829" s="4" t="n"/>
      <c r="AP829" s="4" t="n"/>
      <c r="AQ829" s="4" t="n"/>
      <c r="AR829" s="5">
        <f>IF($AQ829="","",HYPERLINK(p_ruta_base_checklists&amp;$AQ829,"abrir"))</f>
        <v/>
      </c>
      <c r="AS829" s="4" t="n"/>
      <c r="AT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2" t="n"/>
      <c r="K830" s="5" t="n"/>
      <c r="L830" s="18" t="n"/>
      <c r="M830" s="5">
        <f>IF($A830="","",IFERROR(INDEX('AJUSTES'!$B$4:$B$303,MATCH($AT830,'AJUSTES'!$A$4:$A$303,0)),IF($K830="","",$K830)))</f>
        <v/>
      </c>
      <c r="N830" s="5">
        <f>IF($A830="","",IFERROR(INDEX('CAT_ESTADOS_ERP'!$B$4:$B$7,MATCH(IFERROR(INDEX('2_IMPORTAR_EJECUCION'!$C$9:$C$1208,MATCH($AT830,'2_IMPORTAR_EJECUCION'!$J$9:$J$1208,0)),""),'CAT_ESTADOS_ERP'!$A$4:$A$7,0)),"Pendiente"))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IF($J830="","",$P830&amp;"-"&amp;TEXT($Q830,"00"))</f>
        <v/>
      </c>
      <c r="S830" s="5">
        <f>IF($J830="","",INDEX(lista_dias,WEEKDAY($J830,2)))</f>
        <v/>
      </c>
      <c r="T830" s="5">
        <f>IF($J830="","",IFERROR(INDEX('CALENDARIO'!$C$15:$C$214,MATCH(TEXT($J830,"yyyy-mm-dd")&amp;"|"&amp;$X830&amp;"|"&amp;$Y830,'CALENDARIO'!$G$15:$G$214,0)),IFERROR(INDEX('CALENDARIO'!$C$15:$C$214,MATCH(TEXT($J830,"yyyy-mm-dd")&amp;"|"&amp;$X830&amp;"|",'CALENDARIO'!$G$15:$G$214,0)),IFERROR(INDEX('CALENDARIO'!$C$15:$C$214,MATCH(TEXT($J830,"yyyy-mm-dd")&amp;"||",'CALENDARIO'!$G$15:$G$214,0)),INDEX(patronHabil,WEEKDAY($J830,2))))))</f>
        <v/>
      </c>
      <c r="U830" s="5">
        <f>IF($I830="","",IFERROR(INDEX('CAT_TIPOS_OT'!$C$4:$C$8,MATCH($I830,'CAT_TIPOS_OT'!$A$4:$A$8,0)),"sin_clasificar"))</f>
        <v/>
      </c>
      <c r="V830" s="5">
        <f>IF($I830="","",IF(IFERROR(INDEX('CAT_TIPOS_OT'!$D$4:$D$8,MATCH($I830,'CAT_TIPOS_OT'!$A$4:$A$8,0)),"SIN CLASIFICAR")="","SIN CLASIFICAR",IFERROR(INDEX('CAT_TIPOS_OT'!$D$4:$D$8,MATCH($I830,'CAT_TIPOS_OT'!$A$4:$A$8,0)),"SIN CLASIFICAR")))</f>
        <v/>
      </c>
      <c r="W830" s="5">
        <f>IF($F830="","",IFERROR(INDEX('CAT_CENTROS_COSTO'!$F$4:$F$13,MATCH($F830,'CAT_CENTROS_COSTO'!$A$4:$A$13,0)),"(sin catálogo)"))</f>
        <v/>
      </c>
      <c r="X830" s="5">
        <f>IF($F830="","",IFERROR(INDEX('CAT_CENTROS_COSTO'!$D$4:$D$13,MATCH($F830,'CAT_CENTROS_COSTO'!$A$4:$A$13,0)),"(sin catálogo)"))</f>
        <v/>
      </c>
      <c r="Y830" s="5">
        <f>IF($F830="","",IF((IFERROR(INDEX('CAT_CENTROS_COSTO'!$E$4:$E$13,MATCH($F830,'CAT_CENTROS_COSTO'!$A$4:$A$13,0)),""))&lt;&gt;"",IFERROR(INDEX('CAT_CENTROS_COSTO'!$E$4:$E$13,MATCH($F830,'CAT_CENTROS_COSTO'!$A$4:$A$13,0)),""),$X830))</f>
        <v/>
      </c>
      <c r="Z830" s="5">
        <f>IF($F830="","",IFERROR(INDEX('CAT_CENTROS_COSTO'!$G$4:$G$13,MATCH($F830,'CAT_CENTROS_COSTO'!$A$4:$A$13,0)),"(sin catálogo)"))</f>
        <v/>
      </c>
      <c r="AA830" s="5">
        <f>IF($G830="","",IFERROR(INDEX('CAT_PUESTOS'!$B$4:$B$8,MATCH($G830,'CAT_PUESTOS'!$A$4:$A$8,0)),"(sin catálogo)"))</f>
        <v/>
      </c>
      <c r="AB830" s="5">
        <f>IF($H830="","",IFERROR(INDEX('CAT_ACTIVIDADES'!$B$4:$B$11,MATCH($H830,'CAT_ACTIVIDADES'!$A$4:$A$11,0)),"(sin catálogo)"))</f>
        <v/>
      </c>
      <c r="AC830" s="20">
        <f>IF($J830="","",TODAY()-$J830)</f>
        <v/>
      </c>
      <c r="AD830" s="20">
        <f>IF($J830="","",IF($J830&lt;=TODAY(),COUNTIFS(cal_fechas,"&gt;="&amp;$J830,cal_fechas,"&lt;"&amp;TODAY(),cal_habil,"sí"),-COUNTIFS(cal_fechas,"&gt;="&amp;TODAY(),cal_fechas,"&lt;"&amp;$J830,cal_habil,"sí")))</f>
        <v/>
      </c>
      <c r="AE830" s="5">
        <f>IF($AD830="","",IF($AD830&lt;0,"FUTURO",IF($AD830&gt;p_dias_backlog_max,"BACKLOG","MES CORRIENTE")))</f>
        <v/>
      </c>
      <c r="AF830" s="5">
        <f>IF($AD830="",FALSE,AND($AD830&gt;p_dias_backlog_min,$AD830&lt;=p_dias_backlog_max))</f>
        <v/>
      </c>
      <c r="AG830" s="4" t="n"/>
      <c r="AH830" s="5">
        <f>IF($AG830="","",IF((IFERROR(INDEX('ASIGNACIONES'!$J$4:$J$451,MATCH($O830&amp;"|"&amp;$S830&amp;"|"&amp;$AG830,'ASIGNACIONES'!$N$4:$N$451,0)),""))=0,"",IFERROR(INDEX('ASIGNACIONES'!$J$4:$J$451,MATCH($O830&amp;"|"&amp;$S830&amp;"|"&amp;$AG830,'ASIGNACIONES'!$N$4:$N$451,0)),"")))</f>
        <v/>
      </c>
      <c r="AI830" s="25">
        <f>IF($AG830="","",SUMIFS('ORDENES'!$M$4:$M$1203,'ORDENES'!$AG$4:$AG$1203,$AG830,'ORDENES'!$O$4:$O$1203,$O830,'ORDENES'!$S$4:$S$1203,$S830))</f>
        <v/>
      </c>
      <c r="AJ830" s="25">
        <f>IF($AI830="","",p_factor_productividad*IFERROR(INDEX('ASIGNACIONES'!$M$4:$M$451,MATCH($O830&amp;"|"&amp;$S830&amp;"|"&amp;$AG830,'ASIGNACIONES'!$N$4:$N$451,0)),0)-$AI830)</f>
        <v/>
      </c>
      <c r="AK830" s="18">
        <f>IF($A830="","",IFERROR(INDEX('2_IMPORTAR_EJECUCION'!$F$9:$F$1208,MATCH($AT830,'2_IMPORTAR_EJECUCION'!$J$9:$J$1208,0)),0))</f>
        <v/>
      </c>
      <c r="AL830" s="18">
        <f>IF($A830="","",MAX(0,IFERROR(INDEX('2_IMPORTAR_EJECUCION'!$H$9:$H$1208,MATCH($AT830,'2_IMPORTAR_EJECUCION'!$J$9:$J$1208,0)),0)-$AK830))</f>
        <v/>
      </c>
      <c r="AM830" s="18">
        <f>IF($A830="","",$AK830+$AL830)</f>
        <v/>
      </c>
      <c r="AN830" s="5">
        <f>IF($A830="","",IF(OR((IFERROR(INDEX('CAT_ACTIVIDADES'!$D$4:$D$11,MATCH($H830,'CAT_ACTIVIDADES'!$A$4:$A$11,0)),""))=0,(IFERROR(INDEX('CAT_ACTIVIDADES'!$D$4:$D$11,MATCH($H830,'CAT_ACTIVIDADES'!$A$4:$A$11,0)),""))=""),"SIN CLASIFICAR",IFERROR(INDEX('CAT_ACTIVIDADES'!$D$4:$D$11,MATCH($H830,'CAT_ACTIVIDADES'!$A$4:$A$11,0)),"")))</f>
        <v/>
      </c>
      <c r="AO830" s="4" t="n"/>
      <c r="AP830" s="4" t="n"/>
      <c r="AQ830" s="4" t="n"/>
      <c r="AR830" s="5">
        <f>IF($AQ830="","",HYPERLINK(p_ruta_base_checklists&amp;$AQ830,"abrir"))</f>
        <v/>
      </c>
      <c r="AS830" s="4" t="n"/>
      <c r="AT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2" t="n"/>
      <c r="K831" s="5" t="n"/>
      <c r="L831" s="18" t="n"/>
      <c r="M831" s="5">
        <f>IF($A831="","",IFERROR(INDEX('AJUSTES'!$B$4:$B$303,MATCH($AT831,'AJUSTES'!$A$4:$A$303,0)),IF($K831="","",$K831)))</f>
        <v/>
      </c>
      <c r="N831" s="5">
        <f>IF($A831="","",IFERROR(INDEX('CAT_ESTADOS_ERP'!$B$4:$B$7,MATCH(IFERROR(INDEX('2_IMPORTAR_EJECUCION'!$C$9:$C$1208,MATCH($AT831,'2_IMPORTAR_EJECUCION'!$J$9:$J$1208,0)),""),'CAT_ESTADOS_ERP'!$A$4:$A$7,0)),"Pendiente"))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IF($J831="","",$P831&amp;"-"&amp;TEXT($Q831,"00"))</f>
        <v/>
      </c>
      <c r="S831" s="5">
        <f>IF($J831="","",INDEX(lista_dias,WEEKDAY($J831,2)))</f>
        <v/>
      </c>
      <c r="T831" s="5">
        <f>IF($J831="","",IFERROR(INDEX('CALENDARIO'!$C$15:$C$214,MATCH(TEXT($J831,"yyyy-mm-dd")&amp;"|"&amp;$X831&amp;"|"&amp;$Y831,'CALENDARIO'!$G$15:$G$214,0)),IFERROR(INDEX('CALENDARIO'!$C$15:$C$214,MATCH(TEXT($J831,"yyyy-mm-dd")&amp;"|"&amp;$X831&amp;"|",'CALENDARIO'!$G$15:$G$214,0)),IFERROR(INDEX('CALENDARIO'!$C$15:$C$214,MATCH(TEXT($J831,"yyyy-mm-dd")&amp;"||",'CALENDARIO'!$G$15:$G$214,0)),INDEX(patronHabil,WEEKDAY($J831,2))))))</f>
        <v/>
      </c>
      <c r="U831" s="5">
        <f>IF($I831="","",IFERROR(INDEX('CAT_TIPOS_OT'!$C$4:$C$8,MATCH($I831,'CAT_TIPOS_OT'!$A$4:$A$8,0)),"sin_clasificar"))</f>
        <v/>
      </c>
      <c r="V831" s="5">
        <f>IF($I831="","",IF(IFERROR(INDEX('CAT_TIPOS_OT'!$D$4:$D$8,MATCH($I831,'CAT_TIPOS_OT'!$A$4:$A$8,0)),"SIN CLASIFICAR")="","SIN CLASIFICAR",IFERROR(INDEX('CAT_TIPOS_OT'!$D$4:$D$8,MATCH($I831,'CAT_TIPOS_OT'!$A$4:$A$8,0)),"SIN CLASIFICAR")))</f>
        <v/>
      </c>
      <c r="W831" s="5">
        <f>IF($F831="","",IFERROR(INDEX('CAT_CENTROS_COSTO'!$F$4:$F$13,MATCH($F831,'CAT_CENTROS_COSTO'!$A$4:$A$13,0)),"(sin catálogo)"))</f>
        <v/>
      </c>
      <c r="X831" s="5">
        <f>IF($F831="","",IFERROR(INDEX('CAT_CENTROS_COSTO'!$D$4:$D$13,MATCH($F831,'CAT_CENTROS_COSTO'!$A$4:$A$13,0)),"(sin catálogo)"))</f>
        <v/>
      </c>
      <c r="Y831" s="5">
        <f>IF($F831="","",IF((IFERROR(INDEX('CAT_CENTROS_COSTO'!$E$4:$E$13,MATCH($F831,'CAT_CENTROS_COSTO'!$A$4:$A$13,0)),""))&lt;&gt;"",IFERROR(INDEX('CAT_CENTROS_COSTO'!$E$4:$E$13,MATCH($F831,'CAT_CENTROS_COSTO'!$A$4:$A$13,0)),""),$X831))</f>
        <v/>
      </c>
      <c r="Z831" s="5">
        <f>IF($F831="","",IFERROR(INDEX('CAT_CENTROS_COSTO'!$G$4:$G$13,MATCH($F831,'CAT_CENTROS_COSTO'!$A$4:$A$13,0)),"(sin catálogo)"))</f>
        <v/>
      </c>
      <c r="AA831" s="5">
        <f>IF($G831="","",IFERROR(INDEX('CAT_PUESTOS'!$B$4:$B$8,MATCH($G831,'CAT_PUESTOS'!$A$4:$A$8,0)),"(sin catálogo)"))</f>
        <v/>
      </c>
      <c r="AB831" s="5">
        <f>IF($H831="","",IFERROR(INDEX('CAT_ACTIVIDADES'!$B$4:$B$11,MATCH($H831,'CAT_ACTIVIDADES'!$A$4:$A$11,0)),"(sin catálogo)"))</f>
        <v/>
      </c>
      <c r="AC831" s="20">
        <f>IF($J831="","",TODAY()-$J831)</f>
        <v/>
      </c>
      <c r="AD831" s="20">
        <f>IF($J831="","",IF($J831&lt;=TODAY(),COUNTIFS(cal_fechas,"&gt;="&amp;$J831,cal_fechas,"&lt;"&amp;TODAY(),cal_habil,"sí"),-COUNTIFS(cal_fechas,"&gt;="&amp;TODAY(),cal_fechas,"&lt;"&amp;$J831,cal_habil,"sí")))</f>
        <v/>
      </c>
      <c r="AE831" s="5">
        <f>IF($AD831="","",IF($AD831&lt;0,"FUTURO",IF($AD831&gt;p_dias_backlog_max,"BACKLOG","MES CORRIENTE")))</f>
        <v/>
      </c>
      <c r="AF831" s="5">
        <f>IF($AD831="",FALSE,AND($AD831&gt;p_dias_backlog_min,$AD831&lt;=p_dias_backlog_max))</f>
        <v/>
      </c>
      <c r="AG831" s="4" t="n"/>
      <c r="AH831" s="5">
        <f>IF($AG831="","",IF((IFERROR(INDEX('ASIGNACIONES'!$J$4:$J$451,MATCH($O831&amp;"|"&amp;$S831&amp;"|"&amp;$AG831,'ASIGNACIONES'!$N$4:$N$451,0)),""))=0,"",IFERROR(INDEX('ASIGNACIONES'!$J$4:$J$451,MATCH($O831&amp;"|"&amp;$S831&amp;"|"&amp;$AG831,'ASIGNACIONES'!$N$4:$N$451,0)),"")))</f>
        <v/>
      </c>
      <c r="AI831" s="25">
        <f>IF($AG831="","",SUMIFS('ORDENES'!$M$4:$M$1203,'ORDENES'!$AG$4:$AG$1203,$AG831,'ORDENES'!$O$4:$O$1203,$O831,'ORDENES'!$S$4:$S$1203,$S831))</f>
        <v/>
      </c>
      <c r="AJ831" s="25">
        <f>IF($AI831="","",p_factor_productividad*IFERROR(INDEX('ASIGNACIONES'!$M$4:$M$451,MATCH($O831&amp;"|"&amp;$S831&amp;"|"&amp;$AG831,'ASIGNACIONES'!$N$4:$N$451,0)),0)-$AI831)</f>
        <v/>
      </c>
      <c r="AK831" s="18">
        <f>IF($A831="","",IFERROR(INDEX('2_IMPORTAR_EJECUCION'!$F$9:$F$1208,MATCH($AT831,'2_IMPORTAR_EJECUCION'!$J$9:$J$1208,0)),0))</f>
        <v/>
      </c>
      <c r="AL831" s="18">
        <f>IF($A831="","",MAX(0,IFERROR(INDEX('2_IMPORTAR_EJECUCION'!$H$9:$H$1208,MATCH($AT831,'2_IMPORTAR_EJECUCION'!$J$9:$J$1208,0)),0)-$AK831))</f>
        <v/>
      </c>
      <c r="AM831" s="18">
        <f>IF($A831="","",$AK831+$AL831)</f>
        <v/>
      </c>
      <c r="AN831" s="5">
        <f>IF($A831="","",IF(OR((IFERROR(INDEX('CAT_ACTIVIDADES'!$D$4:$D$11,MATCH($H831,'CAT_ACTIVIDADES'!$A$4:$A$11,0)),""))=0,(IFERROR(INDEX('CAT_ACTIVIDADES'!$D$4:$D$11,MATCH($H831,'CAT_ACTIVIDADES'!$A$4:$A$11,0)),""))=""),"SIN CLASIFICAR",IFERROR(INDEX('CAT_ACTIVIDADES'!$D$4:$D$11,MATCH($H831,'CAT_ACTIVIDADES'!$A$4:$A$11,0)),"")))</f>
        <v/>
      </c>
      <c r="AO831" s="4" t="n"/>
      <c r="AP831" s="4" t="n"/>
      <c r="AQ831" s="4" t="n"/>
      <c r="AR831" s="5">
        <f>IF($AQ831="","",HYPERLINK(p_ruta_base_checklists&amp;$AQ831,"abrir"))</f>
        <v/>
      </c>
      <c r="AS831" s="4" t="n"/>
      <c r="AT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2" t="n"/>
      <c r="K832" s="5" t="n"/>
      <c r="L832" s="18" t="n"/>
      <c r="M832" s="5">
        <f>IF($A832="","",IFERROR(INDEX('AJUSTES'!$B$4:$B$303,MATCH($AT832,'AJUSTES'!$A$4:$A$303,0)),IF($K832="","",$K832)))</f>
        <v/>
      </c>
      <c r="N832" s="5">
        <f>IF($A832="","",IFERROR(INDEX('CAT_ESTADOS_ERP'!$B$4:$B$7,MATCH(IFERROR(INDEX('2_IMPORTAR_EJECUCION'!$C$9:$C$1208,MATCH($AT832,'2_IMPORTAR_EJECUCION'!$J$9:$J$1208,0)),""),'CAT_ESTADOS_ERP'!$A$4:$A$7,0)),"Pendiente"))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IF($J832="","",$P832&amp;"-"&amp;TEXT($Q832,"00"))</f>
        <v/>
      </c>
      <c r="S832" s="5">
        <f>IF($J832="","",INDEX(lista_dias,WEEKDAY($J832,2)))</f>
        <v/>
      </c>
      <c r="T832" s="5">
        <f>IF($J832="","",IFERROR(INDEX('CALENDARIO'!$C$15:$C$214,MATCH(TEXT($J832,"yyyy-mm-dd")&amp;"|"&amp;$X832&amp;"|"&amp;$Y832,'CALENDARIO'!$G$15:$G$214,0)),IFERROR(INDEX('CALENDARIO'!$C$15:$C$214,MATCH(TEXT($J832,"yyyy-mm-dd")&amp;"|"&amp;$X832&amp;"|",'CALENDARIO'!$G$15:$G$214,0)),IFERROR(INDEX('CALENDARIO'!$C$15:$C$214,MATCH(TEXT($J832,"yyyy-mm-dd")&amp;"||",'CALENDARIO'!$G$15:$G$214,0)),INDEX(patronHabil,WEEKDAY($J832,2))))))</f>
        <v/>
      </c>
      <c r="U832" s="5">
        <f>IF($I832="","",IFERROR(INDEX('CAT_TIPOS_OT'!$C$4:$C$8,MATCH($I832,'CAT_TIPOS_OT'!$A$4:$A$8,0)),"sin_clasificar"))</f>
        <v/>
      </c>
      <c r="V832" s="5">
        <f>IF($I832="","",IF(IFERROR(INDEX('CAT_TIPOS_OT'!$D$4:$D$8,MATCH($I832,'CAT_TIPOS_OT'!$A$4:$A$8,0)),"SIN CLASIFICAR")="","SIN CLASIFICAR",IFERROR(INDEX('CAT_TIPOS_OT'!$D$4:$D$8,MATCH($I832,'CAT_TIPOS_OT'!$A$4:$A$8,0)),"SIN CLASIFICAR")))</f>
        <v/>
      </c>
      <c r="W832" s="5">
        <f>IF($F832="","",IFERROR(INDEX('CAT_CENTROS_COSTO'!$F$4:$F$13,MATCH($F832,'CAT_CENTROS_COSTO'!$A$4:$A$13,0)),"(sin catálogo)"))</f>
        <v/>
      </c>
      <c r="X832" s="5">
        <f>IF($F832="","",IFERROR(INDEX('CAT_CENTROS_COSTO'!$D$4:$D$13,MATCH($F832,'CAT_CENTROS_COSTO'!$A$4:$A$13,0)),"(sin catálogo)"))</f>
        <v/>
      </c>
      <c r="Y832" s="5">
        <f>IF($F832="","",IF((IFERROR(INDEX('CAT_CENTROS_COSTO'!$E$4:$E$13,MATCH($F832,'CAT_CENTROS_COSTO'!$A$4:$A$13,0)),""))&lt;&gt;"",IFERROR(INDEX('CAT_CENTROS_COSTO'!$E$4:$E$13,MATCH($F832,'CAT_CENTROS_COSTO'!$A$4:$A$13,0)),""),$X832))</f>
        <v/>
      </c>
      <c r="Z832" s="5">
        <f>IF($F832="","",IFERROR(INDEX('CAT_CENTROS_COSTO'!$G$4:$G$13,MATCH($F832,'CAT_CENTROS_COSTO'!$A$4:$A$13,0)),"(sin catálogo)"))</f>
        <v/>
      </c>
      <c r="AA832" s="5">
        <f>IF($G832="","",IFERROR(INDEX('CAT_PUESTOS'!$B$4:$B$8,MATCH($G832,'CAT_PUESTOS'!$A$4:$A$8,0)),"(sin catálogo)"))</f>
        <v/>
      </c>
      <c r="AB832" s="5">
        <f>IF($H832="","",IFERROR(INDEX('CAT_ACTIVIDADES'!$B$4:$B$11,MATCH($H832,'CAT_ACTIVIDADES'!$A$4:$A$11,0)),"(sin catálogo)"))</f>
        <v/>
      </c>
      <c r="AC832" s="20">
        <f>IF($J832="","",TODAY()-$J832)</f>
        <v/>
      </c>
      <c r="AD832" s="20">
        <f>IF($J832="","",IF($J832&lt;=TODAY(),COUNTIFS(cal_fechas,"&gt;="&amp;$J832,cal_fechas,"&lt;"&amp;TODAY(),cal_habil,"sí"),-COUNTIFS(cal_fechas,"&gt;="&amp;TODAY(),cal_fechas,"&lt;"&amp;$J832,cal_habil,"sí")))</f>
        <v/>
      </c>
      <c r="AE832" s="5">
        <f>IF($AD832="","",IF($AD832&lt;0,"FUTURO",IF($AD832&gt;p_dias_backlog_max,"BACKLOG","MES CORRIENTE")))</f>
        <v/>
      </c>
      <c r="AF832" s="5">
        <f>IF($AD832="",FALSE,AND($AD832&gt;p_dias_backlog_min,$AD832&lt;=p_dias_backlog_max))</f>
        <v/>
      </c>
      <c r="AG832" s="4" t="n"/>
      <c r="AH832" s="5">
        <f>IF($AG832="","",IF((IFERROR(INDEX('ASIGNACIONES'!$J$4:$J$451,MATCH($O832&amp;"|"&amp;$S832&amp;"|"&amp;$AG832,'ASIGNACIONES'!$N$4:$N$451,0)),""))=0,"",IFERROR(INDEX('ASIGNACIONES'!$J$4:$J$451,MATCH($O832&amp;"|"&amp;$S832&amp;"|"&amp;$AG832,'ASIGNACIONES'!$N$4:$N$451,0)),"")))</f>
        <v/>
      </c>
      <c r="AI832" s="25">
        <f>IF($AG832="","",SUMIFS('ORDENES'!$M$4:$M$1203,'ORDENES'!$AG$4:$AG$1203,$AG832,'ORDENES'!$O$4:$O$1203,$O832,'ORDENES'!$S$4:$S$1203,$S832))</f>
        <v/>
      </c>
      <c r="AJ832" s="25">
        <f>IF($AI832="","",p_factor_productividad*IFERROR(INDEX('ASIGNACIONES'!$M$4:$M$451,MATCH($O832&amp;"|"&amp;$S832&amp;"|"&amp;$AG832,'ASIGNACIONES'!$N$4:$N$451,0)),0)-$AI832)</f>
        <v/>
      </c>
      <c r="AK832" s="18">
        <f>IF($A832="","",IFERROR(INDEX('2_IMPORTAR_EJECUCION'!$F$9:$F$1208,MATCH($AT832,'2_IMPORTAR_EJECUCION'!$J$9:$J$1208,0)),0))</f>
        <v/>
      </c>
      <c r="AL832" s="18">
        <f>IF($A832="","",MAX(0,IFERROR(INDEX('2_IMPORTAR_EJECUCION'!$H$9:$H$1208,MATCH($AT832,'2_IMPORTAR_EJECUCION'!$J$9:$J$1208,0)),0)-$AK832))</f>
        <v/>
      </c>
      <c r="AM832" s="18">
        <f>IF($A832="","",$AK832+$AL832)</f>
        <v/>
      </c>
      <c r="AN832" s="5">
        <f>IF($A832="","",IF(OR((IFERROR(INDEX('CAT_ACTIVIDADES'!$D$4:$D$11,MATCH($H832,'CAT_ACTIVIDADES'!$A$4:$A$11,0)),""))=0,(IFERROR(INDEX('CAT_ACTIVIDADES'!$D$4:$D$11,MATCH($H832,'CAT_ACTIVIDADES'!$A$4:$A$11,0)),""))=""),"SIN CLASIFICAR",IFERROR(INDEX('CAT_ACTIVIDADES'!$D$4:$D$11,MATCH($H832,'CAT_ACTIVIDADES'!$A$4:$A$11,0)),"")))</f>
        <v/>
      </c>
      <c r="AO832" s="4" t="n"/>
      <c r="AP832" s="4" t="n"/>
      <c r="AQ832" s="4" t="n"/>
      <c r="AR832" s="5">
        <f>IF($AQ832="","",HYPERLINK(p_ruta_base_checklists&amp;$AQ832,"abrir"))</f>
        <v/>
      </c>
      <c r="AS832" s="4" t="n"/>
      <c r="AT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2" t="n"/>
      <c r="K833" s="5" t="n"/>
      <c r="L833" s="18" t="n"/>
      <c r="M833" s="5">
        <f>IF($A833="","",IFERROR(INDEX('AJUSTES'!$B$4:$B$303,MATCH($AT833,'AJUSTES'!$A$4:$A$303,0)),IF($K833="","",$K833)))</f>
        <v/>
      </c>
      <c r="N833" s="5">
        <f>IF($A833="","",IFERROR(INDEX('CAT_ESTADOS_ERP'!$B$4:$B$7,MATCH(IFERROR(INDEX('2_IMPORTAR_EJECUCION'!$C$9:$C$1208,MATCH($AT833,'2_IMPORTAR_EJECUCION'!$J$9:$J$1208,0)),""),'CAT_ESTADOS_ERP'!$A$4:$A$7,0)),"Pendiente"))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IF($J833="","",$P833&amp;"-"&amp;TEXT($Q833,"00"))</f>
        <v/>
      </c>
      <c r="S833" s="5">
        <f>IF($J833="","",INDEX(lista_dias,WEEKDAY($J833,2)))</f>
        <v/>
      </c>
      <c r="T833" s="5">
        <f>IF($J833="","",IFERROR(INDEX('CALENDARIO'!$C$15:$C$214,MATCH(TEXT($J833,"yyyy-mm-dd")&amp;"|"&amp;$X833&amp;"|"&amp;$Y833,'CALENDARIO'!$G$15:$G$214,0)),IFERROR(INDEX('CALENDARIO'!$C$15:$C$214,MATCH(TEXT($J833,"yyyy-mm-dd")&amp;"|"&amp;$X833&amp;"|",'CALENDARIO'!$G$15:$G$214,0)),IFERROR(INDEX('CALENDARIO'!$C$15:$C$214,MATCH(TEXT($J833,"yyyy-mm-dd")&amp;"||",'CALENDARIO'!$G$15:$G$214,0)),INDEX(patronHabil,WEEKDAY($J833,2))))))</f>
        <v/>
      </c>
      <c r="U833" s="5">
        <f>IF($I833="","",IFERROR(INDEX('CAT_TIPOS_OT'!$C$4:$C$8,MATCH($I833,'CAT_TIPOS_OT'!$A$4:$A$8,0)),"sin_clasificar"))</f>
        <v/>
      </c>
      <c r="V833" s="5">
        <f>IF($I833="","",IF(IFERROR(INDEX('CAT_TIPOS_OT'!$D$4:$D$8,MATCH($I833,'CAT_TIPOS_OT'!$A$4:$A$8,0)),"SIN CLASIFICAR")="","SIN CLASIFICAR",IFERROR(INDEX('CAT_TIPOS_OT'!$D$4:$D$8,MATCH($I833,'CAT_TIPOS_OT'!$A$4:$A$8,0)),"SIN CLASIFICAR")))</f>
        <v/>
      </c>
      <c r="W833" s="5">
        <f>IF($F833="","",IFERROR(INDEX('CAT_CENTROS_COSTO'!$F$4:$F$13,MATCH($F833,'CAT_CENTROS_COSTO'!$A$4:$A$13,0)),"(sin catálogo)"))</f>
        <v/>
      </c>
      <c r="X833" s="5">
        <f>IF($F833="","",IFERROR(INDEX('CAT_CENTROS_COSTO'!$D$4:$D$13,MATCH($F833,'CAT_CENTROS_COSTO'!$A$4:$A$13,0)),"(sin catálogo)"))</f>
        <v/>
      </c>
      <c r="Y833" s="5">
        <f>IF($F833="","",IF((IFERROR(INDEX('CAT_CENTROS_COSTO'!$E$4:$E$13,MATCH($F833,'CAT_CENTROS_COSTO'!$A$4:$A$13,0)),""))&lt;&gt;"",IFERROR(INDEX('CAT_CENTROS_COSTO'!$E$4:$E$13,MATCH($F833,'CAT_CENTROS_COSTO'!$A$4:$A$13,0)),""),$X833))</f>
        <v/>
      </c>
      <c r="Z833" s="5">
        <f>IF($F833="","",IFERROR(INDEX('CAT_CENTROS_COSTO'!$G$4:$G$13,MATCH($F833,'CAT_CENTROS_COSTO'!$A$4:$A$13,0)),"(sin catálogo)"))</f>
        <v/>
      </c>
      <c r="AA833" s="5">
        <f>IF($G833="","",IFERROR(INDEX('CAT_PUESTOS'!$B$4:$B$8,MATCH($G833,'CAT_PUESTOS'!$A$4:$A$8,0)),"(sin catálogo)"))</f>
        <v/>
      </c>
      <c r="AB833" s="5">
        <f>IF($H833="","",IFERROR(INDEX('CAT_ACTIVIDADES'!$B$4:$B$11,MATCH($H833,'CAT_ACTIVIDADES'!$A$4:$A$11,0)),"(sin catálogo)"))</f>
        <v/>
      </c>
      <c r="AC833" s="20">
        <f>IF($J833="","",TODAY()-$J833)</f>
        <v/>
      </c>
      <c r="AD833" s="20">
        <f>IF($J833="","",IF($J833&lt;=TODAY(),COUNTIFS(cal_fechas,"&gt;="&amp;$J833,cal_fechas,"&lt;"&amp;TODAY(),cal_habil,"sí"),-COUNTIFS(cal_fechas,"&gt;="&amp;TODAY(),cal_fechas,"&lt;"&amp;$J833,cal_habil,"sí")))</f>
        <v/>
      </c>
      <c r="AE833" s="5">
        <f>IF($AD833="","",IF($AD833&lt;0,"FUTURO",IF($AD833&gt;p_dias_backlog_max,"BACKLOG","MES CORRIENTE")))</f>
        <v/>
      </c>
      <c r="AF833" s="5">
        <f>IF($AD833="",FALSE,AND($AD833&gt;p_dias_backlog_min,$AD833&lt;=p_dias_backlog_max))</f>
        <v/>
      </c>
      <c r="AG833" s="4" t="n"/>
      <c r="AH833" s="5">
        <f>IF($AG833="","",IF((IFERROR(INDEX('ASIGNACIONES'!$J$4:$J$451,MATCH($O833&amp;"|"&amp;$S833&amp;"|"&amp;$AG833,'ASIGNACIONES'!$N$4:$N$451,0)),""))=0,"",IFERROR(INDEX('ASIGNACIONES'!$J$4:$J$451,MATCH($O833&amp;"|"&amp;$S833&amp;"|"&amp;$AG833,'ASIGNACIONES'!$N$4:$N$451,0)),"")))</f>
        <v/>
      </c>
      <c r="AI833" s="25">
        <f>IF($AG833="","",SUMIFS('ORDENES'!$M$4:$M$1203,'ORDENES'!$AG$4:$AG$1203,$AG833,'ORDENES'!$O$4:$O$1203,$O833,'ORDENES'!$S$4:$S$1203,$S833))</f>
        <v/>
      </c>
      <c r="AJ833" s="25">
        <f>IF($AI833="","",p_factor_productividad*IFERROR(INDEX('ASIGNACIONES'!$M$4:$M$451,MATCH($O833&amp;"|"&amp;$S833&amp;"|"&amp;$AG833,'ASIGNACIONES'!$N$4:$N$451,0)),0)-$AI833)</f>
        <v/>
      </c>
      <c r="AK833" s="18">
        <f>IF($A833="","",IFERROR(INDEX('2_IMPORTAR_EJECUCION'!$F$9:$F$1208,MATCH($AT833,'2_IMPORTAR_EJECUCION'!$J$9:$J$1208,0)),0))</f>
        <v/>
      </c>
      <c r="AL833" s="18">
        <f>IF($A833="","",MAX(0,IFERROR(INDEX('2_IMPORTAR_EJECUCION'!$H$9:$H$1208,MATCH($AT833,'2_IMPORTAR_EJECUCION'!$J$9:$J$1208,0)),0)-$AK833))</f>
        <v/>
      </c>
      <c r="AM833" s="18">
        <f>IF($A833="","",$AK833+$AL833)</f>
        <v/>
      </c>
      <c r="AN833" s="5">
        <f>IF($A833="","",IF(OR((IFERROR(INDEX('CAT_ACTIVIDADES'!$D$4:$D$11,MATCH($H833,'CAT_ACTIVIDADES'!$A$4:$A$11,0)),""))=0,(IFERROR(INDEX('CAT_ACTIVIDADES'!$D$4:$D$11,MATCH($H833,'CAT_ACTIVIDADES'!$A$4:$A$11,0)),""))=""),"SIN CLASIFICAR",IFERROR(INDEX('CAT_ACTIVIDADES'!$D$4:$D$11,MATCH($H833,'CAT_ACTIVIDADES'!$A$4:$A$11,0)),"")))</f>
        <v/>
      </c>
      <c r="AO833" s="4" t="n"/>
      <c r="AP833" s="4" t="n"/>
      <c r="AQ833" s="4" t="n"/>
      <c r="AR833" s="5">
        <f>IF($AQ833="","",HYPERLINK(p_ruta_base_checklists&amp;$AQ833,"abrir"))</f>
        <v/>
      </c>
      <c r="AS833" s="4" t="n"/>
      <c r="AT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2" t="n"/>
      <c r="K834" s="5" t="n"/>
      <c r="L834" s="18" t="n"/>
      <c r="M834" s="5">
        <f>IF($A834="","",IFERROR(INDEX('AJUSTES'!$B$4:$B$303,MATCH($AT834,'AJUSTES'!$A$4:$A$303,0)),IF($K834="","",$K834)))</f>
        <v/>
      </c>
      <c r="N834" s="5">
        <f>IF($A834="","",IFERROR(INDEX('CAT_ESTADOS_ERP'!$B$4:$B$7,MATCH(IFERROR(INDEX('2_IMPORTAR_EJECUCION'!$C$9:$C$1208,MATCH($AT834,'2_IMPORTAR_EJECUCION'!$J$9:$J$1208,0)),""),'CAT_ESTADOS_ERP'!$A$4:$A$7,0)),"Pendiente"))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IF($J834="","",$P834&amp;"-"&amp;TEXT($Q834,"00"))</f>
        <v/>
      </c>
      <c r="S834" s="5">
        <f>IF($J834="","",INDEX(lista_dias,WEEKDAY($J834,2)))</f>
        <v/>
      </c>
      <c r="T834" s="5">
        <f>IF($J834="","",IFERROR(INDEX('CALENDARIO'!$C$15:$C$214,MATCH(TEXT($J834,"yyyy-mm-dd")&amp;"|"&amp;$X834&amp;"|"&amp;$Y834,'CALENDARIO'!$G$15:$G$214,0)),IFERROR(INDEX('CALENDARIO'!$C$15:$C$214,MATCH(TEXT($J834,"yyyy-mm-dd")&amp;"|"&amp;$X834&amp;"|",'CALENDARIO'!$G$15:$G$214,0)),IFERROR(INDEX('CALENDARIO'!$C$15:$C$214,MATCH(TEXT($J834,"yyyy-mm-dd")&amp;"||",'CALENDARIO'!$G$15:$G$214,0)),INDEX(patronHabil,WEEKDAY($J834,2))))))</f>
        <v/>
      </c>
      <c r="U834" s="5">
        <f>IF($I834="","",IFERROR(INDEX('CAT_TIPOS_OT'!$C$4:$C$8,MATCH($I834,'CAT_TIPOS_OT'!$A$4:$A$8,0)),"sin_clasificar"))</f>
        <v/>
      </c>
      <c r="V834" s="5">
        <f>IF($I834="","",IF(IFERROR(INDEX('CAT_TIPOS_OT'!$D$4:$D$8,MATCH($I834,'CAT_TIPOS_OT'!$A$4:$A$8,0)),"SIN CLASIFICAR")="","SIN CLASIFICAR",IFERROR(INDEX('CAT_TIPOS_OT'!$D$4:$D$8,MATCH($I834,'CAT_TIPOS_OT'!$A$4:$A$8,0)),"SIN CLASIFICAR")))</f>
        <v/>
      </c>
      <c r="W834" s="5">
        <f>IF($F834="","",IFERROR(INDEX('CAT_CENTROS_COSTO'!$F$4:$F$13,MATCH($F834,'CAT_CENTROS_COSTO'!$A$4:$A$13,0)),"(sin catálogo)"))</f>
        <v/>
      </c>
      <c r="X834" s="5">
        <f>IF($F834="","",IFERROR(INDEX('CAT_CENTROS_COSTO'!$D$4:$D$13,MATCH($F834,'CAT_CENTROS_COSTO'!$A$4:$A$13,0)),"(sin catálogo)"))</f>
        <v/>
      </c>
      <c r="Y834" s="5">
        <f>IF($F834="","",IF((IFERROR(INDEX('CAT_CENTROS_COSTO'!$E$4:$E$13,MATCH($F834,'CAT_CENTROS_COSTO'!$A$4:$A$13,0)),""))&lt;&gt;"",IFERROR(INDEX('CAT_CENTROS_COSTO'!$E$4:$E$13,MATCH($F834,'CAT_CENTROS_COSTO'!$A$4:$A$13,0)),""),$X834))</f>
        <v/>
      </c>
      <c r="Z834" s="5">
        <f>IF($F834="","",IFERROR(INDEX('CAT_CENTROS_COSTO'!$G$4:$G$13,MATCH($F834,'CAT_CENTROS_COSTO'!$A$4:$A$13,0)),"(sin catálogo)"))</f>
        <v/>
      </c>
      <c r="AA834" s="5">
        <f>IF($G834="","",IFERROR(INDEX('CAT_PUESTOS'!$B$4:$B$8,MATCH($G834,'CAT_PUESTOS'!$A$4:$A$8,0)),"(sin catálogo)"))</f>
        <v/>
      </c>
      <c r="AB834" s="5">
        <f>IF($H834="","",IFERROR(INDEX('CAT_ACTIVIDADES'!$B$4:$B$11,MATCH($H834,'CAT_ACTIVIDADES'!$A$4:$A$11,0)),"(sin catálogo)"))</f>
        <v/>
      </c>
      <c r="AC834" s="20">
        <f>IF($J834="","",TODAY()-$J834)</f>
        <v/>
      </c>
      <c r="AD834" s="20">
        <f>IF($J834="","",IF($J834&lt;=TODAY(),COUNTIFS(cal_fechas,"&gt;="&amp;$J834,cal_fechas,"&lt;"&amp;TODAY(),cal_habil,"sí"),-COUNTIFS(cal_fechas,"&gt;="&amp;TODAY(),cal_fechas,"&lt;"&amp;$J834,cal_habil,"sí")))</f>
        <v/>
      </c>
      <c r="AE834" s="5">
        <f>IF($AD834="","",IF($AD834&lt;0,"FUTURO",IF($AD834&gt;p_dias_backlog_max,"BACKLOG","MES CORRIENTE")))</f>
        <v/>
      </c>
      <c r="AF834" s="5">
        <f>IF($AD834="",FALSE,AND($AD834&gt;p_dias_backlog_min,$AD834&lt;=p_dias_backlog_max))</f>
        <v/>
      </c>
      <c r="AG834" s="4" t="n"/>
      <c r="AH834" s="5">
        <f>IF($AG834="","",IF((IFERROR(INDEX('ASIGNACIONES'!$J$4:$J$451,MATCH($O834&amp;"|"&amp;$S834&amp;"|"&amp;$AG834,'ASIGNACIONES'!$N$4:$N$451,0)),""))=0,"",IFERROR(INDEX('ASIGNACIONES'!$J$4:$J$451,MATCH($O834&amp;"|"&amp;$S834&amp;"|"&amp;$AG834,'ASIGNACIONES'!$N$4:$N$451,0)),"")))</f>
        <v/>
      </c>
      <c r="AI834" s="25">
        <f>IF($AG834="","",SUMIFS('ORDENES'!$M$4:$M$1203,'ORDENES'!$AG$4:$AG$1203,$AG834,'ORDENES'!$O$4:$O$1203,$O834,'ORDENES'!$S$4:$S$1203,$S834))</f>
        <v/>
      </c>
      <c r="AJ834" s="25">
        <f>IF($AI834="","",p_factor_productividad*IFERROR(INDEX('ASIGNACIONES'!$M$4:$M$451,MATCH($O834&amp;"|"&amp;$S834&amp;"|"&amp;$AG834,'ASIGNACIONES'!$N$4:$N$451,0)),0)-$AI834)</f>
        <v/>
      </c>
      <c r="AK834" s="18">
        <f>IF($A834="","",IFERROR(INDEX('2_IMPORTAR_EJECUCION'!$F$9:$F$1208,MATCH($AT834,'2_IMPORTAR_EJECUCION'!$J$9:$J$1208,0)),0))</f>
        <v/>
      </c>
      <c r="AL834" s="18">
        <f>IF($A834="","",MAX(0,IFERROR(INDEX('2_IMPORTAR_EJECUCION'!$H$9:$H$1208,MATCH($AT834,'2_IMPORTAR_EJECUCION'!$J$9:$J$1208,0)),0)-$AK834))</f>
        <v/>
      </c>
      <c r="AM834" s="18">
        <f>IF($A834="","",$AK834+$AL834)</f>
        <v/>
      </c>
      <c r="AN834" s="5">
        <f>IF($A834="","",IF(OR((IFERROR(INDEX('CAT_ACTIVIDADES'!$D$4:$D$11,MATCH($H834,'CAT_ACTIVIDADES'!$A$4:$A$11,0)),""))=0,(IFERROR(INDEX('CAT_ACTIVIDADES'!$D$4:$D$11,MATCH($H834,'CAT_ACTIVIDADES'!$A$4:$A$11,0)),""))=""),"SIN CLASIFICAR",IFERROR(INDEX('CAT_ACTIVIDADES'!$D$4:$D$11,MATCH($H834,'CAT_ACTIVIDADES'!$A$4:$A$11,0)),"")))</f>
        <v/>
      </c>
      <c r="AO834" s="4" t="n"/>
      <c r="AP834" s="4" t="n"/>
      <c r="AQ834" s="4" t="n"/>
      <c r="AR834" s="5">
        <f>IF($AQ834="","",HYPERLINK(p_ruta_base_checklists&amp;$AQ834,"abrir"))</f>
        <v/>
      </c>
      <c r="AS834" s="4" t="n"/>
      <c r="AT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2" t="n"/>
      <c r="K835" s="5" t="n"/>
      <c r="L835" s="18" t="n"/>
      <c r="M835" s="5">
        <f>IF($A835="","",IFERROR(INDEX('AJUSTES'!$B$4:$B$303,MATCH($AT835,'AJUSTES'!$A$4:$A$303,0)),IF($K835="","",$K835)))</f>
        <v/>
      </c>
      <c r="N835" s="5">
        <f>IF($A835="","",IFERROR(INDEX('CAT_ESTADOS_ERP'!$B$4:$B$7,MATCH(IFERROR(INDEX('2_IMPORTAR_EJECUCION'!$C$9:$C$1208,MATCH($AT835,'2_IMPORTAR_EJECUCION'!$J$9:$J$1208,0)),""),'CAT_ESTADOS_ERP'!$A$4:$A$7,0)),"Pendiente"))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IF($J835="","",$P835&amp;"-"&amp;TEXT($Q835,"00"))</f>
        <v/>
      </c>
      <c r="S835" s="5">
        <f>IF($J835="","",INDEX(lista_dias,WEEKDAY($J835,2)))</f>
        <v/>
      </c>
      <c r="T835" s="5">
        <f>IF($J835="","",IFERROR(INDEX('CALENDARIO'!$C$15:$C$214,MATCH(TEXT($J835,"yyyy-mm-dd")&amp;"|"&amp;$X835&amp;"|"&amp;$Y835,'CALENDARIO'!$G$15:$G$214,0)),IFERROR(INDEX('CALENDARIO'!$C$15:$C$214,MATCH(TEXT($J835,"yyyy-mm-dd")&amp;"|"&amp;$X835&amp;"|",'CALENDARIO'!$G$15:$G$214,0)),IFERROR(INDEX('CALENDARIO'!$C$15:$C$214,MATCH(TEXT($J835,"yyyy-mm-dd")&amp;"||",'CALENDARIO'!$G$15:$G$214,0)),INDEX(patronHabil,WEEKDAY($J835,2))))))</f>
        <v/>
      </c>
      <c r="U835" s="5">
        <f>IF($I835="","",IFERROR(INDEX('CAT_TIPOS_OT'!$C$4:$C$8,MATCH($I835,'CAT_TIPOS_OT'!$A$4:$A$8,0)),"sin_clasificar"))</f>
        <v/>
      </c>
      <c r="V835" s="5">
        <f>IF($I835="","",IF(IFERROR(INDEX('CAT_TIPOS_OT'!$D$4:$D$8,MATCH($I835,'CAT_TIPOS_OT'!$A$4:$A$8,0)),"SIN CLASIFICAR")="","SIN CLASIFICAR",IFERROR(INDEX('CAT_TIPOS_OT'!$D$4:$D$8,MATCH($I835,'CAT_TIPOS_OT'!$A$4:$A$8,0)),"SIN CLASIFICAR")))</f>
        <v/>
      </c>
      <c r="W835" s="5">
        <f>IF($F835="","",IFERROR(INDEX('CAT_CENTROS_COSTO'!$F$4:$F$13,MATCH($F835,'CAT_CENTROS_COSTO'!$A$4:$A$13,0)),"(sin catálogo)"))</f>
        <v/>
      </c>
      <c r="X835" s="5">
        <f>IF($F835="","",IFERROR(INDEX('CAT_CENTROS_COSTO'!$D$4:$D$13,MATCH($F835,'CAT_CENTROS_COSTO'!$A$4:$A$13,0)),"(sin catálogo)"))</f>
        <v/>
      </c>
      <c r="Y835" s="5">
        <f>IF($F835="","",IF((IFERROR(INDEX('CAT_CENTROS_COSTO'!$E$4:$E$13,MATCH($F835,'CAT_CENTROS_COSTO'!$A$4:$A$13,0)),""))&lt;&gt;"",IFERROR(INDEX('CAT_CENTROS_COSTO'!$E$4:$E$13,MATCH($F835,'CAT_CENTROS_COSTO'!$A$4:$A$13,0)),""),$X835))</f>
        <v/>
      </c>
      <c r="Z835" s="5">
        <f>IF($F835="","",IFERROR(INDEX('CAT_CENTROS_COSTO'!$G$4:$G$13,MATCH($F835,'CAT_CENTROS_COSTO'!$A$4:$A$13,0)),"(sin catálogo)"))</f>
        <v/>
      </c>
      <c r="AA835" s="5">
        <f>IF($G835="","",IFERROR(INDEX('CAT_PUESTOS'!$B$4:$B$8,MATCH($G835,'CAT_PUESTOS'!$A$4:$A$8,0)),"(sin catálogo)"))</f>
        <v/>
      </c>
      <c r="AB835" s="5">
        <f>IF($H835="","",IFERROR(INDEX('CAT_ACTIVIDADES'!$B$4:$B$11,MATCH($H835,'CAT_ACTIVIDADES'!$A$4:$A$11,0)),"(sin catálogo)"))</f>
        <v/>
      </c>
      <c r="AC835" s="20">
        <f>IF($J835="","",TODAY()-$J835)</f>
        <v/>
      </c>
      <c r="AD835" s="20">
        <f>IF($J835="","",IF($J835&lt;=TODAY(),COUNTIFS(cal_fechas,"&gt;="&amp;$J835,cal_fechas,"&lt;"&amp;TODAY(),cal_habil,"sí"),-COUNTIFS(cal_fechas,"&gt;="&amp;TODAY(),cal_fechas,"&lt;"&amp;$J835,cal_habil,"sí")))</f>
        <v/>
      </c>
      <c r="AE835" s="5">
        <f>IF($AD835="","",IF($AD835&lt;0,"FUTURO",IF($AD835&gt;p_dias_backlog_max,"BACKLOG","MES CORRIENTE")))</f>
        <v/>
      </c>
      <c r="AF835" s="5">
        <f>IF($AD835="",FALSE,AND($AD835&gt;p_dias_backlog_min,$AD835&lt;=p_dias_backlog_max))</f>
        <v/>
      </c>
      <c r="AG835" s="4" t="n"/>
      <c r="AH835" s="5">
        <f>IF($AG835="","",IF((IFERROR(INDEX('ASIGNACIONES'!$J$4:$J$451,MATCH($O835&amp;"|"&amp;$S835&amp;"|"&amp;$AG835,'ASIGNACIONES'!$N$4:$N$451,0)),""))=0,"",IFERROR(INDEX('ASIGNACIONES'!$J$4:$J$451,MATCH($O835&amp;"|"&amp;$S835&amp;"|"&amp;$AG835,'ASIGNACIONES'!$N$4:$N$451,0)),"")))</f>
        <v/>
      </c>
      <c r="AI835" s="25">
        <f>IF($AG835="","",SUMIFS('ORDENES'!$M$4:$M$1203,'ORDENES'!$AG$4:$AG$1203,$AG835,'ORDENES'!$O$4:$O$1203,$O835,'ORDENES'!$S$4:$S$1203,$S835))</f>
        <v/>
      </c>
      <c r="AJ835" s="25">
        <f>IF($AI835="","",p_factor_productividad*IFERROR(INDEX('ASIGNACIONES'!$M$4:$M$451,MATCH($O835&amp;"|"&amp;$S835&amp;"|"&amp;$AG835,'ASIGNACIONES'!$N$4:$N$451,0)),0)-$AI835)</f>
        <v/>
      </c>
      <c r="AK835" s="18">
        <f>IF($A835="","",IFERROR(INDEX('2_IMPORTAR_EJECUCION'!$F$9:$F$1208,MATCH($AT835,'2_IMPORTAR_EJECUCION'!$J$9:$J$1208,0)),0))</f>
        <v/>
      </c>
      <c r="AL835" s="18">
        <f>IF($A835="","",MAX(0,IFERROR(INDEX('2_IMPORTAR_EJECUCION'!$H$9:$H$1208,MATCH($AT835,'2_IMPORTAR_EJECUCION'!$J$9:$J$1208,0)),0)-$AK835))</f>
        <v/>
      </c>
      <c r="AM835" s="18">
        <f>IF($A835="","",$AK835+$AL835)</f>
        <v/>
      </c>
      <c r="AN835" s="5">
        <f>IF($A835="","",IF(OR((IFERROR(INDEX('CAT_ACTIVIDADES'!$D$4:$D$11,MATCH($H835,'CAT_ACTIVIDADES'!$A$4:$A$11,0)),""))=0,(IFERROR(INDEX('CAT_ACTIVIDADES'!$D$4:$D$11,MATCH($H835,'CAT_ACTIVIDADES'!$A$4:$A$11,0)),""))=""),"SIN CLASIFICAR",IFERROR(INDEX('CAT_ACTIVIDADES'!$D$4:$D$11,MATCH($H835,'CAT_ACTIVIDADES'!$A$4:$A$11,0)),"")))</f>
        <v/>
      </c>
      <c r="AO835" s="4" t="n"/>
      <c r="AP835" s="4" t="n"/>
      <c r="AQ835" s="4" t="n"/>
      <c r="AR835" s="5">
        <f>IF($AQ835="","",HYPERLINK(p_ruta_base_checklists&amp;$AQ835,"abrir"))</f>
        <v/>
      </c>
      <c r="AS835" s="4" t="n"/>
      <c r="AT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2" t="n"/>
      <c r="K836" s="5" t="n"/>
      <c r="L836" s="18" t="n"/>
      <c r="M836" s="5">
        <f>IF($A836="","",IFERROR(INDEX('AJUSTES'!$B$4:$B$303,MATCH($AT836,'AJUSTES'!$A$4:$A$303,0)),IF($K836="","",$K836)))</f>
        <v/>
      </c>
      <c r="N836" s="5">
        <f>IF($A836="","",IFERROR(INDEX('CAT_ESTADOS_ERP'!$B$4:$B$7,MATCH(IFERROR(INDEX('2_IMPORTAR_EJECUCION'!$C$9:$C$1208,MATCH($AT836,'2_IMPORTAR_EJECUCION'!$J$9:$J$1208,0)),""),'CAT_ESTADOS_ERP'!$A$4:$A$7,0)),"Pendiente"))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IF($J836="","",$P836&amp;"-"&amp;TEXT($Q836,"00"))</f>
        <v/>
      </c>
      <c r="S836" s="5">
        <f>IF($J836="","",INDEX(lista_dias,WEEKDAY($J836,2)))</f>
        <v/>
      </c>
      <c r="T836" s="5">
        <f>IF($J836="","",IFERROR(INDEX('CALENDARIO'!$C$15:$C$214,MATCH(TEXT($J836,"yyyy-mm-dd")&amp;"|"&amp;$X836&amp;"|"&amp;$Y836,'CALENDARIO'!$G$15:$G$214,0)),IFERROR(INDEX('CALENDARIO'!$C$15:$C$214,MATCH(TEXT($J836,"yyyy-mm-dd")&amp;"|"&amp;$X836&amp;"|",'CALENDARIO'!$G$15:$G$214,0)),IFERROR(INDEX('CALENDARIO'!$C$15:$C$214,MATCH(TEXT($J836,"yyyy-mm-dd")&amp;"||",'CALENDARIO'!$G$15:$G$214,0)),INDEX(patronHabil,WEEKDAY($J836,2))))))</f>
        <v/>
      </c>
      <c r="U836" s="5">
        <f>IF($I836="","",IFERROR(INDEX('CAT_TIPOS_OT'!$C$4:$C$8,MATCH($I836,'CAT_TIPOS_OT'!$A$4:$A$8,0)),"sin_clasificar"))</f>
        <v/>
      </c>
      <c r="V836" s="5">
        <f>IF($I836="","",IF(IFERROR(INDEX('CAT_TIPOS_OT'!$D$4:$D$8,MATCH($I836,'CAT_TIPOS_OT'!$A$4:$A$8,0)),"SIN CLASIFICAR")="","SIN CLASIFICAR",IFERROR(INDEX('CAT_TIPOS_OT'!$D$4:$D$8,MATCH($I836,'CAT_TIPOS_OT'!$A$4:$A$8,0)),"SIN CLASIFICAR")))</f>
        <v/>
      </c>
      <c r="W836" s="5">
        <f>IF($F836="","",IFERROR(INDEX('CAT_CENTROS_COSTO'!$F$4:$F$13,MATCH($F836,'CAT_CENTROS_COSTO'!$A$4:$A$13,0)),"(sin catálogo)"))</f>
        <v/>
      </c>
      <c r="X836" s="5">
        <f>IF($F836="","",IFERROR(INDEX('CAT_CENTROS_COSTO'!$D$4:$D$13,MATCH($F836,'CAT_CENTROS_COSTO'!$A$4:$A$13,0)),"(sin catálogo)"))</f>
        <v/>
      </c>
      <c r="Y836" s="5">
        <f>IF($F836="","",IF((IFERROR(INDEX('CAT_CENTROS_COSTO'!$E$4:$E$13,MATCH($F836,'CAT_CENTROS_COSTO'!$A$4:$A$13,0)),""))&lt;&gt;"",IFERROR(INDEX('CAT_CENTROS_COSTO'!$E$4:$E$13,MATCH($F836,'CAT_CENTROS_COSTO'!$A$4:$A$13,0)),""),$X836))</f>
        <v/>
      </c>
      <c r="Z836" s="5">
        <f>IF($F836="","",IFERROR(INDEX('CAT_CENTROS_COSTO'!$G$4:$G$13,MATCH($F836,'CAT_CENTROS_COSTO'!$A$4:$A$13,0)),"(sin catálogo)"))</f>
        <v/>
      </c>
      <c r="AA836" s="5">
        <f>IF($G836="","",IFERROR(INDEX('CAT_PUESTOS'!$B$4:$B$8,MATCH($G836,'CAT_PUESTOS'!$A$4:$A$8,0)),"(sin catálogo)"))</f>
        <v/>
      </c>
      <c r="AB836" s="5">
        <f>IF($H836="","",IFERROR(INDEX('CAT_ACTIVIDADES'!$B$4:$B$11,MATCH($H836,'CAT_ACTIVIDADES'!$A$4:$A$11,0)),"(sin catálogo)"))</f>
        <v/>
      </c>
      <c r="AC836" s="20">
        <f>IF($J836="","",TODAY()-$J836)</f>
        <v/>
      </c>
      <c r="AD836" s="20">
        <f>IF($J836="","",IF($J836&lt;=TODAY(),COUNTIFS(cal_fechas,"&gt;="&amp;$J836,cal_fechas,"&lt;"&amp;TODAY(),cal_habil,"sí"),-COUNTIFS(cal_fechas,"&gt;="&amp;TODAY(),cal_fechas,"&lt;"&amp;$J836,cal_habil,"sí")))</f>
        <v/>
      </c>
      <c r="AE836" s="5">
        <f>IF($AD836="","",IF($AD836&lt;0,"FUTURO",IF($AD836&gt;p_dias_backlog_max,"BACKLOG","MES CORRIENTE")))</f>
        <v/>
      </c>
      <c r="AF836" s="5">
        <f>IF($AD836="",FALSE,AND($AD836&gt;p_dias_backlog_min,$AD836&lt;=p_dias_backlog_max))</f>
        <v/>
      </c>
      <c r="AG836" s="4" t="n"/>
      <c r="AH836" s="5">
        <f>IF($AG836="","",IF((IFERROR(INDEX('ASIGNACIONES'!$J$4:$J$451,MATCH($O836&amp;"|"&amp;$S836&amp;"|"&amp;$AG836,'ASIGNACIONES'!$N$4:$N$451,0)),""))=0,"",IFERROR(INDEX('ASIGNACIONES'!$J$4:$J$451,MATCH($O836&amp;"|"&amp;$S836&amp;"|"&amp;$AG836,'ASIGNACIONES'!$N$4:$N$451,0)),"")))</f>
        <v/>
      </c>
      <c r="AI836" s="25">
        <f>IF($AG836="","",SUMIFS('ORDENES'!$M$4:$M$1203,'ORDENES'!$AG$4:$AG$1203,$AG836,'ORDENES'!$O$4:$O$1203,$O836,'ORDENES'!$S$4:$S$1203,$S836))</f>
        <v/>
      </c>
      <c r="AJ836" s="25">
        <f>IF($AI836="","",p_factor_productividad*IFERROR(INDEX('ASIGNACIONES'!$M$4:$M$451,MATCH($O836&amp;"|"&amp;$S836&amp;"|"&amp;$AG836,'ASIGNACIONES'!$N$4:$N$451,0)),0)-$AI836)</f>
        <v/>
      </c>
      <c r="AK836" s="18">
        <f>IF($A836="","",IFERROR(INDEX('2_IMPORTAR_EJECUCION'!$F$9:$F$1208,MATCH($AT836,'2_IMPORTAR_EJECUCION'!$J$9:$J$1208,0)),0))</f>
        <v/>
      </c>
      <c r="AL836" s="18">
        <f>IF($A836="","",MAX(0,IFERROR(INDEX('2_IMPORTAR_EJECUCION'!$H$9:$H$1208,MATCH($AT836,'2_IMPORTAR_EJECUCION'!$J$9:$J$1208,0)),0)-$AK836))</f>
        <v/>
      </c>
      <c r="AM836" s="18">
        <f>IF($A836="","",$AK836+$AL836)</f>
        <v/>
      </c>
      <c r="AN836" s="5">
        <f>IF($A836="","",IF(OR((IFERROR(INDEX('CAT_ACTIVIDADES'!$D$4:$D$11,MATCH($H836,'CAT_ACTIVIDADES'!$A$4:$A$11,0)),""))=0,(IFERROR(INDEX('CAT_ACTIVIDADES'!$D$4:$D$11,MATCH($H836,'CAT_ACTIVIDADES'!$A$4:$A$11,0)),""))=""),"SIN CLASIFICAR",IFERROR(INDEX('CAT_ACTIVIDADES'!$D$4:$D$11,MATCH($H836,'CAT_ACTIVIDADES'!$A$4:$A$11,0)),"")))</f>
        <v/>
      </c>
      <c r="AO836" s="4" t="n"/>
      <c r="AP836" s="4" t="n"/>
      <c r="AQ836" s="4" t="n"/>
      <c r="AR836" s="5">
        <f>IF($AQ836="","",HYPERLINK(p_ruta_base_checklists&amp;$AQ836,"abrir"))</f>
        <v/>
      </c>
      <c r="AS836" s="4" t="n"/>
      <c r="AT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2" t="n"/>
      <c r="K837" s="5" t="n"/>
      <c r="L837" s="18" t="n"/>
      <c r="M837" s="5">
        <f>IF($A837="","",IFERROR(INDEX('AJUSTES'!$B$4:$B$303,MATCH($AT837,'AJUSTES'!$A$4:$A$303,0)),IF($K837="","",$K837)))</f>
        <v/>
      </c>
      <c r="N837" s="5">
        <f>IF($A837="","",IFERROR(INDEX('CAT_ESTADOS_ERP'!$B$4:$B$7,MATCH(IFERROR(INDEX('2_IMPORTAR_EJECUCION'!$C$9:$C$1208,MATCH($AT837,'2_IMPORTAR_EJECUCION'!$J$9:$J$1208,0)),""),'CAT_ESTADOS_ERP'!$A$4:$A$7,0)),"Pendiente"))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IF($J837="","",$P837&amp;"-"&amp;TEXT($Q837,"00"))</f>
        <v/>
      </c>
      <c r="S837" s="5">
        <f>IF($J837="","",INDEX(lista_dias,WEEKDAY($J837,2)))</f>
        <v/>
      </c>
      <c r="T837" s="5">
        <f>IF($J837="","",IFERROR(INDEX('CALENDARIO'!$C$15:$C$214,MATCH(TEXT($J837,"yyyy-mm-dd")&amp;"|"&amp;$X837&amp;"|"&amp;$Y837,'CALENDARIO'!$G$15:$G$214,0)),IFERROR(INDEX('CALENDARIO'!$C$15:$C$214,MATCH(TEXT($J837,"yyyy-mm-dd")&amp;"|"&amp;$X837&amp;"|",'CALENDARIO'!$G$15:$G$214,0)),IFERROR(INDEX('CALENDARIO'!$C$15:$C$214,MATCH(TEXT($J837,"yyyy-mm-dd")&amp;"||",'CALENDARIO'!$G$15:$G$214,0)),INDEX(patronHabil,WEEKDAY($J837,2))))))</f>
        <v/>
      </c>
      <c r="U837" s="5">
        <f>IF($I837="","",IFERROR(INDEX('CAT_TIPOS_OT'!$C$4:$C$8,MATCH($I837,'CAT_TIPOS_OT'!$A$4:$A$8,0)),"sin_clasificar"))</f>
        <v/>
      </c>
      <c r="V837" s="5">
        <f>IF($I837="","",IF(IFERROR(INDEX('CAT_TIPOS_OT'!$D$4:$D$8,MATCH($I837,'CAT_TIPOS_OT'!$A$4:$A$8,0)),"SIN CLASIFICAR")="","SIN CLASIFICAR",IFERROR(INDEX('CAT_TIPOS_OT'!$D$4:$D$8,MATCH($I837,'CAT_TIPOS_OT'!$A$4:$A$8,0)),"SIN CLASIFICAR")))</f>
        <v/>
      </c>
      <c r="W837" s="5">
        <f>IF($F837="","",IFERROR(INDEX('CAT_CENTROS_COSTO'!$F$4:$F$13,MATCH($F837,'CAT_CENTROS_COSTO'!$A$4:$A$13,0)),"(sin catálogo)"))</f>
        <v/>
      </c>
      <c r="X837" s="5">
        <f>IF($F837="","",IFERROR(INDEX('CAT_CENTROS_COSTO'!$D$4:$D$13,MATCH($F837,'CAT_CENTROS_COSTO'!$A$4:$A$13,0)),"(sin catálogo)"))</f>
        <v/>
      </c>
      <c r="Y837" s="5">
        <f>IF($F837="","",IF((IFERROR(INDEX('CAT_CENTROS_COSTO'!$E$4:$E$13,MATCH($F837,'CAT_CENTROS_COSTO'!$A$4:$A$13,0)),""))&lt;&gt;"",IFERROR(INDEX('CAT_CENTROS_COSTO'!$E$4:$E$13,MATCH($F837,'CAT_CENTROS_COSTO'!$A$4:$A$13,0)),""),$X837))</f>
        <v/>
      </c>
      <c r="Z837" s="5">
        <f>IF($F837="","",IFERROR(INDEX('CAT_CENTROS_COSTO'!$G$4:$G$13,MATCH($F837,'CAT_CENTROS_COSTO'!$A$4:$A$13,0)),"(sin catálogo)"))</f>
        <v/>
      </c>
      <c r="AA837" s="5">
        <f>IF($G837="","",IFERROR(INDEX('CAT_PUESTOS'!$B$4:$B$8,MATCH($G837,'CAT_PUESTOS'!$A$4:$A$8,0)),"(sin catálogo)"))</f>
        <v/>
      </c>
      <c r="AB837" s="5">
        <f>IF($H837="","",IFERROR(INDEX('CAT_ACTIVIDADES'!$B$4:$B$11,MATCH($H837,'CAT_ACTIVIDADES'!$A$4:$A$11,0)),"(sin catálogo)"))</f>
        <v/>
      </c>
      <c r="AC837" s="20">
        <f>IF($J837="","",TODAY()-$J837)</f>
        <v/>
      </c>
      <c r="AD837" s="20">
        <f>IF($J837="","",IF($J837&lt;=TODAY(),COUNTIFS(cal_fechas,"&gt;="&amp;$J837,cal_fechas,"&lt;"&amp;TODAY(),cal_habil,"sí"),-COUNTIFS(cal_fechas,"&gt;="&amp;TODAY(),cal_fechas,"&lt;"&amp;$J837,cal_habil,"sí")))</f>
        <v/>
      </c>
      <c r="AE837" s="5">
        <f>IF($AD837="","",IF($AD837&lt;0,"FUTURO",IF($AD837&gt;p_dias_backlog_max,"BACKLOG","MES CORRIENTE")))</f>
        <v/>
      </c>
      <c r="AF837" s="5">
        <f>IF($AD837="",FALSE,AND($AD837&gt;p_dias_backlog_min,$AD837&lt;=p_dias_backlog_max))</f>
        <v/>
      </c>
      <c r="AG837" s="4" t="n"/>
      <c r="AH837" s="5">
        <f>IF($AG837="","",IF((IFERROR(INDEX('ASIGNACIONES'!$J$4:$J$451,MATCH($O837&amp;"|"&amp;$S837&amp;"|"&amp;$AG837,'ASIGNACIONES'!$N$4:$N$451,0)),""))=0,"",IFERROR(INDEX('ASIGNACIONES'!$J$4:$J$451,MATCH($O837&amp;"|"&amp;$S837&amp;"|"&amp;$AG837,'ASIGNACIONES'!$N$4:$N$451,0)),"")))</f>
        <v/>
      </c>
      <c r="AI837" s="25">
        <f>IF($AG837="","",SUMIFS('ORDENES'!$M$4:$M$1203,'ORDENES'!$AG$4:$AG$1203,$AG837,'ORDENES'!$O$4:$O$1203,$O837,'ORDENES'!$S$4:$S$1203,$S837))</f>
        <v/>
      </c>
      <c r="AJ837" s="25">
        <f>IF($AI837="","",p_factor_productividad*IFERROR(INDEX('ASIGNACIONES'!$M$4:$M$451,MATCH($O837&amp;"|"&amp;$S837&amp;"|"&amp;$AG837,'ASIGNACIONES'!$N$4:$N$451,0)),0)-$AI837)</f>
        <v/>
      </c>
      <c r="AK837" s="18">
        <f>IF($A837="","",IFERROR(INDEX('2_IMPORTAR_EJECUCION'!$F$9:$F$1208,MATCH($AT837,'2_IMPORTAR_EJECUCION'!$J$9:$J$1208,0)),0))</f>
        <v/>
      </c>
      <c r="AL837" s="18">
        <f>IF($A837="","",MAX(0,IFERROR(INDEX('2_IMPORTAR_EJECUCION'!$H$9:$H$1208,MATCH($AT837,'2_IMPORTAR_EJECUCION'!$J$9:$J$1208,0)),0)-$AK837))</f>
        <v/>
      </c>
      <c r="AM837" s="18">
        <f>IF($A837="","",$AK837+$AL837)</f>
        <v/>
      </c>
      <c r="AN837" s="5">
        <f>IF($A837="","",IF(OR((IFERROR(INDEX('CAT_ACTIVIDADES'!$D$4:$D$11,MATCH($H837,'CAT_ACTIVIDADES'!$A$4:$A$11,0)),""))=0,(IFERROR(INDEX('CAT_ACTIVIDADES'!$D$4:$D$11,MATCH($H837,'CAT_ACTIVIDADES'!$A$4:$A$11,0)),""))=""),"SIN CLASIFICAR",IFERROR(INDEX('CAT_ACTIVIDADES'!$D$4:$D$11,MATCH($H837,'CAT_ACTIVIDADES'!$A$4:$A$11,0)),"")))</f>
        <v/>
      </c>
      <c r="AO837" s="4" t="n"/>
      <c r="AP837" s="4" t="n"/>
      <c r="AQ837" s="4" t="n"/>
      <c r="AR837" s="5">
        <f>IF($AQ837="","",HYPERLINK(p_ruta_base_checklists&amp;$AQ837,"abrir"))</f>
        <v/>
      </c>
      <c r="AS837" s="4" t="n"/>
      <c r="AT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2" t="n"/>
      <c r="K838" s="5" t="n"/>
      <c r="L838" s="18" t="n"/>
      <c r="M838" s="5">
        <f>IF($A838="","",IFERROR(INDEX('AJUSTES'!$B$4:$B$303,MATCH($AT838,'AJUSTES'!$A$4:$A$303,0)),IF($K838="","",$K838)))</f>
        <v/>
      </c>
      <c r="N838" s="5">
        <f>IF($A838="","",IFERROR(INDEX('CAT_ESTADOS_ERP'!$B$4:$B$7,MATCH(IFERROR(INDEX('2_IMPORTAR_EJECUCION'!$C$9:$C$1208,MATCH($AT838,'2_IMPORTAR_EJECUCION'!$J$9:$J$1208,0)),""),'CAT_ESTADOS_ERP'!$A$4:$A$7,0)),"Pendiente"))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IF($J838="","",$P838&amp;"-"&amp;TEXT($Q838,"00"))</f>
        <v/>
      </c>
      <c r="S838" s="5">
        <f>IF($J838="","",INDEX(lista_dias,WEEKDAY($J838,2)))</f>
        <v/>
      </c>
      <c r="T838" s="5">
        <f>IF($J838="","",IFERROR(INDEX('CALENDARIO'!$C$15:$C$214,MATCH(TEXT($J838,"yyyy-mm-dd")&amp;"|"&amp;$X838&amp;"|"&amp;$Y838,'CALENDARIO'!$G$15:$G$214,0)),IFERROR(INDEX('CALENDARIO'!$C$15:$C$214,MATCH(TEXT($J838,"yyyy-mm-dd")&amp;"|"&amp;$X838&amp;"|",'CALENDARIO'!$G$15:$G$214,0)),IFERROR(INDEX('CALENDARIO'!$C$15:$C$214,MATCH(TEXT($J838,"yyyy-mm-dd")&amp;"||",'CALENDARIO'!$G$15:$G$214,0)),INDEX(patronHabil,WEEKDAY($J838,2))))))</f>
        <v/>
      </c>
      <c r="U838" s="5">
        <f>IF($I838="","",IFERROR(INDEX('CAT_TIPOS_OT'!$C$4:$C$8,MATCH($I838,'CAT_TIPOS_OT'!$A$4:$A$8,0)),"sin_clasificar"))</f>
        <v/>
      </c>
      <c r="V838" s="5">
        <f>IF($I838="","",IF(IFERROR(INDEX('CAT_TIPOS_OT'!$D$4:$D$8,MATCH($I838,'CAT_TIPOS_OT'!$A$4:$A$8,0)),"SIN CLASIFICAR")="","SIN CLASIFICAR",IFERROR(INDEX('CAT_TIPOS_OT'!$D$4:$D$8,MATCH($I838,'CAT_TIPOS_OT'!$A$4:$A$8,0)),"SIN CLASIFICAR")))</f>
        <v/>
      </c>
      <c r="W838" s="5">
        <f>IF($F838="","",IFERROR(INDEX('CAT_CENTROS_COSTO'!$F$4:$F$13,MATCH($F838,'CAT_CENTROS_COSTO'!$A$4:$A$13,0)),"(sin catálogo)"))</f>
        <v/>
      </c>
      <c r="X838" s="5">
        <f>IF($F838="","",IFERROR(INDEX('CAT_CENTROS_COSTO'!$D$4:$D$13,MATCH($F838,'CAT_CENTROS_COSTO'!$A$4:$A$13,0)),"(sin catálogo)"))</f>
        <v/>
      </c>
      <c r="Y838" s="5">
        <f>IF($F838="","",IF((IFERROR(INDEX('CAT_CENTROS_COSTO'!$E$4:$E$13,MATCH($F838,'CAT_CENTROS_COSTO'!$A$4:$A$13,0)),""))&lt;&gt;"",IFERROR(INDEX('CAT_CENTROS_COSTO'!$E$4:$E$13,MATCH($F838,'CAT_CENTROS_COSTO'!$A$4:$A$13,0)),""),$X838))</f>
        <v/>
      </c>
      <c r="Z838" s="5">
        <f>IF($F838="","",IFERROR(INDEX('CAT_CENTROS_COSTO'!$G$4:$G$13,MATCH($F838,'CAT_CENTROS_COSTO'!$A$4:$A$13,0)),"(sin catálogo)"))</f>
        <v/>
      </c>
      <c r="AA838" s="5">
        <f>IF($G838="","",IFERROR(INDEX('CAT_PUESTOS'!$B$4:$B$8,MATCH($G838,'CAT_PUESTOS'!$A$4:$A$8,0)),"(sin catálogo)"))</f>
        <v/>
      </c>
      <c r="AB838" s="5">
        <f>IF($H838="","",IFERROR(INDEX('CAT_ACTIVIDADES'!$B$4:$B$11,MATCH($H838,'CAT_ACTIVIDADES'!$A$4:$A$11,0)),"(sin catálogo)"))</f>
        <v/>
      </c>
      <c r="AC838" s="20">
        <f>IF($J838="","",TODAY()-$J838)</f>
        <v/>
      </c>
      <c r="AD838" s="20">
        <f>IF($J838="","",IF($J838&lt;=TODAY(),COUNTIFS(cal_fechas,"&gt;="&amp;$J838,cal_fechas,"&lt;"&amp;TODAY(),cal_habil,"sí"),-COUNTIFS(cal_fechas,"&gt;="&amp;TODAY(),cal_fechas,"&lt;"&amp;$J838,cal_habil,"sí")))</f>
        <v/>
      </c>
      <c r="AE838" s="5">
        <f>IF($AD838="","",IF($AD838&lt;0,"FUTURO",IF($AD838&gt;p_dias_backlog_max,"BACKLOG","MES CORRIENTE")))</f>
        <v/>
      </c>
      <c r="AF838" s="5">
        <f>IF($AD838="",FALSE,AND($AD838&gt;p_dias_backlog_min,$AD838&lt;=p_dias_backlog_max))</f>
        <v/>
      </c>
      <c r="AG838" s="4" t="n"/>
      <c r="AH838" s="5">
        <f>IF($AG838="","",IF((IFERROR(INDEX('ASIGNACIONES'!$J$4:$J$451,MATCH($O838&amp;"|"&amp;$S838&amp;"|"&amp;$AG838,'ASIGNACIONES'!$N$4:$N$451,0)),""))=0,"",IFERROR(INDEX('ASIGNACIONES'!$J$4:$J$451,MATCH($O838&amp;"|"&amp;$S838&amp;"|"&amp;$AG838,'ASIGNACIONES'!$N$4:$N$451,0)),"")))</f>
        <v/>
      </c>
      <c r="AI838" s="25">
        <f>IF($AG838="","",SUMIFS('ORDENES'!$M$4:$M$1203,'ORDENES'!$AG$4:$AG$1203,$AG838,'ORDENES'!$O$4:$O$1203,$O838,'ORDENES'!$S$4:$S$1203,$S838))</f>
        <v/>
      </c>
      <c r="AJ838" s="25">
        <f>IF($AI838="","",p_factor_productividad*IFERROR(INDEX('ASIGNACIONES'!$M$4:$M$451,MATCH($O838&amp;"|"&amp;$S838&amp;"|"&amp;$AG838,'ASIGNACIONES'!$N$4:$N$451,0)),0)-$AI838)</f>
        <v/>
      </c>
      <c r="AK838" s="18">
        <f>IF($A838="","",IFERROR(INDEX('2_IMPORTAR_EJECUCION'!$F$9:$F$1208,MATCH($AT838,'2_IMPORTAR_EJECUCION'!$J$9:$J$1208,0)),0))</f>
        <v/>
      </c>
      <c r="AL838" s="18">
        <f>IF($A838="","",MAX(0,IFERROR(INDEX('2_IMPORTAR_EJECUCION'!$H$9:$H$1208,MATCH($AT838,'2_IMPORTAR_EJECUCION'!$J$9:$J$1208,0)),0)-$AK838))</f>
        <v/>
      </c>
      <c r="AM838" s="18">
        <f>IF($A838="","",$AK838+$AL838)</f>
        <v/>
      </c>
      <c r="AN838" s="5">
        <f>IF($A838="","",IF(OR((IFERROR(INDEX('CAT_ACTIVIDADES'!$D$4:$D$11,MATCH($H838,'CAT_ACTIVIDADES'!$A$4:$A$11,0)),""))=0,(IFERROR(INDEX('CAT_ACTIVIDADES'!$D$4:$D$11,MATCH($H838,'CAT_ACTIVIDADES'!$A$4:$A$11,0)),""))=""),"SIN CLASIFICAR",IFERROR(INDEX('CAT_ACTIVIDADES'!$D$4:$D$11,MATCH($H838,'CAT_ACTIVIDADES'!$A$4:$A$11,0)),"")))</f>
        <v/>
      </c>
      <c r="AO838" s="4" t="n"/>
      <c r="AP838" s="4" t="n"/>
      <c r="AQ838" s="4" t="n"/>
      <c r="AR838" s="5">
        <f>IF($AQ838="","",HYPERLINK(p_ruta_base_checklists&amp;$AQ838,"abrir"))</f>
        <v/>
      </c>
      <c r="AS838" s="4" t="n"/>
      <c r="AT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2" t="n"/>
      <c r="K839" s="5" t="n"/>
      <c r="L839" s="18" t="n"/>
      <c r="M839" s="5">
        <f>IF($A839="","",IFERROR(INDEX('AJUSTES'!$B$4:$B$303,MATCH($AT839,'AJUSTES'!$A$4:$A$303,0)),IF($K839="","",$K839)))</f>
        <v/>
      </c>
      <c r="N839" s="5">
        <f>IF($A839="","",IFERROR(INDEX('CAT_ESTADOS_ERP'!$B$4:$B$7,MATCH(IFERROR(INDEX('2_IMPORTAR_EJECUCION'!$C$9:$C$1208,MATCH($AT839,'2_IMPORTAR_EJECUCION'!$J$9:$J$1208,0)),""),'CAT_ESTADOS_ERP'!$A$4:$A$7,0)),"Pendiente"))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IF($J839="","",$P839&amp;"-"&amp;TEXT($Q839,"00"))</f>
        <v/>
      </c>
      <c r="S839" s="5">
        <f>IF($J839="","",INDEX(lista_dias,WEEKDAY($J839,2)))</f>
        <v/>
      </c>
      <c r="T839" s="5">
        <f>IF($J839="","",IFERROR(INDEX('CALENDARIO'!$C$15:$C$214,MATCH(TEXT($J839,"yyyy-mm-dd")&amp;"|"&amp;$X839&amp;"|"&amp;$Y839,'CALENDARIO'!$G$15:$G$214,0)),IFERROR(INDEX('CALENDARIO'!$C$15:$C$214,MATCH(TEXT($J839,"yyyy-mm-dd")&amp;"|"&amp;$X839&amp;"|",'CALENDARIO'!$G$15:$G$214,0)),IFERROR(INDEX('CALENDARIO'!$C$15:$C$214,MATCH(TEXT($J839,"yyyy-mm-dd")&amp;"||",'CALENDARIO'!$G$15:$G$214,0)),INDEX(patronHabil,WEEKDAY($J839,2))))))</f>
        <v/>
      </c>
      <c r="U839" s="5">
        <f>IF($I839="","",IFERROR(INDEX('CAT_TIPOS_OT'!$C$4:$C$8,MATCH($I839,'CAT_TIPOS_OT'!$A$4:$A$8,0)),"sin_clasificar"))</f>
        <v/>
      </c>
      <c r="V839" s="5">
        <f>IF($I839="","",IF(IFERROR(INDEX('CAT_TIPOS_OT'!$D$4:$D$8,MATCH($I839,'CAT_TIPOS_OT'!$A$4:$A$8,0)),"SIN CLASIFICAR")="","SIN CLASIFICAR",IFERROR(INDEX('CAT_TIPOS_OT'!$D$4:$D$8,MATCH($I839,'CAT_TIPOS_OT'!$A$4:$A$8,0)),"SIN CLASIFICAR")))</f>
        <v/>
      </c>
      <c r="W839" s="5">
        <f>IF($F839="","",IFERROR(INDEX('CAT_CENTROS_COSTO'!$F$4:$F$13,MATCH($F839,'CAT_CENTROS_COSTO'!$A$4:$A$13,0)),"(sin catálogo)"))</f>
        <v/>
      </c>
      <c r="X839" s="5">
        <f>IF($F839="","",IFERROR(INDEX('CAT_CENTROS_COSTO'!$D$4:$D$13,MATCH($F839,'CAT_CENTROS_COSTO'!$A$4:$A$13,0)),"(sin catálogo)"))</f>
        <v/>
      </c>
      <c r="Y839" s="5">
        <f>IF($F839="","",IF((IFERROR(INDEX('CAT_CENTROS_COSTO'!$E$4:$E$13,MATCH($F839,'CAT_CENTROS_COSTO'!$A$4:$A$13,0)),""))&lt;&gt;"",IFERROR(INDEX('CAT_CENTROS_COSTO'!$E$4:$E$13,MATCH($F839,'CAT_CENTROS_COSTO'!$A$4:$A$13,0)),""),$X839))</f>
        <v/>
      </c>
      <c r="Z839" s="5">
        <f>IF($F839="","",IFERROR(INDEX('CAT_CENTROS_COSTO'!$G$4:$G$13,MATCH($F839,'CAT_CENTROS_COSTO'!$A$4:$A$13,0)),"(sin catálogo)"))</f>
        <v/>
      </c>
      <c r="AA839" s="5">
        <f>IF($G839="","",IFERROR(INDEX('CAT_PUESTOS'!$B$4:$B$8,MATCH($G839,'CAT_PUESTOS'!$A$4:$A$8,0)),"(sin catálogo)"))</f>
        <v/>
      </c>
      <c r="AB839" s="5">
        <f>IF($H839="","",IFERROR(INDEX('CAT_ACTIVIDADES'!$B$4:$B$11,MATCH($H839,'CAT_ACTIVIDADES'!$A$4:$A$11,0)),"(sin catálogo)"))</f>
        <v/>
      </c>
      <c r="AC839" s="20">
        <f>IF($J839="","",TODAY()-$J839)</f>
        <v/>
      </c>
      <c r="AD839" s="20">
        <f>IF($J839="","",IF($J839&lt;=TODAY(),COUNTIFS(cal_fechas,"&gt;="&amp;$J839,cal_fechas,"&lt;"&amp;TODAY(),cal_habil,"sí"),-COUNTIFS(cal_fechas,"&gt;="&amp;TODAY(),cal_fechas,"&lt;"&amp;$J839,cal_habil,"sí")))</f>
        <v/>
      </c>
      <c r="AE839" s="5">
        <f>IF($AD839="","",IF($AD839&lt;0,"FUTURO",IF($AD839&gt;p_dias_backlog_max,"BACKLOG","MES CORRIENTE")))</f>
        <v/>
      </c>
      <c r="AF839" s="5">
        <f>IF($AD839="",FALSE,AND($AD839&gt;p_dias_backlog_min,$AD839&lt;=p_dias_backlog_max))</f>
        <v/>
      </c>
      <c r="AG839" s="4" t="n"/>
      <c r="AH839" s="5">
        <f>IF($AG839="","",IF((IFERROR(INDEX('ASIGNACIONES'!$J$4:$J$451,MATCH($O839&amp;"|"&amp;$S839&amp;"|"&amp;$AG839,'ASIGNACIONES'!$N$4:$N$451,0)),""))=0,"",IFERROR(INDEX('ASIGNACIONES'!$J$4:$J$451,MATCH($O839&amp;"|"&amp;$S839&amp;"|"&amp;$AG839,'ASIGNACIONES'!$N$4:$N$451,0)),"")))</f>
        <v/>
      </c>
      <c r="AI839" s="25">
        <f>IF($AG839="","",SUMIFS('ORDENES'!$M$4:$M$1203,'ORDENES'!$AG$4:$AG$1203,$AG839,'ORDENES'!$O$4:$O$1203,$O839,'ORDENES'!$S$4:$S$1203,$S839))</f>
        <v/>
      </c>
      <c r="AJ839" s="25">
        <f>IF($AI839="","",p_factor_productividad*IFERROR(INDEX('ASIGNACIONES'!$M$4:$M$451,MATCH($O839&amp;"|"&amp;$S839&amp;"|"&amp;$AG839,'ASIGNACIONES'!$N$4:$N$451,0)),0)-$AI839)</f>
        <v/>
      </c>
      <c r="AK839" s="18">
        <f>IF($A839="","",IFERROR(INDEX('2_IMPORTAR_EJECUCION'!$F$9:$F$1208,MATCH($AT839,'2_IMPORTAR_EJECUCION'!$J$9:$J$1208,0)),0))</f>
        <v/>
      </c>
      <c r="AL839" s="18">
        <f>IF($A839="","",MAX(0,IFERROR(INDEX('2_IMPORTAR_EJECUCION'!$H$9:$H$1208,MATCH($AT839,'2_IMPORTAR_EJECUCION'!$J$9:$J$1208,0)),0)-$AK839))</f>
        <v/>
      </c>
      <c r="AM839" s="18">
        <f>IF($A839="","",$AK839+$AL839)</f>
        <v/>
      </c>
      <c r="AN839" s="5">
        <f>IF($A839="","",IF(OR((IFERROR(INDEX('CAT_ACTIVIDADES'!$D$4:$D$11,MATCH($H839,'CAT_ACTIVIDADES'!$A$4:$A$11,0)),""))=0,(IFERROR(INDEX('CAT_ACTIVIDADES'!$D$4:$D$11,MATCH($H839,'CAT_ACTIVIDADES'!$A$4:$A$11,0)),""))=""),"SIN CLASIFICAR",IFERROR(INDEX('CAT_ACTIVIDADES'!$D$4:$D$11,MATCH($H839,'CAT_ACTIVIDADES'!$A$4:$A$11,0)),"")))</f>
        <v/>
      </c>
      <c r="AO839" s="4" t="n"/>
      <c r="AP839" s="4" t="n"/>
      <c r="AQ839" s="4" t="n"/>
      <c r="AR839" s="5">
        <f>IF($AQ839="","",HYPERLINK(p_ruta_base_checklists&amp;$AQ839,"abrir"))</f>
        <v/>
      </c>
      <c r="AS839" s="4" t="n"/>
      <c r="AT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2" t="n"/>
      <c r="K840" s="5" t="n"/>
      <c r="L840" s="18" t="n"/>
      <c r="M840" s="5">
        <f>IF($A840="","",IFERROR(INDEX('AJUSTES'!$B$4:$B$303,MATCH($AT840,'AJUSTES'!$A$4:$A$303,0)),IF($K840="","",$K840)))</f>
        <v/>
      </c>
      <c r="N840" s="5">
        <f>IF($A840="","",IFERROR(INDEX('CAT_ESTADOS_ERP'!$B$4:$B$7,MATCH(IFERROR(INDEX('2_IMPORTAR_EJECUCION'!$C$9:$C$1208,MATCH($AT840,'2_IMPORTAR_EJECUCION'!$J$9:$J$1208,0)),""),'CAT_ESTADOS_ERP'!$A$4:$A$7,0)),"Pendiente"))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IF($J840="","",$P840&amp;"-"&amp;TEXT($Q840,"00"))</f>
        <v/>
      </c>
      <c r="S840" s="5">
        <f>IF($J840="","",INDEX(lista_dias,WEEKDAY($J840,2)))</f>
        <v/>
      </c>
      <c r="T840" s="5">
        <f>IF($J840="","",IFERROR(INDEX('CALENDARIO'!$C$15:$C$214,MATCH(TEXT($J840,"yyyy-mm-dd")&amp;"|"&amp;$X840&amp;"|"&amp;$Y840,'CALENDARIO'!$G$15:$G$214,0)),IFERROR(INDEX('CALENDARIO'!$C$15:$C$214,MATCH(TEXT($J840,"yyyy-mm-dd")&amp;"|"&amp;$X840&amp;"|",'CALENDARIO'!$G$15:$G$214,0)),IFERROR(INDEX('CALENDARIO'!$C$15:$C$214,MATCH(TEXT($J840,"yyyy-mm-dd")&amp;"||",'CALENDARIO'!$G$15:$G$214,0)),INDEX(patronHabil,WEEKDAY($J840,2))))))</f>
        <v/>
      </c>
      <c r="U840" s="5">
        <f>IF($I840="","",IFERROR(INDEX('CAT_TIPOS_OT'!$C$4:$C$8,MATCH($I840,'CAT_TIPOS_OT'!$A$4:$A$8,0)),"sin_clasificar"))</f>
        <v/>
      </c>
      <c r="V840" s="5">
        <f>IF($I840="","",IF(IFERROR(INDEX('CAT_TIPOS_OT'!$D$4:$D$8,MATCH($I840,'CAT_TIPOS_OT'!$A$4:$A$8,0)),"SIN CLASIFICAR")="","SIN CLASIFICAR",IFERROR(INDEX('CAT_TIPOS_OT'!$D$4:$D$8,MATCH($I840,'CAT_TIPOS_OT'!$A$4:$A$8,0)),"SIN CLASIFICAR")))</f>
        <v/>
      </c>
      <c r="W840" s="5">
        <f>IF($F840="","",IFERROR(INDEX('CAT_CENTROS_COSTO'!$F$4:$F$13,MATCH($F840,'CAT_CENTROS_COSTO'!$A$4:$A$13,0)),"(sin catálogo)"))</f>
        <v/>
      </c>
      <c r="X840" s="5">
        <f>IF($F840="","",IFERROR(INDEX('CAT_CENTROS_COSTO'!$D$4:$D$13,MATCH($F840,'CAT_CENTROS_COSTO'!$A$4:$A$13,0)),"(sin catálogo)"))</f>
        <v/>
      </c>
      <c r="Y840" s="5">
        <f>IF($F840="","",IF((IFERROR(INDEX('CAT_CENTROS_COSTO'!$E$4:$E$13,MATCH($F840,'CAT_CENTROS_COSTO'!$A$4:$A$13,0)),""))&lt;&gt;"",IFERROR(INDEX('CAT_CENTROS_COSTO'!$E$4:$E$13,MATCH($F840,'CAT_CENTROS_COSTO'!$A$4:$A$13,0)),""),$X840))</f>
        <v/>
      </c>
      <c r="Z840" s="5">
        <f>IF($F840="","",IFERROR(INDEX('CAT_CENTROS_COSTO'!$G$4:$G$13,MATCH($F840,'CAT_CENTROS_COSTO'!$A$4:$A$13,0)),"(sin catálogo)"))</f>
        <v/>
      </c>
      <c r="AA840" s="5">
        <f>IF($G840="","",IFERROR(INDEX('CAT_PUESTOS'!$B$4:$B$8,MATCH($G840,'CAT_PUESTOS'!$A$4:$A$8,0)),"(sin catálogo)"))</f>
        <v/>
      </c>
      <c r="AB840" s="5">
        <f>IF($H840="","",IFERROR(INDEX('CAT_ACTIVIDADES'!$B$4:$B$11,MATCH($H840,'CAT_ACTIVIDADES'!$A$4:$A$11,0)),"(sin catálogo)"))</f>
        <v/>
      </c>
      <c r="AC840" s="20">
        <f>IF($J840="","",TODAY()-$J840)</f>
        <v/>
      </c>
      <c r="AD840" s="20">
        <f>IF($J840="","",IF($J840&lt;=TODAY(),COUNTIFS(cal_fechas,"&gt;="&amp;$J840,cal_fechas,"&lt;"&amp;TODAY(),cal_habil,"sí"),-COUNTIFS(cal_fechas,"&gt;="&amp;TODAY(),cal_fechas,"&lt;"&amp;$J840,cal_habil,"sí")))</f>
        <v/>
      </c>
      <c r="AE840" s="5">
        <f>IF($AD840="","",IF($AD840&lt;0,"FUTURO",IF($AD840&gt;p_dias_backlog_max,"BACKLOG","MES CORRIENTE")))</f>
        <v/>
      </c>
      <c r="AF840" s="5">
        <f>IF($AD840="",FALSE,AND($AD840&gt;p_dias_backlog_min,$AD840&lt;=p_dias_backlog_max))</f>
        <v/>
      </c>
      <c r="AG840" s="4" t="n"/>
      <c r="AH840" s="5">
        <f>IF($AG840="","",IF((IFERROR(INDEX('ASIGNACIONES'!$J$4:$J$451,MATCH($O840&amp;"|"&amp;$S840&amp;"|"&amp;$AG840,'ASIGNACIONES'!$N$4:$N$451,0)),""))=0,"",IFERROR(INDEX('ASIGNACIONES'!$J$4:$J$451,MATCH($O840&amp;"|"&amp;$S840&amp;"|"&amp;$AG840,'ASIGNACIONES'!$N$4:$N$451,0)),"")))</f>
        <v/>
      </c>
      <c r="AI840" s="25">
        <f>IF($AG840="","",SUMIFS('ORDENES'!$M$4:$M$1203,'ORDENES'!$AG$4:$AG$1203,$AG840,'ORDENES'!$O$4:$O$1203,$O840,'ORDENES'!$S$4:$S$1203,$S840))</f>
        <v/>
      </c>
      <c r="AJ840" s="25">
        <f>IF($AI840="","",p_factor_productividad*IFERROR(INDEX('ASIGNACIONES'!$M$4:$M$451,MATCH($O840&amp;"|"&amp;$S840&amp;"|"&amp;$AG840,'ASIGNACIONES'!$N$4:$N$451,0)),0)-$AI840)</f>
        <v/>
      </c>
      <c r="AK840" s="18">
        <f>IF($A840="","",IFERROR(INDEX('2_IMPORTAR_EJECUCION'!$F$9:$F$1208,MATCH($AT840,'2_IMPORTAR_EJECUCION'!$J$9:$J$1208,0)),0))</f>
        <v/>
      </c>
      <c r="AL840" s="18">
        <f>IF($A840="","",MAX(0,IFERROR(INDEX('2_IMPORTAR_EJECUCION'!$H$9:$H$1208,MATCH($AT840,'2_IMPORTAR_EJECUCION'!$J$9:$J$1208,0)),0)-$AK840))</f>
        <v/>
      </c>
      <c r="AM840" s="18">
        <f>IF($A840="","",$AK840+$AL840)</f>
        <v/>
      </c>
      <c r="AN840" s="5">
        <f>IF($A840="","",IF(OR((IFERROR(INDEX('CAT_ACTIVIDADES'!$D$4:$D$11,MATCH($H840,'CAT_ACTIVIDADES'!$A$4:$A$11,0)),""))=0,(IFERROR(INDEX('CAT_ACTIVIDADES'!$D$4:$D$11,MATCH($H840,'CAT_ACTIVIDADES'!$A$4:$A$11,0)),""))=""),"SIN CLASIFICAR",IFERROR(INDEX('CAT_ACTIVIDADES'!$D$4:$D$11,MATCH($H840,'CAT_ACTIVIDADES'!$A$4:$A$11,0)),"")))</f>
        <v/>
      </c>
      <c r="AO840" s="4" t="n"/>
      <c r="AP840" s="4" t="n"/>
      <c r="AQ840" s="4" t="n"/>
      <c r="AR840" s="5">
        <f>IF($AQ840="","",HYPERLINK(p_ruta_base_checklists&amp;$AQ840,"abrir"))</f>
        <v/>
      </c>
      <c r="AS840" s="4" t="n"/>
      <c r="AT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2" t="n"/>
      <c r="K841" s="5" t="n"/>
      <c r="L841" s="18" t="n"/>
      <c r="M841" s="5">
        <f>IF($A841="","",IFERROR(INDEX('AJUSTES'!$B$4:$B$303,MATCH($AT841,'AJUSTES'!$A$4:$A$303,0)),IF($K841="","",$K841)))</f>
        <v/>
      </c>
      <c r="N841" s="5">
        <f>IF($A841="","",IFERROR(INDEX('CAT_ESTADOS_ERP'!$B$4:$B$7,MATCH(IFERROR(INDEX('2_IMPORTAR_EJECUCION'!$C$9:$C$1208,MATCH($AT841,'2_IMPORTAR_EJECUCION'!$J$9:$J$1208,0)),""),'CAT_ESTADOS_ERP'!$A$4:$A$7,0)),"Pendiente"))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IF($J841="","",$P841&amp;"-"&amp;TEXT($Q841,"00"))</f>
        <v/>
      </c>
      <c r="S841" s="5">
        <f>IF($J841="","",INDEX(lista_dias,WEEKDAY($J841,2)))</f>
        <v/>
      </c>
      <c r="T841" s="5">
        <f>IF($J841="","",IFERROR(INDEX('CALENDARIO'!$C$15:$C$214,MATCH(TEXT($J841,"yyyy-mm-dd")&amp;"|"&amp;$X841&amp;"|"&amp;$Y841,'CALENDARIO'!$G$15:$G$214,0)),IFERROR(INDEX('CALENDARIO'!$C$15:$C$214,MATCH(TEXT($J841,"yyyy-mm-dd")&amp;"|"&amp;$X841&amp;"|",'CALENDARIO'!$G$15:$G$214,0)),IFERROR(INDEX('CALENDARIO'!$C$15:$C$214,MATCH(TEXT($J841,"yyyy-mm-dd")&amp;"||",'CALENDARIO'!$G$15:$G$214,0)),INDEX(patronHabil,WEEKDAY($J841,2))))))</f>
        <v/>
      </c>
      <c r="U841" s="5">
        <f>IF($I841="","",IFERROR(INDEX('CAT_TIPOS_OT'!$C$4:$C$8,MATCH($I841,'CAT_TIPOS_OT'!$A$4:$A$8,0)),"sin_clasificar"))</f>
        <v/>
      </c>
      <c r="V841" s="5">
        <f>IF($I841="","",IF(IFERROR(INDEX('CAT_TIPOS_OT'!$D$4:$D$8,MATCH($I841,'CAT_TIPOS_OT'!$A$4:$A$8,0)),"SIN CLASIFICAR")="","SIN CLASIFICAR",IFERROR(INDEX('CAT_TIPOS_OT'!$D$4:$D$8,MATCH($I841,'CAT_TIPOS_OT'!$A$4:$A$8,0)),"SIN CLASIFICAR")))</f>
        <v/>
      </c>
      <c r="W841" s="5">
        <f>IF($F841="","",IFERROR(INDEX('CAT_CENTROS_COSTO'!$F$4:$F$13,MATCH($F841,'CAT_CENTROS_COSTO'!$A$4:$A$13,0)),"(sin catálogo)"))</f>
        <v/>
      </c>
      <c r="X841" s="5">
        <f>IF($F841="","",IFERROR(INDEX('CAT_CENTROS_COSTO'!$D$4:$D$13,MATCH($F841,'CAT_CENTROS_COSTO'!$A$4:$A$13,0)),"(sin catálogo)"))</f>
        <v/>
      </c>
      <c r="Y841" s="5">
        <f>IF($F841="","",IF((IFERROR(INDEX('CAT_CENTROS_COSTO'!$E$4:$E$13,MATCH($F841,'CAT_CENTROS_COSTO'!$A$4:$A$13,0)),""))&lt;&gt;"",IFERROR(INDEX('CAT_CENTROS_COSTO'!$E$4:$E$13,MATCH($F841,'CAT_CENTROS_COSTO'!$A$4:$A$13,0)),""),$X841))</f>
        <v/>
      </c>
      <c r="Z841" s="5">
        <f>IF($F841="","",IFERROR(INDEX('CAT_CENTROS_COSTO'!$G$4:$G$13,MATCH($F841,'CAT_CENTROS_COSTO'!$A$4:$A$13,0)),"(sin catálogo)"))</f>
        <v/>
      </c>
      <c r="AA841" s="5">
        <f>IF($G841="","",IFERROR(INDEX('CAT_PUESTOS'!$B$4:$B$8,MATCH($G841,'CAT_PUESTOS'!$A$4:$A$8,0)),"(sin catálogo)"))</f>
        <v/>
      </c>
      <c r="AB841" s="5">
        <f>IF($H841="","",IFERROR(INDEX('CAT_ACTIVIDADES'!$B$4:$B$11,MATCH($H841,'CAT_ACTIVIDADES'!$A$4:$A$11,0)),"(sin catálogo)"))</f>
        <v/>
      </c>
      <c r="AC841" s="20">
        <f>IF($J841="","",TODAY()-$J841)</f>
        <v/>
      </c>
      <c r="AD841" s="20">
        <f>IF($J841="","",IF($J841&lt;=TODAY(),COUNTIFS(cal_fechas,"&gt;="&amp;$J841,cal_fechas,"&lt;"&amp;TODAY(),cal_habil,"sí"),-COUNTIFS(cal_fechas,"&gt;="&amp;TODAY(),cal_fechas,"&lt;"&amp;$J841,cal_habil,"sí")))</f>
        <v/>
      </c>
      <c r="AE841" s="5">
        <f>IF($AD841="","",IF($AD841&lt;0,"FUTURO",IF($AD841&gt;p_dias_backlog_max,"BACKLOG","MES CORRIENTE")))</f>
        <v/>
      </c>
      <c r="AF841" s="5">
        <f>IF($AD841="",FALSE,AND($AD841&gt;p_dias_backlog_min,$AD841&lt;=p_dias_backlog_max))</f>
        <v/>
      </c>
      <c r="AG841" s="4" t="n"/>
      <c r="AH841" s="5">
        <f>IF($AG841="","",IF((IFERROR(INDEX('ASIGNACIONES'!$J$4:$J$451,MATCH($O841&amp;"|"&amp;$S841&amp;"|"&amp;$AG841,'ASIGNACIONES'!$N$4:$N$451,0)),""))=0,"",IFERROR(INDEX('ASIGNACIONES'!$J$4:$J$451,MATCH($O841&amp;"|"&amp;$S841&amp;"|"&amp;$AG841,'ASIGNACIONES'!$N$4:$N$451,0)),"")))</f>
        <v/>
      </c>
      <c r="AI841" s="25">
        <f>IF($AG841="","",SUMIFS('ORDENES'!$M$4:$M$1203,'ORDENES'!$AG$4:$AG$1203,$AG841,'ORDENES'!$O$4:$O$1203,$O841,'ORDENES'!$S$4:$S$1203,$S841))</f>
        <v/>
      </c>
      <c r="AJ841" s="25">
        <f>IF($AI841="","",p_factor_productividad*IFERROR(INDEX('ASIGNACIONES'!$M$4:$M$451,MATCH($O841&amp;"|"&amp;$S841&amp;"|"&amp;$AG841,'ASIGNACIONES'!$N$4:$N$451,0)),0)-$AI841)</f>
        <v/>
      </c>
      <c r="AK841" s="18">
        <f>IF($A841="","",IFERROR(INDEX('2_IMPORTAR_EJECUCION'!$F$9:$F$1208,MATCH($AT841,'2_IMPORTAR_EJECUCION'!$J$9:$J$1208,0)),0))</f>
        <v/>
      </c>
      <c r="AL841" s="18">
        <f>IF($A841="","",MAX(0,IFERROR(INDEX('2_IMPORTAR_EJECUCION'!$H$9:$H$1208,MATCH($AT841,'2_IMPORTAR_EJECUCION'!$J$9:$J$1208,0)),0)-$AK841))</f>
        <v/>
      </c>
      <c r="AM841" s="18">
        <f>IF($A841="","",$AK841+$AL841)</f>
        <v/>
      </c>
      <c r="AN841" s="5">
        <f>IF($A841="","",IF(OR((IFERROR(INDEX('CAT_ACTIVIDADES'!$D$4:$D$11,MATCH($H841,'CAT_ACTIVIDADES'!$A$4:$A$11,0)),""))=0,(IFERROR(INDEX('CAT_ACTIVIDADES'!$D$4:$D$11,MATCH($H841,'CAT_ACTIVIDADES'!$A$4:$A$11,0)),""))=""),"SIN CLASIFICAR",IFERROR(INDEX('CAT_ACTIVIDADES'!$D$4:$D$11,MATCH($H841,'CAT_ACTIVIDADES'!$A$4:$A$11,0)),"")))</f>
        <v/>
      </c>
      <c r="AO841" s="4" t="n"/>
      <c r="AP841" s="4" t="n"/>
      <c r="AQ841" s="4" t="n"/>
      <c r="AR841" s="5">
        <f>IF($AQ841="","",HYPERLINK(p_ruta_base_checklists&amp;$AQ841,"abrir"))</f>
        <v/>
      </c>
      <c r="AS841" s="4" t="n"/>
      <c r="AT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2" t="n"/>
      <c r="K842" s="5" t="n"/>
      <c r="L842" s="18" t="n"/>
      <c r="M842" s="5">
        <f>IF($A842="","",IFERROR(INDEX('AJUSTES'!$B$4:$B$303,MATCH($AT842,'AJUSTES'!$A$4:$A$303,0)),IF($K842="","",$K842)))</f>
        <v/>
      </c>
      <c r="N842" s="5">
        <f>IF($A842="","",IFERROR(INDEX('CAT_ESTADOS_ERP'!$B$4:$B$7,MATCH(IFERROR(INDEX('2_IMPORTAR_EJECUCION'!$C$9:$C$1208,MATCH($AT842,'2_IMPORTAR_EJECUCION'!$J$9:$J$1208,0)),""),'CAT_ESTADOS_ERP'!$A$4:$A$7,0)),"Pendiente"))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IF($J842="","",$P842&amp;"-"&amp;TEXT($Q842,"00"))</f>
        <v/>
      </c>
      <c r="S842" s="5">
        <f>IF($J842="","",INDEX(lista_dias,WEEKDAY($J842,2)))</f>
        <v/>
      </c>
      <c r="T842" s="5">
        <f>IF($J842="","",IFERROR(INDEX('CALENDARIO'!$C$15:$C$214,MATCH(TEXT($J842,"yyyy-mm-dd")&amp;"|"&amp;$X842&amp;"|"&amp;$Y842,'CALENDARIO'!$G$15:$G$214,0)),IFERROR(INDEX('CALENDARIO'!$C$15:$C$214,MATCH(TEXT($J842,"yyyy-mm-dd")&amp;"|"&amp;$X842&amp;"|",'CALENDARIO'!$G$15:$G$214,0)),IFERROR(INDEX('CALENDARIO'!$C$15:$C$214,MATCH(TEXT($J842,"yyyy-mm-dd")&amp;"||",'CALENDARIO'!$G$15:$G$214,0)),INDEX(patronHabil,WEEKDAY($J842,2))))))</f>
        <v/>
      </c>
      <c r="U842" s="5">
        <f>IF($I842="","",IFERROR(INDEX('CAT_TIPOS_OT'!$C$4:$C$8,MATCH($I842,'CAT_TIPOS_OT'!$A$4:$A$8,0)),"sin_clasificar"))</f>
        <v/>
      </c>
      <c r="V842" s="5">
        <f>IF($I842="","",IF(IFERROR(INDEX('CAT_TIPOS_OT'!$D$4:$D$8,MATCH($I842,'CAT_TIPOS_OT'!$A$4:$A$8,0)),"SIN CLASIFICAR")="","SIN CLASIFICAR",IFERROR(INDEX('CAT_TIPOS_OT'!$D$4:$D$8,MATCH($I842,'CAT_TIPOS_OT'!$A$4:$A$8,0)),"SIN CLASIFICAR")))</f>
        <v/>
      </c>
      <c r="W842" s="5">
        <f>IF($F842="","",IFERROR(INDEX('CAT_CENTROS_COSTO'!$F$4:$F$13,MATCH($F842,'CAT_CENTROS_COSTO'!$A$4:$A$13,0)),"(sin catálogo)"))</f>
        <v/>
      </c>
      <c r="X842" s="5">
        <f>IF($F842="","",IFERROR(INDEX('CAT_CENTROS_COSTO'!$D$4:$D$13,MATCH($F842,'CAT_CENTROS_COSTO'!$A$4:$A$13,0)),"(sin catálogo)"))</f>
        <v/>
      </c>
      <c r="Y842" s="5">
        <f>IF($F842="","",IF((IFERROR(INDEX('CAT_CENTROS_COSTO'!$E$4:$E$13,MATCH($F842,'CAT_CENTROS_COSTO'!$A$4:$A$13,0)),""))&lt;&gt;"",IFERROR(INDEX('CAT_CENTROS_COSTO'!$E$4:$E$13,MATCH($F842,'CAT_CENTROS_COSTO'!$A$4:$A$13,0)),""),$X842))</f>
        <v/>
      </c>
      <c r="Z842" s="5">
        <f>IF($F842="","",IFERROR(INDEX('CAT_CENTROS_COSTO'!$G$4:$G$13,MATCH($F842,'CAT_CENTROS_COSTO'!$A$4:$A$13,0)),"(sin catálogo)"))</f>
        <v/>
      </c>
      <c r="AA842" s="5">
        <f>IF($G842="","",IFERROR(INDEX('CAT_PUESTOS'!$B$4:$B$8,MATCH($G842,'CAT_PUESTOS'!$A$4:$A$8,0)),"(sin catálogo)"))</f>
        <v/>
      </c>
      <c r="AB842" s="5">
        <f>IF($H842="","",IFERROR(INDEX('CAT_ACTIVIDADES'!$B$4:$B$11,MATCH($H842,'CAT_ACTIVIDADES'!$A$4:$A$11,0)),"(sin catálogo)"))</f>
        <v/>
      </c>
      <c r="AC842" s="20">
        <f>IF($J842="","",TODAY()-$J842)</f>
        <v/>
      </c>
      <c r="AD842" s="20">
        <f>IF($J842="","",IF($J842&lt;=TODAY(),COUNTIFS(cal_fechas,"&gt;="&amp;$J842,cal_fechas,"&lt;"&amp;TODAY(),cal_habil,"sí"),-COUNTIFS(cal_fechas,"&gt;="&amp;TODAY(),cal_fechas,"&lt;"&amp;$J842,cal_habil,"sí")))</f>
        <v/>
      </c>
      <c r="AE842" s="5">
        <f>IF($AD842="","",IF($AD842&lt;0,"FUTURO",IF($AD842&gt;p_dias_backlog_max,"BACKLOG","MES CORRIENTE")))</f>
        <v/>
      </c>
      <c r="AF842" s="5">
        <f>IF($AD842="",FALSE,AND($AD842&gt;p_dias_backlog_min,$AD842&lt;=p_dias_backlog_max))</f>
        <v/>
      </c>
      <c r="AG842" s="4" t="n"/>
      <c r="AH842" s="5">
        <f>IF($AG842="","",IF((IFERROR(INDEX('ASIGNACIONES'!$J$4:$J$451,MATCH($O842&amp;"|"&amp;$S842&amp;"|"&amp;$AG842,'ASIGNACIONES'!$N$4:$N$451,0)),""))=0,"",IFERROR(INDEX('ASIGNACIONES'!$J$4:$J$451,MATCH($O842&amp;"|"&amp;$S842&amp;"|"&amp;$AG842,'ASIGNACIONES'!$N$4:$N$451,0)),"")))</f>
        <v/>
      </c>
      <c r="AI842" s="25">
        <f>IF($AG842="","",SUMIFS('ORDENES'!$M$4:$M$1203,'ORDENES'!$AG$4:$AG$1203,$AG842,'ORDENES'!$O$4:$O$1203,$O842,'ORDENES'!$S$4:$S$1203,$S842))</f>
        <v/>
      </c>
      <c r="AJ842" s="25">
        <f>IF($AI842="","",p_factor_productividad*IFERROR(INDEX('ASIGNACIONES'!$M$4:$M$451,MATCH($O842&amp;"|"&amp;$S842&amp;"|"&amp;$AG842,'ASIGNACIONES'!$N$4:$N$451,0)),0)-$AI842)</f>
        <v/>
      </c>
      <c r="AK842" s="18">
        <f>IF($A842="","",IFERROR(INDEX('2_IMPORTAR_EJECUCION'!$F$9:$F$1208,MATCH($AT842,'2_IMPORTAR_EJECUCION'!$J$9:$J$1208,0)),0))</f>
        <v/>
      </c>
      <c r="AL842" s="18">
        <f>IF($A842="","",MAX(0,IFERROR(INDEX('2_IMPORTAR_EJECUCION'!$H$9:$H$1208,MATCH($AT842,'2_IMPORTAR_EJECUCION'!$J$9:$J$1208,0)),0)-$AK842))</f>
        <v/>
      </c>
      <c r="AM842" s="18">
        <f>IF($A842="","",$AK842+$AL842)</f>
        <v/>
      </c>
      <c r="AN842" s="5">
        <f>IF($A842="","",IF(OR((IFERROR(INDEX('CAT_ACTIVIDADES'!$D$4:$D$11,MATCH($H842,'CAT_ACTIVIDADES'!$A$4:$A$11,0)),""))=0,(IFERROR(INDEX('CAT_ACTIVIDADES'!$D$4:$D$11,MATCH($H842,'CAT_ACTIVIDADES'!$A$4:$A$11,0)),""))=""),"SIN CLASIFICAR",IFERROR(INDEX('CAT_ACTIVIDADES'!$D$4:$D$11,MATCH($H842,'CAT_ACTIVIDADES'!$A$4:$A$11,0)),"")))</f>
        <v/>
      </c>
      <c r="AO842" s="4" t="n"/>
      <c r="AP842" s="4" t="n"/>
      <c r="AQ842" s="4" t="n"/>
      <c r="AR842" s="5">
        <f>IF($AQ842="","",HYPERLINK(p_ruta_base_checklists&amp;$AQ842,"abrir"))</f>
        <v/>
      </c>
      <c r="AS842" s="4" t="n"/>
      <c r="AT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2" t="n"/>
      <c r="K843" s="5" t="n"/>
      <c r="L843" s="18" t="n"/>
      <c r="M843" s="5">
        <f>IF($A843="","",IFERROR(INDEX('AJUSTES'!$B$4:$B$303,MATCH($AT843,'AJUSTES'!$A$4:$A$303,0)),IF($K843="","",$K843)))</f>
        <v/>
      </c>
      <c r="N843" s="5">
        <f>IF($A843="","",IFERROR(INDEX('CAT_ESTADOS_ERP'!$B$4:$B$7,MATCH(IFERROR(INDEX('2_IMPORTAR_EJECUCION'!$C$9:$C$1208,MATCH($AT843,'2_IMPORTAR_EJECUCION'!$J$9:$J$1208,0)),""),'CAT_ESTADOS_ERP'!$A$4:$A$7,0)),"Pendiente"))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IF($J843="","",$P843&amp;"-"&amp;TEXT($Q843,"00"))</f>
        <v/>
      </c>
      <c r="S843" s="5">
        <f>IF($J843="","",INDEX(lista_dias,WEEKDAY($J843,2)))</f>
        <v/>
      </c>
      <c r="T843" s="5">
        <f>IF($J843="","",IFERROR(INDEX('CALENDARIO'!$C$15:$C$214,MATCH(TEXT($J843,"yyyy-mm-dd")&amp;"|"&amp;$X843&amp;"|"&amp;$Y843,'CALENDARIO'!$G$15:$G$214,0)),IFERROR(INDEX('CALENDARIO'!$C$15:$C$214,MATCH(TEXT($J843,"yyyy-mm-dd")&amp;"|"&amp;$X843&amp;"|",'CALENDARIO'!$G$15:$G$214,0)),IFERROR(INDEX('CALENDARIO'!$C$15:$C$214,MATCH(TEXT($J843,"yyyy-mm-dd")&amp;"||",'CALENDARIO'!$G$15:$G$214,0)),INDEX(patronHabil,WEEKDAY($J843,2))))))</f>
        <v/>
      </c>
      <c r="U843" s="5">
        <f>IF($I843="","",IFERROR(INDEX('CAT_TIPOS_OT'!$C$4:$C$8,MATCH($I843,'CAT_TIPOS_OT'!$A$4:$A$8,0)),"sin_clasificar"))</f>
        <v/>
      </c>
      <c r="V843" s="5">
        <f>IF($I843="","",IF(IFERROR(INDEX('CAT_TIPOS_OT'!$D$4:$D$8,MATCH($I843,'CAT_TIPOS_OT'!$A$4:$A$8,0)),"SIN CLASIFICAR")="","SIN CLASIFICAR",IFERROR(INDEX('CAT_TIPOS_OT'!$D$4:$D$8,MATCH($I843,'CAT_TIPOS_OT'!$A$4:$A$8,0)),"SIN CLASIFICAR")))</f>
        <v/>
      </c>
      <c r="W843" s="5">
        <f>IF($F843="","",IFERROR(INDEX('CAT_CENTROS_COSTO'!$F$4:$F$13,MATCH($F843,'CAT_CENTROS_COSTO'!$A$4:$A$13,0)),"(sin catálogo)"))</f>
        <v/>
      </c>
      <c r="X843" s="5">
        <f>IF($F843="","",IFERROR(INDEX('CAT_CENTROS_COSTO'!$D$4:$D$13,MATCH($F843,'CAT_CENTROS_COSTO'!$A$4:$A$13,0)),"(sin catálogo)"))</f>
        <v/>
      </c>
      <c r="Y843" s="5">
        <f>IF($F843="","",IF((IFERROR(INDEX('CAT_CENTROS_COSTO'!$E$4:$E$13,MATCH($F843,'CAT_CENTROS_COSTO'!$A$4:$A$13,0)),""))&lt;&gt;"",IFERROR(INDEX('CAT_CENTROS_COSTO'!$E$4:$E$13,MATCH($F843,'CAT_CENTROS_COSTO'!$A$4:$A$13,0)),""),$X843))</f>
        <v/>
      </c>
      <c r="Z843" s="5">
        <f>IF($F843="","",IFERROR(INDEX('CAT_CENTROS_COSTO'!$G$4:$G$13,MATCH($F843,'CAT_CENTROS_COSTO'!$A$4:$A$13,0)),"(sin catálogo)"))</f>
        <v/>
      </c>
      <c r="AA843" s="5">
        <f>IF($G843="","",IFERROR(INDEX('CAT_PUESTOS'!$B$4:$B$8,MATCH($G843,'CAT_PUESTOS'!$A$4:$A$8,0)),"(sin catálogo)"))</f>
        <v/>
      </c>
      <c r="AB843" s="5">
        <f>IF($H843="","",IFERROR(INDEX('CAT_ACTIVIDADES'!$B$4:$B$11,MATCH($H843,'CAT_ACTIVIDADES'!$A$4:$A$11,0)),"(sin catálogo)"))</f>
        <v/>
      </c>
      <c r="AC843" s="20">
        <f>IF($J843="","",TODAY()-$J843)</f>
        <v/>
      </c>
      <c r="AD843" s="20">
        <f>IF($J843="","",IF($J843&lt;=TODAY(),COUNTIFS(cal_fechas,"&gt;="&amp;$J843,cal_fechas,"&lt;"&amp;TODAY(),cal_habil,"sí"),-COUNTIFS(cal_fechas,"&gt;="&amp;TODAY(),cal_fechas,"&lt;"&amp;$J843,cal_habil,"sí")))</f>
        <v/>
      </c>
      <c r="AE843" s="5">
        <f>IF($AD843="","",IF($AD843&lt;0,"FUTURO",IF($AD843&gt;p_dias_backlog_max,"BACKLOG","MES CORRIENTE")))</f>
        <v/>
      </c>
      <c r="AF843" s="5">
        <f>IF($AD843="",FALSE,AND($AD843&gt;p_dias_backlog_min,$AD843&lt;=p_dias_backlog_max))</f>
        <v/>
      </c>
      <c r="AG843" s="4" t="n"/>
      <c r="AH843" s="5">
        <f>IF($AG843="","",IF((IFERROR(INDEX('ASIGNACIONES'!$J$4:$J$451,MATCH($O843&amp;"|"&amp;$S843&amp;"|"&amp;$AG843,'ASIGNACIONES'!$N$4:$N$451,0)),""))=0,"",IFERROR(INDEX('ASIGNACIONES'!$J$4:$J$451,MATCH($O843&amp;"|"&amp;$S843&amp;"|"&amp;$AG843,'ASIGNACIONES'!$N$4:$N$451,0)),"")))</f>
        <v/>
      </c>
      <c r="AI843" s="25">
        <f>IF($AG843="","",SUMIFS('ORDENES'!$M$4:$M$1203,'ORDENES'!$AG$4:$AG$1203,$AG843,'ORDENES'!$O$4:$O$1203,$O843,'ORDENES'!$S$4:$S$1203,$S843))</f>
        <v/>
      </c>
      <c r="AJ843" s="25">
        <f>IF($AI843="","",p_factor_productividad*IFERROR(INDEX('ASIGNACIONES'!$M$4:$M$451,MATCH($O843&amp;"|"&amp;$S843&amp;"|"&amp;$AG843,'ASIGNACIONES'!$N$4:$N$451,0)),0)-$AI843)</f>
        <v/>
      </c>
      <c r="AK843" s="18">
        <f>IF($A843="","",IFERROR(INDEX('2_IMPORTAR_EJECUCION'!$F$9:$F$1208,MATCH($AT843,'2_IMPORTAR_EJECUCION'!$J$9:$J$1208,0)),0))</f>
        <v/>
      </c>
      <c r="AL843" s="18">
        <f>IF($A843="","",MAX(0,IFERROR(INDEX('2_IMPORTAR_EJECUCION'!$H$9:$H$1208,MATCH($AT843,'2_IMPORTAR_EJECUCION'!$J$9:$J$1208,0)),0)-$AK843))</f>
        <v/>
      </c>
      <c r="AM843" s="18">
        <f>IF($A843="","",$AK843+$AL843)</f>
        <v/>
      </c>
      <c r="AN843" s="5">
        <f>IF($A843="","",IF(OR((IFERROR(INDEX('CAT_ACTIVIDADES'!$D$4:$D$11,MATCH($H843,'CAT_ACTIVIDADES'!$A$4:$A$11,0)),""))=0,(IFERROR(INDEX('CAT_ACTIVIDADES'!$D$4:$D$11,MATCH($H843,'CAT_ACTIVIDADES'!$A$4:$A$11,0)),""))=""),"SIN CLASIFICAR",IFERROR(INDEX('CAT_ACTIVIDADES'!$D$4:$D$11,MATCH($H843,'CAT_ACTIVIDADES'!$A$4:$A$11,0)),"")))</f>
        <v/>
      </c>
      <c r="AO843" s="4" t="n"/>
      <c r="AP843" s="4" t="n"/>
      <c r="AQ843" s="4" t="n"/>
      <c r="AR843" s="5">
        <f>IF($AQ843="","",HYPERLINK(p_ruta_base_checklists&amp;$AQ843,"abrir"))</f>
        <v/>
      </c>
      <c r="AS843" s="4" t="n"/>
      <c r="AT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2" t="n"/>
      <c r="K844" s="5" t="n"/>
      <c r="L844" s="18" t="n"/>
      <c r="M844" s="5">
        <f>IF($A844="","",IFERROR(INDEX('AJUSTES'!$B$4:$B$303,MATCH($AT844,'AJUSTES'!$A$4:$A$303,0)),IF($K844="","",$K844)))</f>
        <v/>
      </c>
      <c r="N844" s="5">
        <f>IF($A844="","",IFERROR(INDEX('CAT_ESTADOS_ERP'!$B$4:$B$7,MATCH(IFERROR(INDEX('2_IMPORTAR_EJECUCION'!$C$9:$C$1208,MATCH($AT844,'2_IMPORTAR_EJECUCION'!$J$9:$J$1208,0)),""),'CAT_ESTADOS_ERP'!$A$4:$A$7,0)),"Pendiente"))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IF($J844="","",$P844&amp;"-"&amp;TEXT($Q844,"00"))</f>
        <v/>
      </c>
      <c r="S844" s="5">
        <f>IF($J844="","",INDEX(lista_dias,WEEKDAY($J844,2)))</f>
        <v/>
      </c>
      <c r="T844" s="5">
        <f>IF($J844="","",IFERROR(INDEX('CALENDARIO'!$C$15:$C$214,MATCH(TEXT($J844,"yyyy-mm-dd")&amp;"|"&amp;$X844&amp;"|"&amp;$Y844,'CALENDARIO'!$G$15:$G$214,0)),IFERROR(INDEX('CALENDARIO'!$C$15:$C$214,MATCH(TEXT($J844,"yyyy-mm-dd")&amp;"|"&amp;$X844&amp;"|",'CALENDARIO'!$G$15:$G$214,0)),IFERROR(INDEX('CALENDARIO'!$C$15:$C$214,MATCH(TEXT($J844,"yyyy-mm-dd")&amp;"||",'CALENDARIO'!$G$15:$G$214,0)),INDEX(patronHabil,WEEKDAY($J844,2))))))</f>
        <v/>
      </c>
      <c r="U844" s="5">
        <f>IF($I844="","",IFERROR(INDEX('CAT_TIPOS_OT'!$C$4:$C$8,MATCH($I844,'CAT_TIPOS_OT'!$A$4:$A$8,0)),"sin_clasificar"))</f>
        <v/>
      </c>
      <c r="V844" s="5">
        <f>IF($I844="","",IF(IFERROR(INDEX('CAT_TIPOS_OT'!$D$4:$D$8,MATCH($I844,'CAT_TIPOS_OT'!$A$4:$A$8,0)),"SIN CLASIFICAR")="","SIN CLASIFICAR",IFERROR(INDEX('CAT_TIPOS_OT'!$D$4:$D$8,MATCH($I844,'CAT_TIPOS_OT'!$A$4:$A$8,0)),"SIN CLASIFICAR")))</f>
        <v/>
      </c>
      <c r="W844" s="5">
        <f>IF($F844="","",IFERROR(INDEX('CAT_CENTROS_COSTO'!$F$4:$F$13,MATCH($F844,'CAT_CENTROS_COSTO'!$A$4:$A$13,0)),"(sin catálogo)"))</f>
        <v/>
      </c>
      <c r="X844" s="5">
        <f>IF($F844="","",IFERROR(INDEX('CAT_CENTROS_COSTO'!$D$4:$D$13,MATCH($F844,'CAT_CENTROS_COSTO'!$A$4:$A$13,0)),"(sin catálogo)"))</f>
        <v/>
      </c>
      <c r="Y844" s="5">
        <f>IF($F844="","",IF((IFERROR(INDEX('CAT_CENTROS_COSTO'!$E$4:$E$13,MATCH($F844,'CAT_CENTROS_COSTO'!$A$4:$A$13,0)),""))&lt;&gt;"",IFERROR(INDEX('CAT_CENTROS_COSTO'!$E$4:$E$13,MATCH($F844,'CAT_CENTROS_COSTO'!$A$4:$A$13,0)),""),$X844))</f>
        <v/>
      </c>
      <c r="Z844" s="5">
        <f>IF($F844="","",IFERROR(INDEX('CAT_CENTROS_COSTO'!$G$4:$G$13,MATCH($F844,'CAT_CENTROS_COSTO'!$A$4:$A$13,0)),"(sin catálogo)"))</f>
        <v/>
      </c>
      <c r="AA844" s="5">
        <f>IF($G844="","",IFERROR(INDEX('CAT_PUESTOS'!$B$4:$B$8,MATCH($G844,'CAT_PUESTOS'!$A$4:$A$8,0)),"(sin catálogo)"))</f>
        <v/>
      </c>
      <c r="AB844" s="5">
        <f>IF($H844="","",IFERROR(INDEX('CAT_ACTIVIDADES'!$B$4:$B$11,MATCH($H844,'CAT_ACTIVIDADES'!$A$4:$A$11,0)),"(sin catálogo)"))</f>
        <v/>
      </c>
      <c r="AC844" s="20">
        <f>IF($J844="","",TODAY()-$J844)</f>
        <v/>
      </c>
      <c r="AD844" s="20">
        <f>IF($J844="","",IF($J844&lt;=TODAY(),COUNTIFS(cal_fechas,"&gt;="&amp;$J844,cal_fechas,"&lt;"&amp;TODAY(),cal_habil,"sí"),-COUNTIFS(cal_fechas,"&gt;="&amp;TODAY(),cal_fechas,"&lt;"&amp;$J844,cal_habil,"sí")))</f>
        <v/>
      </c>
      <c r="AE844" s="5">
        <f>IF($AD844="","",IF($AD844&lt;0,"FUTURO",IF($AD844&gt;p_dias_backlog_max,"BACKLOG","MES CORRIENTE")))</f>
        <v/>
      </c>
      <c r="AF844" s="5">
        <f>IF($AD844="",FALSE,AND($AD844&gt;p_dias_backlog_min,$AD844&lt;=p_dias_backlog_max))</f>
        <v/>
      </c>
      <c r="AG844" s="4" t="n"/>
      <c r="AH844" s="5">
        <f>IF($AG844="","",IF((IFERROR(INDEX('ASIGNACIONES'!$J$4:$J$451,MATCH($O844&amp;"|"&amp;$S844&amp;"|"&amp;$AG844,'ASIGNACIONES'!$N$4:$N$451,0)),""))=0,"",IFERROR(INDEX('ASIGNACIONES'!$J$4:$J$451,MATCH($O844&amp;"|"&amp;$S844&amp;"|"&amp;$AG844,'ASIGNACIONES'!$N$4:$N$451,0)),"")))</f>
        <v/>
      </c>
      <c r="AI844" s="25">
        <f>IF($AG844="","",SUMIFS('ORDENES'!$M$4:$M$1203,'ORDENES'!$AG$4:$AG$1203,$AG844,'ORDENES'!$O$4:$O$1203,$O844,'ORDENES'!$S$4:$S$1203,$S844))</f>
        <v/>
      </c>
      <c r="AJ844" s="25">
        <f>IF($AI844="","",p_factor_productividad*IFERROR(INDEX('ASIGNACIONES'!$M$4:$M$451,MATCH($O844&amp;"|"&amp;$S844&amp;"|"&amp;$AG844,'ASIGNACIONES'!$N$4:$N$451,0)),0)-$AI844)</f>
        <v/>
      </c>
      <c r="AK844" s="18">
        <f>IF($A844="","",IFERROR(INDEX('2_IMPORTAR_EJECUCION'!$F$9:$F$1208,MATCH($AT844,'2_IMPORTAR_EJECUCION'!$J$9:$J$1208,0)),0))</f>
        <v/>
      </c>
      <c r="AL844" s="18">
        <f>IF($A844="","",MAX(0,IFERROR(INDEX('2_IMPORTAR_EJECUCION'!$H$9:$H$1208,MATCH($AT844,'2_IMPORTAR_EJECUCION'!$J$9:$J$1208,0)),0)-$AK844))</f>
        <v/>
      </c>
      <c r="AM844" s="18">
        <f>IF($A844="","",$AK844+$AL844)</f>
        <v/>
      </c>
      <c r="AN844" s="5">
        <f>IF($A844="","",IF(OR((IFERROR(INDEX('CAT_ACTIVIDADES'!$D$4:$D$11,MATCH($H844,'CAT_ACTIVIDADES'!$A$4:$A$11,0)),""))=0,(IFERROR(INDEX('CAT_ACTIVIDADES'!$D$4:$D$11,MATCH($H844,'CAT_ACTIVIDADES'!$A$4:$A$11,0)),""))=""),"SIN CLASIFICAR",IFERROR(INDEX('CAT_ACTIVIDADES'!$D$4:$D$11,MATCH($H844,'CAT_ACTIVIDADES'!$A$4:$A$11,0)),"")))</f>
        <v/>
      </c>
      <c r="AO844" s="4" t="n"/>
      <c r="AP844" s="4" t="n"/>
      <c r="AQ844" s="4" t="n"/>
      <c r="AR844" s="5">
        <f>IF($AQ844="","",HYPERLINK(p_ruta_base_checklists&amp;$AQ844,"abrir"))</f>
        <v/>
      </c>
      <c r="AS844" s="4" t="n"/>
      <c r="AT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2" t="n"/>
      <c r="K845" s="5" t="n"/>
      <c r="L845" s="18" t="n"/>
      <c r="M845" s="5">
        <f>IF($A845="","",IFERROR(INDEX('AJUSTES'!$B$4:$B$303,MATCH($AT845,'AJUSTES'!$A$4:$A$303,0)),IF($K845="","",$K845)))</f>
        <v/>
      </c>
      <c r="N845" s="5">
        <f>IF($A845="","",IFERROR(INDEX('CAT_ESTADOS_ERP'!$B$4:$B$7,MATCH(IFERROR(INDEX('2_IMPORTAR_EJECUCION'!$C$9:$C$1208,MATCH($AT845,'2_IMPORTAR_EJECUCION'!$J$9:$J$1208,0)),""),'CAT_ESTADOS_ERP'!$A$4:$A$7,0)),"Pendiente"))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IF($J845="","",$P845&amp;"-"&amp;TEXT($Q845,"00"))</f>
        <v/>
      </c>
      <c r="S845" s="5">
        <f>IF($J845="","",INDEX(lista_dias,WEEKDAY($J845,2)))</f>
        <v/>
      </c>
      <c r="T845" s="5">
        <f>IF($J845="","",IFERROR(INDEX('CALENDARIO'!$C$15:$C$214,MATCH(TEXT($J845,"yyyy-mm-dd")&amp;"|"&amp;$X845&amp;"|"&amp;$Y845,'CALENDARIO'!$G$15:$G$214,0)),IFERROR(INDEX('CALENDARIO'!$C$15:$C$214,MATCH(TEXT($J845,"yyyy-mm-dd")&amp;"|"&amp;$X845&amp;"|",'CALENDARIO'!$G$15:$G$214,0)),IFERROR(INDEX('CALENDARIO'!$C$15:$C$214,MATCH(TEXT($J845,"yyyy-mm-dd")&amp;"||",'CALENDARIO'!$G$15:$G$214,0)),INDEX(patronHabil,WEEKDAY($J845,2))))))</f>
        <v/>
      </c>
      <c r="U845" s="5">
        <f>IF($I845="","",IFERROR(INDEX('CAT_TIPOS_OT'!$C$4:$C$8,MATCH($I845,'CAT_TIPOS_OT'!$A$4:$A$8,0)),"sin_clasificar"))</f>
        <v/>
      </c>
      <c r="V845" s="5">
        <f>IF($I845="","",IF(IFERROR(INDEX('CAT_TIPOS_OT'!$D$4:$D$8,MATCH($I845,'CAT_TIPOS_OT'!$A$4:$A$8,0)),"SIN CLASIFICAR")="","SIN CLASIFICAR",IFERROR(INDEX('CAT_TIPOS_OT'!$D$4:$D$8,MATCH($I845,'CAT_TIPOS_OT'!$A$4:$A$8,0)),"SIN CLASIFICAR")))</f>
        <v/>
      </c>
      <c r="W845" s="5">
        <f>IF($F845="","",IFERROR(INDEX('CAT_CENTROS_COSTO'!$F$4:$F$13,MATCH($F845,'CAT_CENTROS_COSTO'!$A$4:$A$13,0)),"(sin catálogo)"))</f>
        <v/>
      </c>
      <c r="X845" s="5">
        <f>IF($F845="","",IFERROR(INDEX('CAT_CENTROS_COSTO'!$D$4:$D$13,MATCH($F845,'CAT_CENTROS_COSTO'!$A$4:$A$13,0)),"(sin catálogo)"))</f>
        <v/>
      </c>
      <c r="Y845" s="5">
        <f>IF($F845="","",IF((IFERROR(INDEX('CAT_CENTROS_COSTO'!$E$4:$E$13,MATCH($F845,'CAT_CENTROS_COSTO'!$A$4:$A$13,0)),""))&lt;&gt;"",IFERROR(INDEX('CAT_CENTROS_COSTO'!$E$4:$E$13,MATCH($F845,'CAT_CENTROS_COSTO'!$A$4:$A$13,0)),""),$X845))</f>
        <v/>
      </c>
      <c r="Z845" s="5">
        <f>IF($F845="","",IFERROR(INDEX('CAT_CENTROS_COSTO'!$G$4:$G$13,MATCH($F845,'CAT_CENTROS_COSTO'!$A$4:$A$13,0)),"(sin catálogo)"))</f>
        <v/>
      </c>
      <c r="AA845" s="5">
        <f>IF($G845="","",IFERROR(INDEX('CAT_PUESTOS'!$B$4:$B$8,MATCH($G845,'CAT_PUESTOS'!$A$4:$A$8,0)),"(sin catálogo)"))</f>
        <v/>
      </c>
      <c r="AB845" s="5">
        <f>IF($H845="","",IFERROR(INDEX('CAT_ACTIVIDADES'!$B$4:$B$11,MATCH($H845,'CAT_ACTIVIDADES'!$A$4:$A$11,0)),"(sin catálogo)"))</f>
        <v/>
      </c>
      <c r="AC845" s="20">
        <f>IF($J845="","",TODAY()-$J845)</f>
        <v/>
      </c>
      <c r="AD845" s="20">
        <f>IF($J845="","",IF($J845&lt;=TODAY(),COUNTIFS(cal_fechas,"&gt;="&amp;$J845,cal_fechas,"&lt;"&amp;TODAY(),cal_habil,"sí"),-COUNTIFS(cal_fechas,"&gt;="&amp;TODAY(),cal_fechas,"&lt;"&amp;$J845,cal_habil,"sí")))</f>
        <v/>
      </c>
      <c r="AE845" s="5">
        <f>IF($AD845="","",IF($AD845&lt;0,"FUTURO",IF($AD845&gt;p_dias_backlog_max,"BACKLOG","MES CORRIENTE")))</f>
        <v/>
      </c>
      <c r="AF845" s="5">
        <f>IF($AD845="",FALSE,AND($AD845&gt;p_dias_backlog_min,$AD845&lt;=p_dias_backlog_max))</f>
        <v/>
      </c>
      <c r="AG845" s="4" t="n"/>
      <c r="AH845" s="5">
        <f>IF($AG845="","",IF((IFERROR(INDEX('ASIGNACIONES'!$J$4:$J$451,MATCH($O845&amp;"|"&amp;$S845&amp;"|"&amp;$AG845,'ASIGNACIONES'!$N$4:$N$451,0)),""))=0,"",IFERROR(INDEX('ASIGNACIONES'!$J$4:$J$451,MATCH($O845&amp;"|"&amp;$S845&amp;"|"&amp;$AG845,'ASIGNACIONES'!$N$4:$N$451,0)),"")))</f>
        <v/>
      </c>
      <c r="AI845" s="25">
        <f>IF($AG845="","",SUMIFS('ORDENES'!$M$4:$M$1203,'ORDENES'!$AG$4:$AG$1203,$AG845,'ORDENES'!$O$4:$O$1203,$O845,'ORDENES'!$S$4:$S$1203,$S845))</f>
        <v/>
      </c>
      <c r="AJ845" s="25">
        <f>IF($AI845="","",p_factor_productividad*IFERROR(INDEX('ASIGNACIONES'!$M$4:$M$451,MATCH($O845&amp;"|"&amp;$S845&amp;"|"&amp;$AG845,'ASIGNACIONES'!$N$4:$N$451,0)),0)-$AI845)</f>
        <v/>
      </c>
      <c r="AK845" s="18">
        <f>IF($A845="","",IFERROR(INDEX('2_IMPORTAR_EJECUCION'!$F$9:$F$1208,MATCH($AT845,'2_IMPORTAR_EJECUCION'!$J$9:$J$1208,0)),0))</f>
        <v/>
      </c>
      <c r="AL845" s="18">
        <f>IF($A845="","",MAX(0,IFERROR(INDEX('2_IMPORTAR_EJECUCION'!$H$9:$H$1208,MATCH($AT845,'2_IMPORTAR_EJECUCION'!$J$9:$J$1208,0)),0)-$AK845))</f>
        <v/>
      </c>
      <c r="AM845" s="18">
        <f>IF($A845="","",$AK845+$AL845)</f>
        <v/>
      </c>
      <c r="AN845" s="5">
        <f>IF($A845="","",IF(OR((IFERROR(INDEX('CAT_ACTIVIDADES'!$D$4:$D$11,MATCH($H845,'CAT_ACTIVIDADES'!$A$4:$A$11,0)),""))=0,(IFERROR(INDEX('CAT_ACTIVIDADES'!$D$4:$D$11,MATCH($H845,'CAT_ACTIVIDADES'!$A$4:$A$11,0)),""))=""),"SIN CLASIFICAR",IFERROR(INDEX('CAT_ACTIVIDADES'!$D$4:$D$11,MATCH($H845,'CAT_ACTIVIDADES'!$A$4:$A$11,0)),"")))</f>
        <v/>
      </c>
      <c r="AO845" s="4" t="n"/>
      <c r="AP845" s="4" t="n"/>
      <c r="AQ845" s="4" t="n"/>
      <c r="AR845" s="5">
        <f>IF($AQ845="","",HYPERLINK(p_ruta_base_checklists&amp;$AQ845,"abrir"))</f>
        <v/>
      </c>
      <c r="AS845" s="4" t="n"/>
      <c r="AT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2" t="n"/>
      <c r="K846" s="5" t="n"/>
      <c r="L846" s="18" t="n"/>
      <c r="M846" s="5">
        <f>IF($A846="","",IFERROR(INDEX('AJUSTES'!$B$4:$B$303,MATCH($AT846,'AJUSTES'!$A$4:$A$303,0)),IF($K846="","",$K846)))</f>
        <v/>
      </c>
      <c r="N846" s="5">
        <f>IF($A846="","",IFERROR(INDEX('CAT_ESTADOS_ERP'!$B$4:$B$7,MATCH(IFERROR(INDEX('2_IMPORTAR_EJECUCION'!$C$9:$C$1208,MATCH($AT846,'2_IMPORTAR_EJECUCION'!$J$9:$J$1208,0)),""),'CAT_ESTADOS_ERP'!$A$4:$A$7,0)),"Pendiente"))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IF($J846="","",$P846&amp;"-"&amp;TEXT($Q846,"00"))</f>
        <v/>
      </c>
      <c r="S846" s="5">
        <f>IF($J846="","",INDEX(lista_dias,WEEKDAY($J846,2)))</f>
        <v/>
      </c>
      <c r="T846" s="5">
        <f>IF($J846="","",IFERROR(INDEX('CALENDARIO'!$C$15:$C$214,MATCH(TEXT($J846,"yyyy-mm-dd")&amp;"|"&amp;$X846&amp;"|"&amp;$Y846,'CALENDARIO'!$G$15:$G$214,0)),IFERROR(INDEX('CALENDARIO'!$C$15:$C$214,MATCH(TEXT($J846,"yyyy-mm-dd")&amp;"|"&amp;$X846&amp;"|",'CALENDARIO'!$G$15:$G$214,0)),IFERROR(INDEX('CALENDARIO'!$C$15:$C$214,MATCH(TEXT($J846,"yyyy-mm-dd")&amp;"||",'CALENDARIO'!$G$15:$G$214,0)),INDEX(patronHabil,WEEKDAY($J846,2))))))</f>
        <v/>
      </c>
      <c r="U846" s="5">
        <f>IF($I846="","",IFERROR(INDEX('CAT_TIPOS_OT'!$C$4:$C$8,MATCH($I846,'CAT_TIPOS_OT'!$A$4:$A$8,0)),"sin_clasificar"))</f>
        <v/>
      </c>
      <c r="V846" s="5">
        <f>IF($I846="","",IF(IFERROR(INDEX('CAT_TIPOS_OT'!$D$4:$D$8,MATCH($I846,'CAT_TIPOS_OT'!$A$4:$A$8,0)),"SIN CLASIFICAR")="","SIN CLASIFICAR",IFERROR(INDEX('CAT_TIPOS_OT'!$D$4:$D$8,MATCH($I846,'CAT_TIPOS_OT'!$A$4:$A$8,0)),"SIN CLASIFICAR")))</f>
        <v/>
      </c>
      <c r="W846" s="5">
        <f>IF($F846="","",IFERROR(INDEX('CAT_CENTROS_COSTO'!$F$4:$F$13,MATCH($F846,'CAT_CENTROS_COSTO'!$A$4:$A$13,0)),"(sin catálogo)"))</f>
        <v/>
      </c>
      <c r="X846" s="5">
        <f>IF($F846="","",IFERROR(INDEX('CAT_CENTROS_COSTO'!$D$4:$D$13,MATCH($F846,'CAT_CENTROS_COSTO'!$A$4:$A$13,0)),"(sin catálogo)"))</f>
        <v/>
      </c>
      <c r="Y846" s="5">
        <f>IF($F846="","",IF((IFERROR(INDEX('CAT_CENTROS_COSTO'!$E$4:$E$13,MATCH($F846,'CAT_CENTROS_COSTO'!$A$4:$A$13,0)),""))&lt;&gt;"",IFERROR(INDEX('CAT_CENTROS_COSTO'!$E$4:$E$13,MATCH($F846,'CAT_CENTROS_COSTO'!$A$4:$A$13,0)),""),$X846))</f>
        <v/>
      </c>
      <c r="Z846" s="5">
        <f>IF($F846="","",IFERROR(INDEX('CAT_CENTROS_COSTO'!$G$4:$G$13,MATCH($F846,'CAT_CENTROS_COSTO'!$A$4:$A$13,0)),"(sin catálogo)"))</f>
        <v/>
      </c>
      <c r="AA846" s="5">
        <f>IF($G846="","",IFERROR(INDEX('CAT_PUESTOS'!$B$4:$B$8,MATCH($G846,'CAT_PUESTOS'!$A$4:$A$8,0)),"(sin catálogo)"))</f>
        <v/>
      </c>
      <c r="AB846" s="5">
        <f>IF($H846="","",IFERROR(INDEX('CAT_ACTIVIDADES'!$B$4:$B$11,MATCH($H846,'CAT_ACTIVIDADES'!$A$4:$A$11,0)),"(sin catálogo)"))</f>
        <v/>
      </c>
      <c r="AC846" s="20">
        <f>IF($J846="","",TODAY()-$J846)</f>
        <v/>
      </c>
      <c r="AD846" s="20">
        <f>IF($J846="","",IF($J846&lt;=TODAY(),COUNTIFS(cal_fechas,"&gt;="&amp;$J846,cal_fechas,"&lt;"&amp;TODAY(),cal_habil,"sí"),-COUNTIFS(cal_fechas,"&gt;="&amp;TODAY(),cal_fechas,"&lt;"&amp;$J846,cal_habil,"sí")))</f>
        <v/>
      </c>
      <c r="AE846" s="5">
        <f>IF($AD846="","",IF($AD846&lt;0,"FUTURO",IF($AD846&gt;p_dias_backlog_max,"BACKLOG","MES CORRIENTE")))</f>
        <v/>
      </c>
      <c r="AF846" s="5">
        <f>IF($AD846="",FALSE,AND($AD846&gt;p_dias_backlog_min,$AD846&lt;=p_dias_backlog_max))</f>
        <v/>
      </c>
      <c r="AG846" s="4" t="n"/>
      <c r="AH846" s="5">
        <f>IF($AG846="","",IF((IFERROR(INDEX('ASIGNACIONES'!$J$4:$J$451,MATCH($O846&amp;"|"&amp;$S846&amp;"|"&amp;$AG846,'ASIGNACIONES'!$N$4:$N$451,0)),""))=0,"",IFERROR(INDEX('ASIGNACIONES'!$J$4:$J$451,MATCH($O846&amp;"|"&amp;$S846&amp;"|"&amp;$AG846,'ASIGNACIONES'!$N$4:$N$451,0)),"")))</f>
        <v/>
      </c>
      <c r="AI846" s="25">
        <f>IF($AG846="","",SUMIFS('ORDENES'!$M$4:$M$1203,'ORDENES'!$AG$4:$AG$1203,$AG846,'ORDENES'!$O$4:$O$1203,$O846,'ORDENES'!$S$4:$S$1203,$S846))</f>
        <v/>
      </c>
      <c r="AJ846" s="25">
        <f>IF($AI846="","",p_factor_productividad*IFERROR(INDEX('ASIGNACIONES'!$M$4:$M$451,MATCH($O846&amp;"|"&amp;$S846&amp;"|"&amp;$AG846,'ASIGNACIONES'!$N$4:$N$451,0)),0)-$AI846)</f>
        <v/>
      </c>
      <c r="AK846" s="18">
        <f>IF($A846="","",IFERROR(INDEX('2_IMPORTAR_EJECUCION'!$F$9:$F$1208,MATCH($AT846,'2_IMPORTAR_EJECUCION'!$J$9:$J$1208,0)),0))</f>
        <v/>
      </c>
      <c r="AL846" s="18">
        <f>IF($A846="","",MAX(0,IFERROR(INDEX('2_IMPORTAR_EJECUCION'!$H$9:$H$1208,MATCH($AT846,'2_IMPORTAR_EJECUCION'!$J$9:$J$1208,0)),0)-$AK846))</f>
        <v/>
      </c>
      <c r="AM846" s="18">
        <f>IF($A846="","",$AK846+$AL846)</f>
        <v/>
      </c>
      <c r="AN846" s="5">
        <f>IF($A846="","",IF(OR((IFERROR(INDEX('CAT_ACTIVIDADES'!$D$4:$D$11,MATCH($H846,'CAT_ACTIVIDADES'!$A$4:$A$11,0)),""))=0,(IFERROR(INDEX('CAT_ACTIVIDADES'!$D$4:$D$11,MATCH($H846,'CAT_ACTIVIDADES'!$A$4:$A$11,0)),""))=""),"SIN CLASIFICAR",IFERROR(INDEX('CAT_ACTIVIDADES'!$D$4:$D$11,MATCH($H846,'CAT_ACTIVIDADES'!$A$4:$A$11,0)),"")))</f>
        <v/>
      </c>
      <c r="AO846" s="4" t="n"/>
      <c r="AP846" s="4" t="n"/>
      <c r="AQ846" s="4" t="n"/>
      <c r="AR846" s="5">
        <f>IF($AQ846="","",HYPERLINK(p_ruta_base_checklists&amp;$AQ846,"abrir"))</f>
        <v/>
      </c>
      <c r="AS846" s="4" t="n"/>
      <c r="AT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2" t="n"/>
      <c r="K847" s="5" t="n"/>
      <c r="L847" s="18" t="n"/>
      <c r="M847" s="5">
        <f>IF($A847="","",IFERROR(INDEX('AJUSTES'!$B$4:$B$303,MATCH($AT847,'AJUSTES'!$A$4:$A$303,0)),IF($K847="","",$K847)))</f>
        <v/>
      </c>
      <c r="N847" s="5">
        <f>IF($A847="","",IFERROR(INDEX('CAT_ESTADOS_ERP'!$B$4:$B$7,MATCH(IFERROR(INDEX('2_IMPORTAR_EJECUCION'!$C$9:$C$1208,MATCH($AT847,'2_IMPORTAR_EJECUCION'!$J$9:$J$1208,0)),""),'CAT_ESTADOS_ERP'!$A$4:$A$7,0)),"Pendiente"))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IF($J847="","",$P847&amp;"-"&amp;TEXT($Q847,"00"))</f>
        <v/>
      </c>
      <c r="S847" s="5">
        <f>IF($J847="","",INDEX(lista_dias,WEEKDAY($J847,2)))</f>
        <v/>
      </c>
      <c r="T847" s="5">
        <f>IF($J847="","",IFERROR(INDEX('CALENDARIO'!$C$15:$C$214,MATCH(TEXT($J847,"yyyy-mm-dd")&amp;"|"&amp;$X847&amp;"|"&amp;$Y847,'CALENDARIO'!$G$15:$G$214,0)),IFERROR(INDEX('CALENDARIO'!$C$15:$C$214,MATCH(TEXT($J847,"yyyy-mm-dd")&amp;"|"&amp;$X847&amp;"|",'CALENDARIO'!$G$15:$G$214,0)),IFERROR(INDEX('CALENDARIO'!$C$15:$C$214,MATCH(TEXT($J847,"yyyy-mm-dd")&amp;"||",'CALENDARIO'!$G$15:$G$214,0)),INDEX(patronHabil,WEEKDAY($J847,2))))))</f>
        <v/>
      </c>
      <c r="U847" s="5">
        <f>IF($I847="","",IFERROR(INDEX('CAT_TIPOS_OT'!$C$4:$C$8,MATCH($I847,'CAT_TIPOS_OT'!$A$4:$A$8,0)),"sin_clasificar"))</f>
        <v/>
      </c>
      <c r="V847" s="5">
        <f>IF($I847="","",IF(IFERROR(INDEX('CAT_TIPOS_OT'!$D$4:$D$8,MATCH($I847,'CAT_TIPOS_OT'!$A$4:$A$8,0)),"SIN CLASIFICAR")="","SIN CLASIFICAR",IFERROR(INDEX('CAT_TIPOS_OT'!$D$4:$D$8,MATCH($I847,'CAT_TIPOS_OT'!$A$4:$A$8,0)),"SIN CLASIFICAR")))</f>
        <v/>
      </c>
      <c r="W847" s="5">
        <f>IF($F847="","",IFERROR(INDEX('CAT_CENTROS_COSTO'!$F$4:$F$13,MATCH($F847,'CAT_CENTROS_COSTO'!$A$4:$A$13,0)),"(sin catálogo)"))</f>
        <v/>
      </c>
      <c r="X847" s="5">
        <f>IF($F847="","",IFERROR(INDEX('CAT_CENTROS_COSTO'!$D$4:$D$13,MATCH($F847,'CAT_CENTROS_COSTO'!$A$4:$A$13,0)),"(sin catálogo)"))</f>
        <v/>
      </c>
      <c r="Y847" s="5">
        <f>IF($F847="","",IF((IFERROR(INDEX('CAT_CENTROS_COSTO'!$E$4:$E$13,MATCH($F847,'CAT_CENTROS_COSTO'!$A$4:$A$13,0)),""))&lt;&gt;"",IFERROR(INDEX('CAT_CENTROS_COSTO'!$E$4:$E$13,MATCH($F847,'CAT_CENTROS_COSTO'!$A$4:$A$13,0)),""),$X847))</f>
        <v/>
      </c>
      <c r="Z847" s="5">
        <f>IF($F847="","",IFERROR(INDEX('CAT_CENTROS_COSTO'!$G$4:$G$13,MATCH($F847,'CAT_CENTROS_COSTO'!$A$4:$A$13,0)),"(sin catálogo)"))</f>
        <v/>
      </c>
      <c r="AA847" s="5">
        <f>IF($G847="","",IFERROR(INDEX('CAT_PUESTOS'!$B$4:$B$8,MATCH($G847,'CAT_PUESTOS'!$A$4:$A$8,0)),"(sin catálogo)"))</f>
        <v/>
      </c>
      <c r="AB847" s="5">
        <f>IF($H847="","",IFERROR(INDEX('CAT_ACTIVIDADES'!$B$4:$B$11,MATCH($H847,'CAT_ACTIVIDADES'!$A$4:$A$11,0)),"(sin catálogo)"))</f>
        <v/>
      </c>
      <c r="AC847" s="20">
        <f>IF($J847="","",TODAY()-$J847)</f>
        <v/>
      </c>
      <c r="AD847" s="20">
        <f>IF($J847="","",IF($J847&lt;=TODAY(),COUNTIFS(cal_fechas,"&gt;="&amp;$J847,cal_fechas,"&lt;"&amp;TODAY(),cal_habil,"sí"),-COUNTIFS(cal_fechas,"&gt;="&amp;TODAY(),cal_fechas,"&lt;"&amp;$J847,cal_habil,"sí")))</f>
        <v/>
      </c>
      <c r="AE847" s="5">
        <f>IF($AD847="","",IF($AD847&lt;0,"FUTURO",IF($AD847&gt;p_dias_backlog_max,"BACKLOG","MES CORRIENTE")))</f>
        <v/>
      </c>
      <c r="AF847" s="5">
        <f>IF($AD847="",FALSE,AND($AD847&gt;p_dias_backlog_min,$AD847&lt;=p_dias_backlog_max))</f>
        <v/>
      </c>
      <c r="AG847" s="4" t="n"/>
      <c r="AH847" s="5">
        <f>IF($AG847="","",IF((IFERROR(INDEX('ASIGNACIONES'!$J$4:$J$451,MATCH($O847&amp;"|"&amp;$S847&amp;"|"&amp;$AG847,'ASIGNACIONES'!$N$4:$N$451,0)),""))=0,"",IFERROR(INDEX('ASIGNACIONES'!$J$4:$J$451,MATCH($O847&amp;"|"&amp;$S847&amp;"|"&amp;$AG847,'ASIGNACIONES'!$N$4:$N$451,0)),"")))</f>
        <v/>
      </c>
      <c r="AI847" s="25">
        <f>IF($AG847="","",SUMIFS('ORDENES'!$M$4:$M$1203,'ORDENES'!$AG$4:$AG$1203,$AG847,'ORDENES'!$O$4:$O$1203,$O847,'ORDENES'!$S$4:$S$1203,$S847))</f>
        <v/>
      </c>
      <c r="AJ847" s="25">
        <f>IF($AI847="","",p_factor_productividad*IFERROR(INDEX('ASIGNACIONES'!$M$4:$M$451,MATCH($O847&amp;"|"&amp;$S847&amp;"|"&amp;$AG847,'ASIGNACIONES'!$N$4:$N$451,0)),0)-$AI847)</f>
        <v/>
      </c>
      <c r="AK847" s="18">
        <f>IF($A847="","",IFERROR(INDEX('2_IMPORTAR_EJECUCION'!$F$9:$F$1208,MATCH($AT847,'2_IMPORTAR_EJECUCION'!$J$9:$J$1208,0)),0))</f>
        <v/>
      </c>
      <c r="AL847" s="18">
        <f>IF($A847="","",MAX(0,IFERROR(INDEX('2_IMPORTAR_EJECUCION'!$H$9:$H$1208,MATCH($AT847,'2_IMPORTAR_EJECUCION'!$J$9:$J$1208,0)),0)-$AK847))</f>
        <v/>
      </c>
      <c r="AM847" s="18">
        <f>IF($A847="","",$AK847+$AL847)</f>
        <v/>
      </c>
      <c r="AN847" s="5">
        <f>IF($A847="","",IF(OR((IFERROR(INDEX('CAT_ACTIVIDADES'!$D$4:$D$11,MATCH($H847,'CAT_ACTIVIDADES'!$A$4:$A$11,0)),""))=0,(IFERROR(INDEX('CAT_ACTIVIDADES'!$D$4:$D$11,MATCH($H847,'CAT_ACTIVIDADES'!$A$4:$A$11,0)),""))=""),"SIN CLASIFICAR",IFERROR(INDEX('CAT_ACTIVIDADES'!$D$4:$D$11,MATCH($H847,'CAT_ACTIVIDADES'!$A$4:$A$11,0)),"")))</f>
        <v/>
      </c>
      <c r="AO847" s="4" t="n"/>
      <c r="AP847" s="4" t="n"/>
      <c r="AQ847" s="4" t="n"/>
      <c r="AR847" s="5">
        <f>IF($AQ847="","",HYPERLINK(p_ruta_base_checklists&amp;$AQ847,"abrir"))</f>
        <v/>
      </c>
      <c r="AS847" s="4" t="n"/>
      <c r="AT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2" t="n"/>
      <c r="K848" s="5" t="n"/>
      <c r="L848" s="18" t="n"/>
      <c r="M848" s="5">
        <f>IF($A848="","",IFERROR(INDEX('AJUSTES'!$B$4:$B$303,MATCH($AT848,'AJUSTES'!$A$4:$A$303,0)),IF($K848="","",$K848)))</f>
        <v/>
      </c>
      <c r="N848" s="5">
        <f>IF($A848="","",IFERROR(INDEX('CAT_ESTADOS_ERP'!$B$4:$B$7,MATCH(IFERROR(INDEX('2_IMPORTAR_EJECUCION'!$C$9:$C$1208,MATCH($AT848,'2_IMPORTAR_EJECUCION'!$J$9:$J$1208,0)),""),'CAT_ESTADOS_ERP'!$A$4:$A$7,0)),"Pendiente"))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IF($J848="","",$P848&amp;"-"&amp;TEXT($Q848,"00"))</f>
        <v/>
      </c>
      <c r="S848" s="5">
        <f>IF($J848="","",INDEX(lista_dias,WEEKDAY($J848,2)))</f>
        <v/>
      </c>
      <c r="T848" s="5">
        <f>IF($J848="","",IFERROR(INDEX('CALENDARIO'!$C$15:$C$214,MATCH(TEXT($J848,"yyyy-mm-dd")&amp;"|"&amp;$X848&amp;"|"&amp;$Y848,'CALENDARIO'!$G$15:$G$214,0)),IFERROR(INDEX('CALENDARIO'!$C$15:$C$214,MATCH(TEXT($J848,"yyyy-mm-dd")&amp;"|"&amp;$X848&amp;"|",'CALENDARIO'!$G$15:$G$214,0)),IFERROR(INDEX('CALENDARIO'!$C$15:$C$214,MATCH(TEXT($J848,"yyyy-mm-dd")&amp;"||",'CALENDARIO'!$G$15:$G$214,0)),INDEX(patronHabil,WEEKDAY($J848,2))))))</f>
        <v/>
      </c>
      <c r="U848" s="5">
        <f>IF($I848="","",IFERROR(INDEX('CAT_TIPOS_OT'!$C$4:$C$8,MATCH($I848,'CAT_TIPOS_OT'!$A$4:$A$8,0)),"sin_clasificar"))</f>
        <v/>
      </c>
      <c r="V848" s="5">
        <f>IF($I848="","",IF(IFERROR(INDEX('CAT_TIPOS_OT'!$D$4:$D$8,MATCH($I848,'CAT_TIPOS_OT'!$A$4:$A$8,0)),"SIN CLASIFICAR")="","SIN CLASIFICAR",IFERROR(INDEX('CAT_TIPOS_OT'!$D$4:$D$8,MATCH($I848,'CAT_TIPOS_OT'!$A$4:$A$8,0)),"SIN CLASIFICAR")))</f>
        <v/>
      </c>
      <c r="W848" s="5">
        <f>IF($F848="","",IFERROR(INDEX('CAT_CENTROS_COSTO'!$F$4:$F$13,MATCH($F848,'CAT_CENTROS_COSTO'!$A$4:$A$13,0)),"(sin catálogo)"))</f>
        <v/>
      </c>
      <c r="X848" s="5">
        <f>IF($F848="","",IFERROR(INDEX('CAT_CENTROS_COSTO'!$D$4:$D$13,MATCH($F848,'CAT_CENTROS_COSTO'!$A$4:$A$13,0)),"(sin catálogo)"))</f>
        <v/>
      </c>
      <c r="Y848" s="5">
        <f>IF($F848="","",IF((IFERROR(INDEX('CAT_CENTROS_COSTO'!$E$4:$E$13,MATCH($F848,'CAT_CENTROS_COSTO'!$A$4:$A$13,0)),""))&lt;&gt;"",IFERROR(INDEX('CAT_CENTROS_COSTO'!$E$4:$E$13,MATCH($F848,'CAT_CENTROS_COSTO'!$A$4:$A$13,0)),""),$X848))</f>
        <v/>
      </c>
      <c r="Z848" s="5">
        <f>IF($F848="","",IFERROR(INDEX('CAT_CENTROS_COSTO'!$G$4:$G$13,MATCH($F848,'CAT_CENTROS_COSTO'!$A$4:$A$13,0)),"(sin catálogo)"))</f>
        <v/>
      </c>
      <c r="AA848" s="5">
        <f>IF($G848="","",IFERROR(INDEX('CAT_PUESTOS'!$B$4:$B$8,MATCH($G848,'CAT_PUESTOS'!$A$4:$A$8,0)),"(sin catálogo)"))</f>
        <v/>
      </c>
      <c r="AB848" s="5">
        <f>IF($H848="","",IFERROR(INDEX('CAT_ACTIVIDADES'!$B$4:$B$11,MATCH($H848,'CAT_ACTIVIDADES'!$A$4:$A$11,0)),"(sin catálogo)"))</f>
        <v/>
      </c>
      <c r="AC848" s="20">
        <f>IF($J848="","",TODAY()-$J848)</f>
        <v/>
      </c>
      <c r="AD848" s="20">
        <f>IF($J848="","",IF($J848&lt;=TODAY(),COUNTIFS(cal_fechas,"&gt;="&amp;$J848,cal_fechas,"&lt;"&amp;TODAY(),cal_habil,"sí"),-COUNTIFS(cal_fechas,"&gt;="&amp;TODAY(),cal_fechas,"&lt;"&amp;$J848,cal_habil,"sí")))</f>
        <v/>
      </c>
      <c r="AE848" s="5">
        <f>IF($AD848="","",IF($AD848&lt;0,"FUTURO",IF($AD848&gt;p_dias_backlog_max,"BACKLOG","MES CORRIENTE")))</f>
        <v/>
      </c>
      <c r="AF848" s="5">
        <f>IF($AD848="",FALSE,AND($AD848&gt;p_dias_backlog_min,$AD848&lt;=p_dias_backlog_max))</f>
        <v/>
      </c>
      <c r="AG848" s="4" t="n"/>
      <c r="AH848" s="5">
        <f>IF($AG848="","",IF((IFERROR(INDEX('ASIGNACIONES'!$J$4:$J$451,MATCH($O848&amp;"|"&amp;$S848&amp;"|"&amp;$AG848,'ASIGNACIONES'!$N$4:$N$451,0)),""))=0,"",IFERROR(INDEX('ASIGNACIONES'!$J$4:$J$451,MATCH($O848&amp;"|"&amp;$S848&amp;"|"&amp;$AG848,'ASIGNACIONES'!$N$4:$N$451,0)),"")))</f>
        <v/>
      </c>
      <c r="AI848" s="25">
        <f>IF($AG848="","",SUMIFS('ORDENES'!$M$4:$M$1203,'ORDENES'!$AG$4:$AG$1203,$AG848,'ORDENES'!$O$4:$O$1203,$O848,'ORDENES'!$S$4:$S$1203,$S848))</f>
        <v/>
      </c>
      <c r="AJ848" s="25">
        <f>IF($AI848="","",p_factor_productividad*IFERROR(INDEX('ASIGNACIONES'!$M$4:$M$451,MATCH($O848&amp;"|"&amp;$S848&amp;"|"&amp;$AG848,'ASIGNACIONES'!$N$4:$N$451,0)),0)-$AI848)</f>
        <v/>
      </c>
      <c r="AK848" s="18">
        <f>IF($A848="","",IFERROR(INDEX('2_IMPORTAR_EJECUCION'!$F$9:$F$1208,MATCH($AT848,'2_IMPORTAR_EJECUCION'!$J$9:$J$1208,0)),0))</f>
        <v/>
      </c>
      <c r="AL848" s="18">
        <f>IF($A848="","",MAX(0,IFERROR(INDEX('2_IMPORTAR_EJECUCION'!$H$9:$H$1208,MATCH($AT848,'2_IMPORTAR_EJECUCION'!$J$9:$J$1208,0)),0)-$AK848))</f>
        <v/>
      </c>
      <c r="AM848" s="18">
        <f>IF($A848="","",$AK848+$AL848)</f>
        <v/>
      </c>
      <c r="AN848" s="5">
        <f>IF($A848="","",IF(OR((IFERROR(INDEX('CAT_ACTIVIDADES'!$D$4:$D$11,MATCH($H848,'CAT_ACTIVIDADES'!$A$4:$A$11,0)),""))=0,(IFERROR(INDEX('CAT_ACTIVIDADES'!$D$4:$D$11,MATCH($H848,'CAT_ACTIVIDADES'!$A$4:$A$11,0)),""))=""),"SIN CLASIFICAR",IFERROR(INDEX('CAT_ACTIVIDADES'!$D$4:$D$11,MATCH($H848,'CAT_ACTIVIDADES'!$A$4:$A$11,0)),"")))</f>
        <v/>
      </c>
      <c r="AO848" s="4" t="n"/>
      <c r="AP848" s="4" t="n"/>
      <c r="AQ848" s="4" t="n"/>
      <c r="AR848" s="5">
        <f>IF($AQ848="","",HYPERLINK(p_ruta_base_checklists&amp;$AQ848,"abrir"))</f>
        <v/>
      </c>
      <c r="AS848" s="4" t="n"/>
      <c r="AT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2" t="n"/>
      <c r="K849" s="5" t="n"/>
      <c r="L849" s="18" t="n"/>
      <c r="M849" s="5">
        <f>IF($A849="","",IFERROR(INDEX('AJUSTES'!$B$4:$B$303,MATCH($AT849,'AJUSTES'!$A$4:$A$303,0)),IF($K849="","",$K849)))</f>
        <v/>
      </c>
      <c r="N849" s="5">
        <f>IF($A849="","",IFERROR(INDEX('CAT_ESTADOS_ERP'!$B$4:$B$7,MATCH(IFERROR(INDEX('2_IMPORTAR_EJECUCION'!$C$9:$C$1208,MATCH($AT849,'2_IMPORTAR_EJECUCION'!$J$9:$J$1208,0)),""),'CAT_ESTADOS_ERP'!$A$4:$A$7,0)),"Pendiente"))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IF($J849="","",$P849&amp;"-"&amp;TEXT($Q849,"00"))</f>
        <v/>
      </c>
      <c r="S849" s="5">
        <f>IF($J849="","",INDEX(lista_dias,WEEKDAY($J849,2)))</f>
        <v/>
      </c>
      <c r="T849" s="5">
        <f>IF($J849="","",IFERROR(INDEX('CALENDARIO'!$C$15:$C$214,MATCH(TEXT($J849,"yyyy-mm-dd")&amp;"|"&amp;$X849&amp;"|"&amp;$Y849,'CALENDARIO'!$G$15:$G$214,0)),IFERROR(INDEX('CALENDARIO'!$C$15:$C$214,MATCH(TEXT($J849,"yyyy-mm-dd")&amp;"|"&amp;$X849&amp;"|",'CALENDARIO'!$G$15:$G$214,0)),IFERROR(INDEX('CALENDARIO'!$C$15:$C$214,MATCH(TEXT($J849,"yyyy-mm-dd")&amp;"||",'CALENDARIO'!$G$15:$G$214,0)),INDEX(patronHabil,WEEKDAY($J849,2))))))</f>
        <v/>
      </c>
      <c r="U849" s="5">
        <f>IF($I849="","",IFERROR(INDEX('CAT_TIPOS_OT'!$C$4:$C$8,MATCH($I849,'CAT_TIPOS_OT'!$A$4:$A$8,0)),"sin_clasificar"))</f>
        <v/>
      </c>
      <c r="V849" s="5">
        <f>IF($I849="","",IF(IFERROR(INDEX('CAT_TIPOS_OT'!$D$4:$D$8,MATCH($I849,'CAT_TIPOS_OT'!$A$4:$A$8,0)),"SIN CLASIFICAR")="","SIN CLASIFICAR",IFERROR(INDEX('CAT_TIPOS_OT'!$D$4:$D$8,MATCH($I849,'CAT_TIPOS_OT'!$A$4:$A$8,0)),"SIN CLASIFICAR")))</f>
        <v/>
      </c>
      <c r="W849" s="5">
        <f>IF($F849="","",IFERROR(INDEX('CAT_CENTROS_COSTO'!$F$4:$F$13,MATCH($F849,'CAT_CENTROS_COSTO'!$A$4:$A$13,0)),"(sin catálogo)"))</f>
        <v/>
      </c>
      <c r="X849" s="5">
        <f>IF($F849="","",IFERROR(INDEX('CAT_CENTROS_COSTO'!$D$4:$D$13,MATCH($F849,'CAT_CENTROS_COSTO'!$A$4:$A$13,0)),"(sin catálogo)"))</f>
        <v/>
      </c>
      <c r="Y849" s="5">
        <f>IF($F849="","",IF((IFERROR(INDEX('CAT_CENTROS_COSTO'!$E$4:$E$13,MATCH($F849,'CAT_CENTROS_COSTO'!$A$4:$A$13,0)),""))&lt;&gt;"",IFERROR(INDEX('CAT_CENTROS_COSTO'!$E$4:$E$13,MATCH($F849,'CAT_CENTROS_COSTO'!$A$4:$A$13,0)),""),$X849))</f>
        <v/>
      </c>
      <c r="Z849" s="5">
        <f>IF($F849="","",IFERROR(INDEX('CAT_CENTROS_COSTO'!$G$4:$G$13,MATCH($F849,'CAT_CENTROS_COSTO'!$A$4:$A$13,0)),"(sin catálogo)"))</f>
        <v/>
      </c>
      <c r="AA849" s="5">
        <f>IF($G849="","",IFERROR(INDEX('CAT_PUESTOS'!$B$4:$B$8,MATCH($G849,'CAT_PUESTOS'!$A$4:$A$8,0)),"(sin catálogo)"))</f>
        <v/>
      </c>
      <c r="AB849" s="5">
        <f>IF($H849="","",IFERROR(INDEX('CAT_ACTIVIDADES'!$B$4:$B$11,MATCH($H849,'CAT_ACTIVIDADES'!$A$4:$A$11,0)),"(sin catálogo)"))</f>
        <v/>
      </c>
      <c r="AC849" s="20">
        <f>IF($J849="","",TODAY()-$J849)</f>
        <v/>
      </c>
      <c r="AD849" s="20">
        <f>IF($J849="","",IF($J849&lt;=TODAY(),COUNTIFS(cal_fechas,"&gt;="&amp;$J849,cal_fechas,"&lt;"&amp;TODAY(),cal_habil,"sí"),-COUNTIFS(cal_fechas,"&gt;="&amp;TODAY(),cal_fechas,"&lt;"&amp;$J849,cal_habil,"sí")))</f>
        <v/>
      </c>
      <c r="AE849" s="5">
        <f>IF($AD849="","",IF($AD849&lt;0,"FUTURO",IF($AD849&gt;p_dias_backlog_max,"BACKLOG","MES CORRIENTE")))</f>
        <v/>
      </c>
      <c r="AF849" s="5">
        <f>IF($AD849="",FALSE,AND($AD849&gt;p_dias_backlog_min,$AD849&lt;=p_dias_backlog_max))</f>
        <v/>
      </c>
      <c r="AG849" s="4" t="n"/>
      <c r="AH849" s="5">
        <f>IF($AG849="","",IF((IFERROR(INDEX('ASIGNACIONES'!$J$4:$J$451,MATCH($O849&amp;"|"&amp;$S849&amp;"|"&amp;$AG849,'ASIGNACIONES'!$N$4:$N$451,0)),""))=0,"",IFERROR(INDEX('ASIGNACIONES'!$J$4:$J$451,MATCH($O849&amp;"|"&amp;$S849&amp;"|"&amp;$AG849,'ASIGNACIONES'!$N$4:$N$451,0)),"")))</f>
        <v/>
      </c>
      <c r="AI849" s="25">
        <f>IF($AG849="","",SUMIFS('ORDENES'!$M$4:$M$1203,'ORDENES'!$AG$4:$AG$1203,$AG849,'ORDENES'!$O$4:$O$1203,$O849,'ORDENES'!$S$4:$S$1203,$S849))</f>
        <v/>
      </c>
      <c r="AJ849" s="25">
        <f>IF($AI849="","",p_factor_productividad*IFERROR(INDEX('ASIGNACIONES'!$M$4:$M$451,MATCH($O849&amp;"|"&amp;$S849&amp;"|"&amp;$AG849,'ASIGNACIONES'!$N$4:$N$451,0)),0)-$AI849)</f>
        <v/>
      </c>
      <c r="AK849" s="18">
        <f>IF($A849="","",IFERROR(INDEX('2_IMPORTAR_EJECUCION'!$F$9:$F$1208,MATCH($AT849,'2_IMPORTAR_EJECUCION'!$J$9:$J$1208,0)),0))</f>
        <v/>
      </c>
      <c r="AL849" s="18">
        <f>IF($A849="","",MAX(0,IFERROR(INDEX('2_IMPORTAR_EJECUCION'!$H$9:$H$1208,MATCH($AT849,'2_IMPORTAR_EJECUCION'!$J$9:$J$1208,0)),0)-$AK849))</f>
        <v/>
      </c>
      <c r="AM849" s="18">
        <f>IF($A849="","",$AK849+$AL849)</f>
        <v/>
      </c>
      <c r="AN849" s="5">
        <f>IF($A849="","",IF(OR((IFERROR(INDEX('CAT_ACTIVIDADES'!$D$4:$D$11,MATCH($H849,'CAT_ACTIVIDADES'!$A$4:$A$11,0)),""))=0,(IFERROR(INDEX('CAT_ACTIVIDADES'!$D$4:$D$11,MATCH($H849,'CAT_ACTIVIDADES'!$A$4:$A$11,0)),""))=""),"SIN CLASIFICAR",IFERROR(INDEX('CAT_ACTIVIDADES'!$D$4:$D$11,MATCH($H849,'CAT_ACTIVIDADES'!$A$4:$A$11,0)),"")))</f>
        <v/>
      </c>
      <c r="AO849" s="4" t="n"/>
      <c r="AP849" s="4" t="n"/>
      <c r="AQ849" s="4" t="n"/>
      <c r="AR849" s="5">
        <f>IF($AQ849="","",HYPERLINK(p_ruta_base_checklists&amp;$AQ849,"abrir"))</f>
        <v/>
      </c>
      <c r="AS849" s="4" t="n"/>
      <c r="AT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2" t="n"/>
      <c r="K850" s="5" t="n"/>
      <c r="L850" s="18" t="n"/>
      <c r="M850" s="5">
        <f>IF($A850="","",IFERROR(INDEX('AJUSTES'!$B$4:$B$303,MATCH($AT850,'AJUSTES'!$A$4:$A$303,0)),IF($K850="","",$K850)))</f>
        <v/>
      </c>
      <c r="N850" s="5">
        <f>IF($A850="","",IFERROR(INDEX('CAT_ESTADOS_ERP'!$B$4:$B$7,MATCH(IFERROR(INDEX('2_IMPORTAR_EJECUCION'!$C$9:$C$1208,MATCH($AT850,'2_IMPORTAR_EJECUCION'!$J$9:$J$1208,0)),""),'CAT_ESTADOS_ERP'!$A$4:$A$7,0)),"Pendiente"))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IF($J850="","",$P850&amp;"-"&amp;TEXT($Q850,"00"))</f>
        <v/>
      </c>
      <c r="S850" s="5">
        <f>IF($J850="","",INDEX(lista_dias,WEEKDAY($J850,2)))</f>
        <v/>
      </c>
      <c r="T850" s="5">
        <f>IF($J850="","",IFERROR(INDEX('CALENDARIO'!$C$15:$C$214,MATCH(TEXT($J850,"yyyy-mm-dd")&amp;"|"&amp;$X850&amp;"|"&amp;$Y850,'CALENDARIO'!$G$15:$G$214,0)),IFERROR(INDEX('CALENDARIO'!$C$15:$C$214,MATCH(TEXT($J850,"yyyy-mm-dd")&amp;"|"&amp;$X850&amp;"|",'CALENDARIO'!$G$15:$G$214,0)),IFERROR(INDEX('CALENDARIO'!$C$15:$C$214,MATCH(TEXT($J850,"yyyy-mm-dd")&amp;"||",'CALENDARIO'!$G$15:$G$214,0)),INDEX(patronHabil,WEEKDAY($J850,2))))))</f>
        <v/>
      </c>
      <c r="U850" s="5">
        <f>IF($I850="","",IFERROR(INDEX('CAT_TIPOS_OT'!$C$4:$C$8,MATCH($I850,'CAT_TIPOS_OT'!$A$4:$A$8,0)),"sin_clasificar"))</f>
        <v/>
      </c>
      <c r="V850" s="5">
        <f>IF($I850="","",IF(IFERROR(INDEX('CAT_TIPOS_OT'!$D$4:$D$8,MATCH($I850,'CAT_TIPOS_OT'!$A$4:$A$8,0)),"SIN CLASIFICAR")="","SIN CLASIFICAR",IFERROR(INDEX('CAT_TIPOS_OT'!$D$4:$D$8,MATCH($I850,'CAT_TIPOS_OT'!$A$4:$A$8,0)),"SIN CLASIFICAR")))</f>
        <v/>
      </c>
      <c r="W850" s="5">
        <f>IF($F850="","",IFERROR(INDEX('CAT_CENTROS_COSTO'!$F$4:$F$13,MATCH($F850,'CAT_CENTROS_COSTO'!$A$4:$A$13,0)),"(sin catálogo)"))</f>
        <v/>
      </c>
      <c r="X850" s="5">
        <f>IF($F850="","",IFERROR(INDEX('CAT_CENTROS_COSTO'!$D$4:$D$13,MATCH($F850,'CAT_CENTROS_COSTO'!$A$4:$A$13,0)),"(sin catálogo)"))</f>
        <v/>
      </c>
      <c r="Y850" s="5">
        <f>IF($F850="","",IF((IFERROR(INDEX('CAT_CENTROS_COSTO'!$E$4:$E$13,MATCH($F850,'CAT_CENTROS_COSTO'!$A$4:$A$13,0)),""))&lt;&gt;"",IFERROR(INDEX('CAT_CENTROS_COSTO'!$E$4:$E$13,MATCH($F850,'CAT_CENTROS_COSTO'!$A$4:$A$13,0)),""),$X850))</f>
        <v/>
      </c>
      <c r="Z850" s="5">
        <f>IF($F850="","",IFERROR(INDEX('CAT_CENTROS_COSTO'!$G$4:$G$13,MATCH($F850,'CAT_CENTROS_COSTO'!$A$4:$A$13,0)),"(sin catálogo)"))</f>
        <v/>
      </c>
      <c r="AA850" s="5">
        <f>IF($G850="","",IFERROR(INDEX('CAT_PUESTOS'!$B$4:$B$8,MATCH($G850,'CAT_PUESTOS'!$A$4:$A$8,0)),"(sin catálogo)"))</f>
        <v/>
      </c>
      <c r="AB850" s="5">
        <f>IF($H850="","",IFERROR(INDEX('CAT_ACTIVIDADES'!$B$4:$B$11,MATCH($H850,'CAT_ACTIVIDADES'!$A$4:$A$11,0)),"(sin catálogo)"))</f>
        <v/>
      </c>
      <c r="AC850" s="20">
        <f>IF($J850="","",TODAY()-$J850)</f>
        <v/>
      </c>
      <c r="AD850" s="20">
        <f>IF($J850="","",IF($J850&lt;=TODAY(),COUNTIFS(cal_fechas,"&gt;="&amp;$J850,cal_fechas,"&lt;"&amp;TODAY(),cal_habil,"sí"),-COUNTIFS(cal_fechas,"&gt;="&amp;TODAY(),cal_fechas,"&lt;"&amp;$J850,cal_habil,"sí")))</f>
        <v/>
      </c>
      <c r="AE850" s="5">
        <f>IF($AD850="","",IF($AD850&lt;0,"FUTURO",IF($AD850&gt;p_dias_backlog_max,"BACKLOG","MES CORRIENTE")))</f>
        <v/>
      </c>
      <c r="AF850" s="5">
        <f>IF($AD850="",FALSE,AND($AD850&gt;p_dias_backlog_min,$AD850&lt;=p_dias_backlog_max))</f>
        <v/>
      </c>
      <c r="AG850" s="4" t="n"/>
      <c r="AH850" s="5">
        <f>IF($AG850="","",IF((IFERROR(INDEX('ASIGNACIONES'!$J$4:$J$451,MATCH($O850&amp;"|"&amp;$S850&amp;"|"&amp;$AG850,'ASIGNACIONES'!$N$4:$N$451,0)),""))=0,"",IFERROR(INDEX('ASIGNACIONES'!$J$4:$J$451,MATCH($O850&amp;"|"&amp;$S850&amp;"|"&amp;$AG850,'ASIGNACIONES'!$N$4:$N$451,0)),"")))</f>
        <v/>
      </c>
      <c r="AI850" s="25">
        <f>IF($AG850="","",SUMIFS('ORDENES'!$M$4:$M$1203,'ORDENES'!$AG$4:$AG$1203,$AG850,'ORDENES'!$O$4:$O$1203,$O850,'ORDENES'!$S$4:$S$1203,$S850))</f>
        <v/>
      </c>
      <c r="AJ850" s="25">
        <f>IF($AI850="","",p_factor_productividad*IFERROR(INDEX('ASIGNACIONES'!$M$4:$M$451,MATCH($O850&amp;"|"&amp;$S850&amp;"|"&amp;$AG850,'ASIGNACIONES'!$N$4:$N$451,0)),0)-$AI850)</f>
        <v/>
      </c>
      <c r="AK850" s="18">
        <f>IF($A850="","",IFERROR(INDEX('2_IMPORTAR_EJECUCION'!$F$9:$F$1208,MATCH($AT850,'2_IMPORTAR_EJECUCION'!$J$9:$J$1208,0)),0))</f>
        <v/>
      </c>
      <c r="AL850" s="18">
        <f>IF($A850="","",MAX(0,IFERROR(INDEX('2_IMPORTAR_EJECUCION'!$H$9:$H$1208,MATCH($AT850,'2_IMPORTAR_EJECUCION'!$J$9:$J$1208,0)),0)-$AK850))</f>
        <v/>
      </c>
      <c r="AM850" s="18">
        <f>IF($A850="","",$AK850+$AL850)</f>
        <v/>
      </c>
      <c r="AN850" s="5">
        <f>IF($A850="","",IF(OR((IFERROR(INDEX('CAT_ACTIVIDADES'!$D$4:$D$11,MATCH($H850,'CAT_ACTIVIDADES'!$A$4:$A$11,0)),""))=0,(IFERROR(INDEX('CAT_ACTIVIDADES'!$D$4:$D$11,MATCH($H850,'CAT_ACTIVIDADES'!$A$4:$A$11,0)),""))=""),"SIN CLASIFICAR",IFERROR(INDEX('CAT_ACTIVIDADES'!$D$4:$D$11,MATCH($H850,'CAT_ACTIVIDADES'!$A$4:$A$11,0)),"")))</f>
        <v/>
      </c>
      <c r="AO850" s="4" t="n"/>
      <c r="AP850" s="4" t="n"/>
      <c r="AQ850" s="4" t="n"/>
      <c r="AR850" s="5">
        <f>IF($AQ850="","",HYPERLINK(p_ruta_base_checklists&amp;$AQ850,"abrir"))</f>
        <v/>
      </c>
      <c r="AS850" s="4" t="n"/>
      <c r="AT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2" t="n"/>
      <c r="K851" s="5" t="n"/>
      <c r="L851" s="18" t="n"/>
      <c r="M851" s="5">
        <f>IF($A851="","",IFERROR(INDEX('AJUSTES'!$B$4:$B$303,MATCH($AT851,'AJUSTES'!$A$4:$A$303,0)),IF($K851="","",$K851)))</f>
        <v/>
      </c>
      <c r="N851" s="5">
        <f>IF($A851="","",IFERROR(INDEX('CAT_ESTADOS_ERP'!$B$4:$B$7,MATCH(IFERROR(INDEX('2_IMPORTAR_EJECUCION'!$C$9:$C$1208,MATCH($AT851,'2_IMPORTAR_EJECUCION'!$J$9:$J$1208,0)),""),'CAT_ESTADOS_ERP'!$A$4:$A$7,0)),"Pendiente"))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IF($J851="","",$P851&amp;"-"&amp;TEXT($Q851,"00"))</f>
        <v/>
      </c>
      <c r="S851" s="5">
        <f>IF($J851="","",INDEX(lista_dias,WEEKDAY($J851,2)))</f>
        <v/>
      </c>
      <c r="T851" s="5">
        <f>IF($J851="","",IFERROR(INDEX('CALENDARIO'!$C$15:$C$214,MATCH(TEXT($J851,"yyyy-mm-dd")&amp;"|"&amp;$X851&amp;"|"&amp;$Y851,'CALENDARIO'!$G$15:$G$214,0)),IFERROR(INDEX('CALENDARIO'!$C$15:$C$214,MATCH(TEXT($J851,"yyyy-mm-dd")&amp;"|"&amp;$X851&amp;"|",'CALENDARIO'!$G$15:$G$214,0)),IFERROR(INDEX('CALENDARIO'!$C$15:$C$214,MATCH(TEXT($J851,"yyyy-mm-dd")&amp;"||",'CALENDARIO'!$G$15:$G$214,0)),INDEX(patronHabil,WEEKDAY($J851,2))))))</f>
        <v/>
      </c>
      <c r="U851" s="5">
        <f>IF($I851="","",IFERROR(INDEX('CAT_TIPOS_OT'!$C$4:$C$8,MATCH($I851,'CAT_TIPOS_OT'!$A$4:$A$8,0)),"sin_clasificar"))</f>
        <v/>
      </c>
      <c r="V851" s="5">
        <f>IF($I851="","",IF(IFERROR(INDEX('CAT_TIPOS_OT'!$D$4:$D$8,MATCH($I851,'CAT_TIPOS_OT'!$A$4:$A$8,0)),"SIN CLASIFICAR")="","SIN CLASIFICAR",IFERROR(INDEX('CAT_TIPOS_OT'!$D$4:$D$8,MATCH($I851,'CAT_TIPOS_OT'!$A$4:$A$8,0)),"SIN CLASIFICAR")))</f>
        <v/>
      </c>
      <c r="W851" s="5">
        <f>IF($F851="","",IFERROR(INDEX('CAT_CENTROS_COSTO'!$F$4:$F$13,MATCH($F851,'CAT_CENTROS_COSTO'!$A$4:$A$13,0)),"(sin catálogo)"))</f>
        <v/>
      </c>
      <c r="X851" s="5">
        <f>IF($F851="","",IFERROR(INDEX('CAT_CENTROS_COSTO'!$D$4:$D$13,MATCH($F851,'CAT_CENTROS_COSTO'!$A$4:$A$13,0)),"(sin catálogo)"))</f>
        <v/>
      </c>
      <c r="Y851" s="5">
        <f>IF($F851="","",IF((IFERROR(INDEX('CAT_CENTROS_COSTO'!$E$4:$E$13,MATCH($F851,'CAT_CENTROS_COSTO'!$A$4:$A$13,0)),""))&lt;&gt;"",IFERROR(INDEX('CAT_CENTROS_COSTO'!$E$4:$E$13,MATCH($F851,'CAT_CENTROS_COSTO'!$A$4:$A$13,0)),""),$X851))</f>
        <v/>
      </c>
      <c r="Z851" s="5">
        <f>IF($F851="","",IFERROR(INDEX('CAT_CENTROS_COSTO'!$G$4:$G$13,MATCH($F851,'CAT_CENTROS_COSTO'!$A$4:$A$13,0)),"(sin catálogo)"))</f>
        <v/>
      </c>
      <c r="AA851" s="5">
        <f>IF($G851="","",IFERROR(INDEX('CAT_PUESTOS'!$B$4:$B$8,MATCH($G851,'CAT_PUESTOS'!$A$4:$A$8,0)),"(sin catálogo)"))</f>
        <v/>
      </c>
      <c r="AB851" s="5">
        <f>IF($H851="","",IFERROR(INDEX('CAT_ACTIVIDADES'!$B$4:$B$11,MATCH($H851,'CAT_ACTIVIDADES'!$A$4:$A$11,0)),"(sin catálogo)"))</f>
        <v/>
      </c>
      <c r="AC851" s="20">
        <f>IF($J851="","",TODAY()-$J851)</f>
        <v/>
      </c>
      <c r="AD851" s="20">
        <f>IF($J851="","",IF($J851&lt;=TODAY(),COUNTIFS(cal_fechas,"&gt;="&amp;$J851,cal_fechas,"&lt;"&amp;TODAY(),cal_habil,"sí"),-COUNTIFS(cal_fechas,"&gt;="&amp;TODAY(),cal_fechas,"&lt;"&amp;$J851,cal_habil,"sí")))</f>
        <v/>
      </c>
      <c r="AE851" s="5">
        <f>IF($AD851="","",IF($AD851&lt;0,"FUTURO",IF($AD851&gt;p_dias_backlog_max,"BACKLOG","MES CORRIENTE")))</f>
        <v/>
      </c>
      <c r="AF851" s="5">
        <f>IF($AD851="",FALSE,AND($AD851&gt;p_dias_backlog_min,$AD851&lt;=p_dias_backlog_max))</f>
        <v/>
      </c>
      <c r="AG851" s="4" t="n"/>
      <c r="AH851" s="5">
        <f>IF($AG851="","",IF((IFERROR(INDEX('ASIGNACIONES'!$J$4:$J$451,MATCH($O851&amp;"|"&amp;$S851&amp;"|"&amp;$AG851,'ASIGNACIONES'!$N$4:$N$451,0)),""))=0,"",IFERROR(INDEX('ASIGNACIONES'!$J$4:$J$451,MATCH($O851&amp;"|"&amp;$S851&amp;"|"&amp;$AG851,'ASIGNACIONES'!$N$4:$N$451,0)),"")))</f>
        <v/>
      </c>
      <c r="AI851" s="25">
        <f>IF($AG851="","",SUMIFS('ORDENES'!$M$4:$M$1203,'ORDENES'!$AG$4:$AG$1203,$AG851,'ORDENES'!$O$4:$O$1203,$O851,'ORDENES'!$S$4:$S$1203,$S851))</f>
        <v/>
      </c>
      <c r="AJ851" s="25">
        <f>IF($AI851="","",p_factor_productividad*IFERROR(INDEX('ASIGNACIONES'!$M$4:$M$451,MATCH($O851&amp;"|"&amp;$S851&amp;"|"&amp;$AG851,'ASIGNACIONES'!$N$4:$N$451,0)),0)-$AI851)</f>
        <v/>
      </c>
      <c r="AK851" s="18">
        <f>IF($A851="","",IFERROR(INDEX('2_IMPORTAR_EJECUCION'!$F$9:$F$1208,MATCH($AT851,'2_IMPORTAR_EJECUCION'!$J$9:$J$1208,0)),0))</f>
        <v/>
      </c>
      <c r="AL851" s="18">
        <f>IF($A851="","",MAX(0,IFERROR(INDEX('2_IMPORTAR_EJECUCION'!$H$9:$H$1208,MATCH($AT851,'2_IMPORTAR_EJECUCION'!$J$9:$J$1208,0)),0)-$AK851))</f>
        <v/>
      </c>
      <c r="AM851" s="18">
        <f>IF($A851="","",$AK851+$AL851)</f>
        <v/>
      </c>
      <c r="AN851" s="5">
        <f>IF($A851="","",IF(OR((IFERROR(INDEX('CAT_ACTIVIDADES'!$D$4:$D$11,MATCH($H851,'CAT_ACTIVIDADES'!$A$4:$A$11,0)),""))=0,(IFERROR(INDEX('CAT_ACTIVIDADES'!$D$4:$D$11,MATCH($H851,'CAT_ACTIVIDADES'!$A$4:$A$11,0)),""))=""),"SIN CLASIFICAR",IFERROR(INDEX('CAT_ACTIVIDADES'!$D$4:$D$11,MATCH($H851,'CAT_ACTIVIDADES'!$A$4:$A$11,0)),"")))</f>
        <v/>
      </c>
      <c r="AO851" s="4" t="n"/>
      <c r="AP851" s="4" t="n"/>
      <c r="AQ851" s="4" t="n"/>
      <c r="AR851" s="5">
        <f>IF($AQ851="","",HYPERLINK(p_ruta_base_checklists&amp;$AQ851,"abrir"))</f>
        <v/>
      </c>
      <c r="AS851" s="4" t="n"/>
      <c r="AT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2" t="n"/>
      <c r="K852" s="5" t="n"/>
      <c r="L852" s="18" t="n"/>
      <c r="M852" s="5">
        <f>IF($A852="","",IFERROR(INDEX('AJUSTES'!$B$4:$B$303,MATCH($AT852,'AJUSTES'!$A$4:$A$303,0)),IF($K852="","",$K852)))</f>
        <v/>
      </c>
      <c r="N852" s="5">
        <f>IF($A852="","",IFERROR(INDEX('CAT_ESTADOS_ERP'!$B$4:$B$7,MATCH(IFERROR(INDEX('2_IMPORTAR_EJECUCION'!$C$9:$C$1208,MATCH($AT852,'2_IMPORTAR_EJECUCION'!$J$9:$J$1208,0)),""),'CAT_ESTADOS_ERP'!$A$4:$A$7,0)),"Pendiente"))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IF($J852="","",$P852&amp;"-"&amp;TEXT($Q852,"00"))</f>
        <v/>
      </c>
      <c r="S852" s="5">
        <f>IF($J852="","",INDEX(lista_dias,WEEKDAY($J852,2)))</f>
        <v/>
      </c>
      <c r="T852" s="5">
        <f>IF($J852="","",IFERROR(INDEX('CALENDARIO'!$C$15:$C$214,MATCH(TEXT($J852,"yyyy-mm-dd")&amp;"|"&amp;$X852&amp;"|"&amp;$Y852,'CALENDARIO'!$G$15:$G$214,0)),IFERROR(INDEX('CALENDARIO'!$C$15:$C$214,MATCH(TEXT($J852,"yyyy-mm-dd")&amp;"|"&amp;$X852&amp;"|",'CALENDARIO'!$G$15:$G$214,0)),IFERROR(INDEX('CALENDARIO'!$C$15:$C$214,MATCH(TEXT($J852,"yyyy-mm-dd")&amp;"||",'CALENDARIO'!$G$15:$G$214,0)),INDEX(patronHabil,WEEKDAY($J852,2))))))</f>
        <v/>
      </c>
      <c r="U852" s="5">
        <f>IF($I852="","",IFERROR(INDEX('CAT_TIPOS_OT'!$C$4:$C$8,MATCH($I852,'CAT_TIPOS_OT'!$A$4:$A$8,0)),"sin_clasificar"))</f>
        <v/>
      </c>
      <c r="V852" s="5">
        <f>IF($I852="","",IF(IFERROR(INDEX('CAT_TIPOS_OT'!$D$4:$D$8,MATCH($I852,'CAT_TIPOS_OT'!$A$4:$A$8,0)),"SIN CLASIFICAR")="","SIN CLASIFICAR",IFERROR(INDEX('CAT_TIPOS_OT'!$D$4:$D$8,MATCH($I852,'CAT_TIPOS_OT'!$A$4:$A$8,0)),"SIN CLASIFICAR")))</f>
        <v/>
      </c>
      <c r="W852" s="5">
        <f>IF($F852="","",IFERROR(INDEX('CAT_CENTROS_COSTO'!$F$4:$F$13,MATCH($F852,'CAT_CENTROS_COSTO'!$A$4:$A$13,0)),"(sin catálogo)"))</f>
        <v/>
      </c>
      <c r="X852" s="5">
        <f>IF($F852="","",IFERROR(INDEX('CAT_CENTROS_COSTO'!$D$4:$D$13,MATCH($F852,'CAT_CENTROS_COSTO'!$A$4:$A$13,0)),"(sin catálogo)"))</f>
        <v/>
      </c>
      <c r="Y852" s="5">
        <f>IF($F852="","",IF((IFERROR(INDEX('CAT_CENTROS_COSTO'!$E$4:$E$13,MATCH($F852,'CAT_CENTROS_COSTO'!$A$4:$A$13,0)),""))&lt;&gt;"",IFERROR(INDEX('CAT_CENTROS_COSTO'!$E$4:$E$13,MATCH($F852,'CAT_CENTROS_COSTO'!$A$4:$A$13,0)),""),$X852))</f>
        <v/>
      </c>
      <c r="Z852" s="5">
        <f>IF($F852="","",IFERROR(INDEX('CAT_CENTROS_COSTO'!$G$4:$G$13,MATCH($F852,'CAT_CENTROS_COSTO'!$A$4:$A$13,0)),"(sin catálogo)"))</f>
        <v/>
      </c>
      <c r="AA852" s="5">
        <f>IF($G852="","",IFERROR(INDEX('CAT_PUESTOS'!$B$4:$B$8,MATCH($G852,'CAT_PUESTOS'!$A$4:$A$8,0)),"(sin catálogo)"))</f>
        <v/>
      </c>
      <c r="AB852" s="5">
        <f>IF($H852="","",IFERROR(INDEX('CAT_ACTIVIDADES'!$B$4:$B$11,MATCH($H852,'CAT_ACTIVIDADES'!$A$4:$A$11,0)),"(sin catálogo)"))</f>
        <v/>
      </c>
      <c r="AC852" s="20">
        <f>IF($J852="","",TODAY()-$J852)</f>
        <v/>
      </c>
      <c r="AD852" s="20">
        <f>IF($J852="","",IF($J852&lt;=TODAY(),COUNTIFS(cal_fechas,"&gt;="&amp;$J852,cal_fechas,"&lt;"&amp;TODAY(),cal_habil,"sí"),-COUNTIFS(cal_fechas,"&gt;="&amp;TODAY(),cal_fechas,"&lt;"&amp;$J852,cal_habil,"sí")))</f>
        <v/>
      </c>
      <c r="AE852" s="5">
        <f>IF($AD852="","",IF($AD852&lt;0,"FUTURO",IF($AD852&gt;p_dias_backlog_max,"BACKLOG","MES CORRIENTE")))</f>
        <v/>
      </c>
      <c r="AF852" s="5">
        <f>IF($AD852="",FALSE,AND($AD852&gt;p_dias_backlog_min,$AD852&lt;=p_dias_backlog_max))</f>
        <v/>
      </c>
      <c r="AG852" s="4" t="n"/>
      <c r="AH852" s="5">
        <f>IF($AG852="","",IF((IFERROR(INDEX('ASIGNACIONES'!$J$4:$J$451,MATCH($O852&amp;"|"&amp;$S852&amp;"|"&amp;$AG852,'ASIGNACIONES'!$N$4:$N$451,0)),""))=0,"",IFERROR(INDEX('ASIGNACIONES'!$J$4:$J$451,MATCH($O852&amp;"|"&amp;$S852&amp;"|"&amp;$AG852,'ASIGNACIONES'!$N$4:$N$451,0)),"")))</f>
        <v/>
      </c>
      <c r="AI852" s="25">
        <f>IF($AG852="","",SUMIFS('ORDENES'!$M$4:$M$1203,'ORDENES'!$AG$4:$AG$1203,$AG852,'ORDENES'!$O$4:$O$1203,$O852,'ORDENES'!$S$4:$S$1203,$S852))</f>
        <v/>
      </c>
      <c r="AJ852" s="25">
        <f>IF($AI852="","",p_factor_productividad*IFERROR(INDEX('ASIGNACIONES'!$M$4:$M$451,MATCH($O852&amp;"|"&amp;$S852&amp;"|"&amp;$AG852,'ASIGNACIONES'!$N$4:$N$451,0)),0)-$AI852)</f>
        <v/>
      </c>
      <c r="AK852" s="18">
        <f>IF($A852="","",IFERROR(INDEX('2_IMPORTAR_EJECUCION'!$F$9:$F$1208,MATCH($AT852,'2_IMPORTAR_EJECUCION'!$J$9:$J$1208,0)),0))</f>
        <v/>
      </c>
      <c r="AL852" s="18">
        <f>IF($A852="","",MAX(0,IFERROR(INDEX('2_IMPORTAR_EJECUCION'!$H$9:$H$1208,MATCH($AT852,'2_IMPORTAR_EJECUCION'!$J$9:$J$1208,0)),0)-$AK852))</f>
        <v/>
      </c>
      <c r="AM852" s="18">
        <f>IF($A852="","",$AK852+$AL852)</f>
        <v/>
      </c>
      <c r="AN852" s="5">
        <f>IF($A852="","",IF(OR((IFERROR(INDEX('CAT_ACTIVIDADES'!$D$4:$D$11,MATCH($H852,'CAT_ACTIVIDADES'!$A$4:$A$11,0)),""))=0,(IFERROR(INDEX('CAT_ACTIVIDADES'!$D$4:$D$11,MATCH($H852,'CAT_ACTIVIDADES'!$A$4:$A$11,0)),""))=""),"SIN CLASIFICAR",IFERROR(INDEX('CAT_ACTIVIDADES'!$D$4:$D$11,MATCH($H852,'CAT_ACTIVIDADES'!$A$4:$A$11,0)),"")))</f>
        <v/>
      </c>
      <c r="AO852" s="4" t="n"/>
      <c r="AP852" s="4" t="n"/>
      <c r="AQ852" s="4" t="n"/>
      <c r="AR852" s="5">
        <f>IF($AQ852="","",HYPERLINK(p_ruta_base_checklists&amp;$AQ852,"abrir"))</f>
        <v/>
      </c>
      <c r="AS852" s="4" t="n"/>
      <c r="AT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2" t="n"/>
      <c r="K853" s="5" t="n"/>
      <c r="L853" s="18" t="n"/>
      <c r="M853" s="5">
        <f>IF($A853="","",IFERROR(INDEX('AJUSTES'!$B$4:$B$303,MATCH($AT853,'AJUSTES'!$A$4:$A$303,0)),IF($K853="","",$K853)))</f>
        <v/>
      </c>
      <c r="N853" s="5">
        <f>IF($A853="","",IFERROR(INDEX('CAT_ESTADOS_ERP'!$B$4:$B$7,MATCH(IFERROR(INDEX('2_IMPORTAR_EJECUCION'!$C$9:$C$1208,MATCH($AT853,'2_IMPORTAR_EJECUCION'!$J$9:$J$1208,0)),""),'CAT_ESTADOS_ERP'!$A$4:$A$7,0)),"Pendiente"))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IF($J853="","",$P853&amp;"-"&amp;TEXT($Q853,"00"))</f>
        <v/>
      </c>
      <c r="S853" s="5">
        <f>IF($J853="","",INDEX(lista_dias,WEEKDAY($J853,2)))</f>
        <v/>
      </c>
      <c r="T853" s="5">
        <f>IF($J853="","",IFERROR(INDEX('CALENDARIO'!$C$15:$C$214,MATCH(TEXT($J853,"yyyy-mm-dd")&amp;"|"&amp;$X853&amp;"|"&amp;$Y853,'CALENDARIO'!$G$15:$G$214,0)),IFERROR(INDEX('CALENDARIO'!$C$15:$C$214,MATCH(TEXT($J853,"yyyy-mm-dd")&amp;"|"&amp;$X853&amp;"|",'CALENDARIO'!$G$15:$G$214,0)),IFERROR(INDEX('CALENDARIO'!$C$15:$C$214,MATCH(TEXT($J853,"yyyy-mm-dd")&amp;"||",'CALENDARIO'!$G$15:$G$214,0)),INDEX(patronHabil,WEEKDAY($J853,2))))))</f>
        <v/>
      </c>
      <c r="U853" s="5">
        <f>IF($I853="","",IFERROR(INDEX('CAT_TIPOS_OT'!$C$4:$C$8,MATCH($I853,'CAT_TIPOS_OT'!$A$4:$A$8,0)),"sin_clasificar"))</f>
        <v/>
      </c>
      <c r="V853" s="5">
        <f>IF($I853="","",IF(IFERROR(INDEX('CAT_TIPOS_OT'!$D$4:$D$8,MATCH($I853,'CAT_TIPOS_OT'!$A$4:$A$8,0)),"SIN CLASIFICAR")="","SIN CLASIFICAR",IFERROR(INDEX('CAT_TIPOS_OT'!$D$4:$D$8,MATCH($I853,'CAT_TIPOS_OT'!$A$4:$A$8,0)),"SIN CLASIFICAR")))</f>
        <v/>
      </c>
      <c r="W853" s="5">
        <f>IF($F853="","",IFERROR(INDEX('CAT_CENTROS_COSTO'!$F$4:$F$13,MATCH($F853,'CAT_CENTROS_COSTO'!$A$4:$A$13,0)),"(sin catálogo)"))</f>
        <v/>
      </c>
      <c r="X853" s="5">
        <f>IF($F853="","",IFERROR(INDEX('CAT_CENTROS_COSTO'!$D$4:$D$13,MATCH($F853,'CAT_CENTROS_COSTO'!$A$4:$A$13,0)),"(sin catálogo)"))</f>
        <v/>
      </c>
      <c r="Y853" s="5">
        <f>IF($F853="","",IF((IFERROR(INDEX('CAT_CENTROS_COSTO'!$E$4:$E$13,MATCH($F853,'CAT_CENTROS_COSTO'!$A$4:$A$13,0)),""))&lt;&gt;"",IFERROR(INDEX('CAT_CENTROS_COSTO'!$E$4:$E$13,MATCH($F853,'CAT_CENTROS_COSTO'!$A$4:$A$13,0)),""),$X853))</f>
        <v/>
      </c>
      <c r="Z853" s="5">
        <f>IF($F853="","",IFERROR(INDEX('CAT_CENTROS_COSTO'!$G$4:$G$13,MATCH($F853,'CAT_CENTROS_COSTO'!$A$4:$A$13,0)),"(sin catálogo)"))</f>
        <v/>
      </c>
      <c r="AA853" s="5">
        <f>IF($G853="","",IFERROR(INDEX('CAT_PUESTOS'!$B$4:$B$8,MATCH($G853,'CAT_PUESTOS'!$A$4:$A$8,0)),"(sin catálogo)"))</f>
        <v/>
      </c>
      <c r="AB853" s="5">
        <f>IF($H853="","",IFERROR(INDEX('CAT_ACTIVIDADES'!$B$4:$B$11,MATCH($H853,'CAT_ACTIVIDADES'!$A$4:$A$11,0)),"(sin catálogo)"))</f>
        <v/>
      </c>
      <c r="AC853" s="20">
        <f>IF($J853="","",TODAY()-$J853)</f>
        <v/>
      </c>
      <c r="AD853" s="20">
        <f>IF($J853="","",IF($J853&lt;=TODAY(),COUNTIFS(cal_fechas,"&gt;="&amp;$J853,cal_fechas,"&lt;"&amp;TODAY(),cal_habil,"sí"),-COUNTIFS(cal_fechas,"&gt;="&amp;TODAY(),cal_fechas,"&lt;"&amp;$J853,cal_habil,"sí")))</f>
        <v/>
      </c>
      <c r="AE853" s="5">
        <f>IF($AD853="","",IF($AD853&lt;0,"FUTURO",IF($AD853&gt;p_dias_backlog_max,"BACKLOG","MES CORRIENTE")))</f>
        <v/>
      </c>
      <c r="AF853" s="5">
        <f>IF($AD853="",FALSE,AND($AD853&gt;p_dias_backlog_min,$AD853&lt;=p_dias_backlog_max))</f>
        <v/>
      </c>
      <c r="AG853" s="4" t="n"/>
      <c r="AH853" s="5">
        <f>IF($AG853="","",IF((IFERROR(INDEX('ASIGNACIONES'!$J$4:$J$451,MATCH($O853&amp;"|"&amp;$S853&amp;"|"&amp;$AG853,'ASIGNACIONES'!$N$4:$N$451,0)),""))=0,"",IFERROR(INDEX('ASIGNACIONES'!$J$4:$J$451,MATCH($O853&amp;"|"&amp;$S853&amp;"|"&amp;$AG853,'ASIGNACIONES'!$N$4:$N$451,0)),"")))</f>
        <v/>
      </c>
      <c r="AI853" s="25">
        <f>IF($AG853="","",SUMIFS('ORDENES'!$M$4:$M$1203,'ORDENES'!$AG$4:$AG$1203,$AG853,'ORDENES'!$O$4:$O$1203,$O853,'ORDENES'!$S$4:$S$1203,$S853))</f>
        <v/>
      </c>
      <c r="AJ853" s="25">
        <f>IF($AI853="","",p_factor_productividad*IFERROR(INDEX('ASIGNACIONES'!$M$4:$M$451,MATCH($O853&amp;"|"&amp;$S853&amp;"|"&amp;$AG853,'ASIGNACIONES'!$N$4:$N$451,0)),0)-$AI853)</f>
        <v/>
      </c>
      <c r="AK853" s="18">
        <f>IF($A853="","",IFERROR(INDEX('2_IMPORTAR_EJECUCION'!$F$9:$F$1208,MATCH($AT853,'2_IMPORTAR_EJECUCION'!$J$9:$J$1208,0)),0))</f>
        <v/>
      </c>
      <c r="AL853" s="18">
        <f>IF($A853="","",MAX(0,IFERROR(INDEX('2_IMPORTAR_EJECUCION'!$H$9:$H$1208,MATCH($AT853,'2_IMPORTAR_EJECUCION'!$J$9:$J$1208,0)),0)-$AK853))</f>
        <v/>
      </c>
      <c r="AM853" s="18">
        <f>IF($A853="","",$AK853+$AL853)</f>
        <v/>
      </c>
      <c r="AN853" s="5">
        <f>IF($A853="","",IF(OR((IFERROR(INDEX('CAT_ACTIVIDADES'!$D$4:$D$11,MATCH($H853,'CAT_ACTIVIDADES'!$A$4:$A$11,0)),""))=0,(IFERROR(INDEX('CAT_ACTIVIDADES'!$D$4:$D$11,MATCH($H853,'CAT_ACTIVIDADES'!$A$4:$A$11,0)),""))=""),"SIN CLASIFICAR",IFERROR(INDEX('CAT_ACTIVIDADES'!$D$4:$D$11,MATCH($H853,'CAT_ACTIVIDADES'!$A$4:$A$11,0)),"")))</f>
        <v/>
      </c>
      <c r="AO853" s="4" t="n"/>
      <c r="AP853" s="4" t="n"/>
      <c r="AQ853" s="4" t="n"/>
      <c r="AR853" s="5">
        <f>IF($AQ853="","",HYPERLINK(p_ruta_base_checklists&amp;$AQ853,"abrir"))</f>
        <v/>
      </c>
      <c r="AS853" s="4" t="n"/>
      <c r="AT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2" t="n"/>
      <c r="K854" s="5" t="n"/>
      <c r="L854" s="18" t="n"/>
      <c r="M854" s="5">
        <f>IF($A854="","",IFERROR(INDEX('AJUSTES'!$B$4:$B$303,MATCH($AT854,'AJUSTES'!$A$4:$A$303,0)),IF($K854="","",$K854)))</f>
        <v/>
      </c>
      <c r="N854" s="5">
        <f>IF($A854="","",IFERROR(INDEX('CAT_ESTADOS_ERP'!$B$4:$B$7,MATCH(IFERROR(INDEX('2_IMPORTAR_EJECUCION'!$C$9:$C$1208,MATCH($AT854,'2_IMPORTAR_EJECUCION'!$J$9:$J$1208,0)),""),'CAT_ESTADOS_ERP'!$A$4:$A$7,0)),"Pendiente"))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IF($J854="","",$P854&amp;"-"&amp;TEXT($Q854,"00"))</f>
        <v/>
      </c>
      <c r="S854" s="5">
        <f>IF($J854="","",INDEX(lista_dias,WEEKDAY($J854,2)))</f>
        <v/>
      </c>
      <c r="T854" s="5">
        <f>IF($J854="","",IFERROR(INDEX('CALENDARIO'!$C$15:$C$214,MATCH(TEXT($J854,"yyyy-mm-dd")&amp;"|"&amp;$X854&amp;"|"&amp;$Y854,'CALENDARIO'!$G$15:$G$214,0)),IFERROR(INDEX('CALENDARIO'!$C$15:$C$214,MATCH(TEXT($J854,"yyyy-mm-dd")&amp;"|"&amp;$X854&amp;"|",'CALENDARIO'!$G$15:$G$214,0)),IFERROR(INDEX('CALENDARIO'!$C$15:$C$214,MATCH(TEXT($J854,"yyyy-mm-dd")&amp;"||",'CALENDARIO'!$G$15:$G$214,0)),INDEX(patronHabil,WEEKDAY($J854,2))))))</f>
        <v/>
      </c>
      <c r="U854" s="5">
        <f>IF($I854="","",IFERROR(INDEX('CAT_TIPOS_OT'!$C$4:$C$8,MATCH($I854,'CAT_TIPOS_OT'!$A$4:$A$8,0)),"sin_clasificar"))</f>
        <v/>
      </c>
      <c r="V854" s="5">
        <f>IF($I854="","",IF(IFERROR(INDEX('CAT_TIPOS_OT'!$D$4:$D$8,MATCH($I854,'CAT_TIPOS_OT'!$A$4:$A$8,0)),"SIN CLASIFICAR")="","SIN CLASIFICAR",IFERROR(INDEX('CAT_TIPOS_OT'!$D$4:$D$8,MATCH($I854,'CAT_TIPOS_OT'!$A$4:$A$8,0)),"SIN CLASIFICAR")))</f>
        <v/>
      </c>
      <c r="W854" s="5">
        <f>IF($F854="","",IFERROR(INDEX('CAT_CENTROS_COSTO'!$F$4:$F$13,MATCH($F854,'CAT_CENTROS_COSTO'!$A$4:$A$13,0)),"(sin catálogo)"))</f>
        <v/>
      </c>
      <c r="X854" s="5">
        <f>IF($F854="","",IFERROR(INDEX('CAT_CENTROS_COSTO'!$D$4:$D$13,MATCH($F854,'CAT_CENTROS_COSTO'!$A$4:$A$13,0)),"(sin catálogo)"))</f>
        <v/>
      </c>
      <c r="Y854" s="5">
        <f>IF($F854="","",IF((IFERROR(INDEX('CAT_CENTROS_COSTO'!$E$4:$E$13,MATCH($F854,'CAT_CENTROS_COSTO'!$A$4:$A$13,0)),""))&lt;&gt;"",IFERROR(INDEX('CAT_CENTROS_COSTO'!$E$4:$E$13,MATCH($F854,'CAT_CENTROS_COSTO'!$A$4:$A$13,0)),""),$X854))</f>
        <v/>
      </c>
      <c r="Z854" s="5">
        <f>IF($F854="","",IFERROR(INDEX('CAT_CENTROS_COSTO'!$G$4:$G$13,MATCH($F854,'CAT_CENTROS_COSTO'!$A$4:$A$13,0)),"(sin catálogo)"))</f>
        <v/>
      </c>
      <c r="AA854" s="5">
        <f>IF($G854="","",IFERROR(INDEX('CAT_PUESTOS'!$B$4:$B$8,MATCH($G854,'CAT_PUESTOS'!$A$4:$A$8,0)),"(sin catálogo)"))</f>
        <v/>
      </c>
      <c r="AB854" s="5">
        <f>IF($H854="","",IFERROR(INDEX('CAT_ACTIVIDADES'!$B$4:$B$11,MATCH($H854,'CAT_ACTIVIDADES'!$A$4:$A$11,0)),"(sin catálogo)"))</f>
        <v/>
      </c>
      <c r="AC854" s="20">
        <f>IF($J854="","",TODAY()-$J854)</f>
        <v/>
      </c>
      <c r="AD854" s="20">
        <f>IF($J854="","",IF($J854&lt;=TODAY(),COUNTIFS(cal_fechas,"&gt;="&amp;$J854,cal_fechas,"&lt;"&amp;TODAY(),cal_habil,"sí"),-COUNTIFS(cal_fechas,"&gt;="&amp;TODAY(),cal_fechas,"&lt;"&amp;$J854,cal_habil,"sí")))</f>
        <v/>
      </c>
      <c r="AE854" s="5">
        <f>IF($AD854="","",IF($AD854&lt;0,"FUTURO",IF($AD854&gt;p_dias_backlog_max,"BACKLOG","MES CORRIENTE")))</f>
        <v/>
      </c>
      <c r="AF854" s="5">
        <f>IF($AD854="",FALSE,AND($AD854&gt;p_dias_backlog_min,$AD854&lt;=p_dias_backlog_max))</f>
        <v/>
      </c>
      <c r="AG854" s="4" t="n"/>
      <c r="AH854" s="5">
        <f>IF($AG854="","",IF((IFERROR(INDEX('ASIGNACIONES'!$J$4:$J$451,MATCH($O854&amp;"|"&amp;$S854&amp;"|"&amp;$AG854,'ASIGNACIONES'!$N$4:$N$451,0)),""))=0,"",IFERROR(INDEX('ASIGNACIONES'!$J$4:$J$451,MATCH($O854&amp;"|"&amp;$S854&amp;"|"&amp;$AG854,'ASIGNACIONES'!$N$4:$N$451,0)),"")))</f>
        <v/>
      </c>
      <c r="AI854" s="25">
        <f>IF($AG854="","",SUMIFS('ORDENES'!$M$4:$M$1203,'ORDENES'!$AG$4:$AG$1203,$AG854,'ORDENES'!$O$4:$O$1203,$O854,'ORDENES'!$S$4:$S$1203,$S854))</f>
        <v/>
      </c>
      <c r="AJ854" s="25">
        <f>IF($AI854="","",p_factor_productividad*IFERROR(INDEX('ASIGNACIONES'!$M$4:$M$451,MATCH($O854&amp;"|"&amp;$S854&amp;"|"&amp;$AG854,'ASIGNACIONES'!$N$4:$N$451,0)),0)-$AI854)</f>
        <v/>
      </c>
      <c r="AK854" s="18">
        <f>IF($A854="","",IFERROR(INDEX('2_IMPORTAR_EJECUCION'!$F$9:$F$1208,MATCH($AT854,'2_IMPORTAR_EJECUCION'!$J$9:$J$1208,0)),0))</f>
        <v/>
      </c>
      <c r="AL854" s="18">
        <f>IF($A854="","",MAX(0,IFERROR(INDEX('2_IMPORTAR_EJECUCION'!$H$9:$H$1208,MATCH($AT854,'2_IMPORTAR_EJECUCION'!$J$9:$J$1208,0)),0)-$AK854))</f>
        <v/>
      </c>
      <c r="AM854" s="18">
        <f>IF($A854="","",$AK854+$AL854)</f>
        <v/>
      </c>
      <c r="AN854" s="5">
        <f>IF($A854="","",IF(OR((IFERROR(INDEX('CAT_ACTIVIDADES'!$D$4:$D$11,MATCH($H854,'CAT_ACTIVIDADES'!$A$4:$A$11,0)),""))=0,(IFERROR(INDEX('CAT_ACTIVIDADES'!$D$4:$D$11,MATCH($H854,'CAT_ACTIVIDADES'!$A$4:$A$11,0)),""))=""),"SIN CLASIFICAR",IFERROR(INDEX('CAT_ACTIVIDADES'!$D$4:$D$11,MATCH($H854,'CAT_ACTIVIDADES'!$A$4:$A$11,0)),"")))</f>
        <v/>
      </c>
      <c r="AO854" s="4" t="n"/>
      <c r="AP854" s="4" t="n"/>
      <c r="AQ854" s="4" t="n"/>
      <c r="AR854" s="5">
        <f>IF($AQ854="","",HYPERLINK(p_ruta_base_checklists&amp;$AQ854,"abrir"))</f>
        <v/>
      </c>
      <c r="AS854" s="4" t="n"/>
      <c r="AT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2" t="n"/>
      <c r="K855" s="5" t="n"/>
      <c r="L855" s="18" t="n"/>
      <c r="M855" s="5">
        <f>IF($A855="","",IFERROR(INDEX('AJUSTES'!$B$4:$B$303,MATCH($AT855,'AJUSTES'!$A$4:$A$303,0)),IF($K855="","",$K855)))</f>
        <v/>
      </c>
      <c r="N855" s="5">
        <f>IF($A855="","",IFERROR(INDEX('CAT_ESTADOS_ERP'!$B$4:$B$7,MATCH(IFERROR(INDEX('2_IMPORTAR_EJECUCION'!$C$9:$C$1208,MATCH($AT855,'2_IMPORTAR_EJECUCION'!$J$9:$J$1208,0)),""),'CAT_ESTADOS_ERP'!$A$4:$A$7,0)),"Pendiente"))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IF($J855="","",$P855&amp;"-"&amp;TEXT($Q855,"00"))</f>
        <v/>
      </c>
      <c r="S855" s="5">
        <f>IF($J855="","",INDEX(lista_dias,WEEKDAY($J855,2)))</f>
        <v/>
      </c>
      <c r="T855" s="5">
        <f>IF($J855="","",IFERROR(INDEX('CALENDARIO'!$C$15:$C$214,MATCH(TEXT($J855,"yyyy-mm-dd")&amp;"|"&amp;$X855&amp;"|"&amp;$Y855,'CALENDARIO'!$G$15:$G$214,0)),IFERROR(INDEX('CALENDARIO'!$C$15:$C$214,MATCH(TEXT($J855,"yyyy-mm-dd")&amp;"|"&amp;$X855&amp;"|",'CALENDARIO'!$G$15:$G$214,0)),IFERROR(INDEX('CALENDARIO'!$C$15:$C$214,MATCH(TEXT($J855,"yyyy-mm-dd")&amp;"||",'CALENDARIO'!$G$15:$G$214,0)),INDEX(patronHabil,WEEKDAY($J855,2))))))</f>
        <v/>
      </c>
      <c r="U855" s="5">
        <f>IF($I855="","",IFERROR(INDEX('CAT_TIPOS_OT'!$C$4:$C$8,MATCH($I855,'CAT_TIPOS_OT'!$A$4:$A$8,0)),"sin_clasificar"))</f>
        <v/>
      </c>
      <c r="V855" s="5">
        <f>IF($I855="","",IF(IFERROR(INDEX('CAT_TIPOS_OT'!$D$4:$D$8,MATCH($I855,'CAT_TIPOS_OT'!$A$4:$A$8,0)),"SIN CLASIFICAR")="","SIN CLASIFICAR",IFERROR(INDEX('CAT_TIPOS_OT'!$D$4:$D$8,MATCH($I855,'CAT_TIPOS_OT'!$A$4:$A$8,0)),"SIN CLASIFICAR")))</f>
        <v/>
      </c>
      <c r="W855" s="5">
        <f>IF($F855="","",IFERROR(INDEX('CAT_CENTROS_COSTO'!$F$4:$F$13,MATCH($F855,'CAT_CENTROS_COSTO'!$A$4:$A$13,0)),"(sin catálogo)"))</f>
        <v/>
      </c>
      <c r="X855" s="5">
        <f>IF($F855="","",IFERROR(INDEX('CAT_CENTROS_COSTO'!$D$4:$D$13,MATCH($F855,'CAT_CENTROS_COSTO'!$A$4:$A$13,0)),"(sin catálogo)"))</f>
        <v/>
      </c>
      <c r="Y855" s="5">
        <f>IF($F855="","",IF((IFERROR(INDEX('CAT_CENTROS_COSTO'!$E$4:$E$13,MATCH($F855,'CAT_CENTROS_COSTO'!$A$4:$A$13,0)),""))&lt;&gt;"",IFERROR(INDEX('CAT_CENTROS_COSTO'!$E$4:$E$13,MATCH($F855,'CAT_CENTROS_COSTO'!$A$4:$A$13,0)),""),$X855))</f>
        <v/>
      </c>
      <c r="Z855" s="5">
        <f>IF($F855="","",IFERROR(INDEX('CAT_CENTROS_COSTO'!$G$4:$G$13,MATCH($F855,'CAT_CENTROS_COSTO'!$A$4:$A$13,0)),"(sin catálogo)"))</f>
        <v/>
      </c>
      <c r="AA855" s="5">
        <f>IF($G855="","",IFERROR(INDEX('CAT_PUESTOS'!$B$4:$B$8,MATCH($G855,'CAT_PUESTOS'!$A$4:$A$8,0)),"(sin catálogo)"))</f>
        <v/>
      </c>
      <c r="AB855" s="5">
        <f>IF($H855="","",IFERROR(INDEX('CAT_ACTIVIDADES'!$B$4:$B$11,MATCH($H855,'CAT_ACTIVIDADES'!$A$4:$A$11,0)),"(sin catálogo)"))</f>
        <v/>
      </c>
      <c r="AC855" s="20">
        <f>IF($J855="","",TODAY()-$J855)</f>
        <v/>
      </c>
      <c r="AD855" s="20">
        <f>IF($J855="","",IF($J855&lt;=TODAY(),COUNTIFS(cal_fechas,"&gt;="&amp;$J855,cal_fechas,"&lt;"&amp;TODAY(),cal_habil,"sí"),-COUNTIFS(cal_fechas,"&gt;="&amp;TODAY(),cal_fechas,"&lt;"&amp;$J855,cal_habil,"sí")))</f>
        <v/>
      </c>
      <c r="AE855" s="5">
        <f>IF($AD855="","",IF($AD855&lt;0,"FUTURO",IF($AD855&gt;p_dias_backlog_max,"BACKLOG","MES CORRIENTE")))</f>
        <v/>
      </c>
      <c r="AF855" s="5">
        <f>IF($AD855="",FALSE,AND($AD855&gt;p_dias_backlog_min,$AD855&lt;=p_dias_backlog_max))</f>
        <v/>
      </c>
      <c r="AG855" s="4" t="n"/>
      <c r="AH855" s="5">
        <f>IF($AG855="","",IF((IFERROR(INDEX('ASIGNACIONES'!$J$4:$J$451,MATCH($O855&amp;"|"&amp;$S855&amp;"|"&amp;$AG855,'ASIGNACIONES'!$N$4:$N$451,0)),""))=0,"",IFERROR(INDEX('ASIGNACIONES'!$J$4:$J$451,MATCH($O855&amp;"|"&amp;$S855&amp;"|"&amp;$AG855,'ASIGNACIONES'!$N$4:$N$451,0)),"")))</f>
        <v/>
      </c>
      <c r="AI855" s="25">
        <f>IF($AG855="","",SUMIFS('ORDENES'!$M$4:$M$1203,'ORDENES'!$AG$4:$AG$1203,$AG855,'ORDENES'!$O$4:$O$1203,$O855,'ORDENES'!$S$4:$S$1203,$S855))</f>
        <v/>
      </c>
      <c r="AJ855" s="25">
        <f>IF($AI855="","",p_factor_productividad*IFERROR(INDEX('ASIGNACIONES'!$M$4:$M$451,MATCH($O855&amp;"|"&amp;$S855&amp;"|"&amp;$AG855,'ASIGNACIONES'!$N$4:$N$451,0)),0)-$AI855)</f>
        <v/>
      </c>
      <c r="AK855" s="18">
        <f>IF($A855="","",IFERROR(INDEX('2_IMPORTAR_EJECUCION'!$F$9:$F$1208,MATCH($AT855,'2_IMPORTAR_EJECUCION'!$J$9:$J$1208,0)),0))</f>
        <v/>
      </c>
      <c r="AL855" s="18">
        <f>IF($A855="","",MAX(0,IFERROR(INDEX('2_IMPORTAR_EJECUCION'!$H$9:$H$1208,MATCH($AT855,'2_IMPORTAR_EJECUCION'!$J$9:$J$1208,0)),0)-$AK855))</f>
        <v/>
      </c>
      <c r="AM855" s="18">
        <f>IF($A855="","",$AK855+$AL855)</f>
        <v/>
      </c>
      <c r="AN855" s="5">
        <f>IF($A855="","",IF(OR((IFERROR(INDEX('CAT_ACTIVIDADES'!$D$4:$D$11,MATCH($H855,'CAT_ACTIVIDADES'!$A$4:$A$11,0)),""))=0,(IFERROR(INDEX('CAT_ACTIVIDADES'!$D$4:$D$11,MATCH($H855,'CAT_ACTIVIDADES'!$A$4:$A$11,0)),""))=""),"SIN CLASIFICAR",IFERROR(INDEX('CAT_ACTIVIDADES'!$D$4:$D$11,MATCH($H855,'CAT_ACTIVIDADES'!$A$4:$A$11,0)),"")))</f>
        <v/>
      </c>
      <c r="AO855" s="4" t="n"/>
      <c r="AP855" s="4" t="n"/>
      <c r="AQ855" s="4" t="n"/>
      <c r="AR855" s="5">
        <f>IF($AQ855="","",HYPERLINK(p_ruta_base_checklists&amp;$AQ855,"abrir"))</f>
        <v/>
      </c>
      <c r="AS855" s="4" t="n"/>
      <c r="AT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2" t="n"/>
      <c r="K856" s="5" t="n"/>
      <c r="L856" s="18" t="n"/>
      <c r="M856" s="5">
        <f>IF($A856="","",IFERROR(INDEX('AJUSTES'!$B$4:$B$303,MATCH($AT856,'AJUSTES'!$A$4:$A$303,0)),IF($K856="","",$K856)))</f>
        <v/>
      </c>
      <c r="N856" s="5">
        <f>IF($A856="","",IFERROR(INDEX('CAT_ESTADOS_ERP'!$B$4:$B$7,MATCH(IFERROR(INDEX('2_IMPORTAR_EJECUCION'!$C$9:$C$1208,MATCH($AT856,'2_IMPORTAR_EJECUCION'!$J$9:$J$1208,0)),""),'CAT_ESTADOS_ERP'!$A$4:$A$7,0)),"Pendiente"))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IF($J856="","",$P856&amp;"-"&amp;TEXT($Q856,"00"))</f>
        <v/>
      </c>
      <c r="S856" s="5">
        <f>IF($J856="","",INDEX(lista_dias,WEEKDAY($J856,2)))</f>
        <v/>
      </c>
      <c r="T856" s="5">
        <f>IF($J856="","",IFERROR(INDEX('CALENDARIO'!$C$15:$C$214,MATCH(TEXT($J856,"yyyy-mm-dd")&amp;"|"&amp;$X856&amp;"|"&amp;$Y856,'CALENDARIO'!$G$15:$G$214,0)),IFERROR(INDEX('CALENDARIO'!$C$15:$C$214,MATCH(TEXT($J856,"yyyy-mm-dd")&amp;"|"&amp;$X856&amp;"|",'CALENDARIO'!$G$15:$G$214,0)),IFERROR(INDEX('CALENDARIO'!$C$15:$C$214,MATCH(TEXT($J856,"yyyy-mm-dd")&amp;"||",'CALENDARIO'!$G$15:$G$214,0)),INDEX(patronHabil,WEEKDAY($J856,2))))))</f>
        <v/>
      </c>
      <c r="U856" s="5">
        <f>IF($I856="","",IFERROR(INDEX('CAT_TIPOS_OT'!$C$4:$C$8,MATCH($I856,'CAT_TIPOS_OT'!$A$4:$A$8,0)),"sin_clasificar"))</f>
        <v/>
      </c>
      <c r="V856" s="5">
        <f>IF($I856="","",IF(IFERROR(INDEX('CAT_TIPOS_OT'!$D$4:$D$8,MATCH($I856,'CAT_TIPOS_OT'!$A$4:$A$8,0)),"SIN CLASIFICAR")="","SIN CLASIFICAR",IFERROR(INDEX('CAT_TIPOS_OT'!$D$4:$D$8,MATCH($I856,'CAT_TIPOS_OT'!$A$4:$A$8,0)),"SIN CLASIFICAR")))</f>
        <v/>
      </c>
      <c r="W856" s="5">
        <f>IF($F856="","",IFERROR(INDEX('CAT_CENTROS_COSTO'!$F$4:$F$13,MATCH($F856,'CAT_CENTROS_COSTO'!$A$4:$A$13,0)),"(sin catálogo)"))</f>
        <v/>
      </c>
      <c r="X856" s="5">
        <f>IF($F856="","",IFERROR(INDEX('CAT_CENTROS_COSTO'!$D$4:$D$13,MATCH($F856,'CAT_CENTROS_COSTO'!$A$4:$A$13,0)),"(sin catálogo)"))</f>
        <v/>
      </c>
      <c r="Y856" s="5">
        <f>IF($F856="","",IF((IFERROR(INDEX('CAT_CENTROS_COSTO'!$E$4:$E$13,MATCH($F856,'CAT_CENTROS_COSTO'!$A$4:$A$13,0)),""))&lt;&gt;"",IFERROR(INDEX('CAT_CENTROS_COSTO'!$E$4:$E$13,MATCH($F856,'CAT_CENTROS_COSTO'!$A$4:$A$13,0)),""),$X856))</f>
        <v/>
      </c>
      <c r="Z856" s="5">
        <f>IF($F856="","",IFERROR(INDEX('CAT_CENTROS_COSTO'!$G$4:$G$13,MATCH($F856,'CAT_CENTROS_COSTO'!$A$4:$A$13,0)),"(sin catálogo)"))</f>
        <v/>
      </c>
      <c r="AA856" s="5">
        <f>IF($G856="","",IFERROR(INDEX('CAT_PUESTOS'!$B$4:$B$8,MATCH($G856,'CAT_PUESTOS'!$A$4:$A$8,0)),"(sin catálogo)"))</f>
        <v/>
      </c>
      <c r="AB856" s="5">
        <f>IF($H856="","",IFERROR(INDEX('CAT_ACTIVIDADES'!$B$4:$B$11,MATCH($H856,'CAT_ACTIVIDADES'!$A$4:$A$11,0)),"(sin catálogo)"))</f>
        <v/>
      </c>
      <c r="AC856" s="20">
        <f>IF($J856="","",TODAY()-$J856)</f>
        <v/>
      </c>
      <c r="AD856" s="20">
        <f>IF($J856="","",IF($J856&lt;=TODAY(),COUNTIFS(cal_fechas,"&gt;="&amp;$J856,cal_fechas,"&lt;"&amp;TODAY(),cal_habil,"sí"),-COUNTIFS(cal_fechas,"&gt;="&amp;TODAY(),cal_fechas,"&lt;"&amp;$J856,cal_habil,"sí")))</f>
        <v/>
      </c>
      <c r="AE856" s="5">
        <f>IF($AD856="","",IF($AD856&lt;0,"FUTURO",IF($AD856&gt;p_dias_backlog_max,"BACKLOG","MES CORRIENTE")))</f>
        <v/>
      </c>
      <c r="AF856" s="5">
        <f>IF($AD856="",FALSE,AND($AD856&gt;p_dias_backlog_min,$AD856&lt;=p_dias_backlog_max))</f>
        <v/>
      </c>
      <c r="AG856" s="4" t="n"/>
      <c r="AH856" s="5">
        <f>IF($AG856="","",IF((IFERROR(INDEX('ASIGNACIONES'!$J$4:$J$451,MATCH($O856&amp;"|"&amp;$S856&amp;"|"&amp;$AG856,'ASIGNACIONES'!$N$4:$N$451,0)),""))=0,"",IFERROR(INDEX('ASIGNACIONES'!$J$4:$J$451,MATCH($O856&amp;"|"&amp;$S856&amp;"|"&amp;$AG856,'ASIGNACIONES'!$N$4:$N$451,0)),"")))</f>
        <v/>
      </c>
      <c r="AI856" s="25">
        <f>IF($AG856="","",SUMIFS('ORDENES'!$M$4:$M$1203,'ORDENES'!$AG$4:$AG$1203,$AG856,'ORDENES'!$O$4:$O$1203,$O856,'ORDENES'!$S$4:$S$1203,$S856))</f>
        <v/>
      </c>
      <c r="AJ856" s="25">
        <f>IF($AI856="","",p_factor_productividad*IFERROR(INDEX('ASIGNACIONES'!$M$4:$M$451,MATCH($O856&amp;"|"&amp;$S856&amp;"|"&amp;$AG856,'ASIGNACIONES'!$N$4:$N$451,0)),0)-$AI856)</f>
        <v/>
      </c>
      <c r="AK856" s="18">
        <f>IF($A856="","",IFERROR(INDEX('2_IMPORTAR_EJECUCION'!$F$9:$F$1208,MATCH($AT856,'2_IMPORTAR_EJECUCION'!$J$9:$J$1208,0)),0))</f>
        <v/>
      </c>
      <c r="AL856" s="18">
        <f>IF($A856="","",MAX(0,IFERROR(INDEX('2_IMPORTAR_EJECUCION'!$H$9:$H$1208,MATCH($AT856,'2_IMPORTAR_EJECUCION'!$J$9:$J$1208,0)),0)-$AK856))</f>
        <v/>
      </c>
      <c r="AM856" s="18">
        <f>IF($A856="","",$AK856+$AL856)</f>
        <v/>
      </c>
      <c r="AN856" s="5">
        <f>IF($A856="","",IF(OR((IFERROR(INDEX('CAT_ACTIVIDADES'!$D$4:$D$11,MATCH($H856,'CAT_ACTIVIDADES'!$A$4:$A$11,0)),""))=0,(IFERROR(INDEX('CAT_ACTIVIDADES'!$D$4:$D$11,MATCH($H856,'CAT_ACTIVIDADES'!$A$4:$A$11,0)),""))=""),"SIN CLASIFICAR",IFERROR(INDEX('CAT_ACTIVIDADES'!$D$4:$D$11,MATCH($H856,'CAT_ACTIVIDADES'!$A$4:$A$11,0)),"")))</f>
        <v/>
      </c>
      <c r="AO856" s="4" t="n"/>
      <c r="AP856" s="4" t="n"/>
      <c r="AQ856" s="4" t="n"/>
      <c r="AR856" s="5">
        <f>IF($AQ856="","",HYPERLINK(p_ruta_base_checklists&amp;$AQ856,"abrir"))</f>
        <v/>
      </c>
      <c r="AS856" s="4" t="n"/>
      <c r="AT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2" t="n"/>
      <c r="K857" s="5" t="n"/>
      <c r="L857" s="18" t="n"/>
      <c r="M857" s="5">
        <f>IF($A857="","",IFERROR(INDEX('AJUSTES'!$B$4:$B$303,MATCH($AT857,'AJUSTES'!$A$4:$A$303,0)),IF($K857="","",$K857)))</f>
        <v/>
      </c>
      <c r="N857" s="5">
        <f>IF($A857="","",IFERROR(INDEX('CAT_ESTADOS_ERP'!$B$4:$B$7,MATCH(IFERROR(INDEX('2_IMPORTAR_EJECUCION'!$C$9:$C$1208,MATCH($AT857,'2_IMPORTAR_EJECUCION'!$J$9:$J$1208,0)),""),'CAT_ESTADOS_ERP'!$A$4:$A$7,0)),"Pendiente"))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IF($J857="","",$P857&amp;"-"&amp;TEXT($Q857,"00"))</f>
        <v/>
      </c>
      <c r="S857" s="5">
        <f>IF($J857="","",INDEX(lista_dias,WEEKDAY($J857,2)))</f>
        <v/>
      </c>
      <c r="T857" s="5">
        <f>IF($J857="","",IFERROR(INDEX('CALENDARIO'!$C$15:$C$214,MATCH(TEXT($J857,"yyyy-mm-dd")&amp;"|"&amp;$X857&amp;"|"&amp;$Y857,'CALENDARIO'!$G$15:$G$214,0)),IFERROR(INDEX('CALENDARIO'!$C$15:$C$214,MATCH(TEXT($J857,"yyyy-mm-dd")&amp;"|"&amp;$X857&amp;"|",'CALENDARIO'!$G$15:$G$214,0)),IFERROR(INDEX('CALENDARIO'!$C$15:$C$214,MATCH(TEXT($J857,"yyyy-mm-dd")&amp;"||",'CALENDARIO'!$G$15:$G$214,0)),INDEX(patronHabil,WEEKDAY($J857,2))))))</f>
        <v/>
      </c>
      <c r="U857" s="5">
        <f>IF($I857="","",IFERROR(INDEX('CAT_TIPOS_OT'!$C$4:$C$8,MATCH($I857,'CAT_TIPOS_OT'!$A$4:$A$8,0)),"sin_clasificar"))</f>
        <v/>
      </c>
      <c r="V857" s="5">
        <f>IF($I857="","",IF(IFERROR(INDEX('CAT_TIPOS_OT'!$D$4:$D$8,MATCH($I857,'CAT_TIPOS_OT'!$A$4:$A$8,0)),"SIN CLASIFICAR")="","SIN CLASIFICAR",IFERROR(INDEX('CAT_TIPOS_OT'!$D$4:$D$8,MATCH($I857,'CAT_TIPOS_OT'!$A$4:$A$8,0)),"SIN CLASIFICAR")))</f>
        <v/>
      </c>
      <c r="W857" s="5">
        <f>IF($F857="","",IFERROR(INDEX('CAT_CENTROS_COSTO'!$F$4:$F$13,MATCH($F857,'CAT_CENTROS_COSTO'!$A$4:$A$13,0)),"(sin catálogo)"))</f>
        <v/>
      </c>
      <c r="X857" s="5">
        <f>IF($F857="","",IFERROR(INDEX('CAT_CENTROS_COSTO'!$D$4:$D$13,MATCH($F857,'CAT_CENTROS_COSTO'!$A$4:$A$13,0)),"(sin catálogo)"))</f>
        <v/>
      </c>
      <c r="Y857" s="5">
        <f>IF($F857="","",IF((IFERROR(INDEX('CAT_CENTROS_COSTO'!$E$4:$E$13,MATCH($F857,'CAT_CENTROS_COSTO'!$A$4:$A$13,0)),""))&lt;&gt;"",IFERROR(INDEX('CAT_CENTROS_COSTO'!$E$4:$E$13,MATCH($F857,'CAT_CENTROS_COSTO'!$A$4:$A$13,0)),""),$X857))</f>
        <v/>
      </c>
      <c r="Z857" s="5">
        <f>IF($F857="","",IFERROR(INDEX('CAT_CENTROS_COSTO'!$G$4:$G$13,MATCH($F857,'CAT_CENTROS_COSTO'!$A$4:$A$13,0)),"(sin catálogo)"))</f>
        <v/>
      </c>
      <c r="AA857" s="5">
        <f>IF($G857="","",IFERROR(INDEX('CAT_PUESTOS'!$B$4:$B$8,MATCH($G857,'CAT_PUESTOS'!$A$4:$A$8,0)),"(sin catálogo)"))</f>
        <v/>
      </c>
      <c r="AB857" s="5">
        <f>IF($H857="","",IFERROR(INDEX('CAT_ACTIVIDADES'!$B$4:$B$11,MATCH($H857,'CAT_ACTIVIDADES'!$A$4:$A$11,0)),"(sin catálogo)"))</f>
        <v/>
      </c>
      <c r="AC857" s="20">
        <f>IF($J857="","",TODAY()-$J857)</f>
        <v/>
      </c>
      <c r="AD857" s="20">
        <f>IF($J857="","",IF($J857&lt;=TODAY(),COUNTIFS(cal_fechas,"&gt;="&amp;$J857,cal_fechas,"&lt;"&amp;TODAY(),cal_habil,"sí"),-COUNTIFS(cal_fechas,"&gt;="&amp;TODAY(),cal_fechas,"&lt;"&amp;$J857,cal_habil,"sí")))</f>
        <v/>
      </c>
      <c r="AE857" s="5">
        <f>IF($AD857="","",IF($AD857&lt;0,"FUTURO",IF($AD857&gt;p_dias_backlog_max,"BACKLOG","MES CORRIENTE")))</f>
        <v/>
      </c>
      <c r="AF857" s="5">
        <f>IF($AD857="",FALSE,AND($AD857&gt;p_dias_backlog_min,$AD857&lt;=p_dias_backlog_max))</f>
        <v/>
      </c>
      <c r="AG857" s="4" t="n"/>
      <c r="AH857" s="5">
        <f>IF($AG857="","",IF((IFERROR(INDEX('ASIGNACIONES'!$J$4:$J$451,MATCH($O857&amp;"|"&amp;$S857&amp;"|"&amp;$AG857,'ASIGNACIONES'!$N$4:$N$451,0)),""))=0,"",IFERROR(INDEX('ASIGNACIONES'!$J$4:$J$451,MATCH($O857&amp;"|"&amp;$S857&amp;"|"&amp;$AG857,'ASIGNACIONES'!$N$4:$N$451,0)),"")))</f>
        <v/>
      </c>
      <c r="AI857" s="25">
        <f>IF($AG857="","",SUMIFS('ORDENES'!$M$4:$M$1203,'ORDENES'!$AG$4:$AG$1203,$AG857,'ORDENES'!$O$4:$O$1203,$O857,'ORDENES'!$S$4:$S$1203,$S857))</f>
        <v/>
      </c>
      <c r="AJ857" s="25">
        <f>IF($AI857="","",p_factor_productividad*IFERROR(INDEX('ASIGNACIONES'!$M$4:$M$451,MATCH($O857&amp;"|"&amp;$S857&amp;"|"&amp;$AG857,'ASIGNACIONES'!$N$4:$N$451,0)),0)-$AI857)</f>
        <v/>
      </c>
      <c r="AK857" s="18">
        <f>IF($A857="","",IFERROR(INDEX('2_IMPORTAR_EJECUCION'!$F$9:$F$1208,MATCH($AT857,'2_IMPORTAR_EJECUCION'!$J$9:$J$1208,0)),0))</f>
        <v/>
      </c>
      <c r="AL857" s="18">
        <f>IF($A857="","",MAX(0,IFERROR(INDEX('2_IMPORTAR_EJECUCION'!$H$9:$H$1208,MATCH($AT857,'2_IMPORTAR_EJECUCION'!$J$9:$J$1208,0)),0)-$AK857))</f>
        <v/>
      </c>
      <c r="AM857" s="18">
        <f>IF($A857="","",$AK857+$AL857)</f>
        <v/>
      </c>
      <c r="AN857" s="5">
        <f>IF($A857="","",IF(OR((IFERROR(INDEX('CAT_ACTIVIDADES'!$D$4:$D$11,MATCH($H857,'CAT_ACTIVIDADES'!$A$4:$A$11,0)),""))=0,(IFERROR(INDEX('CAT_ACTIVIDADES'!$D$4:$D$11,MATCH($H857,'CAT_ACTIVIDADES'!$A$4:$A$11,0)),""))=""),"SIN CLASIFICAR",IFERROR(INDEX('CAT_ACTIVIDADES'!$D$4:$D$11,MATCH($H857,'CAT_ACTIVIDADES'!$A$4:$A$11,0)),"")))</f>
        <v/>
      </c>
      <c r="AO857" s="4" t="n"/>
      <c r="AP857" s="4" t="n"/>
      <c r="AQ857" s="4" t="n"/>
      <c r="AR857" s="5">
        <f>IF($AQ857="","",HYPERLINK(p_ruta_base_checklists&amp;$AQ857,"abrir"))</f>
        <v/>
      </c>
      <c r="AS857" s="4" t="n"/>
      <c r="AT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2" t="n"/>
      <c r="K858" s="5" t="n"/>
      <c r="L858" s="18" t="n"/>
      <c r="M858" s="5">
        <f>IF($A858="","",IFERROR(INDEX('AJUSTES'!$B$4:$B$303,MATCH($AT858,'AJUSTES'!$A$4:$A$303,0)),IF($K858="","",$K858)))</f>
        <v/>
      </c>
      <c r="N858" s="5">
        <f>IF($A858="","",IFERROR(INDEX('CAT_ESTADOS_ERP'!$B$4:$B$7,MATCH(IFERROR(INDEX('2_IMPORTAR_EJECUCION'!$C$9:$C$1208,MATCH($AT858,'2_IMPORTAR_EJECUCION'!$J$9:$J$1208,0)),""),'CAT_ESTADOS_ERP'!$A$4:$A$7,0)),"Pendiente"))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IF($J858="","",$P858&amp;"-"&amp;TEXT($Q858,"00"))</f>
        <v/>
      </c>
      <c r="S858" s="5">
        <f>IF($J858="","",INDEX(lista_dias,WEEKDAY($J858,2)))</f>
        <v/>
      </c>
      <c r="T858" s="5">
        <f>IF($J858="","",IFERROR(INDEX('CALENDARIO'!$C$15:$C$214,MATCH(TEXT($J858,"yyyy-mm-dd")&amp;"|"&amp;$X858&amp;"|"&amp;$Y858,'CALENDARIO'!$G$15:$G$214,0)),IFERROR(INDEX('CALENDARIO'!$C$15:$C$214,MATCH(TEXT($J858,"yyyy-mm-dd")&amp;"|"&amp;$X858&amp;"|",'CALENDARIO'!$G$15:$G$214,0)),IFERROR(INDEX('CALENDARIO'!$C$15:$C$214,MATCH(TEXT($J858,"yyyy-mm-dd")&amp;"||",'CALENDARIO'!$G$15:$G$214,0)),INDEX(patronHabil,WEEKDAY($J858,2))))))</f>
        <v/>
      </c>
      <c r="U858" s="5">
        <f>IF($I858="","",IFERROR(INDEX('CAT_TIPOS_OT'!$C$4:$C$8,MATCH($I858,'CAT_TIPOS_OT'!$A$4:$A$8,0)),"sin_clasificar"))</f>
        <v/>
      </c>
      <c r="V858" s="5">
        <f>IF($I858="","",IF(IFERROR(INDEX('CAT_TIPOS_OT'!$D$4:$D$8,MATCH($I858,'CAT_TIPOS_OT'!$A$4:$A$8,0)),"SIN CLASIFICAR")="","SIN CLASIFICAR",IFERROR(INDEX('CAT_TIPOS_OT'!$D$4:$D$8,MATCH($I858,'CAT_TIPOS_OT'!$A$4:$A$8,0)),"SIN CLASIFICAR")))</f>
        <v/>
      </c>
      <c r="W858" s="5">
        <f>IF($F858="","",IFERROR(INDEX('CAT_CENTROS_COSTO'!$F$4:$F$13,MATCH($F858,'CAT_CENTROS_COSTO'!$A$4:$A$13,0)),"(sin catálogo)"))</f>
        <v/>
      </c>
      <c r="X858" s="5">
        <f>IF($F858="","",IFERROR(INDEX('CAT_CENTROS_COSTO'!$D$4:$D$13,MATCH($F858,'CAT_CENTROS_COSTO'!$A$4:$A$13,0)),"(sin catálogo)"))</f>
        <v/>
      </c>
      <c r="Y858" s="5">
        <f>IF($F858="","",IF((IFERROR(INDEX('CAT_CENTROS_COSTO'!$E$4:$E$13,MATCH($F858,'CAT_CENTROS_COSTO'!$A$4:$A$13,0)),""))&lt;&gt;"",IFERROR(INDEX('CAT_CENTROS_COSTO'!$E$4:$E$13,MATCH($F858,'CAT_CENTROS_COSTO'!$A$4:$A$13,0)),""),$X858))</f>
        <v/>
      </c>
      <c r="Z858" s="5">
        <f>IF($F858="","",IFERROR(INDEX('CAT_CENTROS_COSTO'!$G$4:$G$13,MATCH($F858,'CAT_CENTROS_COSTO'!$A$4:$A$13,0)),"(sin catálogo)"))</f>
        <v/>
      </c>
      <c r="AA858" s="5">
        <f>IF($G858="","",IFERROR(INDEX('CAT_PUESTOS'!$B$4:$B$8,MATCH($G858,'CAT_PUESTOS'!$A$4:$A$8,0)),"(sin catálogo)"))</f>
        <v/>
      </c>
      <c r="AB858" s="5">
        <f>IF($H858="","",IFERROR(INDEX('CAT_ACTIVIDADES'!$B$4:$B$11,MATCH($H858,'CAT_ACTIVIDADES'!$A$4:$A$11,0)),"(sin catálogo)"))</f>
        <v/>
      </c>
      <c r="AC858" s="20">
        <f>IF($J858="","",TODAY()-$J858)</f>
        <v/>
      </c>
      <c r="AD858" s="20">
        <f>IF($J858="","",IF($J858&lt;=TODAY(),COUNTIFS(cal_fechas,"&gt;="&amp;$J858,cal_fechas,"&lt;"&amp;TODAY(),cal_habil,"sí"),-COUNTIFS(cal_fechas,"&gt;="&amp;TODAY(),cal_fechas,"&lt;"&amp;$J858,cal_habil,"sí")))</f>
        <v/>
      </c>
      <c r="AE858" s="5">
        <f>IF($AD858="","",IF($AD858&lt;0,"FUTURO",IF($AD858&gt;p_dias_backlog_max,"BACKLOG","MES CORRIENTE")))</f>
        <v/>
      </c>
      <c r="AF858" s="5">
        <f>IF($AD858="",FALSE,AND($AD858&gt;p_dias_backlog_min,$AD858&lt;=p_dias_backlog_max))</f>
        <v/>
      </c>
      <c r="AG858" s="4" t="n"/>
      <c r="AH858" s="5">
        <f>IF($AG858="","",IF((IFERROR(INDEX('ASIGNACIONES'!$J$4:$J$451,MATCH($O858&amp;"|"&amp;$S858&amp;"|"&amp;$AG858,'ASIGNACIONES'!$N$4:$N$451,0)),""))=0,"",IFERROR(INDEX('ASIGNACIONES'!$J$4:$J$451,MATCH($O858&amp;"|"&amp;$S858&amp;"|"&amp;$AG858,'ASIGNACIONES'!$N$4:$N$451,0)),"")))</f>
        <v/>
      </c>
      <c r="AI858" s="25">
        <f>IF($AG858="","",SUMIFS('ORDENES'!$M$4:$M$1203,'ORDENES'!$AG$4:$AG$1203,$AG858,'ORDENES'!$O$4:$O$1203,$O858,'ORDENES'!$S$4:$S$1203,$S858))</f>
        <v/>
      </c>
      <c r="AJ858" s="25">
        <f>IF($AI858="","",p_factor_productividad*IFERROR(INDEX('ASIGNACIONES'!$M$4:$M$451,MATCH($O858&amp;"|"&amp;$S858&amp;"|"&amp;$AG858,'ASIGNACIONES'!$N$4:$N$451,0)),0)-$AI858)</f>
        <v/>
      </c>
      <c r="AK858" s="18">
        <f>IF($A858="","",IFERROR(INDEX('2_IMPORTAR_EJECUCION'!$F$9:$F$1208,MATCH($AT858,'2_IMPORTAR_EJECUCION'!$J$9:$J$1208,0)),0))</f>
        <v/>
      </c>
      <c r="AL858" s="18">
        <f>IF($A858="","",MAX(0,IFERROR(INDEX('2_IMPORTAR_EJECUCION'!$H$9:$H$1208,MATCH($AT858,'2_IMPORTAR_EJECUCION'!$J$9:$J$1208,0)),0)-$AK858))</f>
        <v/>
      </c>
      <c r="AM858" s="18">
        <f>IF($A858="","",$AK858+$AL858)</f>
        <v/>
      </c>
      <c r="AN858" s="5">
        <f>IF($A858="","",IF(OR((IFERROR(INDEX('CAT_ACTIVIDADES'!$D$4:$D$11,MATCH($H858,'CAT_ACTIVIDADES'!$A$4:$A$11,0)),""))=0,(IFERROR(INDEX('CAT_ACTIVIDADES'!$D$4:$D$11,MATCH($H858,'CAT_ACTIVIDADES'!$A$4:$A$11,0)),""))=""),"SIN CLASIFICAR",IFERROR(INDEX('CAT_ACTIVIDADES'!$D$4:$D$11,MATCH($H858,'CAT_ACTIVIDADES'!$A$4:$A$11,0)),"")))</f>
        <v/>
      </c>
      <c r="AO858" s="4" t="n"/>
      <c r="AP858" s="4" t="n"/>
      <c r="AQ858" s="4" t="n"/>
      <c r="AR858" s="5">
        <f>IF($AQ858="","",HYPERLINK(p_ruta_base_checklists&amp;$AQ858,"abrir"))</f>
        <v/>
      </c>
      <c r="AS858" s="4" t="n"/>
      <c r="AT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2" t="n"/>
      <c r="K859" s="5" t="n"/>
      <c r="L859" s="18" t="n"/>
      <c r="M859" s="5">
        <f>IF($A859="","",IFERROR(INDEX('AJUSTES'!$B$4:$B$303,MATCH($AT859,'AJUSTES'!$A$4:$A$303,0)),IF($K859="","",$K859)))</f>
        <v/>
      </c>
      <c r="N859" s="5">
        <f>IF($A859="","",IFERROR(INDEX('CAT_ESTADOS_ERP'!$B$4:$B$7,MATCH(IFERROR(INDEX('2_IMPORTAR_EJECUCION'!$C$9:$C$1208,MATCH($AT859,'2_IMPORTAR_EJECUCION'!$J$9:$J$1208,0)),""),'CAT_ESTADOS_ERP'!$A$4:$A$7,0)),"Pendiente"))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IF($J859="","",$P859&amp;"-"&amp;TEXT($Q859,"00"))</f>
        <v/>
      </c>
      <c r="S859" s="5">
        <f>IF($J859="","",INDEX(lista_dias,WEEKDAY($J859,2)))</f>
        <v/>
      </c>
      <c r="T859" s="5">
        <f>IF($J859="","",IFERROR(INDEX('CALENDARIO'!$C$15:$C$214,MATCH(TEXT($J859,"yyyy-mm-dd")&amp;"|"&amp;$X859&amp;"|"&amp;$Y859,'CALENDARIO'!$G$15:$G$214,0)),IFERROR(INDEX('CALENDARIO'!$C$15:$C$214,MATCH(TEXT($J859,"yyyy-mm-dd")&amp;"|"&amp;$X859&amp;"|",'CALENDARIO'!$G$15:$G$214,0)),IFERROR(INDEX('CALENDARIO'!$C$15:$C$214,MATCH(TEXT($J859,"yyyy-mm-dd")&amp;"||",'CALENDARIO'!$G$15:$G$214,0)),INDEX(patronHabil,WEEKDAY($J859,2))))))</f>
        <v/>
      </c>
      <c r="U859" s="5">
        <f>IF($I859="","",IFERROR(INDEX('CAT_TIPOS_OT'!$C$4:$C$8,MATCH($I859,'CAT_TIPOS_OT'!$A$4:$A$8,0)),"sin_clasificar"))</f>
        <v/>
      </c>
      <c r="V859" s="5">
        <f>IF($I859="","",IF(IFERROR(INDEX('CAT_TIPOS_OT'!$D$4:$D$8,MATCH($I859,'CAT_TIPOS_OT'!$A$4:$A$8,0)),"SIN CLASIFICAR")="","SIN CLASIFICAR",IFERROR(INDEX('CAT_TIPOS_OT'!$D$4:$D$8,MATCH($I859,'CAT_TIPOS_OT'!$A$4:$A$8,0)),"SIN CLASIFICAR")))</f>
        <v/>
      </c>
      <c r="W859" s="5">
        <f>IF($F859="","",IFERROR(INDEX('CAT_CENTROS_COSTO'!$F$4:$F$13,MATCH($F859,'CAT_CENTROS_COSTO'!$A$4:$A$13,0)),"(sin catálogo)"))</f>
        <v/>
      </c>
      <c r="X859" s="5">
        <f>IF($F859="","",IFERROR(INDEX('CAT_CENTROS_COSTO'!$D$4:$D$13,MATCH($F859,'CAT_CENTROS_COSTO'!$A$4:$A$13,0)),"(sin catálogo)"))</f>
        <v/>
      </c>
      <c r="Y859" s="5">
        <f>IF($F859="","",IF((IFERROR(INDEX('CAT_CENTROS_COSTO'!$E$4:$E$13,MATCH($F859,'CAT_CENTROS_COSTO'!$A$4:$A$13,0)),""))&lt;&gt;"",IFERROR(INDEX('CAT_CENTROS_COSTO'!$E$4:$E$13,MATCH($F859,'CAT_CENTROS_COSTO'!$A$4:$A$13,0)),""),$X859))</f>
        <v/>
      </c>
      <c r="Z859" s="5">
        <f>IF($F859="","",IFERROR(INDEX('CAT_CENTROS_COSTO'!$G$4:$G$13,MATCH($F859,'CAT_CENTROS_COSTO'!$A$4:$A$13,0)),"(sin catálogo)"))</f>
        <v/>
      </c>
      <c r="AA859" s="5">
        <f>IF($G859="","",IFERROR(INDEX('CAT_PUESTOS'!$B$4:$B$8,MATCH($G859,'CAT_PUESTOS'!$A$4:$A$8,0)),"(sin catálogo)"))</f>
        <v/>
      </c>
      <c r="AB859" s="5">
        <f>IF($H859="","",IFERROR(INDEX('CAT_ACTIVIDADES'!$B$4:$B$11,MATCH($H859,'CAT_ACTIVIDADES'!$A$4:$A$11,0)),"(sin catálogo)"))</f>
        <v/>
      </c>
      <c r="AC859" s="20">
        <f>IF($J859="","",TODAY()-$J859)</f>
        <v/>
      </c>
      <c r="AD859" s="20">
        <f>IF($J859="","",IF($J859&lt;=TODAY(),COUNTIFS(cal_fechas,"&gt;="&amp;$J859,cal_fechas,"&lt;"&amp;TODAY(),cal_habil,"sí"),-COUNTIFS(cal_fechas,"&gt;="&amp;TODAY(),cal_fechas,"&lt;"&amp;$J859,cal_habil,"sí")))</f>
        <v/>
      </c>
      <c r="AE859" s="5">
        <f>IF($AD859="","",IF($AD859&lt;0,"FUTURO",IF($AD859&gt;p_dias_backlog_max,"BACKLOG","MES CORRIENTE")))</f>
        <v/>
      </c>
      <c r="AF859" s="5">
        <f>IF($AD859="",FALSE,AND($AD859&gt;p_dias_backlog_min,$AD859&lt;=p_dias_backlog_max))</f>
        <v/>
      </c>
      <c r="AG859" s="4" t="n"/>
      <c r="AH859" s="5">
        <f>IF($AG859="","",IF((IFERROR(INDEX('ASIGNACIONES'!$J$4:$J$451,MATCH($O859&amp;"|"&amp;$S859&amp;"|"&amp;$AG859,'ASIGNACIONES'!$N$4:$N$451,0)),""))=0,"",IFERROR(INDEX('ASIGNACIONES'!$J$4:$J$451,MATCH($O859&amp;"|"&amp;$S859&amp;"|"&amp;$AG859,'ASIGNACIONES'!$N$4:$N$451,0)),"")))</f>
        <v/>
      </c>
      <c r="AI859" s="25">
        <f>IF($AG859="","",SUMIFS('ORDENES'!$M$4:$M$1203,'ORDENES'!$AG$4:$AG$1203,$AG859,'ORDENES'!$O$4:$O$1203,$O859,'ORDENES'!$S$4:$S$1203,$S859))</f>
        <v/>
      </c>
      <c r="AJ859" s="25">
        <f>IF($AI859="","",p_factor_productividad*IFERROR(INDEX('ASIGNACIONES'!$M$4:$M$451,MATCH($O859&amp;"|"&amp;$S859&amp;"|"&amp;$AG859,'ASIGNACIONES'!$N$4:$N$451,0)),0)-$AI859)</f>
        <v/>
      </c>
      <c r="AK859" s="18">
        <f>IF($A859="","",IFERROR(INDEX('2_IMPORTAR_EJECUCION'!$F$9:$F$1208,MATCH($AT859,'2_IMPORTAR_EJECUCION'!$J$9:$J$1208,0)),0))</f>
        <v/>
      </c>
      <c r="AL859" s="18">
        <f>IF($A859="","",MAX(0,IFERROR(INDEX('2_IMPORTAR_EJECUCION'!$H$9:$H$1208,MATCH($AT859,'2_IMPORTAR_EJECUCION'!$J$9:$J$1208,0)),0)-$AK859))</f>
        <v/>
      </c>
      <c r="AM859" s="18">
        <f>IF($A859="","",$AK859+$AL859)</f>
        <v/>
      </c>
      <c r="AN859" s="5">
        <f>IF($A859="","",IF(OR((IFERROR(INDEX('CAT_ACTIVIDADES'!$D$4:$D$11,MATCH($H859,'CAT_ACTIVIDADES'!$A$4:$A$11,0)),""))=0,(IFERROR(INDEX('CAT_ACTIVIDADES'!$D$4:$D$11,MATCH($H859,'CAT_ACTIVIDADES'!$A$4:$A$11,0)),""))=""),"SIN CLASIFICAR",IFERROR(INDEX('CAT_ACTIVIDADES'!$D$4:$D$11,MATCH($H859,'CAT_ACTIVIDADES'!$A$4:$A$11,0)),"")))</f>
        <v/>
      </c>
      <c r="AO859" s="4" t="n"/>
      <c r="AP859" s="4" t="n"/>
      <c r="AQ859" s="4" t="n"/>
      <c r="AR859" s="5">
        <f>IF($AQ859="","",HYPERLINK(p_ruta_base_checklists&amp;$AQ859,"abrir"))</f>
        <v/>
      </c>
      <c r="AS859" s="4" t="n"/>
      <c r="AT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2" t="n"/>
      <c r="K860" s="5" t="n"/>
      <c r="L860" s="18" t="n"/>
      <c r="M860" s="5">
        <f>IF($A860="","",IFERROR(INDEX('AJUSTES'!$B$4:$B$303,MATCH($AT860,'AJUSTES'!$A$4:$A$303,0)),IF($K860="","",$K860)))</f>
        <v/>
      </c>
      <c r="N860" s="5">
        <f>IF($A860="","",IFERROR(INDEX('CAT_ESTADOS_ERP'!$B$4:$B$7,MATCH(IFERROR(INDEX('2_IMPORTAR_EJECUCION'!$C$9:$C$1208,MATCH($AT860,'2_IMPORTAR_EJECUCION'!$J$9:$J$1208,0)),""),'CAT_ESTADOS_ERP'!$A$4:$A$7,0)),"Pendiente"))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IF($J860="","",$P860&amp;"-"&amp;TEXT($Q860,"00"))</f>
        <v/>
      </c>
      <c r="S860" s="5">
        <f>IF($J860="","",INDEX(lista_dias,WEEKDAY($J860,2)))</f>
        <v/>
      </c>
      <c r="T860" s="5">
        <f>IF($J860="","",IFERROR(INDEX('CALENDARIO'!$C$15:$C$214,MATCH(TEXT($J860,"yyyy-mm-dd")&amp;"|"&amp;$X860&amp;"|"&amp;$Y860,'CALENDARIO'!$G$15:$G$214,0)),IFERROR(INDEX('CALENDARIO'!$C$15:$C$214,MATCH(TEXT($J860,"yyyy-mm-dd")&amp;"|"&amp;$X860&amp;"|",'CALENDARIO'!$G$15:$G$214,0)),IFERROR(INDEX('CALENDARIO'!$C$15:$C$214,MATCH(TEXT($J860,"yyyy-mm-dd")&amp;"||",'CALENDARIO'!$G$15:$G$214,0)),INDEX(patronHabil,WEEKDAY($J860,2))))))</f>
        <v/>
      </c>
      <c r="U860" s="5">
        <f>IF($I860="","",IFERROR(INDEX('CAT_TIPOS_OT'!$C$4:$C$8,MATCH($I860,'CAT_TIPOS_OT'!$A$4:$A$8,0)),"sin_clasificar"))</f>
        <v/>
      </c>
      <c r="V860" s="5">
        <f>IF($I860="","",IF(IFERROR(INDEX('CAT_TIPOS_OT'!$D$4:$D$8,MATCH($I860,'CAT_TIPOS_OT'!$A$4:$A$8,0)),"SIN CLASIFICAR")="","SIN CLASIFICAR",IFERROR(INDEX('CAT_TIPOS_OT'!$D$4:$D$8,MATCH($I860,'CAT_TIPOS_OT'!$A$4:$A$8,0)),"SIN CLASIFICAR")))</f>
        <v/>
      </c>
      <c r="W860" s="5">
        <f>IF($F860="","",IFERROR(INDEX('CAT_CENTROS_COSTO'!$F$4:$F$13,MATCH($F860,'CAT_CENTROS_COSTO'!$A$4:$A$13,0)),"(sin catálogo)"))</f>
        <v/>
      </c>
      <c r="X860" s="5">
        <f>IF($F860="","",IFERROR(INDEX('CAT_CENTROS_COSTO'!$D$4:$D$13,MATCH($F860,'CAT_CENTROS_COSTO'!$A$4:$A$13,0)),"(sin catálogo)"))</f>
        <v/>
      </c>
      <c r="Y860" s="5">
        <f>IF($F860="","",IF((IFERROR(INDEX('CAT_CENTROS_COSTO'!$E$4:$E$13,MATCH($F860,'CAT_CENTROS_COSTO'!$A$4:$A$13,0)),""))&lt;&gt;"",IFERROR(INDEX('CAT_CENTROS_COSTO'!$E$4:$E$13,MATCH($F860,'CAT_CENTROS_COSTO'!$A$4:$A$13,0)),""),$X860))</f>
        <v/>
      </c>
      <c r="Z860" s="5">
        <f>IF($F860="","",IFERROR(INDEX('CAT_CENTROS_COSTO'!$G$4:$G$13,MATCH($F860,'CAT_CENTROS_COSTO'!$A$4:$A$13,0)),"(sin catálogo)"))</f>
        <v/>
      </c>
      <c r="AA860" s="5">
        <f>IF($G860="","",IFERROR(INDEX('CAT_PUESTOS'!$B$4:$B$8,MATCH($G860,'CAT_PUESTOS'!$A$4:$A$8,0)),"(sin catálogo)"))</f>
        <v/>
      </c>
      <c r="AB860" s="5">
        <f>IF($H860="","",IFERROR(INDEX('CAT_ACTIVIDADES'!$B$4:$B$11,MATCH($H860,'CAT_ACTIVIDADES'!$A$4:$A$11,0)),"(sin catálogo)"))</f>
        <v/>
      </c>
      <c r="AC860" s="20">
        <f>IF($J860="","",TODAY()-$J860)</f>
        <v/>
      </c>
      <c r="AD860" s="20">
        <f>IF($J860="","",IF($J860&lt;=TODAY(),COUNTIFS(cal_fechas,"&gt;="&amp;$J860,cal_fechas,"&lt;"&amp;TODAY(),cal_habil,"sí"),-COUNTIFS(cal_fechas,"&gt;="&amp;TODAY(),cal_fechas,"&lt;"&amp;$J860,cal_habil,"sí")))</f>
        <v/>
      </c>
      <c r="AE860" s="5">
        <f>IF($AD860="","",IF($AD860&lt;0,"FUTURO",IF($AD860&gt;p_dias_backlog_max,"BACKLOG","MES CORRIENTE")))</f>
        <v/>
      </c>
      <c r="AF860" s="5">
        <f>IF($AD860="",FALSE,AND($AD860&gt;p_dias_backlog_min,$AD860&lt;=p_dias_backlog_max))</f>
        <v/>
      </c>
      <c r="AG860" s="4" t="n"/>
      <c r="AH860" s="5">
        <f>IF($AG860="","",IF((IFERROR(INDEX('ASIGNACIONES'!$J$4:$J$451,MATCH($O860&amp;"|"&amp;$S860&amp;"|"&amp;$AG860,'ASIGNACIONES'!$N$4:$N$451,0)),""))=0,"",IFERROR(INDEX('ASIGNACIONES'!$J$4:$J$451,MATCH($O860&amp;"|"&amp;$S860&amp;"|"&amp;$AG860,'ASIGNACIONES'!$N$4:$N$451,0)),"")))</f>
        <v/>
      </c>
      <c r="AI860" s="25">
        <f>IF($AG860="","",SUMIFS('ORDENES'!$M$4:$M$1203,'ORDENES'!$AG$4:$AG$1203,$AG860,'ORDENES'!$O$4:$O$1203,$O860,'ORDENES'!$S$4:$S$1203,$S860))</f>
        <v/>
      </c>
      <c r="AJ860" s="25">
        <f>IF($AI860="","",p_factor_productividad*IFERROR(INDEX('ASIGNACIONES'!$M$4:$M$451,MATCH($O860&amp;"|"&amp;$S860&amp;"|"&amp;$AG860,'ASIGNACIONES'!$N$4:$N$451,0)),0)-$AI860)</f>
        <v/>
      </c>
      <c r="AK860" s="18">
        <f>IF($A860="","",IFERROR(INDEX('2_IMPORTAR_EJECUCION'!$F$9:$F$1208,MATCH($AT860,'2_IMPORTAR_EJECUCION'!$J$9:$J$1208,0)),0))</f>
        <v/>
      </c>
      <c r="AL860" s="18">
        <f>IF($A860="","",MAX(0,IFERROR(INDEX('2_IMPORTAR_EJECUCION'!$H$9:$H$1208,MATCH($AT860,'2_IMPORTAR_EJECUCION'!$J$9:$J$1208,0)),0)-$AK860))</f>
        <v/>
      </c>
      <c r="AM860" s="18">
        <f>IF($A860="","",$AK860+$AL860)</f>
        <v/>
      </c>
      <c r="AN860" s="5">
        <f>IF($A860="","",IF(OR((IFERROR(INDEX('CAT_ACTIVIDADES'!$D$4:$D$11,MATCH($H860,'CAT_ACTIVIDADES'!$A$4:$A$11,0)),""))=0,(IFERROR(INDEX('CAT_ACTIVIDADES'!$D$4:$D$11,MATCH($H860,'CAT_ACTIVIDADES'!$A$4:$A$11,0)),""))=""),"SIN CLASIFICAR",IFERROR(INDEX('CAT_ACTIVIDADES'!$D$4:$D$11,MATCH($H860,'CAT_ACTIVIDADES'!$A$4:$A$11,0)),"")))</f>
        <v/>
      </c>
      <c r="AO860" s="4" t="n"/>
      <c r="AP860" s="4" t="n"/>
      <c r="AQ860" s="4" t="n"/>
      <c r="AR860" s="5">
        <f>IF($AQ860="","",HYPERLINK(p_ruta_base_checklists&amp;$AQ860,"abrir"))</f>
        <v/>
      </c>
      <c r="AS860" s="4" t="n"/>
      <c r="AT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2" t="n"/>
      <c r="K861" s="5" t="n"/>
      <c r="L861" s="18" t="n"/>
      <c r="M861" s="5">
        <f>IF($A861="","",IFERROR(INDEX('AJUSTES'!$B$4:$B$303,MATCH($AT861,'AJUSTES'!$A$4:$A$303,0)),IF($K861="","",$K861)))</f>
        <v/>
      </c>
      <c r="N861" s="5">
        <f>IF($A861="","",IFERROR(INDEX('CAT_ESTADOS_ERP'!$B$4:$B$7,MATCH(IFERROR(INDEX('2_IMPORTAR_EJECUCION'!$C$9:$C$1208,MATCH($AT861,'2_IMPORTAR_EJECUCION'!$J$9:$J$1208,0)),""),'CAT_ESTADOS_ERP'!$A$4:$A$7,0)),"Pendiente"))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IF($J861="","",$P861&amp;"-"&amp;TEXT($Q861,"00"))</f>
        <v/>
      </c>
      <c r="S861" s="5">
        <f>IF($J861="","",INDEX(lista_dias,WEEKDAY($J861,2)))</f>
        <v/>
      </c>
      <c r="T861" s="5">
        <f>IF($J861="","",IFERROR(INDEX('CALENDARIO'!$C$15:$C$214,MATCH(TEXT($J861,"yyyy-mm-dd")&amp;"|"&amp;$X861&amp;"|"&amp;$Y861,'CALENDARIO'!$G$15:$G$214,0)),IFERROR(INDEX('CALENDARIO'!$C$15:$C$214,MATCH(TEXT($J861,"yyyy-mm-dd")&amp;"|"&amp;$X861&amp;"|",'CALENDARIO'!$G$15:$G$214,0)),IFERROR(INDEX('CALENDARIO'!$C$15:$C$214,MATCH(TEXT($J861,"yyyy-mm-dd")&amp;"||",'CALENDARIO'!$G$15:$G$214,0)),INDEX(patronHabil,WEEKDAY($J861,2))))))</f>
        <v/>
      </c>
      <c r="U861" s="5">
        <f>IF($I861="","",IFERROR(INDEX('CAT_TIPOS_OT'!$C$4:$C$8,MATCH($I861,'CAT_TIPOS_OT'!$A$4:$A$8,0)),"sin_clasificar"))</f>
        <v/>
      </c>
      <c r="V861" s="5">
        <f>IF($I861="","",IF(IFERROR(INDEX('CAT_TIPOS_OT'!$D$4:$D$8,MATCH($I861,'CAT_TIPOS_OT'!$A$4:$A$8,0)),"SIN CLASIFICAR")="","SIN CLASIFICAR",IFERROR(INDEX('CAT_TIPOS_OT'!$D$4:$D$8,MATCH($I861,'CAT_TIPOS_OT'!$A$4:$A$8,0)),"SIN CLASIFICAR")))</f>
        <v/>
      </c>
      <c r="W861" s="5">
        <f>IF($F861="","",IFERROR(INDEX('CAT_CENTROS_COSTO'!$F$4:$F$13,MATCH($F861,'CAT_CENTROS_COSTO'!$A$4:$A$13,0)),"(sin catálogo)"))</f>
        <v/>
      </c>
      <c r="X861" s="5">
        <f>IF($F861="","",IFERROR(INDEX('CAT_CENTROS_COSTO'!$D$4:$D$13,MATCH($F861,'CAT_CENTROS_COSTO'!$A$4:$A$13,0)),"(sin catálogo)"))</f>
        <v/>
      </c>
      <c r="Y861" s="5">
        <f>IF($F861="","",IF((IFERROR(INDEX('CAT_CENTROS_COSTO'!$E$4:$E$13,MATCH($F861,'CAT_CENTROS_COSTO'!$A$4:$A$13,0)),""))&lt;&gt;"",IFERROR(INDEX('CAT_CENTROS_COSTO'!$E$4:$E$13,MATCH($F861,'CAT_CENTROS_COSTO'!$A$4:$A$13,0)),""),$X861))</f>
        <v/>
      </c>
      <c r="Z861" s="5">
        <f>IF($F861="","",IFERROR(INDEX('CAT_CENTROS_COSTO'!$G$4:$G$13,MATCH($F861,'CAT_CENTROS_COSTO'!$A$4:$A$13,0)),"(sin catálogo)"))</f>
        <v/>
      </c>
      <c r="AA861" s="5">
        <f>IF($G861="","",IFERROR(INDEX('CAT_PUESTOS'!$B$4:$B$8,MATCH($G861,'CAT_PUESTOS'!$A$4:$A$8,0)),"(sin catálogo)"))</f>
        <v/>
      </c>
      <c r="AB861" s="5">
        <f>IF($H861="","",IFERROR(INDEX('CAT_ACTIVIDADES'!$B$4:$B$11,MATCH($H861,'CAT_ACTIVIDADES'!$A$4:$A$11,0)),"(sin catálogo)"))</f>
        <v/>
      </c>
      <c r="AC861" s="20">
        <f>IF($J861="","",TODAY()-$J861)</f>
        <v/>
      </c>
      <c r="AD861" s="20">
        <f>IF($J861="","",IF($J861&lt;=TODAY(),COUNTIFS(cal_fechas,"&gt;="&amp;$J861,cal_fechas,"&lt;"&amp;TODAY(),cal_habil,"sí"),-COUNTIFS(cal_fechas,"&gt;="&amp;TODAY(),cal_fechas,"&lt;"&amp;$J861,cal_habil,"sí")))</f>
        <v/>
      </c>
      <c r="AE861" s="5">
        <f>IF($AD861="","",IF($AD861&lt;0,"FUTURO",IF($AD861&gt;p_dias_backlog_max,"BACKLOG","MES CORRIENTE")))</f>
        <v/>
      </c>
      <c r="AF861" s="5">
        <f>IF($AD861="",FALSE,AND($AD861&gt;p_dias_backlog_min,$AD861&lt;=p_dias_backlog_max))</f>
        <v/>
      </c>
      <c r="AG861" s="4" t="n"/>
      <c r="AH861" s="5">
        <f>IF($AG861="","",IF((IFERROR(INDEX('ASIGNACIONES'!$J$4:$J$451,MATCH($O861&amp;"|"&amp;$S861&amp;"|"&amp;$AG861,'ASIGNACIONES'!$N$4:$N$451,0)),""))=0,"",IFERROR(INDEX('ASIGNACIONES'!$J$4:$J$451,MATCH($O861&amp;"|"&amp;$S861&amp;"|"&amp;$AG861,'ASIGNACIONES'!$N$4:$N$451,0)),"")))</f>
        <v/>
      </c>
      <c r="AI861" s="25">
        <f>IF($AG861="","",SUMIFS('ORDENES'!$M$4:$M$1203,'ORDENES'!$AG$4:$AG$1203,$AG861,'ORDENES'!$O$4:$O$1203,$O861,'ORDENES'!$S$4:$S$1203,$S861))</f>
        <v/>
      </c>
      <c r="AJ861" s="25">
        <f>IF($AI861="","",p_factor_productividad*IFERROR(INDEX('ASIGNACIONES'!$M$4:$M$451,MATCH($O861&amp;"|"&amp;$S861&amp;"|"&amp;$AG861,'ASIGNACIONES'!$N$4:$N$451,0)),0)-$AI861)</f>
        <v/>
      </c>
      <c r="AK861" s="18">
        <f>IF($A861="","",IFERROR(INDEX('2_IMPORTAR_EJECUCION'!$F$9:$F$1208,MATCH($AT861,'2_IMPORTAR_EJECUCION'!$J$9:$J$1208,0)),0))</f>
        <v/>
      </c>
      <c r="AL861" s="18">
        <f>IF($A861="","",MAX(0,IFERROR(INDEX('2_IMPORTAR_EJECUCION'!$H$9:$H$1208,MATCH($AT861,'2_IMPORTAR_EJECUCION'!$J$9:$J$1208,0)),0)-$AK861))</f>
        <v/>
      </c>
      <c r="AM861" s="18">
        <f>IF($A861="","",$AK861+$AL861)</f>
        <v/>
      </c>
      <c r="AN861" s="5">
        <f>IF($A861="","",IF(OR((IFERROR(INDEX('CAT_ACTIVIDADES'!$D$4:$D$11,MATCH($H861,'CAT_ACTIVIDADES'!$A$4:$A$11,0)),""))=0,(IFERROR(INDEX('CAT_ACTIVIDADES'!$D$4:$D$11,MATCH($H861,'CAT_ACTIVIDADES'!$A$4:$A$11,0)),""))=""),"SIN CLASIFICAR",IFERROR(INDEX('CAT_ACTIVIDADES'!$D$4:$D$11,MATCH($H861,'CAT_ACTIVIDADES'!$A$4:$A$11,0)),"")))</f>
        <v/>
      </c>
      <c r="AO861" s="4" t="n"/>
      <c r="AP861" s="4" t="n"/>
      <c r="AQ861" s="4" t="n"/>
      <c r="AR861" s="5">
        <f>IF($AQ861="","",HYPERLINK(p_ruta_base_checklists&amp;$AQ861,"abrir"))</f>
        <v/>
      </c>
      <c r="AS861" s="4" t="n"/>
      <c r="AT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2" t="n"/>
      <c r="K862" s="5" t="n"/>
      <c r="L862" s="18" t="n"/>
      <c r="M862" s="5">
        <f>IF($A862="","",IFERROR(INDEX('AJUSTES'!$B$4:$B$303,MATCH($AT862,'AJUSTES'!$A$4:$A$303,0)),IF($K862="","",$K862)))</f>
        <v/>
      </c>
      <c r="N862" s="5">
        <f>IF($A862="","",IFERROR(INDEX('CAT_ESTADOS_ERP'!$B$4:$B$7,MATCH(IFERROR(INDEX('2_IMPORTAR_EJECUCION'!$C$9:$C$1208,MATCH($AT862,'2_IMPORTAR_EJECUCION'!$J$9:$J$1208,0)),""),'CAT_ESTADOS_ERP'!$A$4:$A$7,0)),"Pendiente"))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IF($J862="","",$P862&amp;"-"&amp;TEXT($Q862,"00"))</f>
        <v/>
      </c>
      <c r="S862" s="5">
        <f>IF($J862="","",INDEX(lista_dias,WEEKDAY($J862,2)))</f>
        <v/>
      </c>
      <c r="T862" s="5">
        <f>IF($J862="","",IFERROR(INDEX('CALENDARIO'!$C$15:$C$214,MATCH(TEXT($J862,"yyyy-mm-dd")&amp;"|"&amp;$X862&amp;"|"&amp;$Y862,'CALENDARIO'!$G$15:$G$214,0)),IFERROR(INDEX('CALENDARIO'!$C$15:$C$214,MATCH(TEXT($J862,"yyyy-mm-dd")&amp;"|"&amp;$X862&amp;"|",'CALENDARIO'!$G$15:$G$214,0)),IFERROR(INDEX('CALENDARIO'!$C$15:$C$214,MATCH(TEXT($J862,"yyyy-mm-dd")&amp;"||",'CALENDARIO'!$G$15:$G$214,0)),INDEX(patronHabil,WEEKDAY($J862,2))))))</f>
        <v/>
      </c>
      <c r="U862" s="5">
        <f>IF($I862="","",IFERROR(INDEX('CAT_TIPOS_OT'!$C$4:$C$8,MATCH($I862,'CAT_TIPOS_OT'!$A$4:$A$8,0)),"sin_clasificar"))</f>
        <v/>
      </c>
      <c r="V862" s="5">
        <f>IF($I862="","",IF(IFERROR(INDEX('CAT_TIPOS_OT'!$D$4:$D$8,MATCH($I862,'CAT_TIPOS_OT'!$A$4:$A$8,0)),"SIN CLASIFICAR")="","SIN CLASIFICAR",IFERROR(INDEX('CAT_TIPOS_OT'!$D$4:$D$8,MATCH($I862,'CAT_TIPOS_OT'!$A$4:$A$8,0)),"SIN CLASIFICAR")))</f>
        <v/>
      </c>
      <c r="W862" s="5">
        <f>IF($F862="","",IFERROR(INDEX('CAT_CENTROS_COSTO'!$F$4:$F$13,MATCH($F862,'CAT_CENTROS_COSTO'!$A$4:$A$13,0)),"(sin catálogo)"))</f>
        <v/>
      </c>
      <c r="X862" s="5">
        <f>IF($F862="","",IFERROR(INDEX('CAT_CENTROS_COSTO'!$D$4:$D$13,MATCH($F862,'CAT_CENTROS_COSTO'!$A$4:$A$13,0)),"(sin catálogo)"))</f>
        <v/>
      </c>
      <c r="Y862" s="5">
        <f>IF($F862="","",IF((IFERROR(INDEX('CAT_CENTROS_COSTO'!$E$4:$E$13,MATCH($F862,'CAT_CENTROS_COSTO'!$A$4:$A$13,0)),""))&lt;&gt;"",IFERROR(INDEX('CAT_CENTROS_COSTO'!$E$4:$E$13,MATCH($F862,'CAT_CENTROS_COSTO'!$A$4:$A$13,0)),""),$X862))</f>
        <v/>
      </c>
      <c r="Z862" s="5">
        <f>IF($F862="","",IFERROR(INDEX('CAT_CENTROS_COSTO'!$G$4:$G$13,MATCH($F862,'CAT_CENTROS_COSTO'!$A$4:$A$13,0)),"(sin catálogo)"))</f>
        <v/>
      </c>
      <c r="AA862" s="5">
        <f>IF($G862="","",IFERROR(INDEX('CAT_PUESTOS'!$B$4:$B$8,MATCH($G862,'CAT_PUESTOS'!$A$4:$A$8,0)),"(sin catálogo)"))</f>
        <v/>
      </c>
      <c r="AB862" s="5">
        <f>IF($H862="","",IFERROR(INDEX('CAT_ACTIVIDADES'!$B$4:$B$11,MATCH($H862,'CAT_ACTIVIDADES'!$A$4:$A$11,0)),"(sin catálogo)"))</f>
        <v/>
      </c>
      <c r="AC862" s="20">
        <f>IF($J862="","",TODAY()-$J862)</f>
        <v/>
      </c>
      <c r="AD862" s="20">
        <f>IF($J862="","",IF($J862&lt;=TODAY(),COUNTIFS(cal_fechas,"&gt;="&amp;$J862,cal_fechas,"&lt;"&amp;TODAY(),cal_habil,"sí"),-COUNTIFS(cal_fechas,"&gt;="&amp;TODAY(),cal_fechas,"&lt;"&amp;$J862,cal_habil,"sí")))</f>
        <v/>
      </c>
      <c r="AE862" s="5">
        <f>IF($AD862="","",IF($AD862&lt;0,"FUTURO",IF($AD862&gt;p_dias_backlog_max,"BACKLOG","MES CORRIENTE")))</f>
        <v/>
      </c>
      <c r="AF862" s="5">
        <f>IF($AD862="",FALSE,AND($AD862&gt;p_dias_backlog_min,$AD862&lt;=p_dias_backlog_max))</f>
        <v/>
      </c>
      <c r="AG862" s="4" t="n"/>
      <c r="AH862" s="5">
        <f>IF($AG862="","",IF((IFERROR(INDEX('ASIGNACIONES'!$J$4:$J$451,MATCH($O862&amp;"|"&amp;$S862&amp;"|"&amp;$AG862,'ASIGNACIONES'!$N$4:$N$451,0)),""))=0,"",IFERROR(INDEX('ASIGNACIONES'!$J$4:$J$451,MATCH($O862&amp;"|"&amp;$S862&amp;"|"&amp;$AG862,'ASIGNACIONES'!$N$4:$N$451,0)),"")))</f>
        <v/>
      </c>
      <c r="AI862" s="25">
        <f>IF($AG862="","",SUMIFS('ORDENES'!$M$4:$M$1203,'ORDENES'!$AG$4:$AG$1203,$AG862,'ORDENES'!$O$4:$O$1203,$O862,'ORDENES'!$S$4:$S$1203,$S862))</f>
        <v/>
      </c>
      <c r="AJ862" s="25">
        <f>IF($AI862="","",p_factor_productividad*IFERROR(INDEX('ASIGNACIONES'!$M$4:$M$451,MATCH($O862&amp;"|"&amp;$S862&amp;"|"&amp;$AG862,'ASIGNACIONES'!$N$4:$N$451,0)),0)-$AI862)</f>
        <v/>
      </c>
      <c r="AK862" s="18">
        <f>IF($A862="","",IFERROR(INDEX('2_IMPORTAR_EJECUCION'!$F$9:$F$1208,MATCH($AT862,'2_IMPORTAR_EJECUCION'!$J$9:$J$1208,0)),0))</f>
        <v/>
      </c>
      <c r="AL862" s="18">
        <f>IF($A862="","",MAX(0,IFERROR(INDEX('2_IMPORTAR_EJECUCION'!$H$9:$H$1208,MATCH($AT862,'2_IMPORTAR_EJECUCION'!$J$9:$J$1208,0)),0)-$AK862))</f>
        <v/>
      </c>
      <c r="AM862" s="18">
        <f>IF($A862="","",$AK862+$AL862)</f>
        <v/>
      </c>
      <c r="AN862" s="5">
        <f>IF($A862="","",IF(OR((IFERROR(INDEX('CAT_ACTIVIDADES'!$D$4:$D$11,MATCH($H862,'CAT_ACTIVIDADES'!$A$4:$A$11,0)),""))=0,(IFERROR(INDEX('CAT_ACTIVIDADES'!$D$4:$D$11,MATCH($H862,'CAT_ACTIVIDADES'!$A$4:$A$11,0)),""))=""),"SIN CLASIFICAR",IFERROR(INDEX('CAT_ACTIVIDADES'!$D$4:$D$11,MATCH($H862,'CAT_ACTIVIDADES'!$A$4:$A$11,0)),"")))</f>
        <v/>
      </c>
      <c r="AO862" s="4" t="n"/>
      <c r="AP862" s="4" t="n"/>
      <c r="AQ862" s="4" t="n"/>
      <c r="AR862" s="5">
        <f>IF($AQ862="","",HYPERLINK(p_ruta_base_checklists&amp;$AQ862,"abrir"))</f>
        <v/>
      </c>
      <c r="AS862" s="4" t="n"/>
      <c r="AT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2" t="n"/>
      <c r="K863" s="5" t="n"/>
      <c r="L863" s="18" t="n"/>
      <c r="M863" s="5">
        <f>IF($A863="","",IFERROR(INDEX('AJUSTES'!$B$4:$B$303,MATCH($AT863,'AJUSTES'!$A$4:$A$303,0)),IF($K863="","",$K863)))</f>
        <v/>
      </c>
      <c r="N863" s="5">
        <f>IF($A863="","",IFERROR(INDEX('CAT_ESTADOS_ERP'!$B$4:$B$7,MATCH(IFERROR(INDEX('2_IMPORTAR_EJECUCION'!$C$9:$C$1208,MATCH($AT863,'2_IMPORTAR_EJECUCION'!$J$9:$J$1208,0)),""),'CAT_ESTADOS_ERP'!$A$4:$A$7,0)),"Pendiente"))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IF($J863="","",$P863&amp;"-"&amp;TEXT($Q863,"00"))</f>
        <v/>
      </c>
      <c r="S863" s="5">
        <f>IF($J863="","",INDEX(lista_dias,WEEKDAY($J863,2)))</f>
        <v/>
      </c>
      <c r="T863" s="5">
        <f>IF($J863="","",IFERROR(INDEX('CALENDARIO'!$C$15:$C$214,MATCH(TEXT($J863,"yyyy-mm-dd")&amp;"|"&amp;$X863&amp;"|"&amp;$Y863,'CALENDARIO'!$G$15:$G$214,0)),IFERROR(INDEX('CALENDARIO'!$C$15:$C$214,MATCH(TEXT($J863,"yyyy-mm-dd")&amp;"|"&amp;$X863&amp;"|",'CALENDARIO'!$G$15:$G$214,0)),IFERROR(INDEX('CALENDARIO'!$C$15:$C$214,MATCH(TEXT($J863,"yyyy-mm-dd")&amp;"||",'CALENDARIO'!$G$15:$G$214,0)),INDEX(patronHabil,WEEKDAY($J863,2))))))</f>
        <v/>
      </c>
      <c r="U863" s="5">
        <f>IF($I863="","",IFERROR(INDEX('CAT_TIPOS_OT'!$C$4:$C$8,MATCH($I863,'CAT_TIPOS_OT'!$A$4:$A$8,0)),"sin_clasificar"))</f>
        <v/>
      </c>
      <c r="V863" s="5">
        <f>IF($I863="","",IF(IFERROR(INDEX('CAT_TIPOS_OT'!$D$4:$D$8,MATCH($I863,'CAT_TIPOS_OT'!$A$4:$A$8,0)),"SIN CLASIFICAR")="","SIN CLASIFICAR",IFERROR(INDEX('CAT_TIPOS_OT'!$D$4:$D$8,MATCH($I863,'CAT_TIPOS_OT'!$A$4:$A$8,0)),"SIN CLASIFICAR")))</f>
        <v/>
      </c>
      <c r="W863" s="5">
        <f>IF($F863="","",IFERROR(INDEX('CAT_CENTROS_COSTO'!$F$4:$F$13,MATCH($F863,'CAT_CENTROS_COSTO'!$A$4:$A$13,0)),"(sin catálogo)"))</f>
        <v/>
      </c>
      <c r="X863" s="5">
        <f>IF($F863="","",IFERROR(INDEX('CAT_CENTROS_COSTO'!$D$4:$D$13,MATCH($F863,'CAT_CENTROS_COSTO'!$A$4:$A$13,0)),"(sin catálogo)"))</f>
        <v/>
      </c>
      <c r="Y863" s="5">
        <f>IF($F863="","",IF((IFERROR(INDEX('CAT_CENTROS_COSTO'!$E$4:$E$13,MATCH($F863,'CAT_CENTROS_COSTO'!$A$4:$A$13,0)),""))&lt;&gt;"",IFERROR(INDEX('CAT_CENTROS_COSTO'!$E$4:$E$13,MATCH($F863,'CAT_CENTROS_COSTO'!$A$4:$A$13,0)),""),$X863))</f>
        <v/>
      </c>
      <c r="Z863" s="5">
        <f>IF($F863="","",IFERROR(INDEX('CAT_CENTROS_COSTO'!$G$4:$G$13,MATCH($F863,'CAT_CENTROS_COSTO'!$A$4:$A$13,0)),"(sin catálogo)"))</f>
        <v/>
      </c>
      <c r="AA863" s="5">
        <f>IF($G863="","",IFERROR(INDEX('CAT_PUESTOS'!$B$4:$B$8,MATCH($G863,'CAT_PUESTOS'!$A$4:$A$8,0)),"(sin catálogo)"))</f>
        <v/>
      </c>
      <c r="AB863" s="5">
        <f>IF($H863="","",IFERROR(INDEX('CAT_ACTIVIDADES'!$B$4:$B$11,MATCH($H863,'CAT_ACTIVIDADES'!$A$4:$A$11,0)),"(sin catálogo)"))</f>
        <v/>
      </c>
      <c r="AC863" s="20">
        <f>IF($J863="","",TODAY()-$J863)</f>
        <v/>
      </c>
      <c r="AD863" s="20">
        <f>IF($J863="","",IF($J863&lt;=TODAY(),COUNTIFS(cal_fechas,"&gt;="&amp;$J863,cal_fechas,"&lt;"&amp;TODAY(),cal_habil,"sí"),-COUNTIFS(cal_fechas,"&gt;="&amp;TODAY(),cal_fechas,"&lt;"&amp;$J863,cal_habil,"sí")))</f>
        <v/>
      </c>
      <c r="AE863" s="5">
        <f>IF($AD863="","",IF($AD863&lt;0,"FUTURO",IF($AD863&gt;p_dias_backlog_max,"BACKLOG","MES CORRIENTE")))</f>
        <v/>
      </c>
      <c r="AF863" s="5">
        <f>IF($AD863="",FALSE,AND($AD863&gt;p_dias_backlog_min,$AD863&lt;=p_dias_backlog_max))</f>
        <v/>
      </c>
      <c r="AG863" s="4" t="n"/>
      <c r="AH863" s="5">
        <f>IF($AG863="","",IF((IFERROR(INDEX('ASIGNACIONES'!$J$4:$J$451,MATCH($O863&amp;"|"&amp;$S863&amp;"|"&amp;$AG863,'ASIGNACIONES'!$N$4:$N$451,0)),""))=0,"",IFERROR(INDEX('ASIGNACIONES'!$J$4:$J$451,MATCH($O863&amp;"|"&amp;$S863&amp;"|"&amp;$AG863,'ASIGNACIONES'!$N$4:$N$451,0)),"")))</f>
        <v/>
      </c>
      <c r="AI863" s="25">
        <f>IF($AG863="","",SUMIFS('ORDENES'!$M$4:$M$1203,'ORDENES'!$AG$4:$AG$1203,$AG863,'ORDENES'!$O$4:$O$1203,$O863,'ORDENES'!$S$4:$S$1203,$S863))</f>
        <v/>
      </c>
      <c r="AJ863" s="25">
        <f>IF($AI863="","",p_factor_productividad*IFERROR(INDEX('ASIGNACIONES'!$M$4:$M$451,MATCH($O863&amp;"|"&amp;$S863&amp;"|"&amp;$AG863,'ASIGNACIONES'!$N$4:$N$451,0)),0)-$AI863)</f>
        <v/>
      </c>
      <c r="AK863" s="18">
        <f>IF($A863="","",IFERROR(INDEX('2_IMPORTAR_EJECUCION'!$F$9:$F$1208,MATCH($AT863,'2_IMPORTAR_EJECUCION'!$J$9:$J$1208,0)),0))</f>
        <v/>
      </c>
      <c r="AL863" s="18">
        <f>IF($A863="","",MAX(0,IFERROR(INDEX('2_IMPORTAR_EJECUCION'!$H$9:$H$1208,MATCH($AT863,'2_IMPORTAR_EJECUCION'!$J$9:$J$1208,0)),0)-$AK863))</f>
        <v/>
      </c>
      <c r="AM863" s="18">
        <f>IF($A863="","",$AK863+$AL863)</f>
        <v/>
      </c>
      <c r="AN863" s="5">
        <f>IF($A863="","",IF(OR((IFERROR(INDEX('CAT_ACTIVIDADES'!$D$4:$D$11,MATCH($H863,'CAT_ACTIVIDADES'!$A$4:$A$11,0)),""))=0,(IFERROR(INDEX('CAT_ACTIVIDADES'!$D$4:$D$11,MATCH($H863,'CAT_ACTIVIDADES'!$A$4:$A$11,0)),""))=""),"SIN CLASIFICAR",IFERROR(INDEX('CAT_ACTIVIDADES'!$D$4:$D$11,MATCH($H863,'CAT_ACTIVIDADES'!$A$4:$A$11,0)),"")))</f>
        <v/>
      </c>
      <c r="AO863" s="4" t="n"/>
      <c r="AP863" s="4" t="n"/>
      <c r="AQ863" s="4" t="n"/>
      <c r="AR863" s="5">
        <f>IF($AQ863="","",HYPERLINK(p_ruta_base_checklists&amp;$AQ863,"abrir"))</f>
        <v/>
      </c>
      <c r="AS863" s="4" t="n"/>
      <c r="AT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2" t="n"/>
      <c r="K864" s="5" t="n"/>
      <c r="L864" s="18" t="n"/>
      <c r="M864" s="5">
        <f>IF($A864="","",IFERROR(INDEX('AJUSTES'!$B$4:$B$303,MATCH($AT864,'AJUSTES'!$A$4:$A$303,0)),IF($K864="","",$K864)))</f>
        <v/>
      </c>
      <c r="N864" s="5">
        <f>IF($A864="","",IFERROR(INDEX('CAT_ESTADOS_ERP'!$B$4:$B$7,MATCH(IFERROR(INDEX('2_IMPORTAR_EJECUCION'!$C$9:$C$1208,MATCH($AT864,'2_IMPORTAR_EJECUCION'!$J$9:$J$1208,0)),""),'CAT_ESTADOS_ERP'!$A$4:$A$7,0)),"Pendiente"))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IF($J864="","",$P864&amp;"-"&amp;TEXT($Q864,"00"))</f>
        <v/>
      </c>
      <c r="S864" s="5">
        <f>IF($J864="","",INDEX(lista_dias,WEEKDAY($J864,2)))</f>
        <v/>
      </c>
      <c r="T864" s="5">
        <f>IF($J864="","",IFERROR(INDEX('CALENDARIO'!$C$15:$C$214,MATCH(TEXT($J864,"yyyy-mm-dd")&amp;"|"&amp;$X864&amp;"|"&amp;$Y864,'CALENDARIO'!$G$15:$G$214,0)),IFERROR(INDEX('CALENDARIO'!$C$15:$C$214,MATCH(TEXT($J864,"yyyy-mm-dd")&amp;"|"&amp;$X864&amp;"|",'CALENDARIO'!$G$15:$G$214,0)),IFERROR(INDEX('CALENDARIO'!$C$15:$C$214,MATCH(TEXT($J864,"yyyy-mm-dd")&amp;"||",'CALENDARIO'!$G$15:$G$214,0)),INDEX(patronHabil,WEEKDAY($J864,2))))))</f>
        <v/>
      </c>
      <c r="U864" s="5">
        <f>IF($I864="","",IFERROR(INDEX('CAT_TIPOS_OT'!$C$4:$C$8,MATCH($I864,'CAT_TIPOS_OT'!$A$4:$A$8,0)),"sin_clasificar"))</f>
        <v/>
      </c>
      <c r="V864" s="5">
        <f>IF($I864="","",IF(IFERROR(INDEX('CAT_TIPOS_OT'!$D$4:$D$8,MATCH($I864,'CAT_TIPOS_OT'!$A$4:$A$8,0)),"SIN CLASIFICAR")="","SIN CLASIFICAR",IFERROR(INDEX('CAT_TIPOS_OT'!$D$4:$D$8,MATCH($I864,'CAT_TIPOS_OT'!$A$4:$A$8,0)),"SIN CLASIFICAR")))</f>
        <v/>
      </c>
      <c r="W864" s="5">
        <f>IF($F864="","",IFERROR(INDEX('CAT_CENTROS_COSTO'!$F$4:$F$13,MATCH($F864,'CAT_CENTROS_COSTO'!$A$4:$A$13,0)),"(sin catálogo)"))</f>
        <v/>
      </c>
      <c r="X864" s="5">
        <f>IF($F864="","",IFERROR(INDEX('CAT_CENTROS_COSTO'!$D$4:$D$13,MATCH($F864,'CAT_CENTROS_COSTO'!$A$4:$A$13,0)),"(sin catálogo)"))</f>
        <v/>
      </c>
      <c r="Y864" s="5">
        <f>IF($F864="","",IF((IFERROR(INDEX('CAT_CENTROS_COSTO'!$E$4:$E$13,MATCH($F864,'CAT_CENTROS_COSTO'!$A$4:$A$13,0)),""))&lt;&gt;"",IFERROR(INDEX('CAT_CENTROS_COSTO'!$E$4:$E$13,MATCH($F864,'CAT_CENTROS_COSTO'!$A$4:$A$13,0)),""),$X864))</f>
        <v/>
      </c>
      <c r="Z864" s="5">
        <f>IF($F864="","",IFERROR(INDEX('CAT_CENTROS_COSTO'!$G$4:$G$13,MATCH($F864,'CAT_CENTROS_COSTO'!$A$4:$A$13,0)),"(sin catálogo)"))</f>
        <v/>
      </c>
      <c r="AA864" s="5">
        <f>IF($G864="","",IFERROR(INDEX('CAT_PUESTOS'!$B$4:$B$8,MATCH($G864,'CAT_PUESTOS'!$A$4:$A$8,0)),"(sin catálogo)"))</f>
        <v/>
      </c>
      <c r="AB864" s="5">
        <f>IF($H864="","",IFERROR(INDEX('CAT_ACTIVIDADES'!$B$4:$B$11,MATCH($H864,'CAT_ACTIVIDADES'!$A$4:$A$11,0)),"(sin catálogo)"))</f>
        <v/>
      </c>
      <c r="AC864" s="20">
        <f>IF($J864="","",TODAY()-$J864)</f>
        <v/>
      </c>
      <c r="AD864" s="20">
        <f>IF($J864="","",IF($J864&lt;=TODAY(),COUNTIFS(cal_fechas,"&gt;="&amp;$J864,cal_fechas,"&lt;"&amp;TODAY(),cal_habil,"sí"),-COUNTIFS(cal_fechas,"&gt;="&amp;TODAY(),cal_fechas,"&lt;"&amp;$J864,cal_habil,"sí")))</f>
        <v/>
      </c>
      <c r="AE864" s="5">
        <f>IF($AD864="","",IF($AD864&lt;0,"FUTURO",IF($AD864&gt;p_dias_backlog_max,"BACKLOG","MES CORRIENTE")))</f>
        <v/>
      </c>
      <c r="AF864" s="5">
        <f>IF($AD864="",FALSE,AND($AD864&gt;p_dias_backlog_min,$AD864&lt;=p_dias_backlog_max))</f>
        <v/>
      </c>
      <c r="AG864" s="4" t="n"/>
      <c r="AH864" s="5">
        <f>IF($AG864="","",IF((IFERROR(INDEX('ASIGNACIONES'!$J$4:$J$451,MATCH($O864&amp;"|"&amp;$S864&amp;"|"&amp;$AG864,'ASIGNACIONES'!$N$4:$N$451,0)),""))=0,"",IFERROR(INDEX('ASIGNACIONES'!$J$4:$J$451,MATCH($O864&amp;"|"&amp;$S864&amp;"|"&amp;$AG864,'ASIGNACIONES'!$N$4:$N$451,0)),"")))</f>
        <v/>
      </c>
      <c r="AI864" s="25">
        <f>IF($AG864="","",SUMIFS('ORDENES'!$M$4:$M$1203,'ORDENES'!$AG$4:$AG$1203,$AG864,'ORDENES'!$O$4:$O$1203,$O864,'ORDENES'!$S$4:$S$1203,$S864))</f>
        <v/>
      </c>
      <c r="AJ864" s="25">
        <f>IF($AI864="","",p_factor_productividad*IFERROR(INDEX('ASIGNACIONES'!$M$4:$M$451,MATCH($O864&amp;"|"&amp;$S864&amp;"|"&amp;$AG864,'ASIGNACIONES'!$N$4:$N$451,0)),0)-$AI864)</f>
        <v/>
      </c>
      <c r="AK864" s="18">
        <f>IF($A864="","",IFERROR(INDEX('2_IMPORTAR_EJECUCION'!$F$9:$F$1208,MATCH($AT864,'2_IMPORTAR_EJECUCION'!$J$9:$J$1208,0)),0))</f>
        <v/>
      </c>
      <c r="AL864" s="18">
        <f>IF($A864="","",MAX(0,IFERROR(INDEX('2_IMPORTAR_EJECUCION'!$H$9:$H$1208,MATCH($AT864,'2_IMPORTAR_EJECUCION'!$J$9:$J$1208,0)),0)-$AK864))</f>
        <v/>
      </c>
      <c r="AM864" s="18">
        <f>IF($A864="","",$AK864+$AL864)</f>
        <v/>
      </c>
      <c r="AN864" s="5">
        <f>IF($A864="","",IF(OR((IFERROR(INDEX('CAT_ACTIVIDADES'!$D$4:$D$11,MATCH($H864,'CAT_ACTIVIDADES'!$A$4:$A$11,0)),""))=0,(IFERROR(INDEX('CAT_ACTIVIDADES'!$D$4:$D$11,MATCH($H864,'CAT_ACTIVIDADES'!$A$4:$A$11,0)),""))=""),"SIN CLASIFICAR",IFERROR(INDEX('CAT_ACTIVIDADES'!$D$4:$D$11,MATCH($H864,'CAT_ACTIVIDADES'!$A$4:$A$11,0)),"")))</f>
        <v/>
      </c>
      <c r="AO864" s="4" t="n"/>
      <c r="AP864" s="4" t="n"/>
      <c r="AQ864" s="4" t="n"/>
      <c r="AR864" s="5">
        <f>IF($AQ864="","",HYPERLINK(p_ruta_base_checklists&amp;$AQ864,"abrir"))</f>
        <v/>
      </c>
      <c r="AS864" s="4" t="n"/>
      <c r="AT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2" t="n"/>
      <c r="K865" s="5" t="n"/>
      <c r="L865" s="18" t="n"/>
      <c r="M865" s="5">
        <f>IF($A865="","",IFERROR(INDEX('AJUSTES'!$B$4:$B$303,MATCH($AT865,'AJUSTES'!$A$4:$A$303,0)),IF($K865="","",$K865)))</f>
        <v/>
      </c>
      <c r="N865" s="5">
        <f>IF($A865="","",IFERROR(INDEX('CAT_ESTADOS_ERP'!$B$4:$B$7,MATCH(IFERROR(INDEX('2_IMPORTAR_EJECUCION'!$C$9:$C$1208,MATCH($AT865,'2_IMPORTAR_EJECUCION'!$J$9:$J$1208,0)),""),'CAT_ESTADOS_ERP'!$A$4:$A$7,0)),"Pendiente"))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IF($J865="","",$P865&amp;"-"&amp;TEXT($Q865,"00"))</f>
        <v/>
      </c>
      <c r="S865" s="5">
        <f>IF($J865="","",INDEX(lista_dias,WEEKDAY($J865,2)))</f>
        <v/>
      </c>
      <c r="T865" s="5">
        <f>IF($J865="","",IFERROR(INDEX('CALENDARIO'!$C$15:$C$214,MATCH(TEXT($J865,"yyyy-mm-dd")&amp;"|"&amp;$X865&amp;"|"&amp;$Y865,'CALENDARIO'!$G$15:$G$214,0)),IFERROR(INDEX('CALENDARIO'!$C$15:$C$214,MATCH(TEXT($J865,"yyyy-mm-dd")&amp;"|"&amp;$X865&amp;"|",'CALENDARIO'!$G$15:$G$214,0)),IFERROR(INDEX('CALENDARIO'!$C$15:$C$214,MATCH(TEXT($J865,"yyyy-mm-dd")&amp;"||",'CALENDARIO'!$G$15:$G$214,0)),INDEX(patronHabil,WEEKDAY($J865,2))))))</f>
        <v/>
      </c>
      <c r="U865" s="5">
        <f>IF($I865="","",IFERROR(INDEX('CAT_TIPOS_OT'!$C$4:$C$8,MATCH($I865,'CAT_TIPOS_OT'!$A$4:$A$8,0)),"sin_clasificar"))</f>
        <v/>
      </c>
      <c r="V865" s="5">
        <f>IF($I865="","",IF(IFERROR(INDEX('CAT_TIPOS_OT'!$D$4:$D$8,MATCH($I865,'CAT_TIPOS_OT'!$A$4:$A$8,0)),"SIN CLASIFICAR")="","SIN CLASIFICAR",IFERROR(INDEX('CAT_TIPOS_OT'!$D$4:$D$8,MATCH($I865,'CAT_TIPOS_OT'!$A$4:$A$8,0)),"SIN CLASIFICAR")))</f>
        <v/>
      </c>
      <c r="W865" s="5">
        <f>IF($F865="","",IFERROR(INDEX('CAT_CENTROS_COSTO'!$F$4:$F$13,MATCH($F865,'CAT_CENTROS_COSTO'!$A$4:$A$13,0)),"(sin catálogo)"))</f>
        <v/>
      </c>
      <c r="X865" s="5">
        <f>IF($F865="","",IFERROR(INDEX('CAT_CENTROS_COSTO'!$D$4:$D$13,MATCH($F865,'CAT_CENTROS_COSTO'!$A$4:$A$13,0)),"(sin catálogo)"))</f>
        <v/>
      </c>
      <c r="Y865" s="5">
        <f>IF($F865="","",IF((IFERROR(INDEX('CAT_CENTROS_COSTO'!$E$4:$E$13,MATCH($F865,'CAT_CENTROS_COSTO'!$A$4:$A$13,0)),""))&lt;&gt;"",IFERROR(INDEX('CAT_CENTROS_COSTO'!$E$4:$E$13,MATCH($F865,'CAT_CENTROS_COSTO'!$A$4:$A$13,0)),""),$X865))</f>
        <v/>
      </c>
      <c r="Z865" s="5">
        <f>IF($F865="","",IFERROR(INDEX('CAT_CENTROS_COSTO'!$G$4:$G$13,MATCH($F865,'CAT_CENTROS_COSTO'!$A$4:$A$13,0)),"(sin catálogo)"))</f>
        <v/>
      </c>
      <c r="AA865" s="5">
        <f>IF($G865="","",IFERROR(INDEX('CAT_PUESTOS'!$B$4:$B$8,MATCH($G865,'CAT_PUESTOS'!$A$4:$A$8,0)),"(sin catálogo)"))</f>
        <v/>
      </c>
      <c r="AB865" s="5">
        <f>IF($H865="","",IFERROR(INDEX('CAT_ACTIVIDADES'!$B$4:$B$11,MATCH($H865,'CAT_ACTIVIDADES'!$A$4:$A$11,0)),"(sin catálogo)"))</f>
        <v/>
      </c>
      <c r="AC865" s="20">
        <f>IF($J865="","",TODAY()-$J865)</f>
        <v/>
      </c>
      <c r="AD865" s="20">
        <f>IF($J865="","",IF($J865&lt;=TODAY(),COUNTIFS(cal_fechas,"&gt;="&amp;$J865,cal_fechas,"&lt;"&amp;TODAY(),cal_habil,"sí"),-COUNTIFS(cal_fechas,"&gt;="&amp;TODAY(),cal_fechas,"&lt;"&amp;$J865,cal_habil,"sí")))</f>
        <v/>
      </c>
      <c r="AE865" s="5">
        <f>IF($AD865="","",IF($AD865&lt;0,"FUTURO",IF($AD865&gt;p_dias_backlog_max,"BACKLOG","MES CORRIENTE")))</f>
        <v/>
      </c>
      <c r="AF865" s="5">
        <f>IF($AD865="",FALSE,AND($AD865&gt;p_dias_backlog_min,$AD865&lt;=p_dias_backlog_max))</f>
        <v/>
      </c>
      <c r="AG865" s="4" t="n"/>
      <c r="AH865" s="5">
        <f>IF($AG865="","",IF((IFERROR(INDEX('ASIGNACIONES'!$J$4:$J$451,MATCH($O865&amp;"|"&amp;$S865&amp;"|"&amp;$AG865,'ASIGNACIONES'!$N$4:$N$451,0)),""))=0,"",IFERROR(INDEX('ASIGNACIONES'!$J$4:$J$451,MATCH($O865&amp;"|"&amp;$S865&amp;"|"&amp;$AG865,'ASIGNACIONES'!$N$4:$N$451,0)),"")))</f>
        <v/>
      </c>
      <c r="AI865" s="25">
        <f>IF($AG865="","",SUMIFS('ORDENES'!$M$4:$M$1203,'ORDENES'!$AG$4:$AG$1203,$AG865,'ORDENES'!$O$4:$O$1203,$O865,'ORDENES'!$S$4:$S$1203,$S865))</f>
        <v/>
      </c>
      <c r="AJ865" s="25">
        <f>IF($AI865="","",p_factor_productividad*IFERROR(INDEX('ASIGNACIONES'!$M$4:$M$451,MATCH($O865&amp;"|"&amp;$S865&amp;"|"&amp;$AG865,'ASIGNACIONES'!$N$4:$N$451,0)),0)-$AI865)</f>
        <v/>
      </c>
      <c r="AK865" s="18">
        <f>IF($A865="","",IFERROR(INDEX('2_IMPORTAR_EJECUCION'!$F$9:$F$1208,MATCH($AT865,'2_IMPORTAR_EJECUCION'!$J$9:$J$1208,0)),0))</f>
        <v/>
      </c>
      <c r="AL865" s="18">
        <f>IF($A865="","",MAX(0,IFERROR(INDEX('2_IMPORTAR_EJECUCION'!$H$9:$H$1208,MATCH($AT865,'2_IMPORTAR_EJECUCION'!$J$9:$J$1208,0)),0)-$AK865))</f>
        <v/>
      </c>
      <c r="AM865" s="18">
        <f>IF($A865="","",$AK865+$AL865)</f>
        <v/>
      </c>
      <c r="AN865" s="5">
        <f>IF($A865="","",IF(OR((IFERROR(INDEX('CAT_ACTIVIDADES'!$D$4:$D$11,MATCH($H865,'CAT_ACTIVIDADES'!$A$4:$A$11,0)),""))=0,(IFERROR(INDEX('CAT_ACTIVIDADES'!$D$4:$D$11,MATCH($H865,'CAT_ACTIVIDADES'!$A$4:$A$11,0)),""))=""),"SIN CLASIFICAR",IFERROR(INDEX('CAT_ACTIVIDADES'!$D$4:$D$11,MATCH($H865,'CAT_ACTIVIDADES'!$A$4:$A$11,0)),"")))</f>
        <v/>
      </c>
      <c r="AO865" s="4" t="n"/>
      <c r="AP865" s="4" t="n"/>
      <c r="AQ865" s="4" t="n"/>
      <c r="AR865" s="5">
        <f>IF($AQ865="","",HYPERLINK(p_ruta_base_checklists&amp;$AQ865,"abrir"))</f>
        <v/>
      </c>
      <c r="AS865" s="4" t="n"/>
      <c r="AT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2" t="n"/>
      <c r="K866" s="5" t="n"/>
      <c r="L866" s="18" t="n"/>
      <c r="M866" s="5">
        <f>IF($A866="","",IFERROR(INDEX('AJUSTES'!$B$4:$B$303,MATCH($AT866,'AJUSTES'!$A$4:$A$303,0)),IF($K866="","",$K866)))</f>
        <v/>
      </c>
      <c r="N866" s="5">
        <f>IF($A866="","",IFERROR(INDEX('CAT_ESTADOS_ERP'!$B$4:$B$7,MATCH(IFERROR(INDEX('2_IMPORTAR_EJECUCION'!$C$9:$C$1208,MATCH($AT866,'2_IMPORTAR_EJECUCION'!$J$9:$J$1208,0)),""),'CAT_ESTADOS_ERP'!$A$4:$A$7,0)),"Pendiente"))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IF($J866="","",$P866&amp;"-"&amp;TEXT($Q866,"00"))</f>
        <v/>
      </c>
      <c r="S866" s="5">
        <f>IF($J866="","",INDEX(lista_dias,WEEKDAY($J866,2)))</f>
        <v/>
      </c>
      <c r="T866" s="5">
        <f>IF($J866="","",IFERROR(INDEX('CALENDARIO'!$C$15:$C$214,MATCH(TEXT($J866,"yyyy-mm-dd")&amp;"|"&amp;$X866&amp;"|"&amp;$Y866,'CALENDARIO'!$G$15:$G$214,0)),IFERROR(INDEX('CALENDARIO'!$C$15:$C$214,MATCH(TEXT($J866,"yyyy-mm-dd")&amp;"|"&amp;$X866&amp;"|",'CALENDARIO'!$G$15:$G$214,0)),IFERROR(INDEX('CALENDARIO'!$C$15:$C$214,MATCH(TEXT($J866,"yyyy-mm-dd")&amp;"||",'CALENDARIO'!$G$15:$G$214,0)),INDEX(patronHabil,WEEKDAY($J866,2))))))</f>
        <v/>
      </c>
      <c r="U866" s="5">
        <f>IF($I866="","",IFERROR(INDEX('CAT_TIPOS_OT'!$C$4:$C$8,MATCH($I866,'CAT_TIPOS_OT'!$A$4:$A$8,0)),"sin_clasificar"))</f>
        <v/>
      </c>
      <c r="V866" s="5">
        <f>IF($I866="","",IF(IFERROR(INDEX('CAT_TIPOS_OT'!$D$4:$D$8,MATCH($I866,'CAT_TIPOS_OT'!$A$4:$A$8,0)),"SIN CLASIFICAR")="","SIN CLASIFICAR",IFERROR(INDEX('CAT_TIPOS_OT'!$D$4:$D$8,MATCH($I866,'CAT_TIPOS_OT'!$A$4:$A$8,0)),"SIN CLASIFICAR")))</f>
        <v/>
      </c>
      <c r="W866" s="5">
        <f>IF($F866="","",IFERROR(INDEX('CAT_CENTROS_COSTO'!$F$4:$F$13,MATCH($F866,'CAT_CENTROS_COSTO'!$A$4:$A$13,0)),"(sin catálogo)"))</f>
        <v/>
      </c>
      <c r="X866" s="5">
        <f>IF($F866="","",IFERROR(INDEX('CAT_CENTROS_COSTO'!$D$4:$D$13,MATCH($F866,'CAT_CENTROS_COSTO'!$A$4:$A$13,0)),"(sin catálogo)"))</f>
        <v/>
      </c>
      <c r="Y866" s="5">
        <f>IF($F866="","",IF((IFERROR(INDEX('CAT_CENTROS_COSTO'!$E$4:$E$13,MATCH($F866,'CAT_CENTROS_COSTO'!$A$4:$A$13,0)),""))&lt;&gt;"",IFERROR(INDEX('CAT_CENTROS_COSTO'!$E$4:$E$13,MATCH($F866,'CAT_CENTROS_COSTO'!$A$4:$A$13,0)),""),$X866))</f>
        <v/>
      </c>
      <c r="Z866" s="5">
        <f>IF($F866="","",IFERROR(INDEX('CAT_CENTROS_COSTO'!$G$4:$G$13,MATCH($F866,'CAT_CENTROS_COSTO'!$A$4:$A$13,0)),"(sin catálogo)"))</f>
        <v/>
      </c>
      <c r="AA866" s="5">
        <f>IF($G866="","",IFERROR(INDEX('CAT_PUESTOS'!$B$4:$B$8,MATCH($G866,'CAT_PUESTOS'!$A$4:$A$8,0)),"(sin catálogo)"))</f>
        <v/>
      </c>
      <c r="AB866" s="5">
        <f>IF($H866="","",IFERROR(INDEX('CAT_ACTIVIDADES'!$B$4:$B$11,MATCH($H866,'CAT_ACTIVIDADES'!$A$4:$A$11,0)),"(sin catálogo)"))</f>
        <v/>
      </c>
      <c r="AC866" s="20">
        <f>IF($J866="","",TODAY()-$J866)</f>
        <v/>
      </c>
      <c r="AD866" s="20">
        <f>IF($J866="","",IF($J866&lt;=TODAY(),COUNTIFS(cal_fechas,"&gt;="&amp;$J866,cal_fechas,"&lt;"&amp;TODAY(),cal_habil,"sí"),-COUNTIFS(cal_fechas,"&gt;="&amp;TODAY(),cal_fechas,"&lt;"&amp;$J866,cal_habil,"sí")))</f>
        <v/>
      </c>
      <c r="AE866" s="5">
        <f>IF($AD866="","",IF($AD866&lt;0,"FUTURO",IF($AD866&gt;p_dias_backlog_max,"BACKLOG","MES CORRIENTE")))</f>
        <v/>
      </c>
      <c r="AF866" s="5">
        <f>IF($AD866="",FALSE,AND($AD866&gt;p_dias_backlog_min,$AD866&lt;=p_dias_backlog_max))</f>
        <v/>
      </c>
      <c r="AG866" s="4" t="n"/>
      <c r="AH866" s="5">
        <f>IF($AG866="","",IF((IFERROR(INDEX('ASIGNACIONES'!$J$4:$J$451,MATCH($O866&amp;"|"&amp;$S866&amp;"|"&amp;$AG866,'ASIGNACIONES'!$N$4:$N$451,0)),""))=0,"",IFERROR(INDEX('ASIGNACIONES'!$J$4:$J$451,MATCH($O866&amp;"|"&amp;$S866&amp;"|"&amp;$AG866,'ASIGNACIONES'!$N$4:$N$451,0)),"")))</f>
        <v/>
      </c>
      <c r="AI866" s="25">
        <f>IF($AG866="","",SUMIFS('ORDENES'!$M$4:$M$1203,'ORDENES'!$AG$4:$AG$1203,$AG866,'ORDENES'!$O$4:$O$1203,$O866,'ORDENES'!$S$4:$S$1203,$S866))</f>
        <v/>
      </c>
      <c r="AJ866" s="25">
        <f>IF($AI866="","",p_factor_productividad*IFERROR(INDEX('ASIGNACIONES'!$M$4:$M$451,MATCH($O866&amp;"|"&amp;$S866&amp;"|"&amp;$AG866,'ASIGNACIONES'!$N$4:$N$451,0)),0)-$AI866)</f>
        <v/>
      </c>
      <c r="AK866" s="18">
        <f>IF($A866="","",IFERROR(INDEX('2_IMPORTAR_EJECUCION'!$F$9:$F$1208,MATCH($AT866,'2_IMPORTAR_EJECUCION'!$J$9:$J$1208,0)),0))</f>
        <v/>
      </c>
      <c r="AL866" s="18">
        <f>IF($A866="","",MAX(0,IFERROR(INDEX('2_IMPORTAR_EJECUCION'!$H$9:$H$1208,MATCH($AT866,'2_IMPORTAR_EJECUCION'!$J$9:$J$1208,0)),0)-$AK866))</f>
        <v/>
      </c>
      <c r="AM866" s="18">
        <f>IF($A866="","",$AK866+$AL866)</f>
        <v/>
      </c>
      <c r="AN866" s="5">
        <f>IF($A866="","",IF(OR((IFERROR(INDEX('CAT_ACTIVIDADES'!$D$4:$D$11,MATCH($H866,'CAT_ACTIVIDADES'!$A$4:$A$11,0)),""))=0,(IFERROR(INDEX('CAT_ACTIVIDADES'!$D$4:$D$11,MATCH($H866,'CAT_ACTIVIDADES'!$A$4:$A$11,0)),""))=""),"SIN CLASIFICAR",IFERROR(INDEX('CAT_ACTIVIDADES'!$D$4:$D$11,MATCH($H866,'CAT_ACTIVIDADES'!$A$4:$A$11,0)),"")))</f>
        <v/>
      </c>
      <c r="AO866" s="4" t="n"/>
      <c r="AP866" s="4" t="n"/>
      <c r="AQ866" s="4" t="n"/>
      <c r="AR866" s="5">
        <f>IF($AQ866="","",HYPERLINK(p_ruta_base_checklists&amp;$AQ866,"abrir"))</f>
        <v/>
      </c>
      <c r="AS866" s="4" t="n"/>
      <c r="AT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2" t="n"/>
      <c r="K867" s="5" t="n"/>
      <c r="L867" s="18" t="n"/>
      <c r="M867" s="5">
        <f>IF($A867="","",IFERROR(INDEX('AJUSTES'!$B$4:$B$303,MATCH($AT867,'AJUSTES'!$A$4:$A$303,0)),IF($K867="","",$K867)))</f>
        <v/>
      </c>
      <c r="N867" s="5">
        <f>IF($A867="","",IFERROR(INDEX('CAT_ESTADOS_ERP'!$B$4:$B$7,MATCH(IFERROR(INDEX('2_IMPORTAR_EJECUCION'!$C$9:$C$1208,MATCH($AT867,'2_IMPORTAR_EJECUCION'!$J$9:$J$1208,0)),""),'CAT_ESTADOS_ERP'!$A$4:$A$7,0)),"Pendiente"))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IF($J867="","",$P867&amp;"-"&amp;TEXT($Q867,"00"))</f>
        <v/>
      </c>
      <c r="S867" s="5">
        <f>IF($J867="","",INDEX(lista_dias,WEEKDAY($J867,2)))</f>
        <v/>
      </c>
      <c r="T867" s="5">
        <f>IF($J867="","",IFERROR(INDEX('CALENDARIO'!$C$15:$C$214,MATCH(TEXT($J867,"yyyy-mm-dd")&amp;"|"&amp;$X867&amp;"|"&amp;$Y867,'CALENDARIO'!$G$15:$G$214,0)),IFERROR(INDEX('CALENDARIO'!$C$15:$C$214,MATCH(TEXT($J867,"yyyy-mm-dd")&amp;"|"&amp;$X867&amp;"|",'CALENDARIO'!$G$15:$G$214,0)),IFERROR(INDEX('CALENDARIO'!$C$15:$C$214,MATCH(TEXT($J867,"yyyy-mm-dd")&amp;"||",'CALENDARIO'!$G$15:$G$214,0)),INDEX(patronHabil,WEEKDAY($J867,2))))))</f>
        <v/>
      </c>
      <c r="U867" s="5">
        <f>IF($I867="","",IFERROR(INDEX('CAT_TIPOS_OT'!$C$4:$C$8,MATCH($I867,'CAT_TIPOS_OT'!$A$4:$A$8,0)),"sin_clasificar"))</f>
        <v/>
      </c>
      <c r="V867" s="5">
        <f>IF($I867="","",IF(IFERROR(INDEX('CAT_TIPOS_OT'!$D$4:$D$8,MATCH($I867,'CAT_TIPOS_OT'!$A$4:$A$8,0)),"SIN CLASIFICAR")="","SIN CLASIFICAR",IFERROR(INDEX('CAT_TIPOS_OT'!$D$4:$D$8,MATCH($I867,'CAT_TIPOS_OT'!$A$4:$A$8,0)),"SIN CLASIFICAR")))</f>
        <v/>
      </c>
      <c r="W867" s="5">
        <f>IF($F867="","",IFERROR(INDEX('CAT_CENTROS_COSTO'!$F$4:$F$13,MATCH($F867,'CAT_CENTROS_COSTO'!$A$4:$A$13,0)),"(sin catálogo)"))</f>
        <v/>
      </c>
      <c r="X867" s="5">
        <f>IF($F867="","",IFERROR(INDEX('CAT_CENTROS_COSTO'!$D$4:$D$13,MATCH($F867,'CAT_CENTROS_COSTO'!$A$4:$A$13,0)),"(sin catálogo)"))</f>
        <v/>
      </c>
      <c r="Y867" s="5">
        <f>IF($F867="","",IF((IFERROR(INDEX('CAT_CENTROS_COSTO'!$E$4:$E$13,MATCH($F867,'CAT_CENTROS_COSTO'!$A$4:$A$13,0)),""))&lt;&gt;"",IFERROR(INDEX('CAT_CENTROS_COSTO'!$E$4:$E$13,MATCH($F867,'CAT_CENTROS_COSTO'!$A$4:$A$13,0)),""),$X867))</f>
        <v/>
      </c>
      <c r="Z867" s="5">
        <f>IF($F867="","",IFERROR(INDEX('CAT_CENTROS_COSTO'!$G$4:$G$13,MATCH($F867,'CAT_CENTROS_COSTO'!$A$4:$A$13,0)),"(sin catálogo)"))</f>
        <v/>
      </c>
      <c r="AA867" s="5">
        <f>IF($G867="","",IFERROR(INDEX('CAT_PUESTOS'!$B$4:$B$8,MATCH($G867,'CAT_PUESTOS'!$A$4:$A$8,0)),"(sin catálogo)"))</f>
        <v/>
      </c>
      <c r="AB867" s="5">
        <f>IF($H867="","",IFERROR(INDEX('CAT_ACTIVIDADES'!$B$4:$B$11,MATCH($H867,'CAT_ACTIVIDADES'!$A$4:$A$11,0)),"(sin catálogo)"))</f>
        <v/>
      </c>
      <c r="AC867" s="20">
        <f>IF($J867="","",TODAY()-$J867)</f>
        <v/>
      </c>
      <c r="AD867" s="20">
        <f>IF($J867="","",IF($J867&lt;=TODAY(),COUNTIFS(cal_fechas,"&gt;="&amp;$J867,cal_fechas,"&lt;"&amp;TODAY(),cal_habil,"sí"),-COUNTIFS(cal_fechas,"&gt;="&amp;TODAY(),cal_fechas,"&lt;"&amp;$J867,cal_habil,"sí")))</f>
        <v/>
      </c>
      <c r="AE867" s="5">
        <f>IF($AD867="","",IF($AD867&lt;0,"FUTURO",IF($AD867&gt;p_dias_backlog_max,"BACKLOG","MES CORRIENTE")))</f>
        <v/>
      </c>
      <c r="AF867" s="5">
        <f>IF($AD867="",FALSE,AND($AD867&gt;p_dias_backlog_min,$AD867&lt;=p_dias_backlog_max))</f>
        <v/>
      </c>
      <c r="AG867" s="4" t="n"/>
      <c r="AH867" s="5">
        <f>IF($AG867="","",IF((IFERROR(INDEX('ASIGNACIONES'!$J$4:$J$451,MATCH($O867&amp;"|"&amp;$S867&amp;"|"&amp;$AG867,'ASIGNACIONES'!$N$4:$N$451,0)),""))=0,"",IFERROR(INDEX('ASIGNACIONES'!$J$4:$J$451,MATCH($O867&amp;"|"&amp;$S867&amp;"|"&amp;$AG867,'ASIGNACIONES'!$N$4:$N$451,0)),"")))</f>
        <v/>
      </c>
      <c r="AI867" s="25">
        <f>IF($AG867="","",SUMIFS('ORDENES'!$M$4:$M$1203,'ORDENES'!$AG$4:$AG$1203,$AG867,'ORDENES'!$O$4:$O$1203,$O867,'ORDENES'!$S$4:$S$1203,$S867))</f>
        <v/>
      </c>
      <c r="AJ867" s="25">
        <f>IF($AI867="","",p_factor_productividad*IFERROR(INDEX('ASIGNACIONES'!$M$4:$M$451,MATCH($O867&amp;"|"&amp;$S867&amp;"|"&amp;$AG867,'ASIGNACIONES'!$N$4:$N$451,0)),0)-$AI867)</f>
        <v/>
      </c>
      <c r="AK867" s="18">
        <f>IF($A867="","",IFERROR(INDEX('2_IMPORTAR_EJECUCION'!$F$9:$F$1208,MATCH($AT867,'2_IMPORTAR_EJECUCION'!$J$9:$J$1208,0)),0))</f>
        <v/>
      </c>
      <c r="AL867" s="18">
        <f>IF($A867="","",MAX(0,IFERROR(INDEX('2_IMPORTAR_EJECUCION'!$H$9:$H$1208,MATCH($AT867,'2_IMPORTAR_EJECUCION'!$J$9:$J$1208,0)),0)-$AK867))</f>
        <v/>
      </c>
      <c r="AM867" s="18">
        <f>IF($A867="","",$AK867+$AL867)</f>
        <v/>
      </c>
      <c r="AN867" s="5">
        <f>IF($A867="","",IF(OR((IFERROR(INDEX('CAT_ACTIVIDADES'!$D$4:$D$11,MATCH($H867,'CAT_ACTIVIDADES'!$A$4:$A$11,0)),""))=0,(IFERROR(INDEX('CAT_ACTIVIDADES'!$D$4:$D$11,MATCH($H867,'CAT_ACTIVIDADES'!$A$4:$A$11,0)),""))=""),"SIN CLASIFICAR",IFERROR(INDEX('CAT_ACTIVIDADES'!$D$4:$D$11,MATCH($H867,'CAT_ACTIVIDADES'!$A$4:$A$11,0)),"")))</f>
        <v/>
      </c>
      <c r="AO867" s="4" t="n"/>
      <c r="AP867" s="4" t="n"/>
      <c r="AQ867" s="4" t="n"/>
      <c r="AR867" s="5">
        <f>IF($AQ867="","",HYPERLINK(p_ruta_base_checklists&amp;$AQ867,"abrir"))</f>
        <v/>
      </c>
      <c r="AS867" s="4" t="n"/>
      <c r="AT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2" t="n"/>
      <c r="K868" s="5" t="n"/>
      <c r="L868" s="18" t="n"/>
      <c r="M868" s="5">
        <f>IF($A868="","",IFERROR(INDEX('AJUSTES'!$B$4:$B$303,MATCH($AT868,'AJUSTES'!$A$4:$A$303,0)),IF($K868="","",$K868)))</f>
        <v/>
      </c>
      <c r="N868" s="5">
        <f>IF($A868="","",IFERROR(INDEX('CAT_ESTADOS_ERP'!$B$4:$B$7,MATCH(IFERROR(INDEX('2_IMPORTAR_EJECUCION'!$C$9:$C$1208,MATCH($AT868,'2_IMPORTAR_EJECUCION'!$J$9:$J$1208,0)),""),'CAT_ESTADOS_ERP'!$A$4:$A$7,0)),"Pendiente"))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IF($J868="","",$P868&amp;"-"&amp;TEXT($Q868,"00"))</f>
        <v/>
      </c>
      <c r="S868" s="5">
        <f>IF($J868="","",INDEX(lista_dias,WEEKDAY($J868,2)))</f>
        <v/>
      </c>
      <c r="T868" s="5">
        <f>IF($J868="","",IFERROR(INDEX('CALENDARIO'!$C$15:$C$214,MATCH(TEXT($J868,"yyyy-mm-dd")&amp;"|"&amp;$X868&amp;"|"&amp;$Y868,'CALENDARIO'!$G$15:$G$214,0)),IFERROR(INDEX('CALENDARIO'!$C$15:$C$214,MATCH(TEXT($J868,"yyyy-mm-dd")&amp;"|"&amp;$X868&amp;"|",'CALENDARIO'!$G$15:$G$214,0)),IFERROR(INDEX('CALENDARIO'!$C$15:$C$214,MATCH(TEXT($J868,"yyyy-mm-dd")&amp;"||",'CALENDARIO'!$G$15:$G$214,0)),INDEX(patronHabil,WEEKDAY($J868,2))))))</f>
        <v/>
      </c>
      <c r="U868" s="5">
        <f>IF($I868="","",IFERROR(INDEX('CAT_TIPOS_OT'!$C$4:$C$8,MATCH($I868,'CAT_TIPOS_OT'!$A$4:$A$8,0)),"sin_clasificar"))</f>
        <v/>
      </c>
      <c r="V868" s="5">
        <f>IF($I868="","",IF(IFERROR(INDEX('CAT_TIPOS_OT'!$D$4:$D$8,MATCH($I868,'CAT_TIPOS_OT'!$A$4:$A$8,0)),"SIN CLASIFICAR")="","SIN CLASIFICAR",IFERROR(INDEX('CAT_TIPOS_OT'!$D$4:$D$8,MATCH($I868,'CAT_TIPOS_OT'!$A$4:$A$8,0)),"SIN CLASIFICAR")))</f>
        <v/>
      </c>
      <c r="W868" s="5">
        <f>IF($F868="","",IFERROR(INDEX('CAT_CENTROS_COSTO'!$F$4:$F$13,MATCH($F868,'CAT_CENTROS_COSTO'!$A$4:$A$13,0)),"(sin catálogo)"))</f>
        <v/>
      </c>
      <c r="X868" s="5">
        <f>IF($F868="","",IFERROR(INDEX('CAT_CENTROS_COSTO'!$D$4:$D$13,MATCH($F868,'CAT_CENTROS_COSTO'!$A$4:$A$13,0)),"(sin catálogo)"))</f>
        <v/>
      </c>
      <c r="Y868" s="5">
        <f>IF($F868="","",IF((IFERROR(INDEX('CAT_CENTROS_COSTO'!$E$4:$E$13,MATCH($F868,'CAT_CENTROS_COSTO'!$A$4:$A$13,0)),""))&lt;&gt;"",IFERROR(INDEX('CAT_CENTROS_COSTO'!$E$4:$E$13,MATCH($F868,'CAT_CENTROS_COSTO'!$A$4:$A$13,0)),""),$X868))</f>
        <v/>
      </c>
      <c r="Z868" s="5">
        <f>IF($F868="","",IFERROR(INDEX('CAT_CENTROS_COSTO'!$G$4:$G$13,MATCH($F868,'CAT_CENTROS_COSTO'!$A$4:$A$13,0)),"(sin catálogo)"))</f>
        <v/>
      </c>
      <c r="AA868" s="5">
        <f>IF($G868="","",IFERROR(INDEX('CAT_PUESTOS'!$B$4:$B$8,MATCH($G868,'CAT_PUESTOS'!$A$4:$A$8,0)),"(sin catálogo)"))</f>
        <v/>
      </c>
      <c r="AB868" s="5">
        <f>IF($H868="","",IFERROR(INDEX('CAT_ACTIVIDADES'!$B$4:$B$11,MATCH($H868,'CAT_ACTIVIDADES'!$A$4:$A$11,0)),"(sin catálogo)"))</f>
        <v/>
      </c>
      <c r="AC868" s="20">
        <f>IF($J868="","",TODAY()-$J868)</f>
        <v/>
      </c>
      <c r="AD868" s="20">
        <f>IF($J868="","",IF($J868&lt;=TODAY(),COUNTIFS(cal_fechas,"&gt;="&amp;$J868,cal_fechas,"&lt;"&amp;TODAY(),cal_habil,"sí"),-COUNTIFS(cal_fechas,"&gt;="&amp;TODAY(),cal_fechas,"&lt;"&amp;$J868,cal_habil,"sí")))</f>
        <v/>
      </c>
      <c r="AE868" s="5">
        <f>IF($AD868="","",IF($AD868&lt;0,"FUTURO",IF($AD868&gt;p_dias_backlog_max,"BACKLOG","MES CORRIENTE")))</f>
        <v/>
      </c>
      <c r="AF868" s="5">
        <f>IF($AD868="",FALSE,AND($AD868&gt;p_dias_backlog_min,$AD868&lt;=p_dias_backlog_max))</f>
        <v/>
      </c>
      <c r="AG868" s="4" t="n"/>
      <c r="AH868" s="5">
        <f>IF($AG868="","",IF((IFERROR(INDEX('ASIGNACIONES'!$J$4:$J$451,MATCH($O868&amp;"|"&amp;$S868&amp;"|"&amp;$AG868,'ASIGNACIONES'!$N$4:$N$451,0)),""))=0,"",IFERROR(INDEX('ASIGNACIONES'!$J$4:$J$451,MATCH($O868&amp;"|"&amp;$S868&amp;"|"&amp;$AG868,'ASIGNACIONES'!$N$4:$N$451,0)),"")))</f>
        <v/>
      </c>
      <c r="AI868" s="25">
        <f>IF($AG868="","",SUMIFS('ORDENES'!$M$4:$M$1203,'ORDENES'!$AG$4:$AG$1203,$AG868,'ORDENES'!$O$4:$O$1203,$O868,'ORDENES'!$S$4:$S$1203,$S868))</f>
        <v/>
      </c>
      <c r="AJ868" s="25">
        <f>IF($AI868="","",p_factor_productividad*IFERROR(INDEX('ASIGNACIONES'!$M$4:$M$451,MATCH($O868&amp;"|"&amp;$S868&amp;"|"&amp;$AG868,'ASIGNACIONES'!$N$4:$N$451,0)),0)-$AI868)</f>
        <v/>
      </c>
      <c r="AK868" s="18">
        <f>IF($A868="","",IFERROR(INDEX('2_IMPORTAR_EJECUCION'!$F$9:$F$1208,MATCH($AT868,'2_IMPORTAR_EJECUCION'!$J$9:$J$1208,0)),0))</f>
        <v/>
      </c>
      <c r="AL868" s="18">
        <f>IF($A868="","",MAX(0,IFERROR(INDEX('2_IMPORTAR_EJECUCION'!$H$9:$H$1208,MATCH($AT868,'2_IMPORTAR_EJECUCION'!$J$9:$J$1208,0)),0)-$AK868))</f>
        <v/>
      </c>
      <c r="AM868" s="18">
        <f>IF($A868="","",$AK868+$AL868)</f>
        <v/>
      </c>
      <c r="AN868" s="5">
        <f>IF($A868="","",IF(OR((IFERROR(INDEX('CAT_ACTIVIDADES'!$D$4:$D$11,MATCH($H868,'CAT_ACTIVIDADES'!$A$4:$A$11,0)),""))=0,(IFERROR(INDEX('CAT_ACTIVIDADES'!$D$4:$D$11,MATCH($H868,'CAT_ACTIVIDADES'!$A$4:$A$11,0)),""))=""),"SIN CLASIFICAR",IFERROR(INDEX('CAT_ACTIVIDADES'!$D$4:$D$11,MATCH($H868,'CAT_ACTIVIDADES'!$A$4:$A$11,0)),"")))</f>
        <v/>
      </c>
      <c r="AO868" s="4" t="n"/>
      <c r="AP868" s="4" t="n"/>
      <c r="AQ868" s="4" t="n"/>
      <c r="AR868" s="5">
        <f>IF($AQ868="","",HYPERLINK(p_ruta_base_checklists&amp;$AQ868,"abrir"))</f>
        <v/>
      </c>
      <c r="AS868" s="4" t="n"/>
      <c r="AT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2" t="n"/>
      <c r="K869" s="5" t="n"/>
      <c r="L869" s="18" t="n"/>
      <c r="M869" s="5">
        <f>IF($A869="","",IFERROR(INDEX('AJUSTES'!$B$4:$B$303,MATCH($AT869,'AJUSTES'!$A$4:$A$303,0)),IF($K869="","",$K869)))</f>
        <v/>
      </c>
      <c r="N869" s="5">
        <f>IF($A869="","",IFERROR(INDEX('CAT_ESTADOS_ERP'!$B$4:$B$7,MATCH(IFERROR(INDEX('2_IMPORTAR_EJECUCION'!$C$9:$C$1208,MATCH($AT869,'2_IMPORTAR_EJECUCION'!$J$9:$J$1208,0)),""),'CAT_ESTADOS_ERP'!$A$4:$A$7,0)),"Pendiente"))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IF($J869="","",$P869&amp;"-"&amp;TEXT($Q869,"00"))</f>
        <v/>
      </c>
      <c r="S869" s="5">
        <f>IF($J869="","",INDEX(lista_dias,WEEKDAY($J869,2)))</f>
        <v/>
      </c>
      <c r="T869" s="5">
        <f>IF($J869="","",IFERROR(INDEX('CALENDARIO'!$C$15:$C$214,MATCH(TEXT($J869,"yyyy-mm-dd")&amp;"|"&amp;$X869&amp;"|"&amp;$Y869,'CALENDARIO'!$G$15:$G$214,0)),IFERROR(INDEX('CALENDARIO'!$C$15:$C$214,MATCH(TEXT($J869,"yyyy-mm-dd")&amp;"|"&amp;$X869&amp;"|",'CALENDARIO'!$G$15:$G$214,0)),IFERROR(INDEX('CALENDARIO'!$C$15:$C$214,MATCH(TEXT($J869,"yyyy-mm-dd")&amp;"||",'CALENDARIO'!$G$15:$G$214,0)),INDEX(patronHabil,WEEKDAY($J869,2))))))</f>
        <v/>
      </c>
      <c r="U869" s="5">
        <f>IF($I869="","",IFERROR(INDEX('CAT_TIPOS_OT'!$C$4:$C$8,MATCH($I869,'CAT_TIPOS_OT'!$A$4:$A$8,0)),"sin_clasificar"))</f>
        <v/>
      </c>
      <c r="V869" s="5">
        <f>IF($I869="","",IF(IFERROR(INDEX('CAT_TIPOS_OT'!$D$4:$D$8,MATCH($I869,'CAT_TIPOS_OT'!$A$4:$A$8,0)),"SIN CLASIFICAR")="","SIN CLASIFICAR",IFERROR(INDEX('CAT_TIPOS_OT'!$D$4:$D$8,MATCH($I869,'CAT_TIPOS_OT'!$A$4:$A$8,0)),"SIN CLASIFICAR")))</f>
        <v/>
      </c>
      <c r="W869" s="5">
        <f>IF($F869="","",IFERROR(INDEX('CAT_CENTROS_COSTO'!$F$4:$F$13,MATCH($F869,'CAT_CENTROS_COSTO'!$A$4:$A$13,0)),"(sin catálogo)"))</f>
        <v/>
      </c>
      <c r="X869" s="5">
        <f>IF($F869="","",IFERROR(INDEX('CAT_CENTROS_COSTO'!$D$4:$D$13,MATCH($F869,'CAT_CENTROS_COSTO'!$A$4:$A$13,0)),"(sin catálogo)"))</f>
        <v/>
      </c>
      <c r="Y869" s="5">
        <f>IF($F869="","",IF((IFERROR(INDEX('CAT_CENTROS_COSTO'!$E$4:$E$13,MATCH($F869,'CAT_CENTROS_COSTO'!$A$4:$A$13,0)),""))&lt;&gt;"",IFERROR(INDEX('CAT_CENTROS_COSTO'!$E$4:$E$13,MATCH($F869,'CAT_CENTROS_COSTO'!$A$4:$A$13,0)),""),$X869))</f>
        <v/>
      </c>
      <c r="Z869" s="5">
        <f>IF($F869="","",IFERROR(INDEX('CAT_CENTROS_COSTO'!$G$4:$G$13,MATCH($F869,'CAT_CENTROS_COSTO'!$A$4:$A$13,0)),"(sin catálogo)"))</f>
        <v/>
      </c>
      <c r="AA869" s="5">
        <f>IF($G869="","",IFERROR(INDEX('CAT_PUESTOS'!$B$4:$B$8,MATCH($G869,'CAT_PUESTOS'!$A$4:$A$8,0)),"(sin catálogo)"))</f>
        <v/>
      </c>
      <c r="AB869" s="5">
        <f>IF($H869="","",IFERROR(INDEX('CAT_ACTIVIDADES'!$B$4:$B$11,MATCH($H869,'CAT_ACTIVIDADES'!$A$4:$A$11,0)),"(sin catálogo)"))</f>
        <v/>
      </c>
      <c r="AC869" s="20">
        <f>IF($J869="","",TODAY()-$J869)</f>
        <v/>
      </c>
      <c r="AD869" s="20">
        <f>IF($J869="","",IF($J869&lt;=TODAY(),COUNTIFS(cal_fechas,"&gt;="&amp;$J869,cal_fechas,"&lt;"&amp;TODAY(),cal_habil,"sí"),-COUNTIFS(cal_fechas,"&gt;="&amp;TODAY(),cal_fechas,"&lt;"&amp;$J869,cal_habil,"sí")))</f>
        <v/>
      </c>
      <c r="AE869" s="5">
        <f>IF($AD869="","",IF($AD869&lt;0,"FUTURO",IF($AD869&gt;p_dias_backlog_max,"BACKLOG","MES CORRIENTE")))</f>
        <v/>
      </c>
      <c r="AF869" s="5">
        <f>IF($AD869="",FALSE,AND($AD869&gt;p_dias_backlog_min,$AD869&lt;=p_dias_backlog_max))</f>
        <v/>
      </c>
      <c r="AG869" s="4" t="n"/>
      <c r="AH869" s="5">
        <f>IF($AG869="","",IF((IFERROR(INDEX('ASIGNACIONES'!$J$4:$J$451,MATCH($O869&amp;"|"&amp;$S869&amp;"|"&amp;$AG869,'ASIGNACIONES'!$N$4:$N$451,0)),""))=0,"",IFERROR(INDEX('ASIGNACIONES'!$J$4:$J$451,MATCH($O869&amp;"|"&amp;$S869&amp;"|"&amp;$AG869,'ASIGNACIONES'!$N$4:$N$451,0)),"")))</f>
        <v/>
      </c>
      <c r="AI869" s="25">
        <f>IF($AG869="","",SUMIFS('ORDENES'!$M$4:$M$1203,'ORDENES'!$AG$4:$AG$1203,$AG869,'ORDENES'!$O$4:$O$1203,$O869,'ORDENES'!$S$4:$S$1203,$S869))</f>
        <v/>
      </c>
      <c r="AJ869" s="25">
        <f>IF($AI869="","",p_factor_productividad*IFERROR(INDEX('ASIGNACIONES'!$M$4:$M$451,MATCH($O869&amp;"|"&amp;$S869&amp;"|"&amp;$AG869,'ASIGNACIONES'!$N$4:$N$451,0)),0)-$AI869)</f>
        <v/>
      </c>
      <c r="AK869" s="18">
        <f>IF($A869="","",IFERROR(INDEX('2_IMPORTAR_EJECUCION'!$F$9:$F$1208,MATCH($AT869,'2_IMPORTAR_EJECUCION'!$J$9:$J$1208,0)),0))</f>
        <v/>
      </c>
      <c r="AL869" s="18">
        <f>IF($A869="","",MAX(0,IFERROR(INDEX('2_IMPORTAR_EJECUCION'!$H$9:$H$1208,MATCH($AT869,'2_IMPORTAR_EJECUCION'!$J$9:$J$1208,0)),0)-$AK869))</f>
        <v/>
      </c>
      <c r="AM869" s="18">
        <f>IF($A869="","",$AK869+$AL869)</f>
        <v/>
      </c>
      <c r="AN869" s="5">
        <f>IF($A869="","",IF(OR((IFERROR(INDEX('CAT_ACTIVIDADES'!$D$4:$D$11,MATCH($H869,'CAT_ACTIVIDADES'!$A$4:$A$11,0)),""))=0,(IFERROR(INDEX('CAT_ACTIVIDADES'!$D$4:$D$11,MATCH($H869,'CAT_ACTIVIDADES'!$A$4:$A$11,0)),""))=""),"SIN CLASIFICAR",IFERROR(INDEX('CAT_ACTIVIDADES'!$D$4:$D$11,MATCH($H869,'CAT_ACTIVIDADES'!$A$4:$A$11,0)),"")))</f>
        <v/>
      </c>
      <c r="AO869" s="4" t="n"/>
      <c r="AP869" s="4" t="n"/>
      <c r="AQ869" s="4" t="n"/>
      <c r="AR869" s="5">
        <f>IF($AQ869="","",HYPERLINK(p_ruta_base_checklists&amp;$AQ869,"abrir"))</f>
        <v/>
      </c>
      <c r="AS869" s="4" t="n"/>
      <c r="AT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2" t="n"/>
      <c r="K870" s="5" t="n"/>
      <c r="L870" s="18" t="n"/>
      <c r="M870" s="5">
        <f>IF($A870="","",IFERROR(INDEX('AJUSTES'!$B$4:$B$303,MATCH($AT870,'AJUSTES'!$A$4:$A$303,0)),IF($K870="","",$K870)))</f>
        <v/>
      </c>
      <c r="N870" s="5">
        <f>IF($A870="","",IFERROR(INDEX('CAT_ESTADOS_ERP'!$B$4:$B$7,MATCH(IFERROR(INDEX('2_IMPORTAR_EJECUCION'!$C$9:$C$1208,MATCH($AT870,'2_IMPORTAR_EJECUCION'!$J$9:$J$1208,0)),""),'CAT_ESTADOS_ERP'!$A$4:$A$7,0)),"Pendiente"))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IF($J870="","",$P870&amp;"-"&amp;TEXT($Q870,"00"))</f>
        <v/>
      </c>
      <c r="S870" s="5">
        <f>IF($J870="","",INDEX(lista_dias,WEEKDAY($J870,2)))</f>
        <v/>
      </c>
      <c r="T870" s="5">
        <f>IF($J870="","",IFERROR(INDEX('CALENDARIO'!$C$15:$C$214,MATCH(TEXT($J870,"yyyy-mm-dd")&amp;"|"&amp;$X870&amp;"|"&amp;$Y870,'CALENDARIO'!$G$15:$G$214,0)),IFERROR(INDEX('CALENDARIO'!$C$15:$C$214,MATCH(TEXT($J870,"yyyy-mm-dd")&amp;"|"&amp;$X870&amp;"|",'CALENDARIO'!$G$15:$G$214,0)),IFERROR(INDEX('CALENDARIO'!$C$15:$C$214,MATCH(TEXT($J870,"yyyy-mm-dd")&amp;"||",'CALENDARIO'!$G$15:$G$214,0)),INDEX(patronHabil,WEEKDAY($J870,2))))))</f>
        <v/>
      </c>
      <c r="U870" s="5">
        <f>IF($I870="","",IFERROR(INDEX('CAT_TIPOS_OT'!$C$4:$C$8,MATCH($I870,'CAT_TIPOS_OT'!$A$4:$A$8,0)),"sin_clasificar"))</f>
        <v/>
      </c>
      <c r="V870" s="5">
        <f>IF($I870="","",IF(IFERROR(INDEX('CAT_TIPOS_OT'!$D$4:$D$8,MATCH($I870,'CAT_TIPOS_OT'!$A$4:$A$8,0)),"SIN CLASIFICAR")="","SIN CLASIFICAR",IFERROR(INDEX('CAT_TIPOS_OT'!$D$4:$D$8,MATCH($I870,'CAT_TIPOS_OT'!$A$4:$A$8,0)),"SIN CLASIFICAR")))</f>
        <v/>
      </c>
      <c r="W870" s="5">
        <f>IF($F870="","",IFERROR(INDEX('CAT_CENTROS_COSTO'!$F$4:$F$13,MATCH($F870,'CAT_CENTROS_COSTO'!$A$4:$A$13,0)),"(sin catálogo)"))</f>
        <v/>
      </c>
      <c r="X870" s="5">
        <f>IF($F870="","",IFERROR(INDEX('CAT_CENTROS_COSTO'!$D$4:$D$13,MATCH($F870,'CAT_CENTROS_COSTO'!$A$4:$A$13,0)),"(sin catálogo)"))</f>
        <v/>
      </c>
      <c r="Y870" s="5">
        <f>IF($F870="","",IF((IFERROR(INDEX('CAT_CENTROS_COSTO'!$E$4:$E$13,MATCH($F870,'CAT_CENTROS_COSTO'!$A$4:$A$13,0)),""))&lt;&gt;"",IFERROR(INDEX('CAT_CENTROS_COSTO'!$E$4:$E$13,MATCH($F870,'CAT_CENTROS_COSTO'!$A$4:$A$13,0)),""),$X870))</f>
        <v/>
      </c>
      <c r="Z870" s="5">
        <f>IF($F870="","",IFERROR(INDEX('CAT_CENTROS_COSTO'!$G$4:$G$13,MATCH($F870,'CAT_CENTROS_COSTO'!$A$4:$A$13,0)),"(sin catálogo)"))</f>
        <v/>
      </c>
      <c r="AA870" s="5">
        <f>IF($G870="","",IFERROR(INDEX('CAT_PUESTOS'!$B$4:$B$8,MATCH($G870,'CAT_PUESTOS'!$A$4:$A$8,0)),"(sin catálogo)"))</f>
        <v/>
      </c>
      <c r="AB870" s="5">
        <f>IF($H870="","",IFERROR(INDEX('CAT_ACTIVIDADES'!$B$4:$B$11,MATCH($H870,'CAT_ACTIVIDADES'!$A$4:$A$11,0)),"(sin catálogo)"))</f>
        <v/>
      </c>
      <c r="AC870" s="20">
        <f>IF($J870="","",TODAY()-$J870)</f>
        <v/>
      </c>
      <c r="AD870" s="20">
        <f>IF($J870="","",IF($J870&lt;=TODAY(),COUNTIFS(cal_fechas,"&gt;="&amp;$J870,cal_fechas,"&lt;"&amp;TODAY(),cal_habil,"sí"),-COUNTIFS(cal_fechas,"&gt;="&amp;TODAY(),cal_fechas,"&lt;"&amp;$J870,cal_habil,"sí")))</f>
        <v/>
      </c>
      <c r="AE870" s="5">
        <f>IF($AD870="","",IF($AD870&lt;0,"FUTURO",IF($AD870&gt;p_dias_backlog_max,"BACKLOG","MES CORRIENTE")))</f>
        <v/>
      </c>
      <c r="AF870" s="5">
        <f>IF($AD870="",FALSE,AND($AD870&gt;p_dias_backlog_min,$AD870&lt;=p_dias_backlog_max))</f>
        <v/>
      </c>
      <c r="AG870" s="4" t="n"/>
      <c r="AH870" s="5">
        <f>IF($AG870="","",IF((IFERROR(INDEX('ASIGNACIONES'!$J$4:$J$451,MATCH($O870&amp;"|"&amp;$S870&amp;"|"&amp;$AG870,'ASIGNACIONES'!$N$4:$N$451,0)),""))=0,"",IFERROR(INDEX('ASIGNACIONES'!$J$4:$J$451,MATCH($O870&amp;"|"&amp;$S870&amp;"|"&amp;$AG870,'ASIGNACIONES'!$N$4:$N$451,0)),"")))</f>
        <v/>
      </c>
      <c r="AI870" s="25">
        <f>IF($AG870="","",SUMIFS('ORDENES'!$M$4:$M$1203,'ORDENES'!$AG$4:$AG$1203,$AG870,'ORDENES'!$O$4:$O$1203,$O870,'ORDENES'!$S$4:$S$1203,$S870))</f>
        <v/>
      </c>
      <c r="AJ870" s="25">
        <f>IF($AI870="","",p_factor_productividad*IFERROR(INDEX('ASIGNACIONES'!$M$4:$M$451,MATCH($O870&amp;"|"&amp;$S870&amp;"|"&amp;$AG870,'ASIGNACIONES'!$N$4:$N$451,0)),0)-$AI870)</f>
        <v/>
      </c>
      <c r="AK870" s="18">
        <f>IF($A870="","",IFERROR(INDEX('2_IMPORTAR_EJECUCION'!$F$9:$F$1208,MATCH($AT870,'2_IMPORTAR_EJECUCION'!$J$9:$J$1208,0)),0))</f>
        <v/>
      </c>
      <c r="AL870" s="18">
        <f>IF($A870="","",MAX(0,IFERROR(INDEX('2_IMPORTAR_EJECUCION'!$H$9:$H$1208,MATCH($AT870,'2_IMPORTAR_EJECUCION'!$J$9:$J$1208,0)),0)-$AK870))</f>
        <v/>
      </c>
      <c r="AM870" s="18">
        <f>IF($A870="","",$AK870+$AL870)</f>
        <v/>
      </c>
      <c r="AN870" s="5">
        <f>IF($A870="","",IF(OR((IFERROR(INDEX('CAT_ACTIVIDADES'!$D$4:$D$11,MATCH($H870,'CAT_ACTIVIDADES'!$A$4:$A$11,0)),""))=0,(IFERROR(INDEX('CAT_ACTIVIDADES'!$D$4:$D$11,MATCH($H870,'CAT_ACTIVIDADES'!$A$4:$A$11,0)),""))=""),"SIN CLASIFICAR",IFERROR(INDEX('CAT_ACTIVIDADES'!$D$4:$D$11,MATCH($H870,'CAT_ACTIVIDADES'!$A$4:$A$11,0)),"")))</f>
        <v/>
      </c>
      <c r="AO870" s="4" t="n"/>
      <c r="AP870" s="4" t="n"/>
      <c r="AQ870" s="4" t="n"/>
      <c r="AR870" s="5">
        <f>IF($AQ870="","",HYPERLINK(p_ruta_base_checklists&amp;$AQ870,"abrir"))</f>
        <v/>
      </c>
      <c r="AS870" s="4" t="n"/>
      <c r="AT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2" t="n"/>
      <c r="K871" s="5" t="n"/>
      <c r="L871" s="18" t="n"/>
      <c r="M871" s="5">
        <f>IF($A871="","",IFERROR(INDEX('AJUSTES'!$B$4:$B$303,MATCH($AT871,'AJUSTES'!$A$4:$A$303,0)),IF($K871="","",$K871)))</f>
        <v/>
      </c>
      <c r="N871" s="5">
        <f>IF($A871="","",IFERROR(INDEX('CAT_ESTADOS_ERP'!$B$4:$B$7,MATCH(IFERROR(INDEX('2_IMPORTAR_EJECUCION'!$C$9:$C$1208,MATCH($AT871,'2_IMPORTAR_EJECUCION'!$J$9:$J$1208,0)),""),'CAT_ESTADOS_ERP'!$A$4:$A$7,0)),"Pendiente"))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IF($J871="","",$P871&amp;"-"&amp;TEXT($Q871,"00"))</f>
        <v/>
      </c>
      <c r="S871" s="5">
        <f>IF($J871="","",INDEX(lista_dias,WEEKDAY($J871,2)))</f>
        <v/>
      </c>
      <c r="T871" s="5">
        <f>IF($J871="","",IFERROR(INDEX('CALENDARIO'!$C$15:$C$214,MATCH(TEXT($J871,"yyyy-mm-dd")&amp;"|"&amp;$X871&amp;"|"&amp;$Y871,'CALENDARIO'!$G$15:$G$214,0)),IFERROR(INDEX('CALENDARIO'!$C$15:$C$214,MATCH(TEXT($J871,"yyyy-mm-dd")&amp;"|"&amp;$X871&amp;"|",'CALENDARIO'!$G$15:$G$214,0)),IFERROR(INDEX('CALENDARIO'!$C$15:$C$214,MATCH(TEXT($J871,"yyyy-mm-dd")&amp;"||",'CALENDARIO'!$G$15:$G$214,0)),INDEX(patronHabil,WEEKDAY($J871,2))))))</f>
        <v/>
      </c>
      <c r="U871" s="5">
        <f>IF($I871="","",IFERROR(INDEX('CAT_TIPOS_OT'!$C$4:$C$8,MATCH($I871,'CAT_TIPOS_OT'!$A$4:$A$8,0)),"sin_clasificar"))</f>
        <v/>
      </c>
      <c r="V871" s="5">
        <f>IF($I871="","",IF(IFERROR(INDEX('CAT_TIPOS_OT'!$D$4:$D$8,MATCH($I871,'CAT_TIPOS_OT'!$A$4:$A$8,0)),"SIN CLASIFICAR")="","SIN CLASIFICAR",IFERROR(INDEX('CAT_TIPOS_OT'!$D$4:$D$8,MATCH($I871,'CAT_TIPOS_OT'!$A$4:$A$8,0)),"SIN CLASIFICAR")))</f>
        <v/>
      </c>
      <c r="W871" s="5">
        <f>IF($F871="","",IFERROR(INDEX('CAT_CENTROS_COSTO'!$F$4:$F$13,MATCH($F871,'CAT_CENTROS_COSTO'!$A$4:$A$13,0)),"(sin catálogo)"))</f>
        <v/>
      </c>
      <c r="X871" s="5">
        <f>IF($F871="","",IFERROR(INDEX('CAT_CENTROS_COSTO'!$D$4:$D$13,MATCH($F871,'CAT_CENTROS_COSTO'!$A$4:$A$13,0)),"(sin catálogo)"))</f>
        <v/>
      </c>
      <c r="Y871" s="5">
        <f>IF($F871="","",IF((IFERROR(INDEX('CAT_CENTROS_COSTO'!$E$4:$E$13,MATCH($F871,'CAT_CENTROS_COSTO'!$A$4:$A$13,0)),""))&lt;&gt;"",IFERROR(INDEX('CAT_CENTROS_COSTO'!$E$4:$E$13,MATCH($F871,'CAT_CENTROS_COSTO'!$A$4:$A$13,0)),""),$X871))</f>
        <v/>
      </c>
      <c r="Z871" s="5">
        <f>IF($F871="","",IFERROR(INDEX('CAT_CENTROS_COSTO'!$G$4:$G$13,MATCH($F871,'CAT_CENTROS_COSTO'!$A$4:$A$13,0)),"(sin catálogo)"))</f>
        <v/>
      </c>
      <c r="AA871" s="5">
        <f>IF($G871="","",IFERROR(INDEX('CAT_PUESTOS'!$B$4:$B$8,MATCH($G871,'CAT_PUESTOS'!$A$4:$A$8,0)),"(sin catálogo)"))</f>
        <v/>
      </c>
      <c r="AB871" s="5">
        <f>IF($H871="","",IFERROR(INDEX('CAT_ACTIVIDADES'!$B$4:$B$11,MATCH($H871,'CAT_ACTIVIDADES'!$A$4:$A$11,0)),"(sin catálogo)"))</f>
        <v/>
      </c>
      <c r="AC871" s="20">
        <f>IF($J871="","",TODAY()-$J871)</f>
        <v/>
      </c>
      <c r="AD871" s="20">
        <f>IF($J871="","",IF($J871&lt;=TODAY(),COUNTIFS(cal_fechas,"&gt;="&amp;$J871,cal_fechas,"&lt;"&amp;TODAY(),cal_habil,"sí"),-COUNTIFS(cal_fechas,"&gt;="&amp;TODAY(),cal_fechas,"&lt;"&amp;$J871,cal_habil,"sí")))</f>
        <v/>
      </c>
      <c r="AE871" s="5">
        <f>IF($AD871="","",IF($AD871&lt;0,"FUTURO",IF($AD871&gt;p_dias_backlog_max,"BACKLOG","MES CORRIENTE")))</f>
        <v/>
      </c>
      <c r="AF871" s="5">
        <f>IF($AD871="",FALSE,AND($AD871&gt;p_dias_backlog_min,$AD871&lt;=p_dias_backlog_max))</f>
        <v/>
      </c>
      <c r="AG871" s="4" t="n"/>
      <c r="AH871" s="5">
        <f>IF($AG871="","",IF((IFERROR(INDEX('ASIGNACIONES'!$J$4:$J$451,MATCH($O871&amp;"|"&amp;$S871&amp;"|"&amp;$AG871,'ASIGNACIONES'!$N$4:$N$451,0)),""))=0,"",IFERROR(INDEX('ASIGNACIONES'!$J$4:$J$451,MATCH($O871&amp;"|"&amp;$S871&amp;"|"&amp;$AG871,'ASIGNACIONES'!$N$4:$N$451,0)),"")))</f>
        <v/>
      </c>
      <c r="AI871" s="25">
        <f>IF($AG871="","",SUMIFS('ORDENES'!$M$4:$M$1203,'ORDENES'!$AG$4:$AG$1203,$AG871,'ORDENES'!$O$4:$O$1203,$O871,'ORDENES'!$S$4:$S$1203,$S871))</f>
        <v/>
      </c>
      <c r="AJ871" s="25">
        <f>IF($AI871="","",p_factor_productividad*IFERROR(INDEX('ASIGNACIONES'!$M$4:$M$451,MATCH($O871&amp;"|"&amp;$S871&amp;"|"&amp;$AG871,'ASIGNACIONES'!$N$4:$N$451,0)),0)-$AI871)</f>
        <v/>
      </c>
      <c r="AK871" s="18">
        <f>IF($A871="","",IFERROR(INDEX('2_IMPORTAR_EJECUCION'!$F$9:$F$1208,MATCH($AT871,'2_IMPORTAR_EJECUCION'!$J$9:$J$1208,0)),0))</f>
        <v/>
      </c>
      <c r="AL871" s="18">
        <f>IF($A871="","",MAX(0,IFERROR(INDEX('2_IMPORTAR_EJECUCION'!$H$9:$H$1208,MATCH($AT871,'2_IMPORTAR_EJECUCION'!$J$9:$J$1208,0)),0)-$AK871))</f>
        <v/>
      </c>
      <c r="AM871" s="18">
        <f>IF($A871="","",$AK871+$AL871)</f>
        <v/>
      </c>
      <c r="AN871" s="5">
        <f>IF($A871="","",IF(OR((IFERROR(INDEX('CAT_ACTIVIDADES'!$D$4:$D$11,MATCH($H871,'CAT_ACTIVIDADES'!$A$4:$A$11,0)),""))=0,(IFERROR(INDEX('CAT_ACTIVIDADES'!$D$4:$D$11,MATCH($H871,'CAT_ACTIVIDADES'!$A$4:$A$11,0)),""))=""),"SIN CLASIFICAR",IFERROR(INDEX('CAT_ACTIVIDADES'!$D$4:$D$11,MATCH($H871,'CAT_ACTIVIDADES'!$A$4:$A$11,0)),"")))</f>
        <v/>
      </c>
      <c r="AO871" s="4" t="n"/>
      <c r="AP871" s="4" t="n"/>
      <c r="AQ871" s="4" t="n"/>
      <c r="AR871" s="5">
        <f>IF($AQ871="","",HYPERLINK(p_ruta_base_checklists&amp;$AQ871,"abrir"))</f>
        <v/>
      </c>
      <c r="AS871" s="4" t="n"/>
      <c r="AT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2" t="n"/>
      <c r="K872" s="5" t="n"/>
      <c r="L872" s="18" t="n"/>
      <c r="M872" s="5">
        <f>IF($A872="","",IFERROR(INDEX('AJUSTES'!$B$4:$B$303,MATCH($AT872,'AJUSTES'!$A$4:$A$303,0)),IF($K872="","",$K872)))</f>
        <v/>
      </c>
      <c r="N872" s="5">
        <f>IF($A872="","",IFERROR(INDEX('CAT_ESTADOS_ERP'!$B$4:$B$7,MATCH(IFERROR(INDEX('2_IMPORTAR_EJECUCION'!$C$9:$C$1208,MATCH($AT872,'2_IMPORTAR_EJECUCION'!$J$9:$J$1208,0)),""),'CAT_ESTADOS_ERP'!$A$4:$A$7,0)),"Pendiente"))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IF($J872="","",$P872&amp;"-"&amp;TEXT($Q872,"00"))</f>
        <v/>
      </c>
      <c r="S872" s="5">
        <f>IF($J872="","",INDEX(lista_dias,WEEKDAY($J872,2)))</f>
        <v/>
      </c>
      <c r="T872" s="5">
        <f>IF($J872="","",IFERROR(INDEX('CALENDARIO'!$C$15:$C$214,MATCH(TEXT($J872,"yyyy-mm-dd")&amp;"|"&amp;$X872&amp;"|"&amp;$Y872,'CALENDARIO'!$G$15:$G$214,0)),IFERROR(INDEX('CALENDARIO'!$C$15:$C$214,MATCH(TEXT($J872,"yyyy-mm-dd")&amp;"|"&amp;$X872&amp;"|",'CALENDARIO'!$G$15:$G$214,0)),IFERROR(INDEX('CALENDARIO'!$C$15:$C$214,MATCH(TEXT($J872,"yyyy-mm-dd")&amp;"||",'CALENDARIO'!$G$15:$G$214,0)),INDEX(patronHabil,WEEKDAY($J872,2))))))</f>
        <v/>
      </c>
      <c r="U872" s="5">
        <f>IF($I872="","",IFERROR(INDEX('CAT_TIPOS_OT'!$C$4:$C$8,MATCH($I872,'CAT_TIPOS_OT'!$A$4:$A$8,0)),"sin_clasificar"))</f>
        <v/>
      </c>
      <c r="V872" s="5">
        <f>IF($I872="","",IF(IFERROR(INDEX('CAT_TIPOS_OT'!$D$4:$D$8,MATCH($I872,'CAT_TIPOS_OT'!$A$4:$A$8,0)),"SIN CLASIFICAR")="","SIN CLASIFICAR",IFERROR(INDEX('CAT_TIPOS_OT'!$D$4:$D$8,MATCH($I872,'CAT_TIPOS_OT'!$A$4:$A$8,0)),"SIN CLASIFICAR")))</f>
        <v/>
      </c>
      <c r="W872" s="5">
        <f>IF($F872="","",IFERROR(INDEX('CAT_CENTROS_COSTO'!$F$4:$F$13,MATCH($F872,'CAT_CENTROS_COSTO'!$A$4:$A$13,0)),"(sin catálogo)"))</f>
        <v/>
      </c>
      <c r="X872" s="5">
        <f>IF($F872="","",IFERROR(INDEX('CAT_CENTROS_COSTO'!$D$4:$D$13,MATCH($F872,'CAT_CENTROS_COSTO'!$A$4:$A$13,0)),"(sin catálogo)"))</f>
        <v/>
      </c>
      <c r="Y872" s="5">
        <f>IF($F872="","",IF((IFERROR(INDEX('CAT_CENTROS_COSTO'!$E$4:$E$13,MATCH($F872,'CAT_CENTROS_COSTO'!$A$4:$A$13,0)),""))&lt;&gt;"",IFERROR(INDEX('CAT_CENTROS_COSTO'!$E$4:$E$13,MATCH($F872,'CAT_CENTROS_COSTO'!$A$4:$A$13,0)),""),$X872))</f>
        <v/>
      </c>
      <c r="Z872" s="5">
        <f>IF($F872="","",IFERROR(INDEX('CAT_CENTROS_COSTO'!$G$4:$G$13,MATCH($F872,'CAT_CENTROS_COSTO'!$A$4:$A$13,0)),"(sin catálogo)"))</f>
        <v/>
      </c>
      <c r="AA872" s="5">
        <f>IF($G872="","",IFERROR(INDEX('CAT_PUESTOS'!$B$4:$B$8,MATCH($G872,'CAT_PUESTOS'!$A$4:$A$8,0)),"(sin catálogo)"))</f>
        <v/>
      </c>
      <c r="AB872" s="5">
        <f>IF($H872="","",IFERROR(INDEX('CAT_ACTIVIDADES'!$B$4:$B$11,MATCH($H872,'CAT_ACTIVIDADES'!$A$4:$A$11,0)),"(sin catálogo)"))</f>
        <v/>
      </c>
      <c r="AC872" s="20">
        <f>IF($J872="","",TODAY()-$J872)</f>
        <v/>
      </c>
      <c r="AD872" s="20">
        <f>IF($J872="","",IF($J872&lt;=TODAY(),COUNTIFS(cal_fechas,"&gt;="&amp;$J872,cal_fechas,"&lt;"&amp;TODAY(),cal_habil,"sí"),-COUNTIFS(cal_fechas,"&gt;="&amp;TODAY(),cal_fechas,"&lt;"&amp;$J872,cal_habil,"sí")))</f>
        <v/>
      </c>
      <c r="AE872" s="5">
        <f>IF($AD872="","",IF($AD872&lt;0,"FUTURO",IF($AD872&gt;p_dias_backlog_max,"BACKLOG","MES CORRIENTE")))</f>
        <v/>
      </c>
      <c r="AF872" s="5">
        <f>IF($AD872="",FALSE,AND($AD872&gt;p_dias_backlog_min,$AD872&lt;=p_dias_backlog_max))</f>
        <v/>
      </c>
      <c r="AG872" s="4" t="n"/>
      <c r="AH872" s="5">
        <f>IF($AG872="","",IF((IFERROR(INDEX('ASIGNACIONES'!$J$4:$J$451,MATCH($O872&amp;"|"&amp;$S872&amp;"|"&amp;$AG872,'ASIGNACIONES'!$N$4:$N$451,0)),""))=0,"",IFERROR(INDEX('ASIGNACIONES'!$J$4:$J$451,MATCH($O872&amp;"|"&amp;$S872&amp;"|"&amp;$AG872,'ASIGNACIONES'!$N$4:$N$451,0)),"")))</f>
        <v/>
      </c>
      <c r="AI872" s="25">
        <f>IF($AG872="","",SUMIFS('ORDENES'!$M$4:$M$1203,'ORDENES'!$AG$4:$AG$1203,$AG872,'ORDENES'!$O$4:$O$1203,$O872,'ORDENES'!$S$4:$S$1203,$S872))</f>
        <v/>
      </c>
      <c r="AJ872" s="25">
        <f>IF($AI872="","",p_factor_productividad*IFERROR(INDEX('ASIGNACIONES'!$M$4:$M$451,MATCH($O872&amp;"|"&amp;$S872&amp;"|"&amp;$AG872,'ASIGNACIONES'!$N$4:$N$451,0)),0)-$AI872)</f>
        <v/>
      </c>
      <c r="AK872" s="18">
        <f>IF($A872="","",IFERROR(INDEX('2_IMPORTAR_EJECUCION'!$F$9:$F$1208,MATCH($AT872,'2_IMPORTAR_EJECUCION'!$J$9:$J$1208,0)),0))</f>
        <v/>
      </c>
      <c r="AL872" s="18">
        <f>IF($A872="","",MAX(0,IFERROR(INDEX('2_IMPORTAR_EJECUCION'!$H$9:$H$1208,MATCH($AT872,'2_IMPORTAR_EJECUCION'!$J$9:$J$1208,0)),0)-$AK872))</f>
        <v/>
      </c>
      <c r="AM872" s="18">
        <f>IF($A872="","",$AK872+$AL872)</f>
        <v/>
      </c>
      <c r="AN872" s="5">
        <f>IF($A872="","",IF(OR((IFERROR(INDEX('CAT_ACTIVIDADES'!$D$4:$D$11,MATCH($H872,'CAT_ACTIVIDADES'!$A$4:$A$11,0)),""))=0,(IFERROR(INDEX('CAT_ACTIVIDADES'!$D$4:$D$11,MATCH($H872,'CAT_ACTIVIDADES'!$A$4:$A$11,0)),""))=""),"SIN CLASIFICAR",IFERROR(INDEX('CAT_ACTIVIDADES'!$D$4:$D$11,MATCH($H872,'CAT_ACTIVIDADES'!$A$4:$A$11,0)),"")))</f>
        <v/>
      </c>
      <c r="AO872" s="4" t="n"/>
      <c r="AP872" s="4" t="n"/>
      <c r="AQ872" s="4" t="n"/>
      <c r="AR872" s="5">
        <f>IF($AQ872="","",HYPERLINK(p_ruta_base_checklists&amp;$AQ872,"abrir"))</f>
        <v/>
      </c>
      <c r="AS872" s="4" t="n"/>
      <c r="AT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2" t="n"/>
      <c r="K873" s="5" t="n"/>
      <c r="L873" s="18" t="n"/>
      <c r="M873" s="5">
        <f>IF($A873="","",IFERROR(INDEX('AJUSTES'!$B$4:$B$303,MATCH($AT873,'AJUSTES'!$A$4:$A$303,0)),IF($K873="","",$K873)))</f>
        <v/>
      </c>
      <c r="N873" s="5">
        <f>IF($A873="","",IFERROR(INDEX('CAT_ESTADOS_ERP'!$B$4:$B$7,MATCH(IFERROR(INDEX('2_IMPORTAR_EJECUCION'!$C$9:$C$1208,MATCH($AT873,'2_IMPORTAR_EJECUCION'!$J$9:$J$1208,0)),""),'CAT_ESTADOS_ERP'!$A$4:$A$7,0)),"Pendiente"))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IF($J873="","",$P873&amp;"-"&amp;TEXT($Q873,"00"))</f>
        <v/>
      </c>
      <c r="S873" s="5">
        <f>IF($J873="","",INDEX(lista_dias,WEEKDAY($J873,2)))</f>
        <v/>
      </c>
      <c r="T873" s="5">
        <f>IF($J873="","",IFERROR(INDEX('CALENDARIO'!$C$15:$C$214,MATCH(TEXT($J873,"yyyy-mm-dd")&amp;"|"&amp;$X873&amp;"|"&amp;$Y873,'CALENDARIO'!$G$15:$G$214,0)),IFERROR(INDEX('CALENDARIO'!$C$15:$C$214,MATCH(TEXT($J873,"yyyy-mm-dd")&amp;"|"&amp;$X873&amp;"|",'CALENDARIO'!$G$15:$G$214,0)),IFERROR(INDEX('CALENDARIO'!$C$15:$C$214,MATCH(TEXT($J873,"yyyy-mm-dd")&amp;"||",'CALENDARIO'!$G$15:$G$214,0)),INDEX(patronHabil,WEEKDAY($J873,2))))))</f>
        <v/>
      </c>
      <c r="U873" s="5">
        <f>IF($I873="","",IFERROR(INDEX('CAT_TIPOS_OT'!$C$4:$C$8,MATCH($I873,'CAT_TIPOS_OT'!$A$4:$A$8,0)),"sin_clasificar"))</f>
        <v/>
      </c>
      <c r="V873" s="5">
        <f>IF($I873="","",IF(IFERROR(INDEX('CAT_TIPOS_OT'!$D$4:$D$8,MATCH($I873,'CAT_TIPOS_OT'!$A$4:$A$8,0)),"SIN CLASIFICAR")="","SIN CLASIFICAR",IFERROR(INDEX('CAT_TIPOS_OT'!$D$4:$D$8,MATCH($I873,'CAT_TIPOS_OT'!$A$4:$A$8,0)),"SIN CLASIFICAR")))</f>
        <v/>
      </c>
      <c r="W873" s="5">
        <f>IF($F873="","",IFERROR(INDEX('CAT_CENTROS_COSTO'!$F$4:$F$13,MATCH($F873,'CAT_CENTROS_COSTO'!$A$4:$A$13,0)),"(sin catálogo)"))</f>
        <v/>
      </c>
      <c r="X873" s="5">
        <f>IF($F873="","",IFERROR(INDEX('CAT_CENTROS_COSTO'!$D$4:$D$13,MATCH($F873,'CAT_CENTROS_COSTO'!$A$4:$A$13,0)),"(sin catálogo)"))</f>
        <v/>
      </c>
      <c r="Y873" s="5">
        <f>IF($F873="","",IF((IFERROR(INDEX('CAT_CENTROS_COSTO'!$E$4:$E$13,MATCH($F873,'CAT_CENTROS_COSTO'!$A$4:$A$13,0)),""))&lt;&gt;"",IFERROR(INDEX('CAT_CENTROS_COSTO'!$E$4:$E$13,MATCH($F873,'CAT_CENTROS_COSTO'!$A$4:$A$13,0)),""),$X873))</f>
        <v/>
      </c>
      <c r="Z873" s="5">
        <f>IF($F873="","",IFERROR(INDEX('CAT_CENTROS_COSTO'!$G$4:$G$13,MATCH($F873,'CAT_CENTROS_COSTO'!$A$4:$A$13,0)),"(sin catálogo)"))</f>
        <v/>
      </c>
      <c r="AA873" s="5">
        <f>IF($G873="","",IFERROR(INDEX('CAT_PUESTOS'!$B$4:$B$8,MATCH($G873,'CAT_PUESTOS'!$A$4:$A$8,0)),"(sin catálogo)"))</f>
        <v/>
      </c>
      <c r="AB873" s="5">
        <f>IF($H873="","",IFERROR(INDEX('CAT_ACTIVIDADES'!$B$4:$B$11,MATCH($H873,'CAT_ACTIVIDADES'!$A$4:$A$11,0)),"(sin catálogo)"))</f>
        <v/>
      </c>
      <c r="AC873" s="20">
        <f>IF($J873="","",TODAY()-$J873)</f>
        <v/>
      </c>
      <c r="AD873" s="20">
        <f>IF($J873="","",IF($J873&lt;=TODAY(),COUNTIFS(cal_fechas,"&gt;="&amp;$J873,cal_fechas,"&lt;"&amp;TODAY(),cal_habil,"sí"),-COUNTIFS(cal_fechas,"&gt;="&amp;TODAY(),cal_fechas,"&lt;"&amp;$J873,cal_habil,"sí")))</f>
        <v/>
      </c>
      <c r="AE873" s="5">
        <f>IF($AD873="","",IF($AD873&lt;0,"FUTURO",IF($AD873&gt;p_dias_backlog_max,"BACKLOG","MES CORRIENTE")))</f>
        <v/>
      </c>
      <c r="AF873" s="5">
        <f>IF($AD873="",FALSE,AND($AD873&gt;p_dias_backlog_min,$AD873&lt;=p_dias_backlog_max))</f>
        <v/>
      </c>
      <c r="AG873" s="4" t="n"/>
      <c r="AH873" s="5">
        <f>IF($AG873="","",IF((IFERROR(INDEX('ASIGNACIONES'!$J$4:$J$451,MATCH($O873&amp;"|"&amp;$S873&amp;"|"&amp;$AG873,'ASIGNACIONES'!$N$4:$N$451,0)),""))=0,"",IFERROR(INDEX('ASIGNACIONES'!$J$4:$J$451,MATCH($O873&amp;"|"&amp;$S873&amp;"|"&amp;$AG873,'ASIGNACIONES'!$N$4:$N$451,0)),"")))</f>
        <v/>
      </c>
      <c r="AI873" s="25">
        <f>IF($AG873="","",SUMIFS('ORDENES'!$M$4:$M$1203,'ORDENES'!$AG$4:$AG$1203,$AG873,'ORDENES'!$O$4:$O$1203,$O873,'ORDENES'!$S$4:$S$1203,$S873))</f>
        <v/>
      </c>
      <c r="AJ873" s="25">
        <f>IF($AI873="","",p_factor_productividad*IFERROR(INDEX('ASIGNACIONES'!$M$4:$M$451,MATCH($O873&amp;"|"&amp;$S873&amp;"|"&amp;$AG873,'ASIGNACIONES'!$N$4:$N$451,0)),0)-$AI873)</f>
        <v/>
      </c>
      <c r="AK873" s="18">
        <f>IF($A873="","",IFERROR(INDEX('2_IMPORTAR_EJECUCION'!$F$9:$F$1208,MATCH($AT873,'2_IMPORTAR_EJECUCION'!$J$9:$J$1208,0)),0))</f>
        <v/>
      </c>
      <c r="AL873" s="18">
        <f>IF($A873="","",MAX(0,IFERROR(INDEX('2_IMPORTAR_EJECUCION'!$H$9:$H$1208,MATCH($AT873,'2_IMPORTAR_EJECUCION'!$J$9:$J$1208,0)),0)-$AK873))</f>
        <v/>
      </c>
      <c r="AM873" s="18">
        <f>IF($A873="","",$AK873+$AL873)</f>
        <v/>
      </c>
      <c r="AN873" s="5">
        <f>IF($A873="","",IF(OR((IFERROR(INDEX('CAT_ACTIVIDADES'!$D$4:$D$11,MATCH($H873,'CAT_ACTIVIDADES'!$A$4:$A$11,0)),""))=0,(IFERROR(INDEX('CAT_ACTIVIDADES'!$D$4:$D$11,MATCH($H873,'CAT_ACTIVIDADES'!$A$4:$A$11,0)),""))=""),"SIN CLASIFICAR",IFERROR(INDEX('CAT_ACTIVIDADES'!$D$4:$D$11,MATCH($H873,'CAT_ACTIVIDADES'!$A$4:$A$11,0)),"")))</f>
        <v/>
      </c>
      <c r="AO873" s="4" t="n"/>
      <c r="AP873" s="4" t="n"/>
      <c r="AQ873" s="4" t="n"/>
      <c r="AR873" s="5">
        <f>IF($AQ873="","",HYPERLINK(p_ruta_base_checklists&amp;$AQ873,"abrir"))</f>
        <v/>
      </c>
      <c r="AS873" s="4" t="n"/>
      <c r="AT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2" t="n"/>
      <c r="K874" s="5" t="n"/>
      <c r="L874" s="18" t="n"/>
      <c r="M874" s="5">
        <f>IF($A874="","",IFERROR(INDEX('AJUSTES'!$B$4:$B$303,MATCH($AT874,'AJUSTES'!$A$4:$A$303,0)),IF($K874="","",$K874)))</f>
        <v/>
      </c>
      <c r="N874" s="5">
        <f>IF($A874="","",IFERROR(INDEX('CAT_ESTADOS_ERP'!$B$4:$B$7,MATCH(IFERROR(INDEX('2_IMPORTAR_EJECUCION'!$C$9:$C$1208,MATCH($AT874,'2_IMPORTAR_EJECUCION'!$J$9:$J$1208,0)),""),'CAT_ESTADOS_ERP'!$A$4:$A$7,0)),"Pendiente"))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IF($J874="","",$P874&amp;"-"&amp;TEXT($Q874,"00"))</f>
        <v/>
      </c>
      <c r="S874" s="5">
        <f>IF($J874="","",INDEX(lista_dias,WEEKDAY($J874,2)))</f>
        <v/>
      </c>
      <c r="T874" s="5">
        <f>IF($J874="","",IFERROR(INDEX('CALENDARIO'!$C$15:$C$214,MATCH(TEXT($J874,"yyyy-mm-dd")&amp;"|"&amp;$X874&amp;"|"&amp;$Y874,'CALENDARIO'!$G$15:$G$214,0)),IFERROR(INDEX('CALENDARIO'!$C$15:$C$214,MATCH(TEXT($J874,"yyyy-mm-dd")&amp;"|"&amp;$X874&amp;"|",'CALENDARIO'!$G$15:$G$214,0)),IFERROR(INDEX('CALENDARIO'!$C$15:$C$214,MATCH(TEXT($J874,"yyyy-mm-dd")&amp;"||",'CALENDARIO'!$G$15:$G$214,0)),INDEX(patronHabil,WEEKDAY($J874,2))))))</f>
        <v/>
      </c>
      <c r="U874" s="5">
        <f>IF($I874="","",IFERROR(INDEX('CAT_TIPOS_OT'!$C$4:$C$8,MATCH($I874,'CAT_TIPOS_OT'!$A$4:$A$8,0)),"sin_clasificar"))</f>
        <v/>
      </c>
      <c r="V874" s="5">
        <f>IF($I874="","",IF(IFERROR(INDEX('CAT_TIPOS_OT'!$D$4:$D$8,MATCH($I874,'CAT_TIPOS_OT'!$A$4:$A$8,0)),"SIN CLASIFICAR")="","SIN CLASIFICAR",IFERROR(INDEX('CAT_TIPOS_OT'!$D$4:$D$8,MATCH($I874,'CAT_TIPOS_OT'!$A$4:$A$8,0)),"SIN CLASIFICAR")))</f>
        <v/>
      </c>
      <c r="W874" s="5">
        <f>IF($F874="","",IFERROR(INDEX('CAT_CENTROS_COSTO'!$F$4:$F$13,MATCH($F874,'CAT_CENTROS_COSTO'!$A$4:$A$13,0)),"(sin catálogo)"))</f>
        <v/>
      </c>
      <c r="X874" s="5">
        <f>IF($F874="","",IFERROR(INDEX('CAT_CENTROS_COSTO'!$D$4:$D$13,MATCH($F874,'CAT_CENTROS_COSTO'!$A$4:$A$13,0)),"(sin catálogo)"))</f>
        <v/>
      </c>
      <c r="Y874" s="5">
        <f>IF($F874="","",IF((IFERROR(INDEX('CAT_CENTROS_COSTO'!$E$4:$E$13,MATCH($F874,'CAT_CENTROS_COSTO'!$A$4:$A$13,0)),""))&lt;&gt;"",IFERROR(INDEX('CAT_CENTROS_COSTO'!$E$4:$E$13,MATCH($F874,'CAT_CENTROS_COSTO'!$A$4:$A$13,0)),""),$X874))</f>
        <v/>
      </c>
      <c r="Z874" s="5">
        <f>IF($F874="","",IFERROR(INDEX('CAT_CENTROS_COSTO'!$G$4:$G$13,MATCH($F874,'CAT_CENTROS_COSTO'!$A$4:$A$13,0)),"(sin catálogo)"))</f>
        <v/>
      </c>
      <c r="AA874" s="5">
        <f>IF($G874="","",IFERROR(INDEX('CAT_PUESTOS'!$B$4:$B$8,MATCH($G874,'CAT_PUESTOS'!$A$4:$A$8,0)),"(sin catálogo)"))</f>
        <v/>
      </c>
      <c r="AB874" s="5">
        <f>IF($H874="","",IFERROR(INDEX('CAT_ACTIVIDADES'!$B$4:$B$11,MATCH($H874,'CAT_ACTIVIDADES'!$A$4:$A$11,0)),"(sin catálogo)"))</f>
        <v/>
      </c>
      <c r="AC874" s="20">
        <f>IF($J874="","",TODAY()-$J874)</f>
        <v/>
      </c>
      <c r="AD874" s="20">
        <f>IF($J874="","",IF($J874&lt;=TODAY(),COUNTIFS(cal_fechas,"&gt;="&amp;$J874,cal_fechas,"&lt;"&amp;TODAY(),cal_habil,"sí"),-COUNTIFS(cal_fechas,"&gt;="&amp;TODAY(),cal_fechas,"&lt;"&amp;$J874,cal_habil,"sí")))</f>
        <v/>
      </c>
      <c r="AE874" s="5">
        <f>IF($AD874="","",IF($AD874&lt;0,"FUTURO",IF($AD874&gt;p_dias_backlog_max,"BACKLOG","MES CORRIENTE")))</f>
        <v/>
      </c>
      <c r="AF874" s="5">
        <f>IF($AD874="",FALSE,AND($AD874&gt;p_dias_backlog_min,$AD874&lt;=p_dias_backlog_max))</f>
        <v/>
      </c>
      <c r="AG874" s="4" t="n"/>
      <c r="AH874" s="5">
        <f>IF($AG874="","",IF((IFERROR(INDEX('ASIGNACIONES'!$J$4:$J$451,MATCH($O874&amp;"|"&amp;$S874&amp;"|"&amp;$AG874,'ASIGNACIONES'!$N$4:$N$451,0)),""))=0,"",IFERROR(INDEX('ASIGNACIONES'!$J$4:$J$451,MATCH($O874&amp;"|"&amp;$S874&amp;"|"&amp;$AG874,'ASIGNACIONES'!$N$4:$N$451,0)),"")))</f>
        <v/>
      </c>
      <c r="AI874" s="25">
        <f>IF($AG874="","",SUMIFS('ORDENES'!$M$4:$M$1203,'ORDENES'!$AG$4:$AG$1203,$AG874,'ORDENES'!$O$4:$O$1203,$O874,'ORDENES'!$S$4:$S$1203,$S874))</f>
        <v/>
      </c>
      <c r="AJ874" s="25">
        <f>IF($AI874="","",p_factor_productividad*IFERROR(INDEX('ASIGNACIONES'!$M$4:$M$451,MATCH($O874&amp;"|"&amp;$S874&amp;"|"&amp;$AG874,'ASIGNACIONES'!$N$4:$N$451,0)),0)-$AI874)</f>
        <v/>
      </c>
      <c r="AK874" s="18">
        <f>IF($A874="","",IFERROR(INDEX('2_IMPORTAR_EJECUCION'!$F$9:$F$1208,MATCH($AT874,'2_IMPORTAR_EJECUCION'!$J$9:$J$1208,0)),0))</f>
        <v/>
      </c>
      <c r="AL874" s="18">
        <f>IF($A874="","",MAX(0,IFERROR(INDEX('2_IMPORTAR_EJECUCION'!$H$9:$H$1208,MATCH($AT874,'2_IMPORTAR_EJECUCION'!$J$9:$J$1208,0)),0)-$AK874))</f>
        <v/>
      </c>
      <c r="AM874" s="18">
        <f>IF($A874="","",$AK874+$AL874)</f>
        <v/>
      </c>
      <c r="AN874" s="5">
        <f>IF($A874="","",IF(OR((IFERROR(INDEX('CAT_ACTIVIDADES'!$D$4:$D$11,MATCH($H874,'CAT_ACTIVIDADES'!$A$4:$A$11,0)),""))=0,(IFERROR(INDEX('CAT_ACTIVIDADES'!$D$4:$D$11,MATCH($H874,'CAT_ACTIVIDADES'!$A$4:$A$11,0)),""))=""),"SIN CLASIFICAR",IFERROR(INDEX('CAT_ACTIVIDADES'!$D$4:$D$11,MATCH($H874,'CAT_ACTIVIDADES'!$A$4:$A$11,0)),"")))</f>
        <v/>
      </c>
      <c r="AO874" s="4" t="n"/>
      <c r="AP874" s="4" t="n"/>
      <c r="AQ874" s="4" t="n"/>
      <c r="AR874" s="5">
        <f>IF($AQ874="","",HYPERLINK(p_ruta_base_checklists&amp;$AQ874,"abrir"))</f>
        <v/>
      </c>
      <c r="AS874" s="4" t="n"/>
      <c r="AT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2" t="n"/>
      <c r="K875" s="5" t="n"/>
      <c r="L875" s="18" t="n"/>
      <c r="M875" s="5">
        <f>IF($A875="","",IFERROR(INDEX('AJUSTES'!$B$4:$B$303,MATCH($AT875,'AJUSTES'!$A$4:$A$303,0)),IF($K875="","",$K875)))</f>
        <v/>
      </c>
      <c r="N875" s="5">
        <f>IF($A875="","",IFERROR(INDEX('CAT_ESTADOS_ERP'!$B$4:$B$7,MATCH(IFERROR(INDEX('2_IMPORTAR_EJECUCION'!$C$9:$C$1208,MATCH($AT875,'2_IMPORTAR_EJECUCION'!$J$9:$J$1208,0)),""),'CAT_ESTADOS_ERP'!$A$4:$A$7,0)),"Pendiente"))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IF($J875="","",$P875&amp;"-"&amp;TEXT($Q875,"00"))</f>
        <v/>
      </c>
      <c r="S875" s="5">
        <f>IF($J875="","",INDEX(lista_dias,WEEKDAY($J875,2)))</f>
        <v/>
      </c>
      <c r="T875" s="5">
        <f>IF($J875="","",IFERROR(INDEX('CALENDARIO'!$C$15:$C$214,MATCH(TEXT($J875,"yyyy-mm-dd")&amp;"|"&amp;$X875&amp;"|"&amp;$Y875,'CALENDARIO'!$G$15:$G$214,0)),IFERROR(INDEX('CALENDARIO'!$C$15:$C$214,MATCH(TEXT($J875,"yyyy-mm-dd")&amp;"|"&amp;$X875&amp;"|",'CALENDARIO'!$G$15:$G$214,0)),IFERROR(INDEX('CALENDARIO'!$C$15:$C$214,MATCH(TEXT($J875,"yyyy-mm-dd")&amp;"||",'CALENDARIO'!$G$15:$G$214,0)),INDEX(patronHabil,WEEKDAY($J875,2))))))</f>
        <v/>
      </c>
      <c r="U875" s="5">
        <f>IF($I875="","",IFERROR(INDEX('CAT_TIPOS_OT'!$C$4:$C$8,MATCH($I875,'CAT_TIPOS_OT'!$A$4:$A$8,0)),"sin_clasificar"))</f>
        <v/>
      </c>
      <c r="V875" s="5">
        <f>IF($I875="","",IF(IFERROR(INDEX('CAT_TIPOS_OT'!$D$4:$D$8,MATCH($I875,'CAT_TIPOS_OT'!$A$4:$A$8,0)),"SIN CLASIFICAR")="","SIN CLASIFICAR",IFERROR(INDEX('CAT_TIPOS_OT'!$D$4:$D$8,MATCH($I875,'CAT_TIPOS_OT'!$A$4:$A$8,0)),"SIN CLASIFICAR")))</f>
        <v/>
      </c>
      <c r="W875" s="5">
        <f>IF($F875="","",IFERROR(INDEX('CAT_CENTROS_COSTO'!$F$4:$F$13,MATCH($F875,'CAT_CENTROS_COSTO'!$A$4:$A$13,0)),"(sin catálogo)"))</f>
        <v/>
      </c>
      <c r="X875" s="5">
        <f>IF($F875="","",IFERROR(INDEX('CAT_CENTROS_COSTO'!$D$4:$D$13,MATCH($F875,'CAT_CENTROS_COSTO'!$A$4:$A$13,0)),"(sin catálogo)"))</f>
        <v/>
      </c>
      <c r="Y875" s="5">
        <f>IF($F875="","",IF((IFERROR(INDEX('CAT_CENTROS_COSTO'!$E$4:$E$13,MATCH($F875,'CAT_CENTROS_COSTO'!$A$4:$A$13,0)),""))&lt;&gt;"",IFERROR(INDEX('CAT_CENTROS_COSTO'!$E$4:$E$13,MATCH($F875,'CAT_CENTROS_COSTO'!$A$4:$A$13,0)),""),$X875))</f>
        <v/>
      </c>
      <c r="Z875" s="5">
        <f>IF($F875="","",IFERROR(INDEX('CAT_CENTROS_COSTO'!$G$4:$G$13,MATCH($F875,'CAT_CENTROS_COSTO'!$A$4:$A$13,0)),"(sin catálogo)"))</f>
        <v/>
      </c>
      <c r="AA875" s="5">
        <f>IF($G875="","",IFERROR(INDEX('CAT_PUESTOS'!$B$4:$B$8,MATCH($G875,'CAT_PUESTOS'!$A$4:$A$8,0)),"(sin catálogo)"))</f>
        <v/>
      </c>
      <c r="AB875" s="5">
        <f>IF($H875="","",IFERROR(INDEX('CAT_ACTIVIDADES'!$B$4:$B$11,MATCH($H875,'CAT_ACTIVIDADES'!$A$4:$A$11,0)),"(sin catálogo)"))</f>
        <v/>
      </c>
      <c r="AC875" s="20">
        <f>IF($J875="","",TODAY()-$J875)</f>
        <v/>
      </c>
      <c r="AD875" s="20">
        <f>IF($J875="","",IF($J875&lt;=TODAY(),COUNTIFS(cal_fechas,"&gt;="&amp;$J875,cal_fechas,"&lt;"&amp;TODAY(),cal_habil,"sí"),-COUNTIFS(cal_fechas,"&gt;="&amp;TODAY(),cal_fechas,"&lt;"&amp;$J875,cal_habil,"sí")))</f>
        <v/>
      </c>
      <c r="AE875" s="5">
        <f>IF($AD875="","",IF($AD875&lt;0,"FUTURO",IF($AD875&gt;p_dias_backlog_max,"BACKLOG","MES CORRIENTE")))</f>
        <v/>
      </c>
      <c r="AF875" s="5">
        <f>IF($AD875="",FALSE,AND($AD875&gt;p_dias_backlog_min,$AD875&lt;=p_dias_backlog_max))</f>
        <v/>
      </c>
      <c r="AG875" s="4" t="n"/>
      <c r="AH875" s="5">
        <f>IF($AG875="","",IF((IFERROR(INDEX('ASIGNACIONES'!$J$4:$J$451,MATCH($O875&amp;"|"&amp;$S875&amp;"|"&amp;$AG875,'ASIGNACIONES'!$N$4:$N$451,0)),""))=0,"",IFERROR(INDEX('ASIGNACIONES'!$J$4:$J$451,MATCH($O875&amp;"|"&amp;$S875&amp;"|"&amp;$AG875,'ASIGNACIONES'!$N$4:$N$451,0)),"")))</f>
        <v/>
      </c>
      <c r="AI875" s="25">
        <f>IF($AG875="","",SUMIFS('ORDENES'!$M$4:$M$1203,'ORDENES'!$AG$4:$AG$1203,$AG875,'ORDENES'!$O$4:$O$1203,$O875,'ORDENES'!$S$4:$S$1203,$S875))</f>
        <v/>
      </c>
      <c r="AJ875" s="25">
        <f>IF($AI875="","",p_factor_productividad*IFERROR(INDEX('ASIGNACIONES'!$M$4:$M$451,MATCH($O875&amp;"|"&amp;$S875&amp;"|"&amp;$AG875,'ASIGNACIONES'!$N$4:$N$451,0)),0)-$AI875)</f>
        <v/>
      </c>
      <c r="AK875" s="18">
        <f>IF($A875="","",IFERROR(INDEX('2_IMPORTAR_EJECUCION'!$F$9:$F$1208,MATCH($AT875,'2_IMPORTAR_EJECUCION'!$J$9:$J$1208,0)),0))</f>
        <v/>
      </c>
      <c r="AL875" s="18">
        <f>IF($A875="","",MAX(0,IFERROR(INDEX('2_IMPORTAR_EJECUCION'!$H$9:$H$1208,MATCH($AT875,'2_IMPORTAR_EJECUCION'!$J$9:$J$1208,0)),0)-$AK875))</f>
        <v/>
      </c>
      <c r="AM875" s="18">
        <f>IF($A875="","",$AK875+$AL875)</f>
        <v/>
      </c>
      <c r="AN875" s="5">
        <f>IF($A875="","",IF(OR((IFERROR(INDEX('CAT_ACTIVIDADES'!$D$4:$D$11,MATCH($H875,'CAT_ACTIVIDADES'!$A$4:$A$11,0)),""))=0,(IFERROR(INDEX('CAT_ACTIVIDADES'!$D$4:$D$11,MATCH($H875,'CAT_ACTIVIDADES'!$A$4:$A$11,0)),""))=""),"SIN CLASIFICAR",IFERROR(INDEX('CAT_ACTIVIDADES'!$D$4:$D$11,MATCH($H875,'CAT_ACTIVIDADES'!$A$4:$A$11,0)),"")))</f>
        <v/>
      </c>
      <c r="AO875" s="4" t="n"/>
      <c r="AP875" s="4" t="n"/>
      <c r="AQ875" s="4" t="n"/>
      <c r="AR875" s="5">
        <f>IF($AQ875="","",HYPERLINK(p_ruta_base_checklists&amp;$AQ875,"abrir"))</f>
        <v/>
      </c>
      <c r="AS875" s="4" t="n"/>
      <c r="AT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2" t="n"/>
      <c r="K876" s="5" t="n"/>
      <c r="L876" s="18" t="n"/>
      <c r="M876" s="5">
        <f>IF($A876="","",IFERROR(INDEX('AJUSTES'!$B$4:$B$303,MATCH($AT876,'AJUSTES'!$A$4:$A$303,0)),IF($K876="","",$K876)))</f>
        <v/>
      </c>
      <c r="N876" s="5">
        <f>IF($A876="","",IFERROR(INDEX('CAT_ESTADOS_ERP'!$B$4:$B$7,MATCH(IFERROR(INDEX('2_IMPORTAR_EJECUCION'!$C$9:$C$1208,MATCH($AT876,'2_IMPORTAR_EJECUCION'!$J$9:$J$1208,0)),""),'CAT_ESTADOS_ERP'!$A$4:$A$7,0)),"Pendiente"))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IF($J876="","",$P876&amp;"-"&amp;TEXT($Q876,"00"))</f>
        <v/>
      </c>
      <c r="S876" s="5">
        <f>IF($J876="","",INDEX(lista_dias,WEEKDAY($J876,2)))</f>
        <v/>
      </c>
      <c r="T876" s="5">
        <f>IF($J876="","",IFERROR(INDEX('CALENDARIO'!$C$15:$C$214,MATCH(TEXT($J876,"yyyy-mm-dd")&amp;"|"&amp;$X876&amp;"|"&amp;$Y876,'CALENDARIO'!$G$15:$G$214,0)),IFERROR(INDEX('CALENDARIO'!$C$15:$C$214,MATCH(TEXT($J876,"yyyy-mm-dd")&amp;"|"&amp;$X876&amp;"|",'CALENDARIO'!$G$15:$G$214,0)),IFERROR(INDEX('CALENDARIO'!$C$15:$C$214,MATCH(TEXT($J876,"yyyy-mm-dd")&amp;"||",'CALENDARIO'!$G$15:$G$214,0)),INDEX(patronHabil,WEEKDAY($J876,2))))))</f>
        <v/>
      </c>
      <c r="U876" s="5">
        <f>IF($I876="","",IFERROR(INDEX('CAT_TIPOS_OT'!$C$4:$C$8,MATCH($I876,'CAT_TIPOS_OT'!$A$4:$A$8,0)),"sin_clasificar"))</f>
        <v/>
      </c>
      <c r="V876" s="5">
        <f>IF($I876="","",IF(IFERROR(INDEX('CAT_TIPOS_OT'!$D$4:$D$8,MATCH($I876,'CAT_TIPOS_OT'!$A$4:$A$8,0)),"SIN CLASIFICAR")="","SIN CLASIFICAR",IFERROR(INDEX('CAT_TIPOS_OT'!$D$4:$D$8,MATCH($I876,'CAT_TIPOS_OT'!$A$4:$A$8,0)),"SIN CLASIFICAR")))</f>
        <v/>
      </c>
      <c r="W876" s="5">
        <f>IF($F876="","",IFERROR(INDEX('CAT_CENTROS_COSTO'!$F$4:$F$13,MATCH($F876,'CAT_CENTROS_COSTO'!$A$4:$A$13,0)),"(sin catálogo)"))</f>
        <v/>
      </c>
      <c r="X876" s="5">
        <f>IF($F876="","",IFERROR(INDEX('CAT_CENTROS_COSTO'!$D$4:$D$13,MATCH($F876,'CAT_CENTROS_COSTO'!$A$4:$A$13,0)),"(sin catálogo)"))</f>
        <v/>
      </c>
      <c r="Y876" s="5">
        <f>IF($F876="","",IF((IFERROR(INDEX('CAT_CENTROS_COSTO'!$E$4:$E$13,MATCH($F876,'CAT_CENTROS_COSTO'!$A$4:$A$13,0)),""))&lt;&gt;"",IFERROR(INDEX('CAT_CENTROS_COSTO'!$E$4:$E$13,MATCH($F876,'CAT_CENTROS_COSTO'!$A$4:$A$13,0)),""),$X876))</f>
        <v/>
      </c>
      <c r="Z876" s="5">
        <f>IF($F876="","",IFERROR(INDEX('CAT_CENTROS_COSTO'!$G$4:$G$13,MATCH($F876,'CAT_CENTROS_COSTO'!$A$4:$A$13,0)),"(sin catálogo)"))</f>
        <v/>
      </c>
      <c r="AA876" s="5">
        <f>IF($G876="","",IFERROR(INDEX('CAT_PUESTOS'!$B$4:$B$8,MATCH($G876,'CAT_PUESTOS'!$A$4:$A$8,0)),"(sin catálogo)"))</f>
        <v/>
      </c>
      <c r="AB876" s="5">
        <f>IF($H876="","",IFERROR(INDEX('CAT_ACTIVIDADES'!$B$4:$B$11,MATCH($H876,'CAT_ACTIVIDADES'!$A$4:$A$11,0)),"(sin catálogo)"))</f>
        <v/>
      </c>
      <c r="AC876" s="20">
        <f>IF($J876="","",TODAY()-$J876)</f>
        <v/>
      </c>
      <c r="AD876" s="20">
        <f>IF($J876="","",IF($J876&lt;=TODAY(),COUNTIFS(cal_fechas,"&gt;="&amp;$J876,cal_fechas,"&lt;"&amp;TODAY(),cal_habil,"sí"),-COUNTIFS(cal_fechas,"&gt;="&amp;TODAY(),cal_fechas,"&lt;"&amp;$J876,cal_habil,"sí")))</f>
        <v/>
      </c>
      <c r="AE876" s="5">
        <f>IF($AD876="","",IF($AD876&lt;0,"FUTURO",IF($AD876&gt;p_dias_backlog_max,"BACKLOG","MES CORRIENTE")))</f>
        <v/>
      </c>
      <c r="AF876" s="5">
        <f>IF($AD876="",FALSE,AND($AD876&gt;p_dias_backlog_min,$AD876&lt;=p_dias_backlog_max))</f>
        <v/>
      </c>
      <c r="AG876" s="4" t="n"/>
      <c r="AH876" s="5">
        <f>IF($AG876="","",IF((IFERROR(INDEX('ASIGNACIONES'!$J$4:$J$451,MATCH($O876&amp;"|"&amp;$S876&amp;"|"&amp;$AG876,'ASIGNACIONES'!$N$4:$N$451,0)),""))=0,"",IFERROR(INDEX('ASIGNACIONES'!$J$4:$J$451,MATCH($O876&amp;"|"&amp;$S876&amp;"|"&amp;$AG876,'ASIGNACIONES'!$N$4:$N$451,0)),"")))</f>
        <v/>
      </c>
      <c r="AI876" s="25">
        <f>IF($AG876="","",SUMIFS('ORDENES'!$M$4:$M$1203,'ORDENES'!$AG$4:$AG$1203,$AG876,'ORDENES'!$O$4:$O$1203,$O876,'ORDENES'!$S$4:$S$1203,$S876))</f>
        <v/>
      </c>
      <c r="AJ876" s="25">
        <f>IF($AI876="","",p_factor_productividad*IFERROR(INDEX('ASIGNACIONES'!$M$4:$M$451,MATCH($O876&amp;"|"&amp;$S876&amp;"|"&amp;$AG876,'ASIGNACIONES'!$N$4:$N$451,0)),0)-$AI876)</f>
        <v/>
      </c>
      <c r="AK876" s="18">
        <f>IF($A876="","",IFERROR(INDEX('2_IMPORTAR_EJECUCION'!$F$9:$F$1208,MATCH($AT876,'2_IMPORTAR_EJECUCION'!$J$9:$J$1208,0)),0))</f>
        <v/>
      </c>
      <c r="AL876" s="18">
        <f>IF($A876="","",MAX(0,IFERROR(INDEX('2_IMPORTAR_EJECUCION'!$H$9:$H$1208,MATCH($AT876,'2_IMPORTAR_EJECUCION'!$J$9:$J$1208,0)),0)-$AK876))</f>
        <v/>
      </c>
      <c r="AM876" s="18">
        <f>IF($A876="","",$AK876+$AL876)</f>
        <v/>
      </c>
      <c r="AN876" s="5">
        <f>IF($A876="","",IF(OR((IFERROR(INDEX('CAT_ACTIVIDADES'!$D$4:$D$11,MATCH($H876,'CAT_ACTIVIDADES'!$A$4:$A$11,0)),""))=0,(IFERROR(INDEX('CAT_ACTIVIDADES'!$D$4:$D$11,MATCH($H876,'CAT_ACTIVIDADES'!$A$4:$A$11,0)),""))=""),"SIN CLASIFICAR",IFERROR(INDEX('CAT_ACTIVIDADES'!$D$4:$D$11,MATCH($H876,'CAT_ACTIVIDADES'!$A$4:$A$11,0)),"")))</f>
        <v/>
      </c>
      <c r="AO876" s="4" t="n"/>
      <c r="AP876" s="4" t="n"/>
      <c r="AQ876" s="4" t="n"/>
      <c r="AR876" s="5">
        <f>IF($AQ876="","",HYPERLINK(p_ruta_base_checklists&amp;$AQ876,"abrir"))</f>
        <v/>
      </c>
      <c r="AS876" s="4" t="n"/>
      <c r="AT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2" t="n"/>
      <c r="K877" s="5" t="n"/>
      <c r="L877" s="18" t="n"/>
      <c r="M877" s="5">
        <f>IF($A877="","",IFERROR(INDEX('AJUSTES'!$B$4:$B$303,MATCH($AT877,'AJUSTES'!$A$4:$A$303,0)),IF($K877="","",$K877)))</f>
        <v/>
      </c>
      <c r="N877" s="5">
        <f>IF($A877="","",IFERROR(INDEX('CAT_ESTADOS_ERP'!$B$4:$B$7,MATCH(IFERROR(INDEX('2_IMPORTAR_EJECUCION'!$C$9:$C$1208,MATCH($AT877,'2_IMPORTAR_EJECUCION'!$J$9:$J$1208,0)),""),'CAT_ESTADOS_ERP'!$A$4:$A$7,0)),"Pendiente"))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IF($J877="","",$P877&amp;"-"&amp;TEXT($Q877,"00"))</f>
        <v/>
      </c>
      <c r="S877" s="5">
        <f>IF($J877="","",INDEX(lista_dias,WEEKDAY($J877,2)))</f>
        <v/>
      </c>
      <c r="T877" s="5">
        <f>IF($J877="","",IFERROR(INDEX('CALENDARIO'!$C$15:$C$214,MATCH(TEXT($J877,"yyyy-mm-dd")&amp;"|"&amp;$X877&amp;"|"&amp;$Y877,'CALENDARIO'!$G$15:$G$214,0)),IFERROR(INDEX('CALENDARIO'!$C$15:$C$214,MATCH(TEXT($J877,"yyyy-mm-dd")&amp;"|"&amp;$X877&amp;"|",'CALENDARIO'!$G$15:$G$214,0)),IFERROR(INDEX('CALENDARIO'!$C$15:$C$214,MATCH(TEXT($J877,"yyyy-mm-dd")&amp;"||",'CALENDARIO'!$G$15:$G$214,0)),INDEX(patronHabil,WEEKDAY($J877,2))))))</f>
        <v/>
      </c>
      <c r="U877" s="5">
        <f>IF($I877="","",IFERROR(INDEX('CAT_TIPOS_OT'!$C$4:$C$8,MATCH($I877,'CAT_TIPOS_OT'!$A$4:$A$8,0)),"sin_clasificar"))</f>
        <v/>
      </c>
      <c r="V877" s="5">
        <f>IF($I877="","",IF(IFERROR(INDEX('CAT_TIPOS_OT'!$D$4:$D$8,MATCH($I877,'CAT_TIPOS_OT'!$A$4:$A$8,0)),"SIN CLASIFICAR")="","SIN CLASIFICAR",IFERROR(INDEX('CAT_TIPOS_OT'!$D$4:$D$8,MATCH($I877,'CAT_TIPOS_OT'!$A$4:$A$8,0)),"SIN CLASIFICAR")))</f>
        <v/>
      </c>
      <c r="W877" s="5">
        <f>IF($F877="","",IFERROR(INDEX('CAT_CENTROS_COSTO'!$F$4:$F$13,MATCH($F877,'CAT_CENTROS_COSTO'!$A$4:$A$13,0)),"(sin catálogo)"))</f>
        <v/>
      </c>
      <c r="X877" s="5">
        <f>IF($F877="","",IFERROR(INDEX('CAT_CENTROS_COSTO'!$D$4:$D$13,MATCH($F877,'CAT_CENTROS_COSTO'!$A$4:$A$13,0)),"(sin catálogo)"))</f>
        <v/>
      </c>
      <c r="Y877" s="5">
        <f>IF($F877="","",IF((IFERROR(INDEX('CAT_CENTROS_COSTO'!$E$4:$E$13,MATCH($F877,'CAT_CENTROS_COSTO'!$A$4:$A$13,0)),""))&lt;&gt;"",IFERROR(INDEX('CAT_CENTROS_COSTO'!$E$4:$E$13,MATCH($F877,'CAT_CENTROS_COSTO'!$A$4:$A$13,0)),""),$X877))</f>
        <v/>
      </c>
      <c r="Z877" s="5">
        <f>IF($F877="","",IFERROR(INDEX('CAT_CENTROS_COSTO'!$G$4:$G$13,MATCH($F877,'CAT_CENTROS_COSTO'!$A$4:$A$13,0)),"(sin catálogo)"))</f>
        <v/>
      </c>
      <c r="AA877" s="5">
        <f>IF($G877="","",IFERROR(INDEX('CAT_PUESTOS'!$B$4:$B$8,MATCH($G877,'CAT_PUESTOS'!$A$4:$A$8,0)),"(sin catálogo)"))</f>
        <v/>
      </c>
      <c r="AB877" s="5">
        <f>IF($H877="","",IFERROR(INDEX('CAT_ACTIVIDADES'!$B$4:$B$11,MATCH($H877,'CAT_ACTIVIDADES'!$A$4:$A$11,0)),"(sin catálogo)"))</f>
        <v/>
      </c>
      <c r="AC877" s="20">
        <f>IF($J877="","",TODAY()-$J877)</f>
        <v/>
      </c>
      <c r="AD877" s="20">
        <f>IF($J877="","",IF($J877&lt;=TODAY(),COUNTIFS(cal_fechas,"&gt;="&amp;$J877,cal_fechas,"&lt;"&amp;TODAY(),cal_habil,"sí"),-COUNTIFS(cal_fechas,"&gt;="&amp;TODAY(),cal_fechas,"&lt;"&amp;$J877,cal_habil,"sí")))</f>
        <v/>
      </c>
      <c r="AE877" s="5">
        <f>IF($AD877="","",IF($AD877&lt;0,"FUTURO",IF($AD877&gt;p_dias_backlog_max,"BACKLOG","MES CORRIENTE")))</f>
        <v/>
      </c>
      <c r="AF877" s="5">
        <f>IF($AD877="",FALSE,AND($AD877&gt;p_dias_backlog_min,$AD877&lt;=p_dias_backlog_max))</f>
        <v/>
      </c>
      <c r="AG877" s="4" t="n"/>
      <c r="AH877" s="5">
        <f>IF($AG877="","",IF((IFERROR(INDEX('ASIGNACIONES'!$J$4:$J$451,MATCH($O877&amp;"|"&amp;$S877&amp;"|"&amp;$AG877,'ASIGNACIONES'!$N$4:$N$451,0)),""))=0,"",IFERROR(INDEX('ASIGNACIONES'!$J$4:$J$451,MATCH($O877&amp;"|"&amp;$S877&amp;"|"&amp;$AG877,'ASIGNACIONES'!$N$4:$N$451,0)),"")))</f>
        <v/>
      </c>
      <c r="AI877" s="25">
        <f>IF($AG877="","",SUMIFS('ORDENES'!$M$4:$M$1203,'ORDENES'!$AG$4:$AG$1203,$AG877,'ORDENES'!$O$4:$O$1203,$O877,'ORDENES'!$S$4:$S$1203,$S877))</f>
        <v/>
      </c>
      <c r="AJ877" s="25">
        <f>IF($AI877="","",p_factor_productividad*IFERROR(INDEX('ASIGNACIONES'!$M$4:$M$451,MATCH($O877&amp;"|"&amp;$S877&amp;"|"&amp;$AG877,'ASIGNACIONES'!$N$4:$N$451,0)),0)-$AI877)</f>
        <v/>
      </c>
      <c r="AK877" s="18">
        <f>IF($A877="","",IFERROR(INDEX('2_IMPORTAR_EJECUCION'!$F$9:$F$1208,MATCH($AT877,'2_IMPORTAR_EJECUCION'!$J$9:$J$1208,0)),0))</f>
        <v/>
      </c>
      <c r="AL877" s="18">
        <f>IF($A877="","",MAX(0,IFERROR(INDEX('2_IMPORTAR_EJECUCION'!$H$9:$H$1208,MATCH($AT877,'2_IMPORTAR_EJECUCION'!$J$9:$J$1208,0)),0)-$AK877))</f>
        <v/>
      </c>
      <c r="AM877" s="18">
        <f>IF($A877="","",$AK877+$AL877)</f>
        <v/>
      </c>
      <c r="AN877" s="5">
        <f>IF($A877="","",IF(OR((IFERROR(INDEX('CAT_ACTIVIDADES'!$D$4:$D$11,MATCH($H877,'CAT_ACTIVIDADES'!$A$4:$A$11,0)),""))=0,(IFERROR(INDEX('CAT_ACTIVIDADES'!$D$4:$D$11,MATCH($H877,'CAT_ACTIVIDADES'!$A$4:$A$11,0)),""))=""),"SIN CLASIFICAR",IFERROR(INDEX('CAT_ACTIVIDADES'!$D$4:$D$11,MATCH($H877,'CAT_ACTIVIDADES'!$A$4:$A$11,0)),"")))</f>
        <v/>
      </c>
      <c r="AO877" s="4" t="n"/>
      <c r="AP877" s="4" t="n"/>
      <c r="AQ877" s="4" t="n"/>
      <c r="AR877" s="5">
        <f>IF($AQ877="","",HYPERLINK(p_ruta_base_checklists&amp;$AQ877,"abrir"))</f>
        <v/>
      </c>
      <c r="AS877" s="4" t="n"/>
      <c r="AT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2" t="n"/>
      <c r="K878" s="5" t="n"/>
      <c r="L878" s="18" t="n"/>
      <c r="M878" s="5">
        <f>IF($A878="","",IFERROR(INDEX('AJUSTES'!$B$4:$B$303,MATCH($AT878,'AJUSTES'!$A$4:$A$303,0)),IF($K878="","",$K878)))</f>
        <v/>
      </c>
      <c r="N878" s="5">
        <f>IF($A878="","",IFERROR(INDEX('CAT_ESTADOS_ERP'!$B$4:$B$7,MATCH(IFERROR(INDEX('2_IMPORTAR_EJECUCION'!$C$9:$C$1208,MATCH($AT878,'2_IMPORTAR_EJECUCION'!$J$9:$J$1208,0)),""),'CAT_ESTADOS_ERP'!$A$4:$A$7,0)),"Pendiente"))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IF($J878="","",$P878&amp;"-"&amp;TEXT($Q878,"00"))</f>
        <v/>
      </c>
      <c r="S878" s="5">
        <f>IF($J878="","",INDEX(lista_dias,WEEKDAY($J878,2)))</f>
        <v/>
      </c>
      <c r="T878" s="5">
        <f>IF($J878="","",IFERROR(INDEX('CALENDARIO'!$C$15:$C$214,MATCH(TEXT($J878,"yyyy-mm-dd")&amp;"|"&amp;$X878&amp;"|"&amp;$Y878,'CALENDARIO'!$G$15:$G$214,0)),IFERROR(INDEX('CALENDARIO'!$C$15:$C$214,MATCH(TEXT($J878,"yyyy-mm-dd")&amp;"|"&amp;$X878&amp;"|",'CALENDARIO'!$G$15:$G$214,0)),IFERROR(INDEX('CALENDARIO'!$C$15:$C$214,MATCH(TEXT($J878,"yyyy-mm-dd")&amp;"||",'CALENDARIO'!$G$15:$G$214,0)),INDEX(patronHabil,WEEKDAY($J878,2))))))</f>
        <v/>
      </c>
      <c r="U878" s="5">
        <f>IF($I878="","",IFERROR(INDEX('CAT_TIPOS_OT'!$C$4:$C$8,MATCH($I878,'CAT_TIPOS_OT'!$A$4:$A$8,0)),"sin_clasificar"))</f>
        <v/>
      </c>
      <c r="V878" s="5">
        <f>IF($I878="","",IF(IFERROR(INDEX('CAT_TIPOS_OT'!$D$4:$D$8,MATCH($I878,'CAT_TIPOS_OT'!$A$4:$A$8,0)),"SIN CLASIFICAR")="","SIN CLASIFICAR",IFERROR(INDEX('CAT_TIPOS_OT'!$D$4:$D$8,MATCH($I878,'CAT_TIPOS_OT'!$A$4:$A$8,0)),"SIN CLASIFICAR")))</f>
        <v/>
      </c>
      <c r="W878" s="5">
        <f>IF($F878="","",IFERROR(INDEX('CAT_CENTROS_COSTO'!$F$4:$F$13,MATCH($F878,'CAT_CENTROS_COSTO'!$A$4:$A$13,0)),"(sin catálogo)"))</f>
        <v/>
      </c>
      <c r="X878" s="5">
        <f>IF($F878="","",IFERROR(INDEX('CAT_CENTROS_COSTO'!$D$4:$D$13,MATCH($F878,'CAT_CENTROS_COSTO'!$A$4:$A$13,0)),"(sin catálogo)"))</f>
        <v/>
      </c>
      <c r="Y878" s="5">
        <f>IF($F878="","",IF((IFERROR(INDEX('CAT_CENTROS_COSTO'!$E$4:$E$13,MATCH($F878,'CAT_CENTROS_COSTO'!$A$4:$A$13,0)),""))&lt;&gt;"",IFERROR(INDEX('CAT_CENTROS_COSTO'!$E$4:$E$13,MATCH($F878,'CAT_CENTROS_COSTO'!$A$4:$A$13,0)),""),$X878))</f>
        <v/>
      </c>
      <c r="Z878" s="5">
        <f>IF($F878="","",IFERROR(INDEX('CAT_CENTROS_COSTO'!$G$4:$G$13,MATCH($F878,'CAT_CENTROS_COSTO'!$A$4:$A$13,0)),"(sin catálogo)"))</f>
        <v/>
      </c>
      <c r="AA878" s="5">
        <f>IF($G878="","",IFERROR(INDEX('CAT_PUESTOS'!$B$4:$B$8,MATCH($G878,'CAT_PUESTOS'!$A$4:$A$8,0)),"(sin catálogo)"))</f>
        <v/>
      </c>
      <c r="AB878" s="5">
        <f>IF($H878="","",IFERROR(INDEX('CAT_ACTIVIDADES'!$B$4:$B$11,MATCH($H878,'CAT_ACTIVIDADES'!$A$4:$A$11,0)),"(sin catálogo)"))</f>
        <v/>
      </c>
      <c r="AC878" s="20">
        <f>IF($J878="","",TODAY()-$J878)</f>
        <v/>
      </c>
      <c r="AD878" s="20">
        <f>IF($J878="","",IF($J878&lt;=TODAY(),COUNTIFS(cal_fechas,"&gt;="&amp;$J878,cal_fechas,"&lt;"&amp;TODAY(),cal_habil,"sí"),-COUNTIFS(cal_fechas,"&gt;="&amp;TODAY(),cal_fechas,"&lt;"&amp;$J878,cal_habil,"sí")))</f>
        <v/>
      </c>
      <c r="AE878" s="5">
        <f>IF($AD878="","",IF($AD878&lt;0,"FUTURO",IF($AD878&gt;p_dias_backlog_max,"BACKLOG","MES CORRIENTE")))</f>
        <v/>
      </c>
      <c r="AF878" s="5">
        <f>IF($AD878="",FALSE,AND($AD878&gt;p_dias_backlog_min,$AD878&lt;=p_dias_backlog_max))</f>
        <v/>
      </c>
      <c r="AG878" s="4" t="n"/>
      <c r="AH878" s="5">
        <f>IF($AG878="","",IF((IFERROR(INDEX('ASIGNACIONES'!$J$4:$J$451,MATCH($O878&amp;"|"&amp;$S878&amp;"|"&amp;$AG878,'ASIGNACIONES'!$N$4:$N$451,0)),""))=0,"",IFERROR(INDEX('ASIGNACIONES'!$J$4:$J$451,MATCH($O878&amp;"|"&amp;$S878&amp;"|"&amp;$AG878,'ASIGNACIONES'!$N$4:$N$451,0)),"")))</f>
        <v/>
      </c>
      <c r="AI878" s="25">
        <f>IF($AG878="","",SUMIFS('ORDENES'!$M$4:$M$1203,'ORDENES'!$AG$4:$AG$1203,$AG878,'ORDENES'!$O$4:$O$1203,$O878,'ORDENES'!$S$4:$S$1203,$S878))</f>
        <v/>
      </c>
      <c r="AJ878" s="25">
        <f>IF($AI878="","",p_factor_productividad*IFERROR(INDEX('ASIGNACIONES'!$M$4:$M$451,MATCH($O878&amp;"|"&amp;$S878&amp;"|"&amp;$AG878,'ASIGNACIONES'!$N$4:$N$451,0)),0)-$AI878)</f>
        <v/>
      </c>
      <c r="AK878" s="18">
        <f>IF($A878="","",IFERROR(INDEX('2_IMPORTAR_EJECUCION'!$F$9:$F$1208,MATCH($AT878,'2_IMPORTAR_EJECUCION'!$J$9:$J$1208,0)),0))</f>
        <v/>
      </c>
      <c r="AL878" s="18">
        <f>IF($A878="","",MAX(0,IFERROR(INDEX('2_IMPORTAR_EJECUCION'!$H$9:$H$1208,MATCH($AT878,'2_IMPORTAR_EJECUCION'!$J$9:$J$1208,0)),0)-$AK878))</f>
        <v/>
      </c>
      <c r="AM878" s="18">
        <f>IF($A878="","",$AK878+$AL878)</f>
        <v/>
      </c>
      <c r="AN878" s="5">
        <f>IF($A878="","",IF(OR((IFERROR(INDEX('CAT_ACTIVIDADES'!$D$4:$D$11,MATCH($H878,'CAT_ACTIVIDADES'!$A$4:$A$11,0)),""))=0,(IFERROR(INDEX('CAT_ACTIVIDADES'!$D$4:$D$11,MATCH($H878,'CAT_ACTIVIDADES'!$A$4:$A$11,0)),""))=""),"SIN CLASIFICAR",IFERROR(INDEX('CAT_ACTIVIDADES'!$D$4:$D$11,MATCH($H878,'CAT_ACTIVIDADES'!$A$4:$A$11,0)),"")))</f>
        <v/>
      </c>
      <c r="AO878" s="4" t="n"/>
      <c r="AP878" s="4" t="n"/>
      <c r="AQ878" s="4" t="n"/>
      <c r="AR878" s="5">
        <f>IF($AQ878="","",HYPERLINK(p_ruta_base_checklists&amp;$AQ878,"abrir"))</f>
        <v/>
      </c>
      <c r="AS878" s="4" t="n"/>
      <c r="AT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2" t="n"/>
      <c r="K879" s="5" t="n"/>
      <c r="L879" s="18" t="n"/>
      <c r="M879" s="5">
        <f>IF($A879="","",IFERROR(INDEX('AJUSTES'!$B$4:$B$303,MATCH($AT879,'AJUSTES'!$A$4:$A$303,0)),IF($K879="","",$K879)))</f>
        <v/>
      </c>
      <c r="N879" s="5">
        <f>IF($A879="","",IFERROR(INDEX('CAT_ESTADOS_ERP'!$B$4:$B$7,MATCH(IFERROR(INDEX('2_IMPORTAR_EJECUCION'!$C$9:$C$1208,MATCH($AT879,'2_IMPORTAR_EJECUCION'!$J$9:$J$1208,0)),""),'CAT_ESTADOS_ERP'!$A$4:$A$7,0)),"Pendiente"))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IF($J879="","",$P879&amp;"-"&amp;TEXT($Q879,"00"))</f>
        <v/>
      </c>
      <c r="S879" s="5">
        <f>IF($J879="","",INDEX(lista_dias,WEEKDAY($J879,2)))</f>
        <v/>
      </c>
      <c r="T879" s="5">
        <f>IF($J879="","",IFERROR(INDEX('CALENDARIO'!$C$15:$C$214,MATCH(TEXT($J879,"yyyy-mm-dd")&amp;"|"&amp;$X879&amp;"|"&amp;$Y879,'CALENDARIO'!$G$15:$G$214,0)),IFERROR(INDEX('CALENDARIO'!$C$15:$C$214,MATCH(TEXT($J879,"yyyy-mm-dd")&amp;"|"&amp;$X879&amp;"|",'CALENDARIO'!$G$15:$G$214,0)),IFERROR(INDEX('CALENDARIO'!$C$15:$C$214,MATCH(TEXT($J879,"yyyy-mm-dd")&amp;"||",'CALENDARIO'!$G$15:$G$214,0)),INDEX(patronHabil,WEEKDAY($J879,2))))))</f>
        <v/>
      </c>
      <c r="U879" s="5">
        <f>IF($I879="","",IFERROR(INDEX('CAT_TIPOS_OT'!$C$4:$C$8,MATCH($I879,'CAT_TIPOS_OT'!$A$4:$A$8,0)),"sin_clasificar"))</f>
        <v/>
      </c>
      <c r="V879" s="5">
        <f>IF($I879="","",IF(IFERROR(INDEX('CAT_TIPOS_OT'!$D$4:$D$8,MATCH($I879,'CAT_TIPOS_OT'!$A$4:$A$8,0)),"SIN CLASIFICAR")="","SIN CLASIFICAR",IFERROR(INDEX('CAT_TIPOS_OT'!$D$4:$D$8,MATCH($I879,'CAT_TIPOS_OT'!$A$4:$A$8,0)),"SIN CLASIFICAR")))</f>
        <v/>
      </c>
      <c r="W879" s="5">
        <f>IF($F879="","",IFERROR(INDEX('CAT_CENTROS_COSTO'!$F$4:$F$13,MATCH($F879,'CAT_CENTROS_COSTO'!$A$4:$A$13,0)),"(sin catálogo)"))</f>
        <v/>
      </c>
      <c r="X879" s="5">
        <f>IF($F879="","",IFERROR(INDEX('CAT_CENTROS_COSTO'!$D$4:$D$13,MATCH($F879,'CAT_CENTROS_COSTO'!$A$4:$A$13,0)),"(sin catálogo)"))</f>
        <v/>
      </c>
      <c r="Y879" s="5">
        <f>IF($F879="","",IF((IFERROR(INDEX('CAT_CENTROS_COSTO'!$E$4:$E$13,MATCH($F879,'CAT_CENTROS_COSTO'!$A$4:$A$13,0)),""))&lt;&gt;"",IFERROR(INDEX('CAT_CENTROS_COSTO'!$E$4:$E$13,MATCH($F879,'CAT_CENTROS_COSTO'!$A$4:$A$13,0)),""),$X879))</f>
        <v/>
      </c>
      <c r="Z879" s="5">
        <f>IF($F879="","",IFERROR(INDEX('CAT_CENTROS_COSTO'!$G$4:$G$13,MATCH($F879,'CAT_CENTROS_COSTO'!$A$4:$A$13,0)),"(sin catálogo)"))</f>
        <v/>
      </c>
      <c r="AA879" s="5">
        <f>IF($G879="","",IFERROR(INDEX('CAT_PUESTOS'!$B$4:$B$8,MATCH($G879,'CAT_PUESTOS'!$A$4:$A$8,0)),"(sin catálogo)"))</f>
        <v/>
      </c>
      <c r="AB879" s="5">
        <f>IF($H879="","",IFERROR(INDEX('CAT_ACTIVIDADES'!$B$4:$B$11,MATCH($H879,'CAT_ACTIVIDADES'!$A$4:$A$11,0)),"(sin catálogo)"))</f>
        <v/>
      </c>
      <c r="AC879" s="20">
        <f>IF($J879="","",TODAY()-$J879)</f>
        <v/>
      </c>
      <c r="AD879" s="20">
        <f>IF($J879="","",IF($J879&lt;=TODAY(),COUNTIFS(cal_fechas,"&gt;="&amp;$J879,cal_fechas,"&lt;"&amp;TODAY(),cal_habil,"sí"),-COUNTIFS(cal_fechas,"&gt;="&amp;TODAY(),cal_fechas,"&lt;"&amp;$J879,cal_habil,"sí")))</f>
        <v/>
      </c>
      <c r="AE879" s="5">
        <f>IF($AD879="","",IF($AD879&lt;0,"FUTURO",IF($AD879&gt;p_dias_backlog_max,"BACKLOG","MES CORRIENTE")))</f>
        <v/>
      </c>
      <c r="AF879" s="5">
        <f>IF($AD879="",FALSE,AND($AD879&gt;p_dias_backlog_min,$AD879&lt;=p_dias_backlog_max))</f>
        <v/>
      </c>
      <c r="AG879" s="4" t="n"/>
      <c r="AH879" s="5">
        <f>IF($AG879="","",IF((IFERROR(INDEX('ASIGNACIONES'!$J$4:$J$451,MATCH($O879&amp;"|"&amp;$S879&amp;"|"&amp;$AG879,'ASIGNACIONES'!$N$4:$N$451,0)),""))=0,"",IFERROR(INDEX('ASIGNACIONES'!$J$4:$J$451,MATCH($O879&amp;"|"&amp;$S879&amp;"|"&amp;$AG879,'ASIGNACIONES'!$N$4:$N$451,0)),"")))</f>
        <v/>
      </c>
      <c r="AI879" s="25">
        <f>IF($AG879="","",SUMIFS('ORDENES'!$M$4:$M$1203,'ORDENES'!$AG$4:$AG$1203,$AG879,'ORDENES'!$O$4:$O$1203,$O879,'ORDENES'!$S$4:$S$1203,$S879))</f>
        <v/>
      </c>
      <c r="AJ879" s="25">
        <f>IF($AI879="","",p_factor_productividad*IFERROR(INDEX('ASIGNACIONES'!$M$4:$M$451,MATCH($O879&amp;"|"&amp;$S879&amp;"|"&amp;$AG879,'ASIGNACIONES'!$N$4:$N$451,0)),0)-$AI879)</f>
        <v/>
      </c>
      <c r="AK879" s="18">
        <f>IF($A879="","",IFERROR(INDEX('2_IMPORTAR_EJECUCION'!$F$9:$F$1208,MATCH($AT879,'2_IMPORTAR_EJECUCION'!$J$9:$J$1208,0)),0))</f>
        <v/>
      </c>
      <c r="AL879" s="18">
        <f>IF($A879="","",MAX(0,IFERROR(INDEX('2_IMPORTAR_EJECUCION'!$H$9:$H$1208,MATCH($AT879,'2_IMPORTAR_EJECUCION'!$J$9:$J$1208,0)),0)-$AK879))</f>
        <v/>
      </c>
      <c r="AM879" s="18">
        <f>IF($A879="","",$AK879+$AL879)</f>
        <v/>
      </c>
      <c r="AN879" s="5">
        <f>IF($A879="","",IF(OR((IFERROR(INDEX('CAT_ACTIVIDADES'!$D$4:$D$11,MATCH($H879,'CAT_ACTIVIDADES'!$A$4:$A$11,0)),""))=0,(IFERROR(INDEX('CAT_ACTIVIDADES'!$D$4:$D$11,MATCH($H879,'CAT_ACTIVIDADES'!$A$4:$A$11,0)),""))=""),"SIN CLASIFICAR",IFERROR(INDEX('CAT_ACTIVIDADES'!$D$4:$D$11,MATCH($H879,'CAT_ACTIVIDADES'!$A$4:$A$11,0)),"")))</f>
        <v/>
      </c>
      <c r="AO879" s="4" t="n"/>
      <c r="AP879" s="4" t="n"/>
      <c r="AQ879" s="4" t="n"/>
      <c r="AR879" s="5">
        <f>IF($AQ879="","",HYPERLINK(p_ruta_base_checklists&amp;$AQ879,"abrir"))</f>
        <v/>
      </c>
      <c r="AS879" s="4" t="n"/>
      <c r="AT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2" t="n"/>
      <c r="K880" s="5" t="n"/>
      <c r="L880" s="18" t="n"/>
      <c r="M880" s="5">
        <f>IF($A880="","",IFERROR(INDEX('AJUSTES'!$B$4:$B$303,MATCH($AT880,'AJUSTES'!$A$4:$A$303,0)),IF($K880="","",$K880)))</f>
        <v/>
      </c>
      <c r="N880" s="5">
        <f>IF($A880="","",IFERROR(INDEX('CAT_ESTADOS_ERP'!$B$4:$B$7,MATCH(IFERROR(INDEX('2_IMPORTAR_EJECUCION'!$C$9:$C$1208,MATCH($AT880,'2_IMPORTAR_EJECUCION'!$J$9:$J$1208,0)),""),'CAT_ESTADOS_ERP'!$A$4:$A$7,0)),"Pendiente"))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IF($J880="","",$P880&amp;"-"&amp;TEXT($Q880,"00"))</f>
        <v/>
      </c>
      <c r="S880" s="5">
        <f>IF($J880="","",INDEX(lista_dias,WEEKDAY($J880,2)))</f>
        <v/>
      </c>
      <c r="T880" s="5">
        <f>IF($J880="","",IFERROR(INDEX('CALENDARIO'!$C$15:$C$214,MATCH(TEXT($J880,"yyyy-mm-dd")&amp;"|"&amp;$X880&amp;"|"&amp;$Y880,'CALENDARIO'!$G$15:$G$214,0)),IFERROR(INDEX('CALENDARIO'!$C$15:$C$214,MATCH(TEXT($J880,"yyyy-mm-dd")&amp;"|"&amp;$X880&amp;"|",'CALENDARIO'!$G$15:$G$214,0)),IFERROR(INDEX('CALENDARIO'!$C$15:$C$214,MATCH(TEXT($J880,"yyyy-mm-dd")&amp;"||",'CALENDARIO'!$G$15:$G$214,0)),INDEX(patronHabil,WEEKDAY($J880,2))))))</f>
        <v/>
      </c>
      <c r="U880" s="5">
        <f>IF($I880="","",IFERROR(INDEX('CAT_TIPOS_OT'!$C$4:$C$8,MATCH($I880,'CAT_TIPOS_OT'!$A$4:$A$8,0)),"sin_clasificar"))</f>
        <v/>
      </c>
      <c r="V880" s="5">
        <f>IF($I880="","",IF(IFERROR(INDEX('CAT_TIPOS_OT'!$D$4:$D$8,MATCH($I880,'CAT_TIPOS_OT'!$A$4:$A$8,0)),"SIN CLASIFICAR")="","SIN CLASIFICAR",IFERROR(INDEX('CAT_TIPOS_OT'!$D$4:$D$8,MATCH($I880,'CAT_TIPOS_OT'!$A$4:$A$8,0)),"SIN CLASIFICAR")))</f>
        <v/>
      </c>
      <c r="W880" s="5">
        <f>IF($F880="","",IFERROR(INDEX('CAT_CENTROS_COSTO'!$F$4:$F$13,MATCH($F880,'CAT_CENTROS_COSTO'!$A$4:$A$13,0)),"(sin catálogo)"))</f>
        <v/>
      </c>
      <c r="X880" s="5">
        <f>IF($F880="","",IFERROR(INDEX('CAT_CENTROS_COSTO'!$D$4:$D$13,MATCH($F880,'CAT_CENTROS_COSTO'!$A$4:$A$13,0)),"(sin catálogo)"))</f>
        <v/>
      </c>
      <c r="Y880" s="5">
        <f>IF($F880="","",IF((IFERROR(INDEX('CAT_CENTROS_COSTO'!$E$4:$E$13,MATCH($F880,'CAT_CENTROS_COSTO'!$A$4:$A$13,0)),""))&lt;&gt;"",IFERROR(INDEX('CAT_CENTROS_COSTO'!$E$4:$E$13,MATCH($F880,'CAT_CENTROS_COSTO'!$A$4:$A$13,0)),""),$X880))</f>
        <v/>
      </c>
      <c r="Z880" s="5">
        <f>IF($F880="","",IFERROR(INDEX('CAT_CENTROS_COSTO'!$G$4:$G$13,MATCH($F880,'CAT_CENTROS_COSTO'!$A$4:$A$13,0)),"(sin catálogo)"))</f>
        <v/>
      </c>
      <c r="AA880" s="5">
        <f>IF($G880="","",IFERROR(INDEX('CAT_PUESTOS'!$B$4:$B$8,MATCH($G880,'CAT_PUESTOS'!$A$4:$A$8,0)),"(sin catálogo)"))</f>
        <v/>
      </c>
      <c r="AB880" s="5">
        <f>IF($H880="","",IFERROR(INDEX('CAT_ACTIVIDADES'!$B$4:$B$11,MATCH($H880,'CAT_ACTIVIDADES'!$A$4:$A$11,0)),"(sin catálogo)"))</f>
        <v/>
      </c>
      <c r="AC880" s="20">
        <f>IF($J880="","",TODAY()-$J880)</f>
        <v/>
      </c>
      <c r="AD880" s="20">
        <f>IF($J880="","",IF($J880&lt;=TODAY(),COUNTIFS(cal_fechas,"&gt;="&amp;$J880,cal_fechas,"&lt;"&amp;TODAY(),cal_habil,"sí"),-COUNTIFS(cal_fechas,"&gt;="&amp;TODAY(),cal_fechas,"&lt;"&amp;$J880,cal_habil,"sí")))</f>
        <v/>
      </c>
      <c r="AE880" s="5">
        <f>IF($AD880="","",IF($AD880&lt;0,"FUTURO",IF($AD880&gt;p_dias_backlog_max,"BACKLOG","MES CORRIENTE")))</f>
        <v/>
      </c>
      <c r="AF880" s="5">
        <f>IF($AD880="",FALSE,AND($AD880&gt;p_dias_backlog_min,$AD880&lt;=p_dias_backlog_max))</f>
        <v/>
      </c>
      <c r="AG880" s="4" t="n"/>
      <c r="AH880" s="5">
        <f>IF($AG880="","",IF((IFERROR(INDEX('ASIGNACIONES'!$J$4:$J$451,MATCH($O880&amp;"|"&amp;$S880&amp;"|"&amp;$AG880,'ASIGNACIONES'!$N$4:$N$451,0)),""))=0,"",IFERROR(INDEX('ASIGNACIONES'!$J$4:$J$451,MATCH($O880&amp;"|"&amp;$S880&amp;"|"&amp;$AG880,'ASIGNACIONES'!$N$4:$N$451,0)),"")))</f>
        <v/>
      </c>
      <c r="AI880" s="25">
        <f>IF($AG880="","",SUMIFS('ORDENES'!$M$4:$M$1203,'ORDENES'!$AG$4:$AG$1203,$AG880,'ORDENES'!$O$4:$O$1203,$O880,'ORDENES'!$S$4:$S$1203,$S880))</f>
        <v/>
      </c>
      <c r="AJ880" s="25">
        <f>IF($AI880="","",p_factor_productividad*IFERROR(INDEX('ASIGNACIONES'!$M$4:$M$451,MATCH($O880&amp;"|"&amp;$S880&amp;"|"&amp;$AG880,'ASIGNACIONES'!$N$4:$N$451,0)),0)-$AI880)</f>
        <v/>
      </c>
      <c r="AK880" s="18">
        <f>IF($A880="","",IFERROR(INDEX('2_IMPORTAR_EJECUCION'!$F$9:$F$1208,MATCH($AT880,'2_IMPORTAR_EJECUCION'!$J$9:$J$1208,0)),0))</f>
        <v/>
      </c>
      <c r="AL880" s="18">
        <f>IF($A880="","",MAX(0,IFERROR(INDEX('2_IMPORTAR_EJECUCION'!$H$9:$H$1208,MATCH($AT880,'2_IMPORTAR_EJECUCION'!$J$9:$J$1208,0)),0)-$AK880))</f>
        <v/>
      </c>
      <c r="AM880" s="18">
        <f>IF($A880="","",$AK880+$AL880)</f>
        <v/>
      </c>
      <c r="AN880" s="5">
        <f>IF($A880="","",IF(OR((IFERROR(INDEX('CAT_ACTIVIDADES'!$D$4:$D$11,MATCH($H880,'CAT_ACTIVIDADES'!$A$4:$A$11,0)),""))=0,(IFERROR(INDEX('CAT_ACTIVIDADES'!$D$4:$D$11,MATCH($H880,'CAT_ACTIVIDADES'!$A$4:$A$11,0)),""))=""),"SIN CLASIFICAR",IFERROR(INDEX('CAT_ACTIVIDADES'!$D$4:$D$11,MATCH($H880,'CAT_ACTIVIDADES'!$A$4:$A$11,0)),"")))</f>
        <v/>
      </c>
      <c r="AO880" s="4" t="n"/>
      <c r="AP880" s="4" t="n"/>
      <c r="AQ880" s="4" t="n"/>
      <c r="AR880" s="5">
        <f>IF($AQ880="","",HYPERLINK(p_ruta_base_checklists&amp;$AQ880,"abrir"))</f>
        <v/>
      </c>
      <c r="AS880" s="4" t="n"/>
      <c r="AT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2" t="n"/>
      <c r="K881" s="5" t="n"/>
      <c r="L881" s="18" t="n"/>
      <c r="M881" s="5">
        <f>IF($A881="","",IFERROR(INDEX('AJUSTES'!$B$4:$B$303,MATCH($AT881,'AJUSTES'!$A$4:$A$303,0)),IF($K881="","",$K881)))</f>
        <v/>
      </c>
      <c r="N881" s="5">
        <f>IF($A881="","",IFERROR(INDEX('CAT_ESTADOS_ERP'!$B$4:$B$7,MATCH(IFERROR(INDEX('2_IMPORTAR_EJECUCION'!$C$9:$C$1208,MATCH($AT881,'2_IMPORTAR_EJECUCION'!$J$9:$J$1208,0)),""),'CAT_ESTADOS_ERP'!$A$4:$A$7,0)),"Pendiente"))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IF($J881="","",$P881&amp;"-"&amp;TEXT($Q881,"00"))</f>
        <v/>
      </c>
      <c r="S881" s="5">
        <f>IF($J881="","",INDEX(lista_dias,WEEKDAY($J881,2)))</f>
        <v/>
      </c>
      <c r="T881" s="5">
        <f>IF($J881="","",IFERROR(INDEX('CALENDARIO'!$C$15:$C$214,MATCH(TEXT($J881,"yyyy-mm-dd")&amp;"|"&amp;$X881&amp;"|"&amp;$Y881,'CALENDARIO'!$G$15:$G$214,0)),IFERROR(INDEX('CALENDARIO'!$C$15:$C$214,MATCH(TEXT($J881,"yyyy-mm-dd")&amp;"|"&amp;$X881&amp;"|",'CALENDARIO'!$G$15:$G$214,0)),IFERROR(INDEX('CALENDARIO'!$C$15:$C$214,MATCH(TEXT($J881,"yyyy-mm-dd")&amp;"||",'CALENDARIO'!$G$15:$G$214,0)),INDEX(patronHabil,WEEKDAY($J881,2))))))</f>
        <v/>
      </c>
      <c r="U881" s="5">
        <f>IF($I881="","",IFERROR(INDEX('CAT_TIPOS_OT'!$C$4:$C$8,MATCH($I881,'CAT_TIPOS_OT'!$A$4:$A$8,0)),"sin_clasificar"))</f>
        <v/>
      </c>
      <c r="V881" s="5">
        <f>IF($I881="","",IF(IFERROR(INDEX('CAT_TIPOS_OT'!$D$4:$D$8,MATCH($I881,'CAT_TIPOS_OT'!$A$4:$A$8,0)),"SIN CLASIFICAR")="","SIN CLASIFICAR",IFERROR(INDEX('CAT_TIPOS_OT'!$D$4:$D$8,MATCH($I881,'CAT_TIPOS_OT'!$A$4:$A$8,0)),"SIN CLASIFICAR")))</f>
        <v/>
      </c>
      <c r="W881" s="5">
        <f>IF($F881="","",IFERROR(INDEX('CAT_CENTROS_COSTO'!$F$4:$F$13,MATCH($F881,'CAT_CENTROS_COSTO'!$A$4:$A$13,0)),"(sin catálogo)"))</f>
        <v/>
      </c>
      <c r="X881" s="5">
        <f>IF($F881="","",IFERROR(INDEX('CAT_CENTROS_COSTO'!$D$4:$D$13,MATCH($F881,'CAT_CENTROS_COSTO'!$A$4:$A$13,0)),"(sin catálogo)"))</f>
        <v/>
      </c>
      <c r="Y881" s="5">
        <f>IF($F881="","",IF((IFERROR(INDEX('CAT_CENTROS_COSTO'!$E$4:$E$13,MATCH($F881,'CAT_CENTROS_COSTO'!$A$4:$A$13,0)),""))&lt;&gt;"",IFERROR(INDEX('CAT_CENTROS_COSTO'!$E$4:$E$13,MATCH($F881,'CAT_CENTROS_COSTO'!$A$4:$A$13,0)),""),$X881))</f>
        <v/>
      </c>
      <c r="Z881" s="5">
        <f>IF($F881="","",IFERROR(INDEX('CAT_CENTROS_COSTO'!$G$4:$G$13,MATCH($F881,'CAT_CENTROS_COSTO'!$A$4:$A$13,0)),"(sin catálogo)"))</f>
        <v/>
      </c>
      <c r="AA881" s="5">
        <f>IF($G881="","",IFERROR(INDEX('CAT_PUESTOS'!$B$4:$B$8,MATCH($G881,'CAT_PUESTOS'!$A$4:$A$8,0)),"(sin catálogo)"))</f>
        <v/>
      </c>
      <c r="AB881" s="5">
        <f>IF($H881="","",IFERROR(INDEX('CAT_ACTIVIDADES'!$B$4:$B$11,MATCH($H881,'CAT_ACTIVIDADES'!$A$4:$A$11,0)),"(sin catálogo)"))</f>
        <v/>
      </c>
      <c r="AC881" s="20">
        <f>IF($J881="","",TODAY()-$J881)</f>
        <v/>
      </c>
      <c r="AD881" s="20">
        <f>IF($J881="","",IF($J881&lt;=TODAY(),COUNTIFS(cal_fechas,"&gt;="&amp;$J881,cal_fechas,"&lt;"&amp;TODAY(),cal_habil,"sí"),-COUNTIFS(cal_fechas,"&gt;="&amp;TODAY(),cal_fechas,"&lt;"&amp;$J881,cal_habil,"sí")))</f>
        <v/>
      </c>
      <c r="AE881" s="5">
        <f>IF($AD881="","",IF($AD881&lt;0,"FUTURO",IF($AD881&gt;p_dias_backlog_max,"BACKLOG","MES CORRIENTE")))</f>
        <v/>
      </c>
      <c r="AF881" s="5">
        <f>IF($AD881="",FALSE,AND($AD881&gt;p_dias_backlog_min,$AD881&lt;=p_dias_backlog_max))</f>
        <v/>
      </c>
      <c r="AG881" s="4" t="n"/>
      <c r="AH881" s="5">
        <f>IF($AG881="","",IF((IFERROR(INDEX('ASIGNACIONES'!$J$4:$J$451,MATCH($O881&amp;"|"&amp;$S881&amp;"|"&amp;$AG881,'ASIGNACIONES'!$N$4:$N$451,0)),""))=0,"",IFERROR(INDEX('ASIGNACIONES'!$J$4:$J$451,MATCH($O881&amp;"|"&amp;$S881&amp;"|"&amp;$AG881,'ASIGNACIONES'!$N$4:$N$451,0)),"")))</f>
        <v/>
      </c>
      <c r="AI881" s="25">
        <f>IF($AG881="","",SUMIFS('ORDENES'!$M$4:$M$1203,'ORDENES'!$AG$4:$AG$1203,$AG881,'ORDENES'!$O$4:$O$1203,$O881,'ORDENES'!$S$4:$S$1203,$S881))</f>
        <v/>
      </c>
      <c r="AJ881" s="25">
        <f>IF($AI881="","",p_factor_productividad*IFERROR(INDEX('ASIGNACIONES'!$M$4:$M$451,MATCH($O881&amp;"|"&amp;$S881&amp;"|"&amp;$AG881,'ASIGNACIONES'!$N$4:$N$451,0)),0)-$AI881)</f>
        <v/>
      </c>
      <c r="AK881" s="18">
        <f>IF($A881="","",IFERROR(INDEX('2_IMPORTAR_EJECUCION'!$F$9:$F$1208,MATCH($AT881,'2_IMPORTAR_EJECUCION'!$J$9:$J$1208,0)),0))</f>
        <v/>
      </c>
      <c r="AL881" s="18">
        <f>IF($A881="","",MAX(0,IFERROR(INDEX('2_IMPORTAR_EJECUCION'!$H$9:$H$1208,MATCH($AT881,'2_IMPORTAR_EJECUCION'!$J$9:$J$1208,0)),0)-$AK881))</f>
        <v/>
      </c>
      <c r="AM881" s="18">
        <f>IF($A881="","",$AK881+$AL881)</f>
        <v/>
      </c>
      <c r="AN881" s="5">
        <f>IF($A881="","",IF(OR((IFERROR(INDEX('CAT_ACTIVIDADES'!$D$4:$D$11,MATCH($H881,'CAT_ACTIVIDADES'!$A$4:$A$11,0)),""))=0,(IFERROR(INDEX('CAT_ACTIVIDADES'!$D$4:$D$11,MATCH($H881,'CAT_ACTIVIDADES'!$A$4:$A$11,0)),""))=""),"SIN CLASIFICAR",IFERROR(INDEX('CAT_ACTIVIDADES'!$D$4:$D$11,MATCH($H881,'CAT_ACTIVIDADES'!$A$4:$A$11,0)),"")))</f>
        <v/>
      </c>
      <c r="AO881" s="4" t="n"/>
      <c r="AP881" s="4" t="n"/>
      <c r="AQ881" s="4" t="n"/>
      <c r="AR881" s="5">
        <f>IF($AQ881="","",HYPERLINK(p_ruta_base_checklists&amp;$AQ881,"abrir"))</f>
        <v/>
      </c>
      <c r="AS881" s="4" t="n"/>
      <c r="AT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2" t="n"/>
      <c r="K882" s="5" t="n"/>
      <c r="L882" s="18" t="n"/>
      <c r="M882" s="5">
        <f>IF($A882="","",IFERROR(INDEX('AJUSTES'!$B$4:$B$303,MATCH($AT882,'AJUSTES'!$A$4:$A$303,0)),IF($K882="","",$K882)))</f>
        <v/>
      </c>
      <c r="N882" s="5">
        <f>IF($A882="","",IFERROR(INDEX('CAT_ESTADOS_ERP'!$B$4:$B$7,MATCH(IFERROR(INDEX('2_IMPORTAR_EJECUCION'!$C$9:$C$1208,MATCH($AT882,'2_IMPORTAR_EJECUCION'!$J$9:$J$1208,0)),""),'CAT_ESTADOS_ERP'!$A$4:$A$7,0)),"Pendiente"))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IF($J882="","",$P882&amp;"-"&amp;TEXT($Q882,"00"))</f>
        <v/>
      </c>
      <c r="S882" s="5">
        <f>IF($J882="","",INDEX(lista_dias,WEEKDAY($J882,2)))</f>
        <v/>
      </c>
      <c r="T882" s="5">
        <f>IF($J882="","",IFERROR(INDEX('CALENDARIO'!$C$15:$C$214,MATCH(TEXT($J882,"yyyy-mm-dd")&amp;"|"&amp;$X882&amp;"|"&amp;$Y882,'CALENDARIO'!$G$15:$G$214,0)),IFERROR(INDEX('CALENDARIO'!$C$15:$C$214,MATCH(TEXT($J882,"yyyy-mm-dd")&amp;"|"&amp;$X882&amp;"|",'CALENDARIO'!$G$15:$G$214,0)),IFERROR(INDEX('CALENDARIO'!$C$15:$C$214,MATCH(TEXT($J882,"yyyy-mm-dd")&amp;"||",'CALENDARIO'!$G$15:$G$214,0)),INDEX(patronHabil,WEEKDAY($J882,2))))))</f>
        <v/>
      </c>
      <c r="U882" s="5">
        <f>IF($I882="","",IFERROR(INDEX('CAT_TIPOS_OT'!$C$4:$C$8,MATCH($I882,'CAT_TIPOS_OT'!$A$4:$A$8,0)),"sin_clasificar"))</f>
        <v/>
      </c>
      <c r="V882" s="5">
        <f>IF($I882="","",IF(IFERROR(INDEX('CAT_TIPOS_OT'!$D$4:$D$8,MATCH($I882,'CAT_TIPOS_OT'!$A$4:$A$8,0)),"SIN CLASIFICAR")="","SIN CLASIFICAR",IFERROR(INDEX('CAT_TIPOS_OT'!$D$4:$D$8,MATCH($I882,'CAT_TIPOS_OT'!$A$4:$A$8,0)),"SIN CLASIFICAR")))</f>
        <v/>
      </c>
      <c r="W882" s="5">
        <f>IF($F882="","",IFERROR(INDEX('CAT_CENTROS_COSTO'!$F$4:$F$13,MATCH($F882,'CAT_CENTROS_COSTO'!$A$4:$A$13,0)),"(sin catálogo)"))</f>
        <v/>
      </c>
      <c r="X882" s="5">
        <f>IF($F882="","",IFERROR(INDEX('CAT_CENTROS_COSTO'!$D$4:$D$13,MATCH($F882,'CAT_CENTROS_COSTO'!$A$4:$A$13,0)),"(sin catálogo)"))</f>
        <v/>
      </c>
      <c r="Y882" s="5">
        <f>IF($F882="","",IF((IFERROR(INDEX('CAT_CENTROS_COSTO'!$E$4:$E$13,MATCH($F882,'CAT_CENTROS_COSTO'!$A$4:$A$13,0)),""))&lt;&gt;"",IFERROR(INDEX('CAT_CENTROS_COSTO'!$E$4:$E$13,MATCH($F882,'CAT_CENTROS_COSTO'!$A$4:$A$13,0)),""),$X882))</f>
        <v/>
      </c>
      <c r="Z882" s="5">
        <f>IF($F882="","",IFERROR(INDEX('CAT_CENTROS_COSTO'!$G$4:$G$13,MATCH($F882,'CAT_CENTROS_COSTO'!$A$4:$A$13,0)),"(sin catálogo)"))</f>
        <v/>
      </c>
      <c r="AA882" s="5">
        <f>IF($G882="","",IFERROR(INDEX('CAT_PUESTOS'!$B$4:$B$8,MATCH($G882,'CAT_PUESTOS'!$A$4:$A$8,0)),"(sin catálogo)"))</f>
        <v/>
      </c>
      <c r="AB882" s="5">
        <f>IF($H882="","",IFERROR(INDEX('CAT_ACTIVIDADES'!$B$4:$B$11,MATCH($H882,'CAT_ACTIVIDADES'!$A$4:$A$11,0)),"(sin catálogo)"))</f>
        <v/>
      </c>
      <c r="AC882" s="20">
        <f>IF($J882="","",TODAY()-$J882)</f>
        <v/>
      </c>
      <c r="AD882" s="20">
        <f>IF($J882="","",IF($J882&lt;=TODAY(),COUNTIFS(cal_fechas,"&gt;="&amp;$J882,cal_fechas,"&lt;"&amp;TODAY(),cal_habil,"sí"),-COUNTIFS(cal_fechas,"&gt;="&amp;TODAY(),cal_fechas,"&lt;"&amp;$J882,cal_habil,"sí")))</f>
        <v/>
      </c>
      <c r="AE882" s="5">
        <f>IF($AD882="","",IF($AD882&lt;0,"FUTURO",IF($AD882&gt;p_dias_backlog_max,"BACKLOG","MES CORRIENTE")))</f>
        <v/>
      </c>
      <c r="AF882" s="5">
        <f>IF($AD882="",FALSE,AND($AD882&gt;p_dias_backlog_min,$AD882&lt;=p_dias_backlog_max))</f>
        <v/>
      </c>
      <c r="AG882" s="4" t="n"/>
      <c r="AH882" s="5">
        <f>IF($AG882="","",IF((IFERROR(INDEX('ASIGNACIONES'!$J$4:$J$451,MATCH($O882&amp;"|"&amp;$S882&amp;"|"&amp;$AG882,'ASIGNACIONES'!$N$4:$N$451,0)),""))=0,"",IFERROR(INDEX('ASIGNACIONES'!$J$4:$J$451,MATCH($O882&amp;"|"&amp;$S882&amp;"|"&amp;$AG882,'ASIGNACIONES'!$N$4:$N$451,0)),"")))</f>
        <v/>
      </c>
      <c r="AI882" s="25">
        <f>IF($AG882="","",SUMIFS('ORDENES'!$M$4:$M$1203,'ORDENES'!$AG$4:$AG$1203,$AG882,'ORDENES'!$O$4:$O$1203,$O882,'ORDENES'!$S$4:$S$1203,$S882))</f>
        <v/>
      </c>
      <c r="AJ882" s="25">
        <f>IF($AI882="","",p_factor_productividad*IFERROR(INDEX('ASIGNACIONES'!$M$4:$M$451,MATCH($O882&amp;"|"&amp;$S882&amp;"|"&amp;$AG882,'ASIGNACIONES'!$N$4:$N$451,0)),0)-$AI882)</f>
        <v/>
      </c>
      <c r="AK882" s="18">
        <f>IF($A882="","",IFERROR(INDEX('2_IMPORTAR_EJECUCION'!$F$9:$F$1208,MATCH($AT882,'2_IMPORTAR_EJECUCION'!$J$9:$J$1208,0)),0))</f>
        <v/>
      </c>
      <c r="AL882" s="18">
        <f>IF($A882="","",MAX(0,IFERROR(INDEX('2_IMPORTAR_EJECUCION'!$H$9:$H$1208,MATCH($AT882,'2_IMPORTAR_EJECUCION'!$J$9:$J$1208,0)),0)-$AK882))</f>
        <v/>
      </c>
      <c r="AM882" s="18">
        <f>IF($A882="","",$AK882+$AL882)</f>
        <v/>
      </c>
      <c r="AN882" s="5">
        <f>IF($A882="","",IF(OR((IFERROR(INDEX('CAT_ACTIVIDADES'!$D$4:$D$11,MATCH($H882,'CAT_ACTIVIDADES'!$A$4:$A$11,0)),""))=0,(IFERROR(INDEX('CAT_ACTIVIDADES'!$D$4:$D$11,MATCH($H882,'CAT_ACTIVIDADES'!$A$4:$A$11,0)),""))=""),"SIN CLASIFICAR",IFERROR(INDEX('CAT_ACTIVIDADES'!$D$4:$D$11,MATCH($H882,'CAT_ACTIVIDADES'!$A$4:$A$11,0)),"")))</f>
        <v/>
      </c>
      <c r="AO882" s="4" t="n"/>
      <c r="AP882" s="4" t="n"/>
      <c r="AQ882" s="4" t="n"/>
      <c r="AR882" s="5">
        <f>IF($AQ882="","",HYPERLINK(p_ruta_base_checklists&amp;$AQ882,"abrir"))</f>
        <v/>
      </c>
      <c r="AS882" s="4" t="n"/>
      <c r="AT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2" t="n"/>
      <c r="K883" s="5" t="n"/>
      <c r="L883" s="18" t="n"/>
      <c r="M883" s="5">
        <f>IF($A883="","",IFERROR(INDEX('AJUSTES'!$B$4:$B$303,MATCH($AT883,'AJUSTES'!$A$4:$A$303,0)),IF($K883="","",$K883)))</f>
        <v/>
      </c>
      <c r="N883" s="5">
        <f>IF($A883="","",IFERROR(INDEX('CAT_ESTADOS_ERP'!$B$4:$B$7,MATCH(IFERROR(INDEX('2_IMPORTAR_EJECUCION'!$C$9:$C$1208,MATCH($AT883,'2_IMPORTAR_EJECUCION'!$J$9:$J$1208,0)),""),'CAT_ESTADOS_ERP'!$A$4:$A$7,0)),"Pendiente"))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IF($J883="","",$P883&amp;"-"&amp;TEXT($Q883,"00"))</f>
        <v/>
      </c>
      <c r="S883" s="5">
        <f>IF($J883="","",INDEX(lista_dias,WEEKDAY($J883,2)))</f>
        <v/>
      </c>
      <c r="T883" s="5">
        <f>IF($J883="","",IFERROR(INDEX('CALENDARIO'!$C$15:$C$214,MATCH(TEXT($J883,"yyyy-mm-dd")&amp;"|"&amp;$X883&amp;"|"&amp;$Y883,'CALENDARIO'!$G$15:$G$214,0)),IFERROR(INDEX('CALENDARIO'!$C$15:$C$214,MATCH(TEXT($J883,"yyyy-mm-dd")&amp;"|"&amp;$X883&amp;"|",'CALENDARIO'!$G$15:$G$214,0)),IFERROR(INDEX('CALENDARIO'!$C$15:$C$214,MATCH(TEXT($J883,"yyyy-mm-dd")&amp;"||",'CALENDARIO'!$G$15:$G$214,0)),INDEX(patronHabil,WEEKDAY($J883,2))))))</f>
        <v/>
      </c>
      <c r="U883" s="5">
        <f>IF($I883="","",IFERROR(INDEX('CAT_TIPOS_OT'!$C$4:$C$8,MATCH($I883,'CAT_TIPOS_OT'!$A$4:$A$8,0)),"sin_clasificar"))</f>
        <v/>
      </c>
      <c r="V883" s="5">
        <f>IF($I883="","",IF(IFERROR(INDEX('CAT_TIPOS_OT'!$D$4:$D$8,MATCH($I883,'CAT_TIPOS_OT'!$A$4:$A$8,0)),"SIN CLASIFICAR")="","SIN CLASIFICAR",IFERROR(INDEX('CAT_TIPOS_OT'!$D$4:$D$8,MATCH($I883,'CAT_TIPOS_OT'!$A$4:$A$8,0)),"SIN CLASIFICAR")))</f>
        <v/>
      </c>
      <c r="W883" s="5">
        <f>IF($F883="","",IFERROR(INDEX('CAT_CENTROS_COSTO'!$F$4:$F$13,MATCH($F883,'CAT_CENTROS_COSTO'!$A$4:$A$13,0)),"(sin catálogo)"))</f>
        <v/>
      </c>
      <c r="X883" s="5">
        <f>IF($F883="","",IFERROR(INDEX('CAT_CENTROS_COSTO'!$D$4:$D$13,MATCH($F883,'CAT_CENTROS_COSTO'!$A$4:$A$13,0)),"(sin catálogo)"))</f>
        <v/>
      </c>
      <c r="Y883" s="5">
        <f>IF($F883="","",IF((IFERROR(INDEX('CAT_CENTROS_COSTO'!$E$4:$E$13,MATCH($F883,'CAT_CENTROS_COSTO'!$A$4:$A$13,0)),""))&lt;&gt;"",IFERROR(INDEX('CAT_CENTROS_COSTO'!$E$4:$E$13,MATCH($F883,'CAT_CENTROS_COSTO'!$A$4:$A$13,0)),""),$X883))</f>
        <v/>
      </c>
      <c r="Z883" s="5">
        <f>IF($F883="","",IFERROR(INDEX('CAT_CENTROS_COSTO'!$G$4:$G$13,MATCH($F883,'CAT_CENTROS_COSTO'!$A$4:$A$13,0)),"(sin catálogo)"))</f>
        <v/>
      </c>
      <c r="AA883" s="5">
        <f>IF($G883="","",IFERROR(INDEX('CAT_PUESTOS'!$B$4:$B$8,MATCH($G883,'CAT_PUESTOS'!$A$4:$A$8,0)),"(sin catálogo)"))</f>
        <v/>
      </c>
      <c r="AB883" s="5">
        <f>IF($H883="","",IFERROR(INDEX('CAT_ACTIVIDADES'!$B$4:$B$11,MATCH($H883,'CAT_ACTIVIDADES'!$A$4:$A$11,0)),"(sin catálogo)"))</f>
        <v/>
      </c>
      <c r="AC883" s="20">
        <f>IF($J883="","",TODAY()-$J883)</f>
        <v/>
      </c>
      <c r="AD883" s="20">
        <f>IF($J883="","",IF($J883&lt;=TODAY(),COUNTIFS(cal_fechas,"&gt;="&amp;$J883,cal_fechas,"&lt;"&amp;TODAY(),cal_habil,"sí"),-COUNTIFS(cal_fechas,"&gt;="&amp;TODAY(),cal_fechas,"&lt;"&amp;$J883,cal_habil,"sí")))</f>
        <v/>
      </c>
      <c r="AE883" s="5">
        <f>IF($AD883="","",IF($AD883&lt;0,"FUTURO",IF($AD883&gt;p_dias_backlog_max,"BACKLOG","MES CORRIENTE")))</f>
        <v/>
      </c>
      <c r="AF883" s="5">
        <f>IF($AD883="",FALSE,AND($AD883&gt;p_dias_backlog_min,$AD883&lt;=p_dias_backlog_max))</f>
        <v/>
      </c>
      <c r="AG883" s="4" t="n"/>
      <c r="AH883" s="5">
        <f>IF($AG883="","",IF((IFERROR(INDEX('ASIGNACIONES'!$J$4:$J$451,MATCH($O883&amp;"|"&amp;$S883&amp;"|"&amp;$AG883,'ASIGNACIONES'!$N$4:$N$451,0)),""))=0,"",IFERROR(INDEX('ASIGNACIONES'!$J$4:$J$451,MATCH($O883&amp;"|"&amp;$S883&amp;"|"&amp;$AG883,'ASIGNACIONES'!$N$4:$N$451,0)),"")))</f>
        <v/>
      </c>
      <c r="AI883" s="25">
        <f>IF($AG883="","",SUMIFS('ORDENES'!$M$4:$M$1203,'ORDENES'!$AG$4:$AG$1203,$AG883,'ORDENES'!$O$4:$O$1203,$O883,'ORDENES'!$S$4:$S$1203,$S883))</f>
        <v/>
      </c>
      <c r="AJ883" s="25">
        <f>IF($AI883="","",p_factor_productividad*IFERROR(INDEX('ASIGNACIONES'!$M$4:$M$451,MATCH($O883&amp;"|"&amp;$S883&amp;"|"&amp;$AG883,'ASIGNACIONES'!$N$4:$N$451,0)),0)-$AI883)</f>
        <v/>
      </c>
      <c r="AK883" s="18">
        <f>IF($A883="","",IFERROR(INDEX('2_IMPORTAR_EJECUCION'!$F$9:$F$1208,MATCH($AT883,'2_IMPORTAR_EJECUCION'!$J$9:$J$1208,0)),0))</f>
        <v/>
      </c>
      <c r="AL883" s="18">
        <f>IF($A883="","",MAX(0,IFERROR(INDEX('2_IMPORTAR_EJECUCION'!$H$9:$H$1208,MATCH($AT883,'2_IMPORTAR_EJECUCION'!$J$9:$J$1208,0)),0)-$AK883))</f>
        <v/>
      </c>
      <c r="AM883" s="18">
        <f>IF($A883="","",$AK883+$AL883)</f>
        <v/>
      </c>
      <c r="AN883" s="5">
        <f>IF($A883="","",IF(OR((IFERROR(INDEX('CAT_ACTIVIDADES'!$D$4:$D$11,MATCH($H883,'CAT_ACTIVIDADES'!$A$4:$A$11,0)),""))=0,(IFERROR(INDEX('CAT_ACTIVIDADES'!$D$4:$D$11,MATCH($H883,'CAT_ACTIVIDADES'!$A$4:$A$11,0)),""))=""),"SIN CLASIFICAR",IFERROR(INDEX('CAT_ACTIVIDADES'!$D$4:$D$11,MATCH($H883,'CAT_ACTIVIDADES'!$A$4:$A$11,0)),"")))</f>
        <v/>
      </c>
      <c r="AO883" s="4" t="n"/>
      <c r="AP883" s="4" t="n"/>
      <c r="AQ883" s="4" t="n"/>
      <c r="AR883" s="5">
        <f>IF($AQ883="","",HYPERLINK(p_ruta_base_checklists&amp;$AQ883,"abrir"))</f>
        <v/>
      </c>
      <c r="AS883" s="4" t="n"/>
      <c r="AT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2" t="n"/>
      <c r="K884" s="5" t="n"/>
      <c r="L884" s="18" t="n"/>
      <c r="M884" s="5">
        <f>IF($A884="","",IFERROR(INDEX('AJUSTES'!$B$4:$B$303,MATCH($AT884,'AJUSTES'!$A$4:$A$303,0)),IF($K884="","",$K884)))</f>
        <v/>
      </c>
      <c r="N884" s="5">
        <f>IF($A884="","",IFERROR(INDEX('CAT_ESTADOS_ERP'!$B$4:$B$7,MATCH(IFERROR(INDEX('2_IMPORTAR_EJECUCION'!$C$9:$C$1208,MATCH($AT884,'2_IMPORTAR_EJECUCION'!$J$9:$J$1208,0)),""),'CAT_ESTADOS_ERP'!$A$4:$A$7,0)),"Pendiente"))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IF($J884="","",$P884&amp;"-"&amp;TEXT($Q884,"00"))</f>
        <v/>
      </c>
      <c r="S884" s="5">
        <f>IF($J884="","",INDEX(lista_dias,WEEKDAY($J884,2)))</f>
        <v/>
      </c>
      <c r="T884" s="5">
        <f>IF($J884="","",IFERROR(INDEX('CALENDARIO'!$C$15:$C$214,MATCH(TEXT($J884,"yyyy-mm-dd")&amp;"|"&amp;$X884&amp;"|"&amp;$Y884,'CALENDARIO'!$G$15:$G$214,0)),IFERROR(INDEX('CALENDARIO'!$C$15:$C$214,MATCH(TEXT($J884,"yyyy-mm-dd")&amp;"|"&amp;$X884&amp;"|",'CALENDARIO'!$G$15:$G$214,0)),IFERROR(INDEX('CALENDARIO'!$C$15:$C$214,MATCH(TEXT($J884,"yyyy-mm-dd")&amp;"||",'CALENDARIO'!$G$15:$G$214,0)),INDEX(patronHabil,WEEKDAY($J884,2))))))</f>
        <v/>
      </c>
      <c r="U884" s="5">
        <f>IF($I884="","",IFERROR(INDEX('CAT_TIPOS_OT'!$C$4:$C$8,MATCH($I884,'CAT_TIPOS_OT'!$A$4:$A$8,0)),"sin_clasificar"))</f>
        <v/>
      </c>
      <c r="V884" s="5">
        <f>IF($I884="","",IF(IFERROR(INDEX('CAT_TIPOS_OT'!$D$4:$D$8,MATCH($I884,'CAT_TIPOS_OT'!$A$4:$A$8,0)),"SIN CLASIFICAR")="","SIN CLASIFICAR",IFERROR(INDEX('CAT_TIPOS_OT'!$D$4:$D$8,MATCH($I884,'CAT_TIPOS_OT'!$A$4:$A$8,0)),"SIN CLASIFICAR")))</f>
        <v/>
      </c>
      <c r="W884" s="5">
        <f>IF($F884="","",IFERROR(INDEX('CAT_CENTROS_COSTO'!$F$4:$F$13,MATCH($F884,'CAT_CENTROS_COSTO'!$A$4:$A$13,0)),"(sin catálogo)"))</f>
        <v/>
      </c>
      <c r="X884" s="5">
        <f>IF($F884="","",IFERROR(INDEX('CAT_CENTROS_COSTO'!$D$4:$D$13,MATCH($F884,'CAT_CENTROS_COSTO'!$A$4:$A$13,0)),"(sin catálogo)"))</f>
        <v/>
      </c>
      <c r="Y884" s="5">
        <f>IF($F884="","",IF((IFERROR(INDEX('CAT_CENTROS_COSTO'!$E$4:$E$13,MATCH($F884,'CAT_CENTROS_COSTO'!$A$4:$A$13,0)),""))&lt;&gt;"",IFERROR(INDEX('CAT_CENTROS_COSTO'!$E$4:$E$13,MATCH($F884,'CAT_CENTROS_COSTO'!$A$4:$A$13,0)),""),$X884))</f>
        <v/>
      </c>
      <c r="Z884" s="5">
        <f>IF($F884="","",IFERROR(INDEX('CAT_CENTROS_COSTO'!$G$4:$G$13,MATCH($F884,'CAT_CENTROS_COSTO'!$A$4:$A$13,0)),"(sin catálogo)"))</f>
        <v/>
      </c>
      <c r="AA884" s="5">
        <f>IF($G884="","",IFERROR(INDEX('CAT_PUESTOS'!$B$4:$B$8,MATCH($G884,'CAT_PUESTOS'!$A$4:$A$8,0)),"(sin catálogo)"))</f>
        <v/>
      </c>
      <c r="AB884" s="5">
        <f>IF($H884="","",IFERROR(INDEX('CAT_ACTIVIDADES'!$B$4:$B$11,MATCH($H884,'CAT_ACTIVIDADES'!$A$4:$A$11,0)),"(sin catálogo)"))</f>
        <v/>
      </c>
      <c r="AC884" s="20">
        <f>IF($J884="","",TODAY()-$J884)</f>
        <v/>
      </c>
      <c r="AD884" s="20">
        <f>IF($J884="","",IF($J884&lt;=TODAY(),COUNTIFS(cal_fechas,"&gt;="&amp;$J884,cal_fechas,"&lt;"&amp;TODAY(),cal_habil,"sí"),-COUNTIFS(cal_fechas,"&gt;="&amp;TODAY(),cal_fechas,"&lt;"&amp;$J884,cal_habil,"sí")))</f>
        <v/>
      </c>
      <c r="AE884" s="5">
        <f>IF($AD884="","",IF($AD884&lt;0,"FUTURO",IF($AD884&gt;p_dias_backlog_max,"BACKLOG","MES CORRIENTE")))</f>
        <v/>
      </c>
      <c r="AF884" s="5">
        <f>IF($AD884="",FALSE,AND($AD884&gt;p_dias_backlog_min,$AD884&lt;=p_dias_backlog_max))</f>
        <v/>
      </c>
      <c r="AG884" s="4" t="n"/>
      <c r="AH884" s="5">
        <f>IF($AG884="","",IF((IFERROR(INDEX('ASIGNACIONES'!$J$4:$J$451,MATCH($O884&amp;"|"&amp;$S884&amp;"|"&amp;$AG884,'ASIGNACIONES'!$N$4:$N$451,0)),""))=0,"",IFERROR(INDEX('ASIGNACIONES'!$J$4:$J$451,MATCH($O884&amp;"|"&amp;$S884&amp;"|"&amp;$AG884,'ASIGNACIONES'!$N$4:$N$451,0)),"")))</f>
        <v/>
      </c>
      <c r="AI884" s="25">
        <f>IF($AG884="","",SUMIFS('ORDENES'!$M$4:$M$1203,'ORDENES'!$AG$4:$AG$1203,$AG884,'ORDENES'!$O$4:$O$1203,$O884,'ORDENES'!$S$4:$S$1203,$S884))</f>
        <v/>
      </c>
      <c r="AJ884" s="25">
        <f>IF($AI884="","",p_factor_productividad*IFERROR(INDEX('ASIGNACIONES'!$M$4:$M$451,MATCH($O884&amp;"|"&amp;$S884&amp;"|"&amp;$AG884,'ASIGNACIONES'!$N$4:$N$451,0)),0)-$AI884)</f>
        <v/>
      </c>
      <c r="AK884" s="18">
        <f>IF($A884="","",IFERROR(INDEX('2_IMPORTAR_EJECUCION'!$F$9:$F$1208,MATCH($AT884,'2_IMPORTAR_EJECUCION'!$J$9:$J$1208,0)),0))</f>
        <v/>
      </c>
      <c r="AL884" s="18">
        <f>IF($A884="","",MAX(0,IFERROR(INDEX('2_IMPORTAR_EJECUCION'!$H$9:$H$1208,MATCH($AT884,'2_IMPORTAR_EJECUCION'!$J$9:$J$1208,0)),0)-$AK884))</f>
        <v/>
      </c>
      <c r="AM884" s="18">
        <f>IF($A884="","",$AK884+$AL884)</f>
        <v/>
      </c>
      <c r="AN884" s="5">
        <f>IF($A884="","",IF(OR((IFERROR(INDEX('CAT_ACTIVIDADES'!$D$4:$D$11,MATCH($H884,'CAT_ACTIVIDADES'!$A$4:$A$11,0)),""))=0,(IFERROR(INDEX('CAT_ACTIVIDADES'!$D$4:$D$11,MATCH($H884,'CAT_ACTIVIDADES'!$A$4:$A$11,0)),""))=""),"SIN CLASIFICAR",IFERROR(INDEX('CAT_ACTIVIDADES'!$D$4:$D$11,MATCH($H884,'CAT_ACTIVIDADES'!$A$4:$A$11,0)),"")))</f>
        <v/>
      </c>
      <c r="AO884" s="4" t="n"/>
      <c r="AP884" s="4" t="n"/>
      <c r="AQ884" s="4" t="n"/>
      <c r="AR884" s="5">
        <f>IF($AQ884="","",HYPERLINK(p_ruta_base_checklists&amp;$AQ884,"abrir"))</f>
        <v/>
      </c>
      <c r="AS884" s="4" t="n"/>
      <c r="AT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2" t="n"/>
      <c r="K885" s="5" t="n"/>
      <c r="L885" s="18" t="n"/>
      <c r="M885" s="5">
        <f>IF($A885="","",IFERROR(INDEX('AJUSTES'!$B$4:$B$303,MATCH($AT885,'AJUSTES'!$A$4:$A$303,0)),IF($K885="","",$K885)))</f>
        <v/>
      </c>
      <c r="N885" s="5">
        <f>IF($A885="","",IFERROR(INDEX('CAT_ESTADOS_ERP'!$B$4:$B$7,MATCH(IFERROR(INDEX('2_IMPORTAR_EJECUCION'!$C$9:$C$1208,MATCH($AT885,'2_IMPORTAR_EJECUCION'!$J$9:$J$1208,0)),""),'CAT_ESTADOS_ERP'!$A$4:$A$7,0)),"Pendiente"))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IF($J885="","",$P885&amp;"-"&amp;TEXT($Q885,"00"))</f>
        <v/>
      </c>
      <c r="S885" s="5">
        <f>IF($J885="","",INDEX(lista_dias,WEEKDAY($J885,2)))</f>
        <v/>
      </c>
      <c r="T885" s="5">
        <f>IF($J885="","",IFERROR(INDEX('CALENDARIO'!$C$15:$C$214,MATCH(TEXT($J885,"yyyy-mm-dd")&amp;"|"&amp;$X885&amp;"|"&amp;$Y885,'CALENDARIO'!$G$15:$G$214,0)),IFERROR(INDEX('CALENDARIO'!$C$15:$C$214,MATCH(TEXT($J885,"yyyy-mm-dd")&amp;"|"&amp;$X885&amp;"|",'CALENDARIO'!$G$15:$G$214,0)),IFERROR(INDEX('CALENDARIO'!$C$15:$C$214,MATCH(TEXT($J885,"yyyy-mm-dd")&amp;"||",'CALENDARIO'!$G$15:$G$214,0)),INDEX(patronHabil,WEEKDAY($J885,2))))))</f>
        <v/>
      </c>
      <c r="U885" s="5">
        <f>IF($I885="","",IFERROR(INDEX('CAT_TIPOS_OT'!$C$4:$C$8,MATCH($I885,'CAT_TIPOS_OT'!$A$4:$A$8,0)),"sin_clasificar"))</f>
        <v/>
      </c>
      <c r="V885" s="5">
        <f>IF($I885="","",IF(IFERROR(INDEX('CAT_TIPOS_OT'!$D$4:$D$8,MATCH($I885,'CAT_TIPOS_OT'!$A$4:$A$8,0)),"SIN CLASIFICAR")="","SIN CLASIFICAR",IFERROR(INDEX('CAT_TIPOS_OT'!$D$4:$D$8,MATCH($I885,'CAT_TIPOS_OT'!$A$4:$A$8,0)),"SIN CLASIFICAR")))</f>
        <v/>
      </c>
      <c r="W885" s="5">
        <f>IF($F885="","",IFERROR(INDEX('CAT_CENTROS_COSTO'!$F$4:$F$13,MATCH($F885,'CAT_CENTROS_COSTO'!$A$4:$A$13,0)),"(sin catálogo)"))</f>
        <v/>
      </c>
      <c r="X885" s="5">
        <f>IF($F885="","",IFERROR(INDEX('CAT_CENTROS_COSTO'!$D$4:$D$13,MATCH($F885,'CAT_CENTROS_COSTO'!$A$4:$A$13,0)),"(sin catálogo)"))</f>
        <v/>
      </c>
      <c r="Y885" s="5">
        <f>IF($F885="","",IF((IFERROR(INDEX('CAT_CENTROS_COSTO'!$E$4:$E$13,MATCH($F885,'CAT_CENTROS_COSTO'!$A$4:$A$13,0)),""))&lt;&gt;"",IFERROR(INDEX('CAT_CENTROS_COSTO'!$E$4:$E$13,MATCH($F885,'CAT_CENTROS_COSTO'!$A$4:$A$13,0)),""),$X885))</f>
        <v/>
      </c>
      <c r="Z885" s="5">
        <f>IF($F885="","",IFERROR(INDEX('CAT_CENTROS_COSTO'!$G$4:$G$13,MATCH($F885,'CAT_CENTROS_COSTO'!$A$4:$A$13,0)),"(sin catálogo)"))</f>
        <v/>
      </c>
      <c r="AA885" s="5">
        <f>IF($G885="","",IFERROR(INDEX('CAT_PUESTOS'!$B$4:$B$8,MATCH($G885,'CAT_PUESTOS'!$A$4:$A$8,0)),"(sin catálogo)"))</f>
        <v/>
      </c>
      <c r="AB885" s="5">
        <f>IF($H885="","",IFERROR(INDEX('CAT_ACTIVIDADES'!$B$4:$B$11,MATCH($H885,'CAT_ACTIVIDADES'!$A$4:$A$11,0)),"(sin catálogo)"))</f>
        <v/>
      </c>
      <c r="AC885" s="20">
        <f>IF($J885="","",TODAY()-$J885)</f>
        <v/>
      </c>
      <c r="AD885" s="20">
        <f>IF($J885="","",IF($J885&lt;=TODAY(),COUNTIFS(cal_fechas,"&gt;="&amp;$J885,cal_fechas,"&lt;"&amp;TODAY(),cal_habil,"sí"),-COUNTIFS(cal_fechas,"&gt;="&amp;TODAY(),cal_fechas,"&lt;"&amp;$J885,cal_habil,"sí")))</f>
        <v/>
      </c>
      <c r="AE885" s="5">
        <f>IF($AD885="","",IF($AD885&lt;0,"FUTURO",IF($AD885&gt;p_dias_backlog_max,"BACKLOG","MES CORRIENTE")))</f>
        <v/>
      </c>
      <c r="AF885" s="5">
        <f>IF($AD885="",FALSE,AND($AD885&gt;p_dias_backlog_min,$AD885&lt;=p_dias_backlog_max))</f>
        <v/>
      </c>
      <c r="AG885" s="4" t="n"/>
      <c r="AH885" s="5">
        <f>IF($AG885="","",IF((IFERROR(INDEX('ASIGNACIONES'!$J$4:$J$451,MATCH($O885&amp;"|"&amp;$S885&amp;"|"&amp;$AG885,'ASIGNACIONES'!$N$4:$N$451,0)),""))=0,"",IFERROR(INDEX('ASIGNACIONES'!$J$4:$J$451,MATCH($O885&amp;"|"&amp;$S885&amp;"|"&amp;$AG885,'ASIGNACIONES'!$N$4:$N$451,0)),"")))</f>
        <v/>
      </c>
      <c r="AI885" s="25">
        <f>IF($AG885="","",SUMIFS('ORDENES'!$M$4:$M$1203,'ORDENES'!$AG$4:$AG$1203,$AG885,'ORDENES'!$O$4:$O$1203,$O885,'ORDENES'!$S$4:$S$1203,$S885))</f>
        <v/>
      </c>
      <c r="AJ885" s="25">
        <f>IF($AI885="","",p_factor_productividad*IFERROR(INDEX('ASIGNACIONES'!$M$4:$M$451,MATCH($O885&amp;"|"&amp;$S885&amp;"|"&amp;$AG885,'ASIGNACIONES'!$N$4:$N$451,0)),0)-$AI885)</f>
        <v/>
      </c>
      <c r="AK885" s="18">
        <f>IF($A885="","",IFERROR(INDEX('2_IMPORTAR_EJECUCION'!$F$9:$F$1208,MATCH($AT885,'2_IMPORTAR_EJECUCION'!$J$9:$J$1208,0)),0))</f>
        <v/>
      </c>
      <c r="AL885" s="18">
        <f>IF($A885="","",MAX(0,IFERROR(INDEX('2_IMPORTAR_EJECUCION'!$H$9:$H$1208,MATCH($AT885,'2_IMPORTAR_EJECUCION'!$J$9:$J$1208,0)),0)-$AK885))</f>
        <v/>
      </c>
      <c r="AM885" s="18">
        <f>IF($A885="","",$AK885+$AL885)</f>
        <v/>
      </c>
      <c r="AN885" s="5">
        <f>IF($A885="","",IF(OR((IFERROR(INDEX('CAT_ACTIVIDADES'!$D$4:$D$11,MATCH($H885,'CAT_ACTIVIDADES'!$A$4:$A$11,0)),""))=0,(IFERROR(INDEX('CAT_ACTIVIDADES'!$D$4:$D$11,MATCH($H885,'CAT_ACTIVIDADES'!$A$4:$A$11,0)),""))=""),"SIN CLASIFICAR",IFERROR(INDEX('CAT_ACTIVIDADES'!$D$4:$D$11,MATCH($H885,'CAT_ACTIVIDADES'!$A$4:$A$11,0)),"")))</f>
        <v/>
      </c>
      <c r="AO885" s="4" t="n"/>
      <c r="AP885" s="4" t="n"/>
      <c r="AQ885" s="4" t="n"/>
      <c r="AR885" s="5">
        <f>IF($AQ885="","",HYPERLINK(p_ruta_base_checklists&amp;$AQ885,"abrir"))</f>
        <v/>
      </c>
      <c r="AS885" s="4" t="n"/>
      <c r="AT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2" t="n"/>
      <c r="K886" s="5" t="n"/>
      <c r="L886" s="18" t="n"/>
      <c r="M886" s="5">
        <f>IF($A886="","",IFERROR(INDEX('AJUSTES'!$B$4:$B$303,MATCH($AT886,'AJUSTES'!$A$4:$A$303,0)),IF($K886="","",$K886)))</f>
        <v/>
      </c>
      <c r="N886" s="5">
        <f>IF($A886="","",IFERROR(INDEX('CAT_ESTADOS_ERP'!$B$4:$B$7,MATCH(IFERROR(INDEX('2_IMPORTAR_EJECUCION'!$C$9:$C$1208,MATCH($AT886,'2_IMPORTAR_EJECUCION'!$J$9:$J$1208,0)),""),'CAT_ESTADOS_ERP'!$A$4:$A$7,0)),"Pendiente"))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IF($J886="","",$P886&amp;"-"&amp;TEXT($Q886,"00"))</f>
        <v/>
      </c>
      <c r="S886" s="5">
        <f>IF($J886="","",INDEX(lista_dias,WEEKDAY($J886,2)))</f>
        <v/>
      </c>
      <c r="T886" s="5">
        <f>IF($J886="","",IFERROR(INDEX('CALENDARIO'!$C$15:$C$214,MATCH(TEXT($J886,"yyyy-mm-dd")&amp;"|"&amp;$X886&amp;"|"&amp;$Y886,'CALENDARIO'!$G$15:$G$214,0)),IFERROR(INDEX('CALENDARIO'!$C$15:$C$214,MATCH(TEXT($J886,"yyyy-mm-dd")&amp;"|"&amp;$X886&amp;"|",'CALENDARIO'!$G$15:$G$214,0)),IFERROR(INDEX('CALENDARIO'!$C$15:$C$214,MATCH(TEXT($J886,"yyyy-mm-dd")&amp;"||",'CALENDARIO'!$G$15:$G$214,0)),INDEX(patronHabil,WEEKDAY($J886,2))))))</f>
        <v/>
      </c>
      <c r="U886" s="5">
        <f>IF($I886="","",IFERROR(INDEX('CAT_TIPOS_OT'!$C$4:$C$8,MATCH($I886,'CAT_TIPOS_OT'!$A$4:$A$8,0)),"sin_clasificar"))</f>
        <v/>
      </c>
      <c r="V886" s="5">
        <f>IF($I886="","",IF(IFERROR(INDEX('CAT_TIPOS_OT'!$D$4:$D$8,MATCH($I886,'CAT_TIPOS_OT'!$A$4:$A$8,0)),"SIN CLASIFICAR")="","SIN CLASIFICAR",IFERROR(INDEX('CAT_TIPOS_OT'!$D$4:$D$8,MATCH($I886,'CAT_TIPOS_OT'!$A$4:$A$8,0)),"SIN CLASIFICAR")))</f>
        <v/>
      </c>
      <c r="W886" s="5">
        <f>IF($F886="","",IFERROR(INDEX('CAT_CENTROS_COSTO'!$F$4:$F$13,MATCH($F886,'CAT_CENTROS_COSTO'!$A$4:$A$13,0)),"(sin catálogo)"))</f>
        <v/>
      </c>
      <c r="X886" s="5">
        <f>IF($F886="","",IFERROR(INDEX('CAT_CENTROS_COSTO'!$D$4:$D$13,MATCH($F886,'CAT_CENTROS_COSTO'!$A$4:$A$13,0)),"(sin catálogo)"))</f>
        <v/>
      </c>
      <c r="Y886" s="5">
        <f>IF($F886="","",IF((IFERROR(INDEX('CAT_CENTROS_COSTO'!$E$4:$E$13,MATCH($F886,'CAT_CENTROS_COSTO'!$A$4:$A$13,0)),""))&lt;&gt;"",IFERROR(INDEX('CAT_CENTROS_COSTO'!$E$4:$E$13,MATCH($F886,'CAT_CENTROS_COSTO'!$A$4:$A$13,0)),""),$X886))</f>
        <v/>
      </c>
      <c r="Z886" s="5">
        <f>IF($F886="","",IFERROR(INDEX('CAT_CENTROS_COSTO'!$G$4:$G$13,MATCH($F886,'CAT_CENTROS_COSTO'!$A$4:$A$13,0)),"(sin catálogo)"))</f>
        <v/>
      </c>
      <c r="AA886" s="5">
        <f>IF($G886="","",IFERROR(INDEX('CAT_PUESTOS'!$B$4:$B$8,MATCH($G886,'CAT_PUESTOS'!$A$4:$A$8,0)),"(sin catálogo)"))</f>
        <v/>
      </c>
      <c r="AB886" s="5">
        <f>IF($H886="","",IFERROR(INDEX('CAT_ACTIVIDADES'!$B$4:$B$11,MATCH($H886,'CAT_ACTIVIDADES'!$A$4:$A$11,0)),"(sin catálogo)"))</f>
        <v/>
      </c>
      <c r="AC886" s="20">
        <f>IF($J886="","",TODAY()-$J886)</f>
        <v/>
      </c>
      <c r="AD886" s="20">
        <f>IF($J886="","",IF($J886&lt;=TODAY(),COUNTIFS(cal_fechas,"&gt;="&amp;$J886,cal_fechas,"&lt;"&amp;TODAY(),cal_habil,"sí"),-COUNTIFS(cal_fechas,"&gt;="&amp;TODAY(),cal_fechas,"&lt;"&amp;$J886,cal_habil,"sí")))</f>
        <v/>
      </c>
      <c r="AE886" s="5">
        <f>IF($AD886="","",IF($AD886&lt;0,"FUTURO",IF($AD886&gt;p_dias_backlog_max,"BACKLOG","MES CORRIENTE")))</f>
        <v/>
      </c>
      <c r="AF886" s="5">
        <f>IF($AD886="",FALSE,AND($AD886&gt;p_dias_backlog_min,$AD886&lt;=p_dias_backlog_max))</f>
        <v/>
      </c>
      <c r="AG886" s="4" t="n"/>
      <c r="AH886" s="5">
        <f>IF($AG886="","",IF((IFERROR(INDEX('ASIGNACIONES'!$J$4:$J$451,MATCH($O886&amp;"|"&amp;$S886&amp;"|"&amp;$AG886,'ASIGNACIONES'!$N$4:$N$451,0)),""))=0,"",IFERROR(INDEX('ASIGNACIONES'!$J$4:$J$451,MATCH($O886&amp;"|"&amp;$S886&amp;"|"&amp;$AG886,'ASIGNACIONES'!$N$4:$N$451,0)),"")))</f>
        <v/>
      </c>
      <c r="AI886" s="25">
        <f>IF($AG886="","",SUMIFS('ORDENES'!$M$4:$M$1203,'ORDENES'!$AG$4:$AG$1203,$AG886,'ORDENES'!$O$4:$O$1203,$O886,'ORDENES'!$S$4:$S$1203,$S886))</f>
        <v/>
      </c>
      <c r="AJ886" s="25">
        <f>IF($AI886="","",p_factor_productividad*IFERROR(INDEX('ASIGNACIONES'!$M$4:$M$451,MATCH($O886&amp;"|"&amp;$S886&amp;"|"&amp;$AG886,'ASIGNACIONES'!$N$4:$N$451,0)),0)-$AI886)</f>
        <v/>
      </c>
      <c r="AK886" s="18">
        <f>IF($A886="","",IFERROR(INDEX('2_IMPORTAR_EJECUCION'!$F$9:$F$1208,MATCH($AT886,'2_IMPORTAR_EJECUCION'!$J$9:$J$1208,0)),0))</f>
        <v/>
      </c>
      <c r="AL886" s="18">
        <f>IF($A886="","",MAX(0,IFERROR(INDEX('2_IMPORTAR_EJECUCION'!$H$9:$H$1208,MATCH($AT886,'2_IMPORTAR_EJECUCION'!$J$9:$J$1208,0)),0)-$AK886))</f>
        <v/>
      </c>
      <c r="AM886" s="18">
        <f>IF($A886="","",$AK886+$AL886)</f>
        <v/>
      </c>
      <c r="AN886" s="5">
        <f>IF($A886="","",IF(OR((IFERROR(INDEX('CAT_ACTIVIDADES'!$D$4:$D$11,MATCH($H886,'CAT_ACTIVIDADES'!$A$4:$A$11,0)),""))=0,(IFERROR(INDEX('CAT_ACTIVIDADES'!$D$4:$D$11,MATCH($H886,'CAT_ACTIVIDADES'!$A$4:$A$11,0)),""))=""),"SIN CLASIFICAR",IFERROR(INDEX('CAT_ACTIVIDADES'!$D$4:$D$11,MATCH($H886,'CAT_ACTIVIDADES'!$A$4:$A$11,0)),"")))</f>
        <v/>
      </c>
      <c r="AO886" s="4" t="n"/>
      <c r="AP886" s="4" t="n"/>
      <c r="AQ886" s="4" t="n"/>
      <c r="AR886" s="5">
        <f>IF($AQ886="","",HYPERLINK(p_ruta_base_checklists&amp;$AQ886,"abrir"))</f>
        <v/>
      </c>
      <c r="AS886" s="4" t="n"/>
      <c r="AT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2" t="n"/>
      <c r="K887" s="5" t="n"/>
      <c r="L887" s="18" t="n"/>
      <c r="M887" s="5">
        <f>IF($A887="","",IFERROR(INDEX('AJUSTES'!$B$4:$B$303,MATCH($AT887,'AJUSTES'!$A$4:$A$303,0)),IF($K887="","",$K887)))</f>
        <v/>
      </c>
      <c r="N887" s="5">
        <f>IF($A887="","",IFERROR(INDEX('CAT_ESTADOS_ERP'!$B$4:$B$7,MATCH(IFERROR(INDEX('2_IMPORTAR_EJECUCION'!$C$9:$C$1208,MATCH($AT887,'2_IMPORTAR_EJECUCION'!$J$9:$J$1208,0)),""),'CAT_ESTADOS_ERP'!$A$4:$A$7,0)),"Pendiente"))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IF($J887="","",$P887&amp;"-"&amp;TEXT($Q887,"00"))</f>
        <v/>
      </c>
      <c r="S887" s="5">
        <f>IF($J887="","",INDEX(lista_dias,WEEKDAY($J887,2)))</f>
        <v/>
      </c>
      <c r="T887" s="5">
        <f>IF($J887="","",IFERROR(INDEX('CALENDARIO'!$C$15:$C$214,MATCH(TEXT($J887,"yyyy-mm-dd")&amp;"|"&amp;$X887&amp;"|"&amp;$Y887,'CALENDARIO'!$G$15:$G$214,0)),IFERROR(INDEX('CALENDARIO'!$C$15:$C$214,MATCH(TEXT($J887,"yyyy-mm-dd")&amp;"|"&amp;$X887&amp;"|",'CALENDARIO'!$G$15:$G$214,0)),IFERROR(INDEX('CALENDARIO'!$C$15:$C$214,MATCH(TEXT($J887,"yyyy-mm-dd")&amp;"||",'CALENDARIO'!$G$15:$G$214,0)),INDEX(patronHabil,WEEKDAY($J887,2))))))</f>
        <v/>
      </c>
      <c r="U887" s="5">
        <f>IF($I887="","",IFERROR(INDEX('CAT_TIPOS_OT'!$C$4:$C$8,MATCH($I887,'CAT_TIPOS_OT'!$A$4:$A$8,0)),"sin_clasificar"))</f>
        <v/>
      </c>
      <c r="V887" s="5">
        <f>IF($I887="","",IF(IFERROR(INDEX('CAT_TIPOS_OT'!$D$4:$D$8,MATCH($I887,'CAT_TIPOS_OT'!$A$4:$A$8,0)),"SIN CLASIFICAR")="","SIN CLASIFICAR",IFERROR(INDEX('CAT_TIPOS_OT'!$D$4:$D$8,MATCH($I887,'CAT_TIPOS_OT'!$A$4:$A$8,0)),"SIN CLASIFICAR")))</f>
        <v/>
      </c>
      <c r="W887" s="5">
        <f>IF($F887="","",IFERROR(INDEX('CAT_CENTROS_COSTO'!$F$4:$F$13,MATCH($F887,'CAT_CENTROS_COSTO'!$A$4:$A$13,0)),"(sin catálogo)"))</f>
        <v/>
      </c>
      <c r="X887" s="5">
        <f>IF($F887="","",IFERROR(INDEX('CAT_CENTROS_COSTO'!$D$4:$D$13,MATCH($F887,'CAT_CENTROS_COSTO'!$A$4:$A$13,0)),"(sin catálogo)"))</f>
        <v/>
      </c>
      <c r="Y887" s="5">
        <f>IF($F887="","",IF((IFERROR(INDEX('CAT_CENTROS_COSTO'!$E$4:$E$13,MATCH($F887,'CAT_CENTROS_COSTO'!$A$4:$A$13,0)),""))&lt;&gt;"",IFERROR(INDEX('CAT_CENTROS_COSTO'!$E$4:$E$13,MATCH($F887,'CAT_CENTROS_COSTO'!$A$4:$A$13,0)),""),$X887))</f>
        <v/>
      </c>
      <c r="Z887" s="5">
        <f>IF($F887="","",IFERROR(INDEX('CAT_CENTROS_COSTO'!$G$4:$G$13,MATCH($F887,'CAT_CENTROS_COSTO'!$A$4:$A$13,0)),"(sin catálogo)"))</f>
        <v/>
      </c>
      <c r="AA887" s="5">
        <f>IF($G887="","",IFERROR(INDEX('CAT_PUESTOS'!$B$4:$B$8,MATCH($G887,'CAT_PUESTOS'!$A$4:$A$8,0)),"(sin catálogo)"))</f>
        <v/>
      </c>
      <c r="AB887" s="5">
        <f>IF($H887="","",IFERROR(INDEX('CAT_ACTIVIDADES'!$B$4:$B$11,MATCH($H887,'CAT_ACTIVIDADES'!$A$4:$A$11,0)),"(sin catálogo)"))</f>
        <v/>
      </c>
      <c r="AC887" s="20">
        <f>IF($J887="","",TODAY()-$J887)</f>
        <v/>
      </c>
      <c r="AD887" s="20">
        <f>IF($J887="","",IF($J887&lt;=TODAY(),COUNTIFS(cal_fechas,"&gt;="&amp;$J887,cal_fechas,"&lt;"&amp;TODAY(),cal_habil,"sí"),-COUNTIFS(cal_fechas,"&gt;="&amp;TODAY(),cal_fechas,"&lt;"&amp;$J887,cal_habil,"sí")))</f>
        <v/>
      </c>
      <c r="AE887" s="5">
        <f>IF($AD887="","",IF($AD887&lt;0,"FUTURO",IF($AD887&gt;p_dias_backlog_max,"BACKLOG","MES CORRIENTE")))</f>
        <v/>
      </c>
      <c r="AF887" s="5">
        <f>IF($AD887="",FALSE,AND($AD887&gt;p_dias_backlog_min,$AD887&lt;=p_dias_backlog_max))</f>
        <v/>
      </c>
      <c r="AG887" s="4" t="n"/>
      <c r="AH887" s="5">
        <f>IF($AG887="","",IF((IFERROR(INDEX('ASIGNACIONES'!$J$4:$J$451,MATCH($O887&amp;"|"&amp;$S887&amp;"|"&amp;$AG887,'ASIGNACIONES'!$N$4:$N$451,0)),""))=0,"",IFERROR(INDEX('ASIGNACIONES'!$J$4:$J$451,MATCH($O887&amp;"|"&amp;$S887&amp;"|"&amp;$AG887,'ASIGNACIONES'!$N$4:$N$451,0)),"")))</f>
        <v/>
      </c>
      <c r="AI887" s="25">
        <f>IF($AG887="","",SUMIFS('ORDENES'!$M$4:$M$1203,'ORDENES'!$AG$4:$AG$1203,$AG887,'ORDENES'!$O$4:$O$1203,$O887,'ORDENES'!$S$4:$S$1203,$S887))</f>
        <v/>
      </c>
      <c r="AJ887" s="25">
        <f>IF($AI887="","",p_factor_productividad*IFERROR(INDEX('ASIGNACIONES'!$M$4:$M$451,MATCH($O887&amp;"|"&amp;$S887&amp;"|"&amp;$AG887,'ASIGNACIONES'!$N$4:$N$451,0)),0)-$AI887)</f>
        <v/>
      </c>
      <c r="AK887" s="18">
        <f>IF($A887="","",IFERROR(INDEX('2_IMPORTAR_EJECUCION'!$F$9:$F$1208,MATCH($AT887,'2_IMPORTAR_EJECUCION'!$J$9:$J$1208,0)),0))</f>
        <v/>
      </c>
      <c r="AL887" s="18">
        <f>IF($A887="","",MAX(0,IFERROR(INDEX('2_IMPORTAR_EJECUCION'!$H$9:$H$1208,MATCH($AT887,'2_IMPORTAR_EJECUCION'!$J$9:$J$1208,0)),0)-$AK887))</f>
        <v/>
      </c>
      <c r="AM887" s="18">
        <f>IF($A887="","",$AK887+$AL887)</f>
        <v/>
      </c>
      <c r="AN887" s="5">
        <f>IF($A887="","",IF(OR((IFERROR(INDEX('CAT_ACTIVIDADES'!$D$4:$D$11,MATCH($H887,'CAT_ACTIVIDADES'!$A$4:$A$11,0)),""))=0,(IFERROR(INDEX('CAT_ACTIVIDADES'!$D$4:$D$11,MATCH($H887,'CAT_ACTIVIDADES'!$A$4:$A$11,0)),""))=""),"SIN CLASIFICAR",IFERROR(INDEX('CAT_ACTIVIDADES'!$D$4:$D$11,MATCH($H887,'CAT_ACTIVIDADES'!$A$4:$A$11,0)),"")))</f>
        <v/>
      </c>
      <c r="AO887" s="4" t="n"/>
      <c r="AP887" s="4" t="n"/>
      <c r="AQ887" s="4" t="n"/>
      <c r="AR887" s="5">
        <f>IF($AQ887="","",HYPERLINK(p_ruta_base_checklists&amp;$AQ887,"abrir"))</f>
        <v/>
      </c>
      <c r="AS887" s="4" t="n"/>
      <c r="AT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2" t="n"/>
      <c r="K888" s="5" t="n"/>
      <c r="L888" s="18" t="n"/>
      <c r="M888" s="5">
        <f>IF($A888="","",IFERROR(INDEX('AJUSTES'!$B$4:$B$303,MATCH($AT888,'AJUSTES'!$A$4:$A$303,0)),IF($K888="","",$K888)))</f>
        <v/>
      </c>
      <c r="N888" s="5">
        <f>IF($A888="","",IFERROR(INDEX('CAT_ESTADOS_ERP'!$B$4:$B$7,MATCH(IFERROR(INDEX('2_IMPORTAR_EJECUCION'!$C$9:$C$1208,MATCH($AT888,'2_IMPORTAR_EJECUCION'!$J$9:$J$1208,0)),""),'CAT_ESTADOS_ERP'!$A$4:$A$7,0)),"Pendiente"))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IF($J888="","",$P888&amp;"-"&amp;TEXT($Q888,"00"))</f>
        <v/>
      </c>
      <c r="S888" s="5">
        <f>IF($J888="","",INDEX(lista_dias,WEEKDAY($J888,2)))</f>
        <v/>
      </c>
      <c r="T888" s="5">
        <f>IF($J888="","",IFERROR(INDEX('CALENDARIO'!$C$15:$C$214,MATCH(TEXT($J888,"yyyy-mm-dd")&amp;"|"&amp;$X888&amp;"|"&amp;$Y888,'CALENDARIO'!$G$15:$G$214,0)),IFERROR(INDEX('CALENDARIO'!$C$15:$C$214,MATCH(TEXT($J888,"yyyy-mm-dd")&amp;"|"&amp;$X888&amp;"|",'CALENDARIO'!$G$15:$G$214,0)),IFERROR(INDEX('CALENDARIO'!$C$15:$C$214,MATCH(TEXT($J888,"yyyy-mm-dd")&amp;"||",'CALENDARIO'!$G$15:$G$214,0)),INDEX(patronHabil,WEEKDAY($J888,2))))))</f>
        <v/>
      </c>
      <c r="U888" s="5">
        <f>IF($I888="","",IFERROR(INDEX('CAT_TIPOS_OT'!$C$4:$C$8,MATCH($I888,'CAT_TIPOS_OT'!$A$4:$A$8,0)),"sin_clasificar"))</f>
        <v/>
      </c>
      <c r="V888" s="5">
        <f>IF($I888="","",IF(IFERROR(INDEX('CAT_TIPOS_OT'!$D$4:$D$8,MATCH($I888,'CAT_TIPOS_OT'!$A$4:$A$8,0)),"SIN CLASIFICAR")="","SIN CLASIFICAR",IFERROR(INDEX('CAT_TIPOS_OT'!$D$4:$D$8,MATCH($I888,'CAT_TIPOS_OT'!$A$4:$A$8,0)),"SIN CLASIFICAR")))</f>
        <v/>
      </c>
      <c r="W888" s="5">
        <f>IF($F888="","",IFERROR(INDEX('CAT_CENTROS_COSTO'!$F$4:$F$13,MATCH($F888,'CAT_CENTROS_COSTO'!$A$4:$A$13,0)),"(sin catálogo)"))</f>
        <v/>
      </c>
      <c r="X888" s="5">
        <f>IF($F888="","",IFERROR(INDEX('CAT_CENTROS_COSTO'!$D$4:$D$13,MATCH($F888,'CAT_CENTROS_COSTO'!$A$4:$A$13,0)),"(sin catálogo)"))</f>
        <v/>
      </c>
      <c r="Y888" s="5">
        <f>IF($F888="","",IF((IFERROR(INDEX('CAT_CENTROS_COSTO'!$E$4:$E$13,MATCH($F888,'CAT_CENTROS_COSTO'!$A$4:$A$13,0)),""))&lt;&gt;"",IFERROR(INDEX('CAT_CENTROS_COSTO'!$E$4:$E$13,MATCH($F888,'CAT_CENTROS_COSTO'!$A$4:$A$13,0)),""),$X888))</f>
        <v/>
      </c>
      <c r="Z888" s="5">
        <f>IF($F888="","",IFERROR(INDEX('CAT_CENTROS_COSTO'!$G$4:$G$13,MATCH($F888,'CAT_CENTROS_COSTO'!$A$4:$A$13,0)),"(sin catálogo)"))</f>
        <v/>
      </c>
      <c r="AA888" s="5">
        <f>IF($G888="","",IFERROR(INDEX('CAT_PUESTOS'!$B$4:$B$8,MATCH($G888,'CAT_PUESTOS'!$A$4:$A$8,0)),"(sin catálogo)"))</f>
        <v/>
      </c>
      <c r="AB888" s="5">
        <f>IF($H888="","",IFERROR(INDEX('CAT_ACTIVIDADES'!$B$4:$B$11,MATCH($H888,'CAT_ACTIVIDADES'!$A$4:$A$11,0)),"(sin catálogo)"))</f>
        <v/>
      </c>
      <c r="AC888" s="20">
        <f>IF($J888="","",TODAY()-$J888)</f>
        <v/>
      </c>
      <c r="AD888" s="20">
        <f>IF($J888="","",IF($J888&lt;=TODAY(),COUNTIFS(cal_fechas,"&gt;="&amp;$J888,cal_fechas,"&lt;"&amp;TODAY(),cal_habil,"sí"),-COUNTIFS(cal_fechas,"&gt;="&amp;TODAY(),cal_fechas,"&lt;"&amp;$J888,cal_habil,"sí")))</f>
        <v/>
      </c>
      <c r="AE888" s="5">
        <f>IF($AD888="","",IF($AD888&lt;0,"FUTURO",IF($AD888&gt;p_dias_backlog_max,"BACKLOG","MES CORRIENTE")))</f>
        <v/>
      </c>
      <c r="AF888" s="5">
        <f>IF($AD888="",FALSE,AND($AD888&gt;p_dias_backlog_min,$AD888&lt;=p_dias_backlog_max))</f>
        <v/>
      </c>
      <c r="AG888" s="4" t="n"/>
      <c r="AH888" s="5">
        <f>IF($AG888="","",IF((IFERROR(INDEX('ASIGNACIONES'!$J$4:$J$451,MATCH($O888&amp;"|"&amp;$S888&amp;"|"&amp;$AG888,'ASIGNACIONES'!$N$4:$N$451,0)),""))=0,"",IFERROR(INDEX('ASIGNACIONES'!$J$4:$J$451,MATCH($O888&amp;"|"&amp;$S888&amp;"|"&amp;$AG888,'ASIGNACIONES'!$N$4:$N$451,0)),"")))</f>
        <v/>
      </c>
      <c r="AI888" s="25">
        <f>IF($AG888="","",SUMIFS('ORDENES'!$M$4:$M$1203,'ORDENES'!$AG$4:$AG$1203,$AG888,'ORDENES'!$O$4:$O$1203,$O888,'ORDENES'!$S$4:$S$1203,$S888))</f>
        <v/>
      </c>
      <c r="AJ888" s="25">
        <f>IF($AI888="","",p_factor_productividad*IFERROR(INDEX('ASIGNACIONES'!$M$4:$M$451,MATCH($O888&amp;"|"&amp;$S888&amp;"|"&amp;$AG888,'ASIGNACIONES'!$N$4:$N$451,0)),0)-$AI888)</f>
        <v/>
      </c>
      <c r="AK888" s="18">
        <f>IF($A888="","",IFERROR(INDEX('2_IMPORTAR_EJECUCION'!$F$9:$F$1208,MATCH($AT888,'2_IMPORTAR_EJECUCION'!$J$9:$J$1208,0)),0))</f>
        <v/>
      </c>
      <c r="AL888" s="18">
        <f>IF($A888="","",MAX(0,IFERROR(INDEX('2_IMPORTAR_EJECUCION'!$H$9:$H$1208,MATCH($AT888,'2_IMPORTAR_EJECUCION'!$J$9:$J$1208,0)),0)-$AK888))</f>
        <v/>
      </c>
      <c r="AM888" s="18">
        <f>IF($A888="","",$AK888+$AL888)</f>
        <v/>
      </c>
      <c r="AN888" s="5">
        <f>IF($A888="","",IF(OR((IFERROR(INDEX('CAT_ACTIVIDADES'!$D$4:$D$11,MATCH($H888,'CAT_ACTIVIDADES'!$A$4:$A$11,0)),""))=0,(IFERROR(INDEX('CAT_ACTIVIDADES'!$D$4:$D$11,MATCH($H888,'CAT_ACTIVIDADES'!$A$4:$A$11,0)),""))=""),"SIN CLASIFICAR",IFERROR(INDEX('CAT_ACTIVIDADES'!$D$4:$D$11,MATCH($H888,'CAT_ACTIVIDADES'!$A$4:$A$11,0)),"")))</f>
        <v/>
      </c>
      <c r="AO888" s="4" t="n"/>
      <c r="AP888" s="4" t="n"/>
      <c r="AQ888" s="4" t="n"/>
      <c r="AR888" s="5">
        <f>IF($AQ888="","",HYPERLINK(p_ruta_base_checklists&amp;$AQ888,"abrir"))</f>
        <v/>
      </c>
      <c r="AS888" s="4" t="n"/>
      <c r="AT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2" t="n"/>
      <c r="K889" s="5" t="n"/>
      <c r="L889" s="18" t="n"/>
      <c r="M889" s="5">
        <f>IF($A889="","",IFERROR(INDEX('AJUSTES'!$B$4:$B$303,MATCH($AT889,'AJUSTES'!$A$4:$A$303,0)),IF($K889="","",$K889)))</f>
        <v/>
      </c>
      <c r="N889" s="5">
        <f>IF($A889="","",IFERROR(INDEX('CAT_ESTADOS_ERP'!$B$4:$B$7,MATCH(IFERROR(INDEX('2_IMPORTAR_EJECUCION'!$C$9:$C$1208,MATCH($AT889,'2_IMPORTAR_EJECUCION'!$J$9:$J$1208,0)),""),'CAT_ESTADOS_ERP'!$A$4:$A$7,0)),"Pendiente"))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IF($J889="","",$P889&amp;"-"&amp;TEXT($Q889,"00"))</f>
        <v/>
      </c>
      <c r="S889" s="5">
        <f>IF($J889="","",INDEX(lista_dias,WEEKDAY($J889,2)))</f>
        <v/>
      </c>
      <c r="T889" s="5">
        <f>IF($J889="","",IFERROR(INDEX('CALENDARIO'!$C$15:$C$214,MATCH(TEXT($J889,"yyyy-mm-dd")&amp;"|"&amp;$X889&amp;"|"&amp;$Y889,'CALENDARIO'!$G$15:$G$214,0)),IFERROR(INDEX('CALENDARIO'!$C$15:$C$214,MATCH(TEXT($J889,"yyyy-mm-dd")&amp;"|"&amp;$X889&amp;"|",'CALENDARIO'!$G$15:$G$214,0)),IFERROR(INDEX('CALENDARIO'!$C$15:$C$214,MATCH(TEXT($J889,"yyyy-mm-dd")&amp;"||",'CALENDARIO'!$G$15:$G$214,0)),INDEX(patronHabil,WEEKDAY($J889,2))))))</f>
        <v/>
      </c>
      <c r="U889" s="5">
        <f>IF($I889="","",IFERROR(INDEX('CAT_TIPOS_OT'!$C$4:$C$8,MATCH($I889,'CAT_TIPOS_OT'!$A$4:$A$8,0)),"sin_clasificar"))</f>
        <v/>
      </c>
      <c r="V889" s="5">
        <f>IF($I889="","",IF(IFERROR(INDEX('CAT_TIPOS_OT'!$D$4:$D$8,MATCH($I889,'CAT_TIPOS_OT'!$A$4:$A$8,0)),"SIN CLASIFICAR")="","SIN CLASIFICAR",IFERROR(INDEX('CAT_TIPOS_OT'!$D$4:$D$8,MATCH($I889,'CAT_TIPOS_OT'!$A$4:$A$8,0)),"SIN CLASIFICAR")))</f>
        <v/>
      </c>
      <c r="W889" s="5">
        <f>IF($F889="","",IFERROR(INDEX('CAT_CENTROS_COSTO'!$F$4:$F$13,MATCH($F889,'CAT_CENTROS_COSTO'!$A$4:$A$13,0)),"(sin catálogo)"))</f>
        <v/>
      </c>
      <c r="X889" s="5">
        <f>IF($F889="","",IFERROR(INDEX('CAT_CENTROS_COSTO'!$D$4:$D$13,MATCH($F889,'CAT_CENTROS_COSTO'!$A$4:$A$13,0)),"(sin catálogo)"))</f>
        <v/>
      </c>
      <c r="Y889" s="5">
        <f>IF($F889="","",IF((IFERROR(INDEX('CAT_CENTROS_COSTO'!$E$4:$E$13,MATCH($F889,'CAT_CENTROS_COSTO'!$A$4:$A$13,0)),""))&lt;&gt;"",IFERROR(INDEX('CAT_CENTROS_COSTO'!$E$4:$E$13,MATCH($F889,'CAT_CENTROS_COSTO'!$A$4:$A$13,0)),""),$X889))</f>
        <v/>
      </c>
      <c r="Z889" s="5">
        <f>IF($F889="","",IFERROR(INDEX('CAT_CENTROS_COSTO'!$G$4:$G$13,MATCH($F889,'CAT_CENTROS_COSTO'!$A$4:$A$13,0)),"(sin catálogo)"))</f>
        <v/>
      </c>
      <c r="AA889" s="5">
        <f>IF($G889="","",IFERROR(INDEX('CAT_PUESTOS'!$B$4:$B$8,MATCH($G889,'CAT_PUESTOS'!$A$4:$A$8,0)),"(sin catálogo)"))</f>
        <v/>
      </c>
      <c r="AB889" s="5">
        <f>IF($H889="","",IFERROR(INDEX('CAT_ACTIVIDADES'!$B$4:$B$11,MATCH($H889,'CAT_ACTIVIDADES'!$A$4:$A$11,0)),"(sin catálogo)"))</f>
        <v/>
      </c>
      <c r="AC889" s="20">
        <f>IF($J889="","",TODAY()-$J889)</f>
        <v/>
      </c>
      <c r="AD889" s="20">
        <f>IF($J889="","",IF($J889&lt;=TODAY(),COUNTIFS(cal_fechas,"&gt;="&amp;$J889,cal_fechas,"&lt;"&amp;TODAY(),cal_habil,"sí"),-COUNTIFS(cal_fechas,"&gt;="&amp;TODAY(),cal_fechas,"&lt;"&amp;$J889,cal_habil,"sí")))</f>
        <v/>
      </c>
      <c r="AE889" s="5">
        <f>IF($AD889="","",IF($AD889&lt;0,"FUTURO",IF($AD889&gt;p_dias_backlog_max,"BACKLOG","MES CORRIENTE")))</f>
        <v/>
      </c>
      <c r="AF889" s="5">
        <f>IF($AD889="",FALSE,AND($AD889&gt;p_dias_backlog_min,$AD889&lt;=p_dias_backlog_max))</f>
        <v/>
      </c>
      <c r="AG889" s="4" t="n"/>
      <c r="AH889" s="5">
        <f>IF($AG889="","",IF((IFERROR(INDEX('ASIGNACIONES'!$J$4:$J$451,MATCH($O889&amp;"|"&amp;$S889&amp;"|"&amp;$AG889,'ASIGNACIONES'!$N$4:$N$451,0)),""))=0,"",IFERROR(INDEX('ASIGNACIONES'!$J$4:$J$451,MATCH($O889&amp;"|"&amp;$S889&amp;"|"&amp;$AG889,'ASIGNACIONES'!$N$4:$N$451,0)),"")))</f>
        <v/>
      </c>
      <c r="AI889" s="25">
        <f>IF($AG889="","",SUMIFS('ORDENES'!$M$4:$M$1203,'ORDENES'!$AG$4:$AG$1203,$AG889,'ORDENES'!$O$4:$O$1203,$O889,'ORDENES'!$S$4:$S$1203,$S889))</f>
        <v/>
      </c>
      <c r="AJ889" s="25">
        <f>IF($AI889="","",p_factor_productividad*IFERROR(INDEX('ASIGNACIONES'!$M$4:$M$451,MATCH($O889&amp;"|"&amp;$S889&amp;"|"&amp;$AG889,'ASIGNACIONES'!$N$4:$N$451,0)),0)-$AI889)</f>
        <v/>
      </c>
      <c r="AK889" s="18">
        <f>IF($A889="","",IFERROR(INDEX('2_IMPORTAR_EJECUCION'!$F$9:$F$1208,MATCH($AT889,'2_IMPORTAR_EJECUCION'!$J$9:$J$1208,0)),0))</f>
        <v/>
      </c>
      <c r="AL889" s="18">
        <f>IF($A889="","",MAX(0,IFERROR(INDEX('2_IMPORTAR_EJECUCION'!$H$9:$H$1208,MATCH($AT889,'2_IMPORTAR_EJECUCION'!$J$9:$J$1208,0)),0)-$AK889))</f>
        <v/>
      </c>
      <c r="AM889" s="18">
        <f>IF($A889="","",$AK889+$AL889)</f>
        <v/>
      </c>
      <c r="AN889" s="5">
        <f>IF($A889="","",IF(OR((IFERROR(INDEX('CAT_ACTIVIDADES'!$D$4:$D$11,MATCH($H889,'CAT_ACTIVIDADES'!$A$4:$A$11,0)),""))=0,(IFERROR(INDEX('CAT_ACTIVIDADES'!$D$4:$D$11,MATCH($H889,'CAT_ACTIVIDADES'!$A$4:$A$11,0)),""))=""),"SIN CLASIFICAR",IFERROR(INDEX('CAT_ACTIVIDADES'!$D$4:$D$11,MATCH($H889,'CAT_ACTIVIDADES'!$A$4:$A$11,0)),"")))</f>
        <v/>
      </c>
      <c r="AO889" s="4" t="n"/>
      <c r="AP889" s="4" t="n"/>
      <c r="AQ889" s="4" t="n"/>
      <c r="AR889" s="5">
        <f>IF($AQ889="","",HYPERLINK(p_ruta_base_checklists&amp;$AQ889,"abrir"))</f>
        <v/>
      </c>
      <c r="AS889" s="4" t="n"/>
      <c r="AT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2" t="n"/>
      <c r="K890" s="5" t="n"/>
      <c r="L890" s="18" t="n"/>
      <c r="M890" s="5">
        <f>IF($A890="","",IFERROR(INDEX('AJUSTES'!$B$4:$B$303,MATCH($AT890,'AJUSTES'!$A$4:$A$303,0)),IF($K890="","",$K890)))</f>
        <v/>
      </c>
      <c r="N890" s="5">
        <f>IF($A890="","",IFERROR(INDEX('CAT_ESTADOS_ERP'!$B$4:$B$7,MATCH(IFERROR(INDEX('2_IMPORTAR_EJECUCION'!$C$9:$C$1208,MATCH($AT890,'2_IMPORTAR_EJECUCION'!$J$9:$J$1208,0)),""),'CAT_ESTADOS_ERP'!$A$4:$A$7,0)),"Pendiente"))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IF($J890="","",$P890&amp;"-"&amp;TEXT($Q890,"00"))</f>
        <v/>
      </c>
      <c r="S890" s="5">
        <f>IF($J890="","",INDEX(lista_dias,WEEKDAY($J890,2)))</f>
        <v/>
      </c>
      <c r="T890" s="5">
        <f>IF($J890="","",IFERROR(INDEX('CALENDARIO'!$C$15:$C$214,MATCH(TEXT($J890,"yyyy-mm-dd")&amp;"|"&amp;$X890&amp;"|"&amp;$Y890,'CALENDARIO'!$G$15:$G$214,0)),IFERROR(INDEX('CALENDARIO'!$C$15:$C$214,MATCH(TEXT($J890,"yyyy-mm-dd")&amp;"|"&amp;$X890&amp;"|",'CALENDARIO'!$G$15:$G$214,0)),IFERROR(INDEX('CALENDARIO'!$C$15:$C$214,MATCH(TEXT($J890,"yyyy-mm-dd")&amp;"||",'CALENDARIO'!$G$15:$G$214,0)),INDEX(patronHabil,WEEKDAY($J890,2))))))</f>
        <v/>
      </c>
      <c r="U890" s="5">
        <f>IF($I890="","",IFERROR(INDEX('CAT_TIPOS_OT'!$C$4:$C$8,MATCH($I890,'CAT_TIPOS_OT'!$A$4:$A$8,0)),"sin_clasificar"))</f>
        <v/>
      </c>
      <c r="V890" s="5">
        <f>IF($I890="","",IF(IFERROR(INDEX('CAT_TIPOS_OT'!$D$4:$D$8,MATCH($I890,'CAT_TIPOS_OT'!$A$4:$A$8,0)),"SIN CLASIFICAR")="","SIN CLASIFICAR",IFERROR(INDEX('CAT_TIPOS_OT'!$D$4:$D$8,MATCH($I890,'CAT_TIPOS_OT'!$A$4:$A$8,0)),"SIN CLASIFICAR")))</f>
        <v/>
      </c>
      <c r="W890" s="5">
        <f>IF($F890="","",IFERROR(INDEX('CAT_CENTROS_COSTO'!$F$4:$F$13,MATCH($F890,'CAT_CENTROS_COSTO'!$A$4:$A$13,0)),"(sin catálogo)"))</f>
        <v/>
      </c>
      <c r="X890" s="5">
        <f>IF($F890="","",IFERROR(INDEX('CAT_CENTROS_COSTO'!$D$4:$D$13,MATCH($F890,'CAT_CENTROS_COSTO'!$A$4:$A$13,0)),"(sin catálogo)"))</f>
        <v/>
      </c>
      <c r="Y890" s="5">
        <f>IF($F890="","",IF((IFERROR(INDEX('CAT_CENTROS_COSTO'!$E$4:$E$13,MATCH($F890,'CAT_CENTROS_COSTO'!$A$4:$A$13,0)),""))&lt;&gt;"",IFERROR(INDEX('CAT_CENTROS_COSTO'!$E$4:$E$13,MATCH($F890,'CAT_CENTROS_COSTO'!$A$4:$A$13,0)),""),$X890))</f>
        <v/>
      </c>
      <c r="Z890" s="5">
        <f>IF($F890="","",IFERROR(INDEX('CAT_CENTROS_COSTO'!$G$4:$G$13,MATCH($F890,'CAT_CENTROS_COSTO'!$A$4:$A$13,0)),"(sin catálogo)"))</f>
        <v/>
      </c>
      <c r="AA890" s="5">
        <f>IF($G890="","",IFERROR(INDEX('CAT_PUESTOS'!$B$4:$B$8,MATCH($G890,'CAT_PUESTOS'!$A$4:$A$8,0)),"(sin catálogo)"))</f>
        <v/>
      </c>
      <c r="AB890" s="5">
        <f>IF($H890="","",IFERROR(INDEX('CAT_ACTIVIDADES'!$B$4:$B$11,MATCH($H890,'CAT_ACTIVIDADES'!$A$4:$A$11,0)),"(sin catálogo)"))</f>
        <v/>
      </c>
      <c r="AC890" s="20">
        <f>IF($J890="","",TODAY()-$J890)</f>
        <v/>
      </c>
      <c r="AD890" s="20">
        <f>IF($J890="","",IF($J890&lt;=TODAY(),COUNTIFS(cal_fechas,"&gt;="&amp;$J890,cal_fechas,"&lt;"&amp;TODAY(),cal_habil,"sí"),-COUNTIFS(cal_fechas,"&gt;="&amp;TODAY(),cal_fechas,"&lt;"&amp;$J890,cal_habil,"sí")))</f>
        <v/>
      </c>
      <c r="AE890" s="5">
        <f>IF($AD890="","",IF($AD890&lt;0,"FUTURO",IF($AD890&gt;p_dias_backlog_max,"BACKLOG","MES CORRIENTE")))</f>
        <v/>
      </c>
      <c r="AF890" s="5">
        <f>IF($AD890="",FALSE,AND($AD890&gt;p_dias_backlog_min,$AD890&lt;=p_dias_backlog_max))</f>
        <v/>
      </c>
      <c r="AG890" s="4" t="n"/>
      <c r="AH890" s="5">
        <f>IF($AG890="","",IF((IFERROR(INDEX('ASIGNACIONES'!$J$4:$J$451,MATCH($O890&amp;"|"&amp;$S890&amp;"|"&amp;$AG890,'ASIGNACIONES'!$N$4:$N$451,0)),""))=0,"",IFERROR(INDEX('ASIGNACIONES'!$J$4:$J$451,MATCH($O890&amp;"|"&amp;$S890&amp;"|"&amp;$AG890,'ASIGNACIONES'!$N$4:$N$451,0)),"")))</f>
        <v/>
      </c>
      <c r="AI890" s="25">
        <f>IF($AG890="","",SUMIFS('ORDENES'!$M$4:$M$1203,'ORDENES'!$AG$4:$AG$1203,$AG890,'ORDENES'!$O$4:$O$1203,$O890,'ORDENES'!$S$4:$S$1203,$S890))</f>
        <v/>
      </c>
      <c r="AJ890" s="25">
        <f>IF($AI890="","",p_factor_productividad*IFERROR(INDEX('ASIGNACIONES'!$M$4:$M$451,MATCH($O890&amp;"|"&amp;$S890&amp;"|"&amp;$AG890,'ASIGNACIONES'!$N$4:$N$451,0)),0)-$AI890)</f>
        <v/>
      </c>
      <c r="AK890" s="18">
        <f>IF($A890="","",IFERROR(INDEX('2_IMPORTAR_EJECUCION'!$F$9:$F$1208,MATCH($AT890,'2_IMPORTAR_EJECUCION'!$J$9:$J$1208,0)),0))</f>
        <v/>
      </c>
      <c r="AL890" s="18">
        <f>IF($A890="","",MAX(0,IFERROR(INDEX('2_IMPORTAR_EJECUCION'!$H$9:$H$1208,MATCH($AT890,'2_IMPORTAR_EJECUCION'!$J$9:$J$1208,0)),0)-$AK890))</f>
        <v/>
      </c>
      <c r="AM890" s="18">
        <f>IF($A890="","",$AK890+$AL890)</f>
        <v/>
      </c>
      <c r="AN890" s="5">
        <f>IF($A890="","",IF(OR((IFERROR(INDEX('CAT_ACTIVIDADES'!$D$4:$D$11,MATCH($H890,'CAT_ACTIVIDADES'!$A$4:$A$11,0)),""))=0,(IFERROR(INDEX('CAT_ACTIVIDADES'!$D$4:$D$11,MATCH($H890,'CAT_ACTIVIDADES'!$A$4:$A$11,0)),""))=""),"SIN CLASIFICAR",IFERROR(INDEX('CAT_ACTIVIDADES'!$D$4:$D$11,MATCH($H890,'CAT_ACTIVIDADES'!$A$4:$A$11,0)),"")))</f>
        <v/>
      </c>
      <c r="AO890" s="4" t="n"/>
      <c r="AP890" s="4" t="n"/>
      <c r="AQ890" s="4" t="n"/>
      <c r="AR890" s="5">
        <f>IF($AQ890="","",HYPERLINK(p_ruta_base_checklists&amp;$AQ890,"abrir"))</f>
        <v/>
      </c>
      <c r="AS890" s="4" t="n"/>
      <c r="AT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2" t="n"/>
      <c r="K891" s="5" t="n"/>
      <c r="L891" s="18" t="n"/>
      <c r="M891" s="5">
        <f>IF($A891="","",IFERROR(INDEX('AJUSTES'!$B$4:$B$303,MATCH($AT891,'AJUSTES'!$A$4:$A$303,0)),IF($K891="","",$K891)))</f>
        <v/>
      </c>
      <c r="N891" s="5">
        <f>IF($A891="","",IFERROR(INDEX('CAT_ESTADOS_ERP'!$B$4:$B$7,MATCH(IFERROR(INDEX('2_IMPORTAR_EJECUCION'!$C$9:$C$1208,MATCH($AT891,'2_IMPORTAR_EJECUCION'!$J$9:$J$1208,0)),""),'CAT_ESTADOS_ERP'!$A$4:$A$7,0)),"Pendiente"))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IF($J891="","",$P891&amp;"-"&amp;TEXT($Q891,"00"))</f>
        <v/>
      </c>
      <c r="S891" s="5">
        <f>IF($J891="","",INDEX(lista_dias,WEEKDAY($J891,2)))</f>
        <v/>
      </c>
      <c r="T891" s="5">
        <f>IF($J891="","",IFERROR(INDEX('CALENDARIO'!$C$15:$C$214,MATCH(TEXT($J891,"yyyy-mm-dd")&amp;"|"&amp;$X891&amp;"|"&amp;$Y891,'CALENDARIO'!$G$15:$G$214,0)),IFERROR(INDEX('CALENDARIO'!$C$15:$C$214,MATCH(TEXT($J891,"yyyy-mm-dd")&amp;"|"&amp;$X891&amp;"|",'CALENDARIO'!$G$15:$G$214,0)),IFERROR(INDEX('CALENDARIO'!$C$15:$C$214,MATCH(TEXT($J891,"yyyy-mm-dd")&amp;"||",'CALENDARIO'!$G$15:$G$214,0)),INDEX(patronHabil,WEEKDAY($J891,2))))))</f>
        <v/>
      </c>
      <c r="U891" s="5">
        <f>IF($I891="","",IFERROR(INDEX('CAT_TIPOS_OT'!$C$4:$C$8,MATCH($I891,'CAT_TIPOS_OT'!$A$4:$A$8,0)),"sin_clasificar"))</f>
        <v/>
      </c>
      <c r="V891" s="5">
        <f>IF($I891="","",IF(IFERROR(INDEX('CAT_TIPOS_OT'!$D$4:$D$8,MATCH($I891,'CAT_TIPOS_OT'!$A$4:$A$8,0)),"SIN CLASIFICAR")="","SIN CLASIFICAR",IFERROR(INDEX('CAT_TIPOS_OT'!$D$4:$D$8,MATCH($I891,'CAT_TIPOS_OT'!$A$4:$A$8,0)),"SIN CLASIFICAR")))</f>
        <v/>
      </c>
      <c r="W891" s="5">
        <f>IF($F891="","",IFERROR(INDEX('CAT_CENTROS_COSTO'!$F$4:$F$13,MATCH($F891,'CAT_CENTROS_COSTO'!$A$4:$A$13,0)),"(sin catálogo)"))</f>
        <v/>
      </c>
      <c r="X891" s="5">
        <f>IF($F891="","",IFERROR(INDEX('CAT_CENTROS_COSTO'!$D$4:$D$13,MATCH($F891,'CAT_CENTROS_COSTO'!$A$4:$A$13,0)),"(sin catálogo)"))</f>
        <v/>
      </c>
      <c r="Y891" s="5">
        <f>IF($F891="","",IF((IFERROR(INDEX('CAT_CENTROS_COSTO'!$E$4:$E$13,MATCH($F891,'CAT_CENTROS_COSTO'!$A$4:$A$13,0)),""))&lt;&gt;"",IFERROR(INDEX('CAT_CENTROS_COSTO'!$E$4:$E$13,MATCH($F891,'CAT_CENTROS_COSTO'!$A$4:$A$13,0)),""),$X891))</f>
        <v/>
      </c>
      <c r="Z891" s="5">
        <f>IF($F891="","",IFERROR(INDEX('CAT_CENTROS_COSTO'!$G$4:$G$13,MATCH($F891,'CAT_CENTROS_COSTO'!$A$4:$A$13,0)),"(sin catálogo)"))</f>
        <v/>
      </c>
      <c r="AA891" s="5">
        <f>IF($G891="","",IFERROR(INDEX('CAT_PUESTOS'!$B$4:$B$8,MATCH($G891,'CAT_PUESTOS'!$A$4:$A$8,0)),"(sin catálogo)"))</f>
        <v/>
      </c>
      <c r="AB891" s="5">
        <f>IF($H891="","",IFERROR(INDEX('CAT_ACTIVIDADES'!$B$4:$B$11,MATCH($H891,'CAT_ACTIVIDADES'!$A$4:$A$11,0)),"(sin catálogo)"))</f>
        <v/>
      </c>
      <c r="AC891" s="20">
        <f>IF($J891="","",TODAY()-$J891)</f>
        <v/>
      </c>
      <c r="AD891" s="20">
        <f>IF($J891="","",IF($J891&lt;=TODAY(),COUNTIFS(cal_fechas,"&gt;="&amp;$J891,cal_fechas,"&lt;"&amp;TODAY(),cal_habil,"sí"),-COUNTIFS(cal_fechas,"&gt;="&amp;TODAY(),cal_fechas,"&lt;"&amp;$J891,cal_habil,"sí")))</f>
        <v/>
      </c>
      <c r="AE891" s="5">
        <f>IF($AD891="","",IF($AD891&lt;0,"FUTURO",IF($AD891&gt;p_dias_backlog_max,"BACKLOG","MES CORRIENTE")))</f>
        <v/>
      </c>
      <c r="AF891" s="5">
        <f>IF($AD891="",FALSE,AND($AD891&gt;p_dias_backlog_min,$AD891&lt;=p_dias_backlog_max))</f>
        <v/>
      </c>
      <c r="AG891" s="4" t="n"/>
      <c r="AH891" s="5">
        <f>IF($AG891="","",IF((IFERROR(INDEX('ASIGNACIONES'!$J$4:$J$451,MATCH($O891&amp;"|"&amp;$S891&amp;"|"&amp;$AG891,'ASIGNACIONES'!$N$4:$N$451,0)),""))=0,"",IFERROR(INDEX('ASIGNACIONES'!$J$4:$J$451,MATCH($O891&amp;"|"&amp;$S891&amp;"|"&amp;$AG891,'ASIGNACIONES'!$N$4:$N$451,0)),"")))</f>
        <v/>
      </c>
      <c r="AI891" s="25">
        <f>IF($AG891="","",SUMIFS('ORDENES'!$M$4:$M$1203,'ORDENES'!$AG$4:$AG$1203,$AG891,'ORDENES'!$O$4:$O$1203,$O891,'ORDENES'!$S$4:$S$1203,$S891))</f>
        <v/>
      </c>
      <c r="AJ891" s="25">
        <f>IF($AI891="","",p_factor_productividad*IFERROR(INDEX('ASIGNACIONES'!$M$4:$M$451,MATCH($O891&amp;"|"&amp;$S891&amp;"|"&amp;$AG891,'ASIGNACIONES'!$N$4:$N$451,0)),0)-$AI891)</f>
        <v/>
      </c>
      <c r="AK891" s="18">
        <f>IF($A891="","",IFERROR(INDEX('2_IMPORTAR_EJECUCION'!$F$9:$F$1208,MATCH($AT891,'2_IMPORTAR_EJECUCION'!$J$9:$J$1208,0)),0))</f>
        <v/>
      </c>
      <c r="AL891" s="18">
        <f>IF($A891="","",MAX(0,IFERROR(INDEX('2_IMPORTAR_EJECUCION'!$H$9:$H$1208,MATCH($AT891,'2_IMPORTAR_EJECUCION'!$J$9:$J$1208,0)),0)-$AK891))</f>
        <v/>
      </c>
      <c r="AM891" s="18">
        <f>IF($A891="","",$AK891+$AL891)</f>
        <v/>
      </c>
      <c r="AN891" s="5">
        <f>IF($A891="","",IF(OR((IFERROR(INDEX('CAT_ACTIVIDADES'!$D$4:$D$11,MATCH($H891,'CAT_ACTIVIDADES'!$A$4:$A$11,0)),""))=0,(IFERROR(INDEX('CAT_ACTIVIDADES'!$D$4:$D$11,MATCH($H891,'CAT_ACTIVIDADES'!$A$4:$A$11,0)),""))=""),"SIN CLASIFICAR",IFERROR(INDEX('CAT_ACTIVIDADES'!$D$4:$D$11,MATCH($H891,'CAT_ACTIVIDADES'!$A$4:$A$11,0)),"")))</f>
        <v/>
      </c>
      <c r="AO891" s="4" t="n"/>
      <c r="AP891" s="4" t="n"/>
      <c r="AQ891" s="4" t="n"/>
      <c r="AR891" s="5">
        <f>IF($AQ891="","",HYPERLINK(p_ruta_base_checklists&amp;$AQ891,"abrir"))</f>
        <v/>
      </c>
      <c r="AS891" s="4" t="n"/>
      <c r="AT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2" t="n"/>
      <c r="K892" s="5" t="n"/>
      <c r="L892" s="18" t="n"/>
      <c r="M892" s="5">
        <f>IF($A892="","",IFERROR(INDEX('AJUSTES'!$B$4:$B$303,MATCH($AT892,'AJUSTES'!$A$4:$A$303,0)),IF($K892="","",$K892)))</f>
        <v/>
      </c>
      <c r="N892" s="5">
        <f>IF($A892="","",IFERROR(INDEX('CAT_ESTADOS_ERP'!$B$4:$B$7,MATCH(IFERROR(INDEX('2_IMPORTAR_EJECUCION'!$C$9:$C$1208,MATCH($AT892,'2_IMPORTAR_EJECUCION'!$J$9:$J$1208,0)),""),'CAT_ESTADOS_ERP'!$A$4:$A$7,0)),"Pendiente"))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IF($J892="","",$P892&amp;"-"&amp;TEXT($Q892,"00"))</f>
        <v/>
      </c>
      <c r="S892" s="5">
        <f>IF($J892="","",INDEX(lista_dias,WEEKDAY($J892,2)))</f>
        <v/>
      </c>
      <c r="T892" s="5">
        <f>IF($J892="","",IFERROR(INDEX('CALENDARIO'!$C$15:$C$214,MATCH(TEXT($J892,"yyyy-mm-dd")&amp;"|"&amp;$X892&amp;"|"&amp;$Y892,'CALENDARIO'!$G$15:$G$214,0)),IFERROR(INDEX('CALENDARIO'!$C$15:$C$214,MATCH(TEXT($J892,"yyyy-mm-dd")&amp;"|"&amp;$X892&amp;"|",'CALENDARIO'!$G$15:$G$214,0)),IFERROR(INDEX('CALENDARIO'!$C$15:$C$214,MATCH(TEXT($J892,"yyyy-mm-dd")&amp;"||",'CALENDARIO'!$G$15:$G$214,0)),INDEX(patronHabil,WEEKDAY($J892,2))))))</f>
        <v/>
      </c>
      <c r="U892" s="5">
        <f>IF($I892="","",IFERROR(INDEX('CAT_TIPOS_OT'!$C$4:$C$8,MATCH($I892,'CAT_TIPOS_OT'!$A$4:$A$8,0)),"sin_clasificar"))</f>
        <v/>
      </c>
      <c r="V892" s="5">
        <f>IF($I892="","",IF(IFERROR(INDEX('CAT_TIPOS_OT'!$D$4:$D$8,MATCH($I892,'CAT_TIPOS_OT'!$A$4:$A$8,0)),"SIN CLASIFICAR")="","SIN CLASIFICAR",IFERROR(INDEX('CAT_TIPOS_OT'!$D$4:$D$8,MATCH($I892,'CAT_TIPOS_OT'!$A$4:$A$8,0)),"SIN CLASIFICAR")))</f>
        <v/>
      </c>
      <c r="W892" s="5">
        <f>IF($F892="","",IFERROR(INDEX('CAT_CENTROS_COSTO'!$F$4:$F$13,MATCH($F892,'CAT_CENTROS_COSTO'!$A$4:$A$13,0)),"(sin catálogo)"))</f>
        <v/>
      </c>
      <c r="X892" s="5">
        <f>IF($F892="","",IFERROR(INDEX('CAT_CENTROS_COSTO'!$D$4:$D$13,MATCH($F892,'CAT_CENTROS_COSTO'!$A$4:$A$13,0)),"(sin catálogo)"))</f>
        <v/>
      </c>
      <c r="Y892" s="5">
        <f>IF($F892="","",IF((IFERROR(INDEX('CAT_CENTROS_COSTO'!$E$4:$E$13,MATCH($F892,'CAT_CENTROS_COSTO'!$A$4:$A$13,0)),""))&lt;&gt;"",IFERROR(INDEX('CAT_CENTROS_COSTO'!$E$4:$E$13,MATCH($F892,'CAT_CENTROS_COSTO'!$A$4:$A$13,0)),""),$X892))</f>
        <v/>
      </c>
      <c r="Z892" s="5">
        <f>IF($F892="","",IFERROR(INDEX('CAT_CENTROS_COSTO'!$G$4:$G$13,MATCH($F892,'CAT_CENTROS_COSTO'!$A$4:$A$13,0)),"(sin catálogo)"))</f>
        <v/>
      </c>
      <c r="AA892" s="5">
        <f>IF($G892="","",IFERROR(INDEX('CAT_PUESTOS'!$B$4:$B$8,MATCH($G892,'CAT_PUESTOS'!$A$4:$A$8,0)),"(sin catálogo)"))</f>
        <v/>
      </c>
      <c r="AB892" s="5">
        <f>IF($H892="","",IFERROR(INDEX('CAT_ACTIVIDADES'!$B$4:$B$11,MATCH($H892,'CAT_ACTIVIDADES'!$A$4:$A$11,0)),"(sin catálogo)"))</f>
        <v/>
      </c>
      <c r="AC892" s="20">
        <f>IF($J892="","",TODAY()-$J892)</f>
        <v/>
      </c>
      <c r="AD892" s="20">
        <f>IF($J892="","",IF($J892&lt;=TODAY(),COUNTIFS(cal_fechas,"&gt;="&amp;$J892,cal_fechas,"&lt;"&amp;TODAY(),cal_habil,"sí"),-COUNTIFS(cal_fechas,"&gt;="&amp;TODAY(),cal_fechas,"&lt;"&amp;$J892,cal_habil,"sí")))</f>
        <v/>
      </c>
      <c r="AE892" s="5">
        <f>IF($AD892="","",IF($AD892&lt;0,"FUTURO",IF($AD892&gt;p_dias_backlog_max,"BACKLOG","MES CORRIENTE")))</f>
        <v/>
      </c>
      <c r="AF892" s="5">
        <f>IF($AD892="",FALSE,AND($AD892&gt;p_dias_backlog_min,$AD892&lt;=p_dias_backlog_max))</f>
        <v/>
      </c>
      <c r="AG892" s="4" t="n"/>
      <c r="AH892" s="5">
        <f>IF($AG892="","",IF((IFERROR(INDEX('ASIGNACIONES'!$J$4:$J$451,MATCH($O892&amp;"|"&amp;$S892&amp;"|"&amp;$AG892,'ASIGNACIONES'!$N$4:$N$451,0)),""))=0,"",IFERROR(INDEX('ASIGNACIONES'!$J$4:$J$451,MATCH($O892&amp;"|"&amp;$S892&amp;"|"&amp;$AG892,'ASIGNACIONES'!$N$4:$N$451,0)),"")))</f>
        <v/>
      </c>
      <c r="AI892" s="25">
        <f>IF($AG892="","",SUMIFS('ORDENES'!$M$4:$M$1203,'ORDENES'!$AG$4:$AG$1203,$AG892,'ORDENES'!$O$4:$O$1203,$O892,'ORDENES'!$S$4:$S$1203,$S892))</f>
        <v/>
      </c>
      <c r="AJ892" s="25">
        <f>IF($AI892="","",p_factor_productividad*IFERROR(INDEX('ASIGNACIONES'!$M$4:$M$451,MATCH($O892&amp;"|"&amp;$S892&amp;"|"&amp;$AG892,'ASIGNACIONES'!$N$4:$N$451,0)),0)-$AI892)</f>
        <v/>
      </c>
      <c r="AK892" s="18">
        <f>IF($A892="","",IFERROR(INDEX('2_IMPORTAR_EJECUCION'!$F$9:$F$1208,MATCH($AT892,'2_IMPORTAR_EJECUCION'!$J$9:$J$1208,0)),0))</f>
        <v/>
      </c>
      <c r="AL892" s="18">
        <f>IF($A892="","",MAX(0,IFERROR(INDEX('2_IMPORTAR_EJECUCION'!$H$9:$H$1208,MATCH($AT892,'2_IMPORTAR_EJECUCION'!$J$9:$J$1208,0)),0)-$AK892))</f>
        <v/>
      </c>
      <c r="AM892" s="18">
        <f>IF($A892="","",$AK892+$AL892)</f>
        <v/>
      </c>
      <c r="AN892" s="5">
        <f>IF($A892="","",IF(OR((IFERROR(INDEX('CAT_ACTIVIDADES'!$D$4:$D$11,MATCH($H892,'CAT_ACTIVIDADES'!$A$4:$A$11,0)),""))=0,(IFERROR(INDEX('CAT_ACTIVIDADES'!$D$4:$D$11,MATCH($H892,'CAT_ACTIVIDADES'!$A$4:$A$11,0)),""))=""),"SIN CLASIFICAR",IFERROR(INDEX('CAT_ACTIVIDADES'!$D$4:$D$11,MATCH($H892,'CAT_ACTIVIDADES'!$A$4:$A$11,0)),"")))</f>
        <v/>
      </c>
      <c r="AO892" s="4" t="n"/>
      <c r="AP892" s="4" t="n"/>
      <c r="AQ892" s="4" t="n"/>
      <c r="AR892" s="5">
        <f>IF($AQ892="","",HYPERLINK(p_ruta_base_checklists&amp;$AQ892,"abrir"))</f>
        <v/>
      </c>
      <c r="AS892" s="4" t="n"/>
      <c r="AT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2" t="n"/>
      <c r="K893" s="5" t="n"/>
      <c r="L893" s="18" t="n"/>
      <c r="M893" s="5">
        <f>IF($A893="","",IFERROR(INDEX('AJUSTES'!$B$4:$B$303,MATCH($AT893,'AJUSTES'!$A$4:$A$303,0)),IF($K893="","",$K893)))</f>
        <v/>
      </c>
      <c r="N893" s="5">
        <f>IF($A893="","",IFERROR(INDEX('CAT_ESTADOS_ERP'!$B$4:$B$7,MATCH(IFERROR(INDEX('2_IMPORTAR_EJECUCION'!$C$9:$C$1208,MATCH($AT893,'2_IMPORTAR_EJECUCION'!$J$9:$J$1208,0)),""),'CAT_ESTADOS_ERP'!$A$4:$A$7,0)),"Pendiente"))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IF($J893="","",$P893&amp;"-"&amp;TEXT($Q893,"00"))</f>
        <v/>
      </c>
      <c r="S893" s="5">
        <f>IF($J893="","",INDEX(lista_dias,WEEKDAY($J893,2)))</f>
        <v/>
      </c>
      <c r="T893" s="5">
        <f>IF($J893="","",IFERROR(INDEX('CALENDARIO'!$C$15:$C$214,MATCH(TEXT($J893,"yyyy-mm-dd")&amp;"|"&amp;$X893&amp;"|"&amp;$Y893,'CALENDARIO'!$G$15:$G$214,0)),IFERROR(INDEX('CALENDARIO'!$C$15:$C$214,MATCH(TEXT($J893,"yyyy-mm-dd")&amp;"|"&amp;$X893&amp;"|",'CALENDARIO'!$G$15:$G$214,0)),IFERROR(INDEX('CALENDARIO'!$C$15:$C$214,MATCH(TEXT($J893,"yyyy-mm-dd")&amp;"||",'CALENDARIO'!$G$15:$G$214,0)),INDEX(patronHabil,WEEKDAY($J893,2))))))</f>
        <v/>
      </c>
      <c r="U893" s="5">
        <f>IF($I893="","",IFERROR(INDEX('CAT_TIPOS_OT'!$C$4:$C$8,MATCH($I893,'CAT_TIPOS_OT'!$A$4:$A$8,0)),"sin_clasificar"))</f>
        <v/>
      </c>
      <c r="V893" s="5">
        <f>IF($I893="","",IF(IFERROR(INDEX('CAT_TIPOS_OT'!$D$4:$D$8,MATCH($I893,'CAT_TIPOS_OT'!$A$4:$A$8,0)),"SIN CLASIFICAR")="","SIN CLASIFICAR",IFERROR(INDEX('CAT_TIPOS_OT'!$D$4:$D$8,MATCH($I893,'CAT_TIPOS_OT'!$A$4:$A$8,0)),"SIN CLASIFICAR")))</f>
        <v/>
      </c>
      <c r="W893" s="5">
        <f>IF($F893="","",IFERROR(INDEX('CAT_CENTROS_COSTO'!$F$4:$F$13,MATCH($F893,'CAT_CENTROS_COSTO'!$A$4:$A$13,0)),"(sin catálogo)"))</f>
        <v/>
      </c>
      <c r="X893" s="5">
        <f>IF($F893="","",IFERROR(INDEX('CAT_CENTROS_COSTO'!$D$4:$D$13,MATCH($F893,'CAT_CENTROS_COSTO'!$A$4:$A$13,0)),"(sin catálogo)"))</f>
        <v/>
      </c>
      <c r="Y893" s="5">
        <f>IF($F893="","",IF((IFERROR(INDEX('CAT_CENTROS_COSTO'!$E$4:$E$13,MATCH($F893,'CAT_CENTROS_COSTO'!$A$4:$A$13,0)),""))&lt;&gt;"",IFERROR(INDEX('CAT_CENTROS_COSTO'!$E$4:$E$13,MATCH($F893,'CAT_CENTROS_COSTO'!$A$4:$A$13,0)),""),$X893))</f>
        <v/>
      </c>
      <c r="Z893" s="5">
        <f>IF($F893="","",IFERROR(INDEX('CAT_CENTROS_COSTO'!$G$4:$G$13,MATCH($F893,'CAT_CENTROS_COSTO'!$A$4:$A$13,0)),"(sin catálogo)"))</f>
        <v/>
      </c>
      <c r="AA893" s="5">
        <f>IF($G893="","",IFERROR(INDEX('CAT_PUESTOS'!$B$4:$B$8,MATCH($G893,'CAT_PUESTOS'!$A$4:$A$8,0)),"(sin catálogo)"))</f>
        <v/>
      </c>
      <c r="AB893" s="5">
        <f>IF($H893="","",IFERROR(INDEX('CAT_ACTIVIDADES'!$B$4:$B$11,MATCH($H893,'CAT_ACTIVIDADES'!$A$4:$A$11,0)),"(sin catálogo)"))</f>
        <v/>
      </c>
      <c r="AC893" s="20">
        <f>IF($J893="","",TODAY()-$J893)</f>
        <v/>
      </c>
      <c r="AD893" s="20">
        <f>IF($J893="","",IF($J893&lt;=TODAY(),COUNTIFS(cal_fechas,"&gt;="&amp;$J893,cal_fechas,"&lt;"&amp;TODAY(),cal_habil,"sí"),-COUNTIFS(cal_fechas,"&gt;="&amp;TODAY(),cal_fechas,"&lt;"&amp;$J893,cal_habil,"sí")))</f>
        <v/>
      </c>
      <c r="AE893" s="5">
        <f>IF($AD893="","",IF($AD893&lt;0,"FUTURO",IF($AD893&gt;p_dias_backlog_max,"BACKLOG","MES CORRIENTE")))</f>
        <v/>
      </c>
      <c r="AF893" s="5">
        <f>IF($AD893="",FALSE,AND($AD893&gt;p_dias_backlog_min,$AD893&lt;=p_dias_backlog_max))</f>
        <v/>
      </c>
      <c r="AG893" s="4" t="n"/>
      <c r="AH893" s="5">
        <f>IF($AG893="","",IF((IFERROR(INDEX('ASIGNACIONES'!$J$4:$J$451,MATCH($O893&amp;"|"&amp;$S893&amp;"|"&amp;$AG893,'ASIGNACIONES'!$N$4:$N$451,0)),""))=0,"",IFERROR(INDEX('ASIGNACIONES'!$J$4:$J$451,MATCH($O893&amp;"|"&amp;$S893&amp;"|"&amp;$AG893,'ASIGNACIONES'!$N$4:$N$451,0)),"")))</f>
        <v/>
      </c>
      <c r="AI893" s="25">
        <f>IF($AG893="","",SUMIFS('ORDENES'!$M$4:$M$1203,'ORDENES'!$AG$4:$AG$1203,$AG893,'ORDENES'!$O$4:$O$1203,$O893,'ORDENES'!$S$4:$S$1203,$S893))</f>
        <v/>
      </c>
      <c r="AJ893" s="25">
        <f>IF($AI893="","",p_factor_productividad*IFERROR(INDEX('ASIGNACIONES'!$M$4:$M$451,MATCH($O893&amp;"|"&amp;$S893&amp;"|"&amp;$AG893,'ASIGNACIONES'!$N$4:$N$451,0)),0)-$AI893)</f>
        <v/>
      </c>
      <c r="AK893" s="18">
        <f>IF($A893="","",IFERROR(INDEX('2_IMPORTAR_EJECUCION'!$F$9:$F$1208,MATCH($AT893,'2_IMPORTAR_EJECUCION'!$J$9:$J$1208,0)),0))</f>
        <v/>
      </c>
      <c r="AL893" s="18">
        <f>IF($A893="","",MAX(0,IFERROR(INDEX('2_IMPORTAR_EJECUCION'!$H$9:$H$1208,MATCH($AT893,'2_IMPORTAR_EJECUCION'!$J$9:$J$1208,0)),0)-$AK893))</f>
        <v/>
      </c>
      <c r="AM893" s="18">
        <f>IF($A893="","",$AK893+$AL893)</f>
        <v/>
      </c>
      <c r="AN893" s="5">
        <f>IF($A893="","",IF(OR((IFERROR(INDEX('CAT_ACTIVIDADES'!$D$4:$D$11,MATCH($H893,'CAT_ACTIVIDADES'!$A$4:$A$11,0)),""))=0,(IFERROR(INDEX('CAT_ACTIVIDADES'!$D$4:$D$11,MATCH($H893,'CAT_ACTIVIDADES'!$A$4:$A$11,0)),""))=""),"SIN CLASIFICAR",IFERROR(INDEX('CAT_ACTIVIDADES'!$D$4:$D$11,MATCH($H893,'CAT_ACTIVIDADES'!$A$4:$A$11,0)),"")))</f>
        <v/>
      </c>
      <c r="AO893" s="4" t="n"/>
      <c r="AP893" s="4" t="n"/>
      <c r="AQ893" s="4" t="n"/>
      <c r="AR893" s="5">
        <f>IF($AQ893="","",HYPERLINK(p_ruta_base_checklists&amp;$AQ893,"abrir"))</f>
        <v/>
      </c>
      <c r="AS893" s="4" t="n"/>
      <c r="AT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2" t="n"/>
      <c r="K894" s="5" t="n"/>
      <c r="L894" s="18" t="n"/>
      <c r="M894" s="5">
        <f>IF($A894="","",IFERROR(INDEX('AJUSTES'!$B$4:$B$303,MATCH($AT894,'AJUSTES'!$A$4:$A$303,0)),IF($K894="","",$K894)))</f>
        <v/>
      </c>
      <c r="N894" s="5">
        <f>IF($A894="","",IFERROR(INDEX('CAT_ESTADOS_ERP'!$B$4:$B$7,MATCH(IFERROR(INDEX('2_IMPORTAR_EJECUCION'!$C$9:$C$1208,MATCH($AT894,'2_IMPORTAR_EJECUCION'!$J$9:$J$1208,0)),""),'CAT_ESTADOS_ERP'!$A$4:$A$7,0)),"Pendiente"))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IF($J894="","",$P894&amp;"-"&amp;TEXT($Q894,"00"))</f>
        <v/>
      </c>
      <c r="S894" s="5">
        <f>IF($J894="","",INDEX(lista_dias,WEEKDAY($J894,2)))</f>
        <v/>
      </c>
      <c r="T894" s="5">
        <f>IF($J894="","",IFERROR(INDEX('CALENDARIO'!$C$15:$C$214,MATCH(TEXT($J894,"yyyy-mm-dd")&amp;"|"&amp;$X894&amp;"|"&amp;$Y894,'CALENDARIO'!$G$15:$G$214,0)),IFERROR(INDEX('CALENDARIO'!$C$15:$C$214,MATCH(TEXT($J894,"yyyy-mm-dd")&amp;"|"&amp;$X894&amp;"|",'CALENDARIO'!$G$15:$G$214,0)),IFERROR(INDEX('CALENDARIO'!$C$15:$C$214,MATCH(TEXT($J894,"yyyy-mm-dd")&amp;"||",'CALENDARIO'!$G$15:$G$214,0)),INDEX(patronHabil,WEEKDAY($J894,2))))))</f>
        <v/>
      </c>
      <c r="U894" s="5">
        <f>IF($I894="","",IFERROR(INDEX('CAT_TIPOS_OT'!$C$4:$C$8,MATCH($I894,'CAT_TIPOS_OT'!$A$4:$A$8,0)),"sin_clasificar"))</f>
        <v/>
      </c>
      <c r="V894" s="5">
        <f>IF($I894="","",IF(IFERROR(INDEX('CAT_TIPOS_OT'!$D$4:$D$8,MATCH($I894,'CAT_TIPOS_OT'!$A$4:$A$8,0)),"SIN CLASIFICAR")="","SIN CLASIFICAR",IFERROR(INDEX('CAT_TIPOS_OT'!$D$4:$D$8,MATCH($I894,'CAT_TIPOS_OT'!$A$4:$A$8,0)),"SIN CLASIFICAR")))</f>
        <v/>
      </c>
      <c r="W894" s="5">
        <f>IF($F894="","",IFERROR(INDEX('CAT_CENTROS_COSTO'!$F$4:$F$13,MATCH($F894,'CAT_CENTROS_COSTO'!$A$4:$A$13,0)),"(sin catálogo)"))</f>
        <v/>
      </c>
      <c r="X894" s="5">
        <f>IF($F894="","",IFERROR(INDEX('CAT_CENTROS_COSTO'!$D$4:$D$13,MATCH($F894,'CAT_CENTROS_COSTO'!$A$4:$A$13,0)),"(sin catálogo)"))</f>
        <v/>
      </c>
      <c r="Y894" s="5">
        <f>IF($F894="","",IF((IFERROR(INDEX('CAT_CENTROS_COSTO'!$E$4:$E$13,MATCH($F894,'CAT_CENTROS_COSTO'!$A$4:$A$13,0)),""))&lt;&gt;"",IFERROR(INDEX('CAT_CENTROS_COSTO'!$E$4:$E$13,MATCH($F894,'CAT_CENTROS_COSTO'!$A$4:$A$13,0)),""),$X894))</f>
        <v/>
      </c>
      <c r="Z894" s="5">
        <f>IF($F894="","",IFERROR(INDEX('CAT_CENTROS_COSTO'!$G$4:$G$13,MATCH($F894,'CAT_CENTROS_COSTO'!$A$4:$A$13,0)),"(sin catálogo)"))</f>
        <v/>
      </c>
      <c r="AA894" s="5">
        <f>IF($G894="","",IFERROR(INDEX('CAT_PUESTOS'!$B$4:$B$8,MATCH($G894,'CAT_PUESTOS'!$A$4:$A$8,0)),"(sin catálogo)"))</f>
        <v/>
      </c>
      <c r="AB894" s="5">
        <f>IF($H894="","",IFERROR(INDEX('CAT_ACTIVIDADES'!$B$4:$B$11,MATCH($H894,'CAT_ACTIVIDADES'!$A$4:$A$11,0)),"(sin catálogo)"))</f>
        <v/>
      </c>
      <c r="AC894" s="20">
        <f>IF($J894="","",TODAY()-$J894)</f>
        <v/>
      </c>
      <c r="AD894" s="20">
        <f>IF($J894="","",IF($J894&lt;=TODAY(),COUNTIFS(cal_fechas,"&gt;="&amp;$J894,cal_fechas,"&lt;"&amp;TODAY(),cal_habil,"sí"),-COUNTIFS(cal_fechas,"&gt;="&amp;TODAY(),cal_fechas,"&lt;"&amp;$J894,cal_habil,"sí")))</f>
        <v/>
      </c>
      <c r="AE894" s="5">
        <f>IF($AD894="","",IF($AD894&lt;0,"FUTURO",IF($AD894&gt;p_dias_backlog_max,"BACKLOG","MES CORRIENTE")))</f>
        <v/>
      </c>
      <c r="AF894" s="5">
        <f>IF($AD894="",FALSE,AND($AD894&gt;p_dias_backlog_min,$AD894&lt;=p_dias_backlog_max))</f>
        <v/>
      </c>
      <c r="AG894" s="4" t="n"/>
      <c r="AH894" s="5">
        <f>IF($AG894="","",IF((IFERROR(INDEX('ASIGNACIONES'!$J$4:$J$451,MATCH($O894&amp;"|"&amp;$S894&amp;"|"&amp;$AG894,'ASIGNACIONES'!$N$4:$N$451,0)),""))=0,"",IFERROR(INDEX('ASIGNACIONES'!$J$4:$J$451,MATCH($O894&amp;"|"&amp;$S894&amp;"|"&amp;$AG894,'ASIGNACIONES'!$N$4:$N$451,0)),"")))</f>
        <v/>
      </c>
      <c r="AI894" s="25">
        <f>IF($AG894="","",SUMIFS('ORDENES'!$M$4:$M$1203,'ORDENES'!$AG$4:$AG$1203,$AG894,'ORDENES'!$O$4:$O$1203,$O894,'ORDENES'!$S$4:$S$1203,$S894))</f>
        <v/>
      </c>
      <c r="AJ894" s="25">
        <f>IF($AI894="","",p_factor_productividad*IFERROR(INDEX('ASIGNACIONES'!$M$4:$M$451,MATCH($O894&amp;"|"&amp;$S894&amp;"|"&amp;$AG894,'ASIGNACIONES'!$N$4:$N$451,0)),0)-$AI894)</f>
        <v/>
      </c>
      <c r="AK894" s="18">
        <f>IF($A894="","",IFERROR(INDEX('2_IMPORTAR_EJECUCION'!$F$9:$F$1208,MATCH($AT894,'2_IMPORTAR_EJECUCION'!$J$9:$J$1208,0)),0))</f>
        <v/>
      </c>
      <c r="AL894" s="18">
        <f>IF($A894="","",MAX(0,IFERROR(INDEX('2_IMPORTAR_EJECUCION'!$H$9:$H$1208,MATCH($AT894,'2_IMPORTAR_EJECUCION'!$J$9:$J$1208,0)),0)-$AK894))</f>
        <v/>
      </c>
      <c r="AM894" s="18">
        <f>IF($A894="","",$AK894+$AL894)</f>
        <v/>
      </c>
      <c r="AN894" s="5">
        <f>IF($A894="","",IF(OR((IFERROR(INDEX('CAT_ACTIVIDADES'!$D$4:$D$11,MATCH($H894,'CAT_ACTIVIDADES'!$A$4:$A$11,0)),""))=0,(IFERROR(INDEX('CAT_ACTIVIDADES'!$D$4:$D$11,MATCH($H894,'CAT_ACTIVIDADES'!$A$4:$A$11,0)),""))=""),"SIN CLASIFICAR",IFERROR(INDEX('CAT_ACTIVIDADES'!$D$4:$D$11,MATCH($H894,'CAT_ACTIVIDADES'!$A$4:$A$11,0)),"")))</f>
        <v/>
      </c>
      <c r="AO894" s="4" t="n"/>
      <c r="AP894" s="4" t="n"/>
      <c r="AQ894" s="4" t="n"/>
      <c r="AR894" s="5">
        <f>IF($AQ894="","",HYPERLINK(p_ruta_base_checklists&amp;$AQ894,"abrir"))</f>
        <v/>
      </c>
      <c r="AS894" s="4" t="n"/>
      <c r="AT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2" t="n"/>
      <c r="K895" s="5" t="n"/>
      <c r="L895" s="18" t="n"/>
      <c r="M895" s="5">
        <f>IF($A895="","",IFERROR(INDEX('AJUSTES'!$B$4:$B$303,MATCH($AT895,'AJUSTES'!$A$4:$A$303,0)),IF($K895="","",$K895)))</f>
        <v/>
      </c>
      <c r="N895" s="5">
        <f>IF($A895="","",IFERROR(INDEX('CAT_ESTADOS_ERP'!$B$4:$B$7,MATCH(IFERROR(INDEX('2_IMPORTAR_EJECUCION'!$C$9:$C$1208,MATCH($AT895,'2_IMPORTAR_EJECUCION'!$J$9:$J$1208,0)),""),'CAT_ESTADOS_ERP'!$A$4:$A$7,0)),"Pendiente"))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IF($J895="","",$P895&amp;"-"&amp;TEXT($Q895,"00"))</f>
        <v/>
      </c>
      <c r="S895" s="5">
        <f>IF($J895="","",INDEX(lista_dias,WEEKDAY($J895,2)))</f>
        <v/>
      </c>
      <c r="T895" s="5">
        <f>IF($J895="","",IFERROR(INDEX('CALENDARIO'!$C$15:$C$214,MATCH(TEXT($J895,"yyyy-mm-dd")&amp;"|"&amp;$X895&amp;"|"&amp;$Y895,'CALENDARIO'!$G$15:$G$214,0)),IFERROR(INDEX('CALENDARIO'!$C$15:$C$214,MATCH(TEXT($J895,"yyyy-mm-dd")&amp;"|"&amp;$X895&amp;"|",'CALENDARIO'!$G$15:$G$214,0)),IFERROR(INDEX('CALENDARIO'!$C$15:$C$214,MATCH(TEXT($J895,"yyyy-mm-dd")&amp;"||",'CALENDARIO'!$G$15:$G$214,0)),INDEX(patronHabil,WEEKDAY($J895,2))))))</f>
        <v/>
      </c>
      <c r="U895" s="5">
        <f>IF($I895="","",IFERROR(INDEX('CAT_TIPOS_OT'!$C$4:$C$8,MATCH($I895,'CAT_TIPOS_OT'!$A$4:$A$8,0)),"sin_clasificar"))</f>
        <v/>
      </c>
      <c r="V895" s="5">
        <f>IF($I895="","",IF(IFERROR(INDEX('CAT_TIPOS_OT'!$D$4:$D$8,MATCH($I895,'CAT_TIPOS_OT'!$A$4:$A$8,0)),"SIN CLASIFICAR")="","SIN CLASIFICAR",IFERROR(INDEX('CAT_TIPOS_OT'!$D$4:$D$8,MATCH($I895,'CAT_TIPOS_OT'!$A$4:$A$8,0)),"SIN CLASIFICAR")))</f>
        <v/>
      </c>
      <c r="W895" s="5">
        <f>IF($F895="","",IFERROR(INDEX('CAT_CENTROS_COSTO'!$F$4:$F$13,MATCH($F895,'CAT_CENTROS_COSTO'!$A$4:$A$13,0)),"(sin catálogo)"))</f>
        <v/>
      </c>
      <c r="X895" s="5">
        <f>IF($F895="","",IFERROR(INDEX('CAT_CENTROS_COSTO'!$D$4:$D$13,MATCH($F895,'CAT_CENTROS_COSTO'!$A$4:$A$13,0)),"(sin catálogo)"))</f>
        <v/>
      </c>
      <c r="Y895" s="5">
        <f>IF($F895="","",IF((IFERROR(INDEX('CAT_CENTROS_COSTO'!$E$4:$E$13,MATCH($F895,'CAT_CENTROS_COSTO'!$A$4:$A$13,0)),""))&lt;&gt;"",IFERROR(INDEX('CAT_CENTROS_COSTO'!$E$4:$E$13,MATCH($F895,'CAT_CENTROS_COSTO'!$A$4:$A$13,0)),""),$X895))</f>
        <v/>
      </c>
      <c r="Z895" s="5">
        <f>IF($F895="","",IFERROR(INDEX('CAT_CENTROS_COSTO'!$G$4:$G$13,MATCH($F895,'CAT_CENTROS_COSTO'!$A$4:$A$13,0)),"(sin catálogo)"))</f>
        <v/>
      </c>
      <c r="AA895" s="5">
        <f>IF($G895="","",IFERROR(INDEX('CAT_PUESTOS'!$B$4:$B$8,MATCH($G895,'CAT_PUESTOS'!$A$4:$A$8,0)),"(sin catálogo)"))</f>
        <v/>
      </c>
      <c r="AB895" s="5">
        <f>IF($H895="","",IFERROR(INDEX('CAT_ACTIVIDADES'!$B$4:$B$11,MATCH($H895,'CAT_ACTIVIDADES'!$A$4:$A$11,0)),"(sin catálogo)"))</f>
        <v/>
      </c>
      <c r="AC895" s="20">
        <f>IF($J895="","",TODAY()-$J895)</f>
        <v/>
      </c>
      <c r="AD895" s="20">
        <f>IF($J895="","",IF($J895&lt;=TODAY(),COUNTIFS(cal_fechas,"&gt;="&amp;$J895,cal_fechas,"&lt;"&amp;TODAY(),cal_habil,"sí"),-COUNTIFS(cal_fechas,"&gt;="&amp;TODAY(),cal_fechas,"&lt;"&amp;$J895,cal_habil,"sí")))</f>
        <v/>
      </c>
      <c r="AE895" s="5">
        <f>IF($AD895="","",IF($AD895&lt;0,"FUTURO",IF($AD895&gt;p_dias_backlog_max,"BACKLOG","MES CORRIENTE")))</f>
        <v/>
      </c>
      <c r="AF895" s="5">
        <f>IF($AD895="",FALSE,AND($AD895&gt;p_dias_backlog_min,$AD895&lt;=p_dias_backlog_max))</f>
        <v/>
      </c>
      <c r="AG895" s="4" t="n"/>
      <c r="AH895" s="5">
        <f>IF($AG895="","",IF((IFERROR(INDEX('ASIGNACIONES'!$J$4:$J$451,MATCH($O895&amp;"|"&amp;$S895&amp;"|"&amp;$AG895,'ASIGNACIONES'!$N$4:$N$451,0)),""))=0,"",IFERROR(INDEX('ASIGNACIONES'!$J$4:$J$451,MATCH($O895&amp;"|"&amp;$S895&amp;"|"&amp;$AG895,'ASIGNACIONES'!$N$4:$N$451,0)),"")))</f>
        <v/>
      </c>
      <c r="AI895" s="25">
        <f>IF($AG895="","",SUMIFS('ORDENES'!$M$4:$M$1203,'ORDENES'!$AG$4:$AG$1203,$AG895,'ORDENES'!$O$4:$O$1203,$O895,'ORDENES'!$S$4:$S$1203,$S895))</f>
        <v/>
      </c>
      <c r="AJ895" s="25">
        <f>IF($AI895="","",p_factor_productividad*IFERROR(INDEX('ASIGNACIONES'!$M$4:$M$451,MATCH($O895&amp;"|"&amp;$S895&amp;"|"&amp;$AG895,'ASIGNACIONES'!$N$4:$N$451,0)),0)-$AI895)</f>
        <v/>
      </c>
      <c r="AK895" s="18">
        <f>IF($A895="","",IFERROR(INDEX('2_IMPORTAR_EJECUCION'!$F$9:$F$1208,MATCH($AT895,'2_IMPORTAR_EJECUCION'!$J$9:$J$1208,0)),0))</f>
        <v/>
      </c>
      <c r="AL895" s="18">
        <f>IF($A895="","",MAX(0,IFERROR(INDEX('2_IMPORTAR_EJECUCION'!$H$9:$H$1208,MATCH($AT895,'2_IMPORTAR_EJECUCION'!$J$9:$J$1208,0)),0)-$AK895))</f>
        <v/>
      </c>
      <c r="AM895" s="18">
        <f>IF($A895="","",$AK895+$AL895)</f>
        <v/>
      </c>
      <c r="AN895" s="5">
        <f>IF($A895="","",IF(OR((IFERROR(INDEX('CAT_ACTIVIDADES'!$D$4:$D$11,MATCH($H895,'CAT_ACTIVIDADES'!$A$4:$A$11,0)),""))=0,(IFERROR(INDEX('CAT_ACTIVIDADES'!$D$4:$D$11,MATCH($H895,'CAT_ACTIVIDADES'!$A$4:$A$11,0)),""))=""),"SIN CLASIFICAR",IFERROR(INDEX('CAT_ACTIVIDADES'!$D$4:$D$11,MATCH($H895,'CAT_ACTIVIDADES'!$A$4:$A$11,0)),"")))</f>
        <v/>
      </c>
      <c r="AO895" s="4" t="n"/>
      <c r="AP895" s="4" t="n"/>
      <c r="AQ895" s="4" t="n"/>
      <c r="AR895" s="5">
        <f>IF($AQ895="","",HYPERLINK(p_ruta_base_checklists&amp;$AQ895,"abrir"))</f>
        <v/>
      </c>
      <c r="AS895" s="4" t="n"/>
      <c r="AT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2" t="n"/>
      <c r="K896" s="5" t="n"/>
      <c r="L896" s="18" t="n"/>
      <c r="M896" s="5">
        <f>IF($A896="","",IFERROR(INDEX('AJUSTES'!$B$4:$B$303,MATCH($AT896,'AJUSTES'!$A$4:$A$303,0)),IF($K896="","",$K896)))</f>
        <v/>
      </c>
      <c r="N896" s="5">
        <f>IF($A896="","",IFERROR(INDEX('CAT_ESTADOS_ERP'!$B$4:$B$7,MATCH(IFERROR(INDEX('2_IMPORTAR_EJECUCION'!$C$9:$C$1208,MATCH($AT896,'2_IMPORTAR_EJECUCION'!$J$9:$J$1208,0)),""),'CAT_ESTADOS_ERP'!$A$4:$A$7,0)),"Pendiente"))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IF($J896="","",$P896&amp;"-"&amp;TEXT($Q896,"00"))</f>
        <v/>
      </c>
      <c r="S896" s="5">
        <f>IF($J896="","",INDEX(lista_dias,WEEKDAY($J896,2)))</f>
        <v/>
      </c>
      <c r="T896" s="5">
        <f>IF($J896="","",IFERROR(INDEX('CALENDARIO'!$C$15:$C$214,MATCH(TEXT($J896,"yyyy-mm-dd")&amp;"|"&amp;$X896&amp;"|"&amp;$Y896,'CALENDARIO'!$G$15:$G$214,0)),IFERROR(INDEX('CALENDARIO'!$C$15:$C$214,MATCH(TEXT($J896,"yyyy-mm-dd")&amp;"|"&amp;$X896&amp;"|",'CALENDARIO'!$G$15:$G$214,0)),IFERROR(INDEX('CALENDARIO'!$C$15:$C$214,MATCH(TEXT($J896,"yyyy-mm-dd")&amp;"||",'CALENDARIO'!$G$15:$G$214,0)),INDEX(patronHabil,WEEKDAY($J896,2))))))</f>
        <v/>
      </c>
      <c r="U896" s="5">
        <f>IF($I896="","",IFERROR(INDEX('CAT_TIPOS_OT'!$C$4:$C$8,MATCH($I896,'CAT_TIPOS_OT'!$A$4:$A$8,0)),"sin_clasificar"))</f>
        <v/>
      </c>
      <c r="V896" s="5">
        <f>IF($I896="","",IF(IFERROR(INDEX('CAT_TIPOS_OT'!$D$4:$D$8,MATCH($I896,'CAT_TIPOS_OT'!$A$4:$A$8,0)),"SIN CLASIFICAR")="","SIN CLASIFICAR",IFERROR(INDEX('CAT_TIPOS_OT'!$D$4:$D$8,MATCH($I896,'CAT_TIPOS_OT'!$A$4:$A$8,0)),"SIN CLASIFICAR")))</f>
        <v/>
      </c>
      <c r="W896" s="5">
        <f>IF($F896="","",IFERROR(INDEX('CAT_CENTROS_COSTO'!$F$4:$F$13,MATCH($F896,'CAT_CENTROS_COSTO'!$A$4:$A$13,0)),"(sin catálogo)"))</f>
        <v/>
      </c>
      <c r="X896" s="5">
        <f>IF($F896="","",IFERROR(INDEX('CAT_CENTROS_COSTO'!$D$4:$D$13,MATCH($F896,'CAT_CENTROS_COSTO'!$A$4:$A$13,0)),"(sin catálogo)"))</f>
        <v/>
      </c>
      <c r="Y896" s="5">
        <f>IF($F896="","",IF((IFERROR(INDEX('CAT_CENTROS_COSTO'!$E$4:$E$13,MATCH($F896,'CAT_CENTROS_COSTO'!$A$4:$A$13,0)),""))&lt;&gt;"",IFERROR(INDEX('CAT_CENTROS_COSTO'!$E$4:$E$13,MATCH($F896,'CAT_CENTROS_COSTO'!$A$4:$A$13,0)),""),$X896))</f>
        <v/>
      </c>
      <c r="Z896" s="5">
        <f>IF($F896="","",IFERROR(INDEX('CAT_CENTROS_COSTO'!$G$4:$G$13,MATCH($F896,'CAT_CENTROS_COSTO'!$A$4:$A$13,0)),"(sin catálogo)"))</f>
        <v/>
      </c>
      <c r="AA896" s="5">
        <f>IF($G896="","",IFERROR(INDEX('CAT_PUESTOS'!$B$4:$B$8,MATCH($G896,'CAT_PUESTOS'!$A$4:$A$8,0)),"(sin catálogo)"))</f>
        <v/>
      </c>
      <c r="AB896" s="5">
        <f>IF($H896="","",IFERROR(INDEX('CAT_ACTIVIDADES'!$B$4:$B$11,MATCH($H896,'CAT_ACTIVIDADES'!$A$4:$A$11,0)),"(sin catálogo)"))</f>
        <v/>
      </c>
      <c r="AC896" s="20">
        <f>IF($J896="","",TODAY()-$J896)</f>
        <v/>
      </c>
      <c r="AD896" s="20">
        <f>IF($J896="","",IF($J896&lt;=TODAY(),COUNTIFS(cal_fechas,"&gt;="&amp;$J896,cal_fechas,"&lt;"&amp;TODAY(),cal_habil,"sí"),-COUNTIFS(cal_fechas,"&gt;="&amp;TODAY(),cal_fechas,"&lt;"&amp;$J896,cal_habil,"sí")))</f>
        <v/>
      </c>
      <c r="AE896" s="5">
        <f>IF($AD896="","",IF($AD896&lt;0,"FUTURO",IF($AD896&gt;p_dias_backlog_max,"BACKLOG","MES CORRIENTE")))</f>
        <v/>
      </c>
      <c r="AF896" s="5">
        <f>IF($AD896="",FALSE,AND($AD896&gt;p_dias_backlog_min,$AD896&lt;=p_dias_backlog_max))</f>
        <v/>
      </c>
      <c r="AG896" s="4" t="n"/>
      <c r="AH896" s="5">
        <f>IF($AG896="","",IF((IFERROR(INDEX('ASIGNACIONES'!$J$4:$J$451,MATCH($O896&amp;"|"&amp;$S896&amp;"|"&amp;$AG896,'ASIGNACIONES'!$N$4:$N$451,0)),""))=0,"",IFERROR(INDEX('ASIGNACIONES'!$J$4:$J$451,MATCH($O896&amp;"|"&amp;$S896&amp;"|"&amp;$AG896,'ASIGNACIONES'!$N$4:$N$451,0)),"")))</f>
        <v/>
      </c>
      <c r="AI896" s="25">
        <f>IF($AG896="","",SUMIFS('ORDENES'!$M$4:$M$1203,'ORDENES'!$AG$4:$AG$1203,$AG896,'ORDENES'!$O$4:$O$1203,$O896,'ORDENES'!$S$4:$S$1203,$S896))</f>
        <v/>
      </c>
      <c r="AJ896" s="25">
        <f>IF($AI896="","",p_factor_productividad*IFERROR(INDEX('ASIGNACIONES'!$M$4:$M$451,MATCH($O896&amp;"|"&amp;$S896&amp;"|"&amp;$AG896,'ASIGNACIONES'!$N$4:$N$451,0)),0)-$AI896)</f>
        <v/>
      </c>
      <c r="AK896" s="18">
        <f>IF($A896="","",IFERROR(INDEX('2_IMPORTAR_EJECUCION'!$F$9:$F$1208,MATCH($AT896,'2_IMPORTAR_EJECUCION'!$J$9:$J$1208,0)),0))</f>
        <v/>
      </c>
      <c r="AL896" s="18">
        <f>IF($A896="","",MAX(0,IFERROR(INDEX('2_IMPORTAR_EJECUCION'!$H$9:$H$1208,MATCH($AT896,'2_IMPORTAR_EJECUCION'!$J$9:$J$1208,0)),0)-$AK896))</f>
        <v/>
      </c>
      <c r="AM896" s="18">
        <f>IF($A896="","",$AK896+$AL896)</f>
        <v/>
      </c>
      <c r="AN896" s="5">
        <f>IF($A896="","",IF(OR((IFERROR(INDEX('CAT_ACTIVIDADES'!$D$4:$D$11,MATCH($H896,'CAT_ACTIVIDADES'!$A$4:$A$11,0)),""))=0,(IFERROR(INDEX('CAT_ACTIVIDADES'!$D$4:$D$11,MATCH($H896,'CAT_ACTIVIDADES'!$A$4:$A$11,0)),""))=""),"SIN CLASIFICAR",IFERROR(INDEX('CAT_ACTIVIDADES'!$D$4:$D$11,MATCH($H896,'CAT_ACTIVIDADES'!$A$4:$A$11,0)),"")))</f>
        <v/>
      </c>
      <c r="AO896" s="4" t="n"/>
      <c r="AP896" s="4" t="n"/>
      <c r="AQ896" s="4" t="n"/>
      <c r="AR896" s="5">
        <f>IF($AQ896="","",HYPERLINK(p_ruta_base_checklists&amp;$AQ896,"abrir"))</f>
        <v/>
      </c>
      <c r="AS896" s="4" t="n"/>
      <c r="AT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2" t="n"/>
      <c r="K897" s="5" t="n"/>
      <c r="L897" s="18" t="n"/>
      <c r="M897" s="5">
        <f>IF($A897="","",IFERROR(INDEX('AJUSTES'!$B$4:$B$303,MATCH($AT897,'AJUSTES'!$A$4:$A$303,0)),IF($K897="","",$K897)))</f>
        <v/>
      </c>
      <c r="N897" s="5">
        <f>IF($A897="","",IFERROR(INDEX('CAT_ESTADOS_ERP'!$B$4:$B$7,MATCH(IFERROR(INDEX('2_IMPORTAR_EJECUCION'!$C$9:$C$1208,MATCH($AT897,'2_IMPORTAR_EJECUCION'!$J$9:$J$1208,0)),""),'CAT_ESTADOS_ERP'!$A$4:$A$7,0)),"Pendiente"))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IF($J897="","",$P897&amp;"-"&amp;TEXT($Q897,"00"))</f>
        <v/>
      </c>
      <c r="S897" s="5">
        <f>IF($J897="","",INDEX(lista_dias,WEEKDAY($J897,2)))</f>
        <v/>
      </c>
      <c r="T897" s="5">
        <f>IF($J897="","",IFERROR(INDEX('CALENDARIO'!$C$15:$C$214,MATCH(TEXT($J897,"yyyy-mm-dd")&amp;"|"&amp;$X897&amp;"|"&amp;$Y897,'CALENDARIO'!$G$15:$G$214,0)),IFERROR(INDEX('CALENDARIO'!$C$15:$C$214,MATCH(TEXT($J897,"yyyy-mm-dd")&amp;"|"&amp;$X897&amp;"|",'CALENDARIO'!$G$15:$G$214,0)),IFERROR(INDEX('CALENDARIO'!$C$15:$C$214,MATCH(TEXT($J897,"yyyy-mm-dd")&amp;"||",'CALENDARIO'!$G$15:$G$214,0)),INDEX(patronHabil,WEEKDAY($J897,2))))))</f>
        <v/>
      </c>
      <c r="U897" s="5">
        <f>IF($I897="","",IFERROR(INDEX('CAT_TIPOS_OT'!$C$4:$C$8,MATCH($I897,'CAT_TIPOS_OT'!$A$4:$A$8,0)),"sin_clasificar"))</f>
        <v/>
      </c>
      <c r="V897" s="5">
        <f>IF($I897="","",IF(IFERROR(INDEX('CAT_TIPOS_OT'!$D$4:$D$8,MATCH($I897,'CAT_TIPOS_OT'!$A$4:$A$8,0)),"SIN CLASIFICAR")="","SIN CLASIFICAR",IFERROR(INDEX('CAT_TIPOS_OT'!$D$4:$D$8,MATCH($I897,'CAT_TIPOS_OT'!$A$4:$A$8,0)),"SIN CLASIFICAR")))</f>
        <v/>
      </c>
      <c r="W897" s="5">
        <f>IF($F897="","",IFERROR(INDEX('CAT_CENTROS_COSTO'!$F$4:$F$13,MATCH($F897,'CAT_CENTROS_COSTO'!$A$4:$A$13,0)),"(sin catálogo)"))</f>
        <v/>
      </c>
      <c r="X897" s="5">
        <f>IF($F897="","",IFERROR(INDEX('CAT_CENTROS_COSTO'!$D$4:$D$13,MATCH($F897,'CAT_CENTROS_COSTO'!$A$4:$A$13,0)),"(sin catálogo)"))</f>
        <v/>
      </c>
      <c r="Y897" s="5">
        <f>IF($F897="","",IF((IFERROR(INDEX('CAT_CENTROS_COSTO'!$E$4:$E$13,MATCH($F897,'CAT_CENTROS_COSTO'!$A$4:$A$13,0)),""))&lt;&gt;"",IFERROR(INDEX('CAT_CENTROS_COSTO'!$E$4:$E$13,MATCH($F897,'CAT_CENTROS_COSTO'!$A$4:$A$13,0)),""),$X897))</f>
        <v/>
      </c>
      <c r="Z897" s="5">
        <f>IF($F897="","",IFERROR(INDEX('CAT_CENTROS_COSTO'!$G$4:$G$13,MATCH($F897,'CAT_CENTROS_COSTO'!$A$4:$A$13,0)),"(sin catálogo)"))</f>
        <v/>
      </c>
      <c r="AA897" s="5">
        <f>IF($G897="","",IFERROR(INDEX('CAT_PUESTOS'!$B$4:$B$8,MATCH($G897,'CAT_PUESTOS'!$A$4:$A$8,0)),"(sin catálogo)"))</f>
        <v/>
      </c>
      <c r="AB897" s="5">
        <f>IF($H897="","",IFERROR(INDEX('CAT_ACTIVIDADES'!$B$4:$B$11,MATCH($H897,'CAT_ACTIVIDADES'!$A$4:$A$11,0)),"(sin catálogo)"))</f>
        <v/>
      </c>
      <c r="AC897" s="20">
        <f>IF($J897="","",TODAY()-$J897)</f>
        <v/>
      </c>
      <c r="AD897" s="20">
        <f>IF($J897="","",IF($J897&lt;=TODAY(),COUNTIFS(cal_fechas,"&gt;="&amp;$J897,cal_fechas,"&lt;"&amp;TODAY(),cal_habil,"sí"),-COUNTIFS(cal_fechas,"&gt;="&amp;TODAY(),cal_fechas,"&lt;"&amp;$J897,cal_habil,"sí")))</f>
        <v/>
      </c>
      <c r="AE897" s="5">
        <f>IF($AD897="","",IF($AD897&lt;0,"FUTURO",IF($AD897&gt;p_dias_backlog_max,"BACKLOG","MES CORRIENTE")))</f>
        <v/>
      </c>
      <c r="AF897" s="5">
        <f>IF($AD897="",FALSE,AND($AD897&gt;p_dias_backlog_min,$AD897&lt;=p_dias_backlog_max))</f>
        <v/>
      </c>
      <c r="AG897" s="4" t="n"/>
      <c r="AH897" s="5">
        <f>IF($AG897="","",IF((IFERROR(INDEX('ASIGNACIONES'!$J$4:$J$451,MATCH($O897&amp;"|"&amp;$S897&amp;"|"&amp;$AG897,'ASIGNACIONES'!$N$4:$N$451,0)),""))=0,"",IFERROR(INDEX('ASIGNACIONES'!$J$4:$J$451,MATCH($O897&amp;"|"&amp;$S897&amp;"|"&amp;$AG897,'ASIGNACIONES'!$N$4:$N$451,0)),"")))</f>
        <v/>
      </c>
      <c r="AI897" s="25">
        <f>IF($AG897="","",SUMIFS('ORDENES'!$M$4:$M$1203,'ORDENES'!$AG$4:$AG$1203,$AG897,'ORDENES'!$O$4:$O$1203,$O897,'ORDENES'!$S$4:$S$1203,$S897))</f>
        <v/>
      </c>
      <c r="AJ897" s="25">
        <f>IF($AI897="","",p_factor_productividad*IFERROR(INDEX('ASIGNACIONES'!$M$4:$M$451,MATCH($O897&amp;"|"&amp;$S897&amp;"|"&amp;$AG897,'ASIGNACIONES'!$N$4:$N$451,0)),0)-$AI897)</f>
        <v/>
      </c>
      <c r="AK897" s="18">
        <f>IF($A897="","",IFERROR(INDEX('2_IMPORTAR_EJECUCION'!$F$9:$F$1208,MATCH($AT897,'2_IMPORTAR_EJECUCION'!$J$9:$J$1208,0)),0))</f>
        <v/>
      </c>
      <c r="AL897" s="18">
        <f>IF($A897="","",MAX(0,IFERROR(INDEX('2_IMPORTAR_EJECUCION'!$H$9:$H$1208,MATCH($AT897,'2_IMPORTAR_EJECUCION'!$J$9:$J$1208,0)),0)-$AK897))</f>
        <v/>
      </c>
      <c r="AM897" s="18">
        <f>IF($A897="","",$AK897+$AL897)</f>
        <v/>
      </c>
      <c r="AN897" s="5">
        <f>IF($A897="","",IF(OR((IFERROR(INDEX('CAT_ACTIVIDADES'!$D$4:$D$11,MATCH($H897,'CAT_ACTIVIDADES'!$A$4:$A$11,0)),""))=0,(IFERROR(INDEX('CAT_ACTIVIDADES'!$D$4:$D$11,MATCH($H897,'CAT_ACTIVIDADES'!$A$4:$A$11,0)),""))=""),"SIN CLASIFICAR",IFERROR(INDEX('CAT_ACTIVIDADES'!$D$4:$D$11,MATCH($H897,'CAT_ACTIVIDADES'!$A$4:$A$11,0)),"")))</f>
        <v/>
      </c>
      <c r="AO897" s="4" t="n"/>
      <c r="AP897" s="4" t="n"/>
      <c r="AQ897" s="4" t="n"/>
      <c r="AR897" s="5">
        <f>IF($AQ897="","",HYPERLINK(p_ruta_base_checklists&amp;$AQ897,"abrir"))</f>
        <v/>
      </c>
      <c r="AS897" s="4" t="n"/>
      <c r="AT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2" t="n"/>
      <c r="K898" s="5" t="n"/>
      <c r="L898" s="18" t="n"/>
      <c r="M898" s="5">
        <f>IF($A898="","",IFERROR(INDEX('AJUSTES'!$B$4:$B$303,MATCH($AT898,'AJUSTES'!$A$4:$A$303,0)),IF($K898="","",$K898)))</f>
        <v/>
      </c>
      <c r="N898" s="5">
        <f>IF($A898="","",IFERROR(INDEX('CAT_ESTADOS_ERP'!$B$4:$B$7,MATCH(IFERROR(INDEX('2_IMPORTAR_EJECUCION'!$C$9:$C$1208,MATCH($AT898,'2_IMPORTAR_EJECUCION'!$J$9:$J$1208,0)),""),'CAT_ESTADOS_ERP'!$A$4:$A$7,0)),"Pendiente"))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IF($J898="","",$P898&amp;"-"&amp;TEXT($Q898,"00"))</f>
        <v/>
      </c>
      <c r="S898" s="5">
        <f>IF($J898="","",INDEX(lista_dias,WEEKDAY($J898,2)))</f>
        <v/>
      </c>
      <c r="T898" s="5">
        <f>IF($J898="","",IFERROR(INDEX('CALENDARIO'!$C$15:$C$214,MATCH(TEXT($J898,"yyyy-mm-dd")&amp;"|"&amp;$X898&amp;"|"&amp;$Y898,'CALENDARIO'!$G$15:$G$214,0)),IFERROR(INDEX('CALENDARIO'!$C$15:$C$214,MATCH(TEXT($J898,"yyyy-mm-dd")&amp;"|"&amp;$X898&amp;"|",'CALENDARIO'!$G$15:$G$214,0)),IFERROR(INDEX('CALENDARIO'!$C$15:$C$214,MATCH(TEXT($J898,"yyyy-mm-dd")&amp;"||",'CALENDARIO'!$G$15:$G$214,0)),INDEX(patronHabil,WEEKDAY($J898,2))))))</f>
        <v/>
      </c>
      <c r="U898" s="5">
        <f>IF($I898="","",IFERROR(INDEX('CAT_TIPOS_OT'!$C$4:$C$8,MATCH($I898,'CAT_TIPOS_OT'!$A$4:$A$8,0)),"sin_clasificar"))</f>
        <v/>
      </c>
      <c r="V898" s="5">
        <f>IF($I898="","",IF(IFERROR(INDEX('CAT_TIPOS_OT'!$D$4:$D$8,MATCH($I898,'CAT_TIPOS_OT'!$A$4:$A$8,0)),"SIN CLASIFICAR")="","SIN CLASIFICAR",IFERROR(INDEX('CAT_TIPOS_OT'!$D$4:$D$8,MATCH($I898,'CAT_TIPOS_OT'!$A$4:$A$8,0)),"SIN CLASIFICAR")))</f>
        <v/>
      </c>
      <c r="W898" s="5">
        <f>IF($F898="","",IFERROR(INDEX('CAT_CENTROS_COSTO'!$F$4:$F$13,MATCH($F898,'CAT_CENTROS_COSTO'!$A$4:$A$13,0)),"(sin catálogo)"))</f>
        <v/>
      </c>
      <c r="X898" s="5">
        <f>IF($F898="","",IFERROR(INDEX('CAT_CENTROS_COSTO'!$D$4:$D$13,MATCH($F898,'CAT_CENTROS_COSTO'!$A$4:$A$13,0)),"(sin catálogo)"))</f>
        <v/>
      </c>
      <c r="Y898" s="5">
        <f>IF($F898="","",IF((IFERROR(INDEX('CAT_CENTROS_COSTO'!$E$4:$E$13,MATCH($F898,'CAT_CENTROS_COSTO'!$A$4:$A$13,0)),""))&lt;&gt;"",IFERROR(INDEX('CAT_CENTROS_COSTO'!$E$4:$E$13,MATCH($F898,'CAT_CENTROS_COSTO'!$A$4:$A$13,0)),""),$X898))</f>
        <v/>
      </c>
      <c r="Z898" s="5">
        <f>IF($F898="","",IFERROR(INDEX('CAT_CENTROS_COSTO'!$G$4:$G$13,MATCH($F898,'CAT_CENTROS_COSTO'!$A$4:$A$13,0)),"(sin catálogo)"))</f>
        <v/>
      </c>
      <c r="AA898" s="5">
        <f>IF($G898="","",IFERROR(INDEX('CAT_PUESTOS'!$B$4:$B$8,MATCH($G898,'CAT_PUESTOS'!$A$4:$A$8,0)),"(sin catálogo)"))</f>
        <v/>
      </c>
      <c r="AB898" s="5">
        <f>IF($H898="","",IFERROR(INDEX('CAT_ACTIVIDADES'!$B$4:$B$11,MATCH($H898,'CAT_ACTIVIDADES'!$A$4:$A$11,0)),"(sin catálogo)"))</f>
        <v/>
      </c>
      <c r="AC898" s="20">
        <f>IF($J898="","",TODAY()-$J898)</f>
        <v/>
      </c>
      <c r="AD898" s="20">
        <f>IF($J898="","",IF($J898&lt;=TODAY(),COUNTIFS(cal_fechas,"&gt;="&amp;$J898,cal_fechas,"&lt;"&amp;TODAY(),cal_habil,"sí"),-COUNTIFS(cal_fechas,"&gt;="&amp;TODAY(),cal_fechas,"&lt;"&amp;$J898,cal_habil,"sí")))</f>
        <v/>
      </c>
      <c r="AE898" s="5">
        <f>IF($AD898="","",IF($AD898&lt;0,"FUTURO",IF($AD898&gt;p_dias_backlog_max,"BACKLOG","MES CORRIENTE")))</f>
        <v/>
      </c>
      <c r="AF898" s="5">
        <f>IF($AD898="",FALSE,AND($AD898&gt;p_dias_backlog_min,$AD898&lt;=p_dias_backlog_max))</f>
        <v/>
      </c>
      <c r="AG898" s="4" t="n"/>
      <c r="AH898" s="5">
        <f>IF($AG898="","",IF((IFERROR(INDEX('ASIGNACIONES'!$J$4:$J$451,MATCH($O898&amp;"|"&amp;$S898&amp;"|"&amp;$AG898,'ASIGNACIONES'!$N$4:$N$451,0)),""))=0,"",IFERROR(INDEX('ASIGNACIONES'!$J$4:$J$451,MATCH($O898&amp;"|"&amp;$S898&amp;"|"&amp;$AG898,'ASIGNACIONES'!$N$4:$N$451,0)),"")))</f>
        <v/>
      </c>
      <c r="AI898" s="25">
        <f>IF($AG898="","",SUMIFS('ORDENES'!$M$4:$M$1203,'ORDENES'!$AG$4:$AG$1203,$AG898,'ORDENES'!$O$4:$O$1203,$O898,'ORDENES'!$S$4:$S$1203,$S898))</f>
        <v/>
      </c>
      <c r="AJ898" s="25">
        <f>IF($AI898="","",p_factor_productividad*IFERROR(INDEX('ASIGNACIONES'!$M$4:$M$451,MATCH($O898&amp;"|"&amp;$S898&amp;"|"&amp;$AG898,'ASIGNACIONES'!$N$4:$N$451,0)),0)-$AI898)</f>
        <v/>
      </c>
      <c r="AK898" s="18">
        <f>IF($A898="","",IFERROR(INDEX('2_IMPORTAR_EJECUCION'!$F$9:$F$1208,MATCH($AT898,'2_IMPORTAR_EJECUCION'!$J$9:$J$1208,0)),0))</f>
        <v/>
      </c>
      <c r="AL898" s="18">
        <f>IF($A898="","",MAX(0,IFERROR(INDEX('2_IMPORTAR_EJECUCION'!$H$9:$H$1208,MATCH($AT898,'2_IMPORTAR_EJECUCION'!$J$9:$J$1208,0)),0)-$AK898))</f>
        <v/>
      </c>
      <c r="AM898" s="18">
        <f>IF($A898="","",$AK898+$AL898)</f>
        <v/>
      </c>
      <c r="AN898" s="5">
        <f>IF($A898="","",IF(OR((IFERROR(INDEX('CAT_ACTIVIDADES'!$D$4:$D$11,MATCH($H898,'CAT_ACTIVIDADES'!$A$4:$A$11,0)),""))=0,(IFERROR(INDEX('CAT_ACTIVIDADES'!$D$4:$D$11,MATCH($H898,'CAT_ACTIVIDADES'!$A$4:$A$11,0)),""))=""),"SIN CLASIFICAR",IFERROR(INDEX('CAT_ACTIVIDADES'!$D$4:$D$11,MATCH($H898,'CAT_ACTIVIDADES'!$A$4:$A$11,0)),"")))</f>
        <v/>
      </c>
      <c r="AO898" s="4" t="n"/>
      <c r="AP898" s="4" t="n"/>
      <c r="AQ898" s="4" t="n"/>
      <c r="AR898" s="5">
        <f>IF($AQ898="","",HYPERLINK(p_ruta_base_checklists&amp;$AQ898,"abrir"))</f>
        <v/>
      </c>
      <c r="AS898" s="4" t="n"/>
      <c r="AT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2" t="n"/>
      <c r="K899" s="5" t="n"/>
      <c r="L899" s="18" t="n"/>
      <c r="M899" s="5">
        <f>IF($A899="","",IFERROR(INDEX('AJUSTES'!$B$4:$B$303,MATCH($AT899,'AJUSTES'!$A$4:$A$303,0)),IF($K899="","",$K899)))</f>
        <v/>
      </c>
      <c r="N899" s="5">
        <f>IF($A899="","",IFERROR(INDEX('CAT_ESTADOS_ERP'!$B$4:$B$7,MATCH(IFERROR(INDEX('2_IMPORTAR_EJECUCION'!$C$9:$C$1208,MATCH($AT899,'2_IMPORTAR_EJECUCION'!$J$9:$J$1208,0)),""),'CAT_ESTADOS_ERP'!$A$4:$A$7,0)),"Pendiente"))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IF($J899="","",$P899&amp;"-"&amp;TEXT($Q899,"00"))</f>
        <v/>
      </c>
      <c r="S899" s="5">
        <f>IF($J899="","",INDEX(lista_dias,WEEKDAY($J899,2)))</f>
        <v/>
      </c>
      <c r="T899" s="5">
        <f>IF($J899="","",IFERROR(INDEX('CALENDARIO'!$C$15:$C$214,MATCH(TEXT($J899,"yyyy-mm-dd")&amp;"|"&amp;$X899&amp;"|"&amp;$Y899,'CALENDARIO'!$G$15:$G$214,0)),IFERROR(INDEX('CALENDARIO'!$C$15:$C$214,MATCH(TEXT($J899,"yyyy-mm-dd")&amp;"|"&amp;$X899&amp;"|",'CALENDARIO'!$G$15:$G$214,0)),IFERROR(INDEX('CALENDARIO'!$C$15:$C$214,MATCH(TEXT($J899,"yyyy-mm-dd")&amp;"||",'CALENDARIO'!$G$15:$G$214,0)),INDEX(patronHabil,WEEKDAY($J899,2))))))</f>
        <v/>
      </c>
      <c r="U899" s="5">
        <f>IF($I899="","",IFERROR(INDEX('CAT_TIPOS_OT'!$C$4:$C$8,MATCH($I899,'CAT_TIPOS_OT'!$A$4:$A$8,0)),"sin_clasificar"))</f>
        <v/>
      </c>
      <c r="V899" s="5">
        <f>IF($I899="","",IF(IFERROR(INDEX('CAT_TIPOS_OT'!$D$4:$D$8,MATCH($I899,'CAT_TIPOS_OT'!$A$4:$A$8,0)),"SIN CLASIFICAR")="","SIN CLASIFICAR",IFERROR(INDEX('CAT_TIPOS_OT'!$D$4:$D$8,MATCH($I899,'CAT_TIPOS_OT'!$A$4:$A$8,0)),"SIN CLASIFICAR")))</f>
        <v/>
      </c>
      <c r="W899" s="5">
        <f>IF($F899="","",IFERROR(INDEX('CAT_CENTROS_COSTO'!$F$4:$F$13,MATCH($F899,'CAT_CENTROS_COSTO'!$A$4:$A$13,0)),"(sin catálogo)"))</f>
        <v/>
      </c>
      <c r="X899" s="5">
        <f>IF($F899="","",IFERROR(INDEX('CAT_CENTROS_COSTO'!$D$4:$D$13,MATCH($F899,'CAT_CENTROS_COSTO'!$A$4:$A$13,0)),"(sin catálogo)"))</f>
        <v/>
      </c>
      <c r="Y899" s="5">
        <f>IF($F899="","",IF((IFERROR(INDEX('CAT_CENTROS_COSTO'!$E$4:$E$13,MATCH($F899,'CAT_CENTROS_COSTO'!$A$4:$A$13,0)),""))&lt;&gt;"",IFERROR(INDEX('CAT_CENTROS_COSTO'!$E$4:$E$13,MATCH($F899,'CAT_CENTROS_COSTO'!$A$4:$A$13,0)),""),$X899))</f>
        <v/>
      </c>
      <c r="Z899" s="5">
        <f>IF($F899="","",IFERROR(INDEX('CAT_CENTROS_COSTO'!$G$4:$G$13,MATCH($F899,'CAT_CENTROS_COSTO'!$A$4:$A$13,0)),"(sin catálogo)"))</f>
        <v/>
      </c>
      <c r="AA899" s="5">
        <f>IF($G899="","",IFERROR(INDEX('CAT_PUESTOS'!$B$4:$B$8,MATCH($G899,'CAT_PUESTOS'!$A$4:$A$8,0)),"(sin catálogo)"))</f>
        <v/>
      </c>
      <c r="AB899" s="5">
        <f>IF($H899="","",IFERROR(INDEX('CAT_ACTIVIDADES'!$B$4:$B$11,MATCH($H899,'CAT_ACTIVIDADES'!$A$4:$A$11,0)),"(sin catálogo)"))</f>
        <v/>
      </c>
      <c r="AC899" s="20">
        <f>IF($J899="","",TODAY()-$J899)</f>
        <v/>
      </c>
      <c r="AD899" s="20">
        <f>IF($J899="","",IF($J899&lt;=TODAY(),COUNTIFS(cal_fechas,"&gt;="&amp;$J899,cal_fechas,"&lt;"&amp;TODAY(),cal_habil,"sí"),-COUNTIFS(cal_fechas,"&gt;="&amp;TODAY(),cal_fechas,"&lt;"&amp;$J899,cal_habil,"sí")))</f>
        <v/>
      </c>
      <c r="AE899" s="5">
        <f>IF($AD899="","",IF($AD899&lt;0,"FUTURO",IF($AD899&gt;p_dias_backlog_max,"BACKLOG","MES CORRIENTE")))</f>
        <v/>
      </c>
      <c r="AF899" s="5">
        <f>IF($AD899="",FALSE,AND($AD899&gt;p_dias_backlog_min,$AD899&lt;=p_dias_backlog_max))</f>
        <v/>
      </c>
      <c r="AG899" s="4" t="n"/>
      <c r="AH899" s="5">
        <f>IF($AG899="","",IF((IFERROR(INDEX('ASIGNACIONES'!$J$4:$J$451,MATCH($O899&amp;"|"&amp;$S899&amp;"|"&amp;$AG899,'ASIGNACIONES'!$N$4:$N$451,0)),""))=0,"",IFERROR(INDEX('ASIGNACIONES'!$J$4:$J$451,MATCH($O899&amp;"|"&amp;$S899&amp;"|"&amp;$AG899,'ASIGNACIONES'!$N$4:$N$451,0)),"")))</f>
        <v/>
      </c>
      <c r="AI899" s="25">
        <f>IF($AG899="","",SUMIFS('ORDENES'!$M$4:$M$1203,'ORDENES'!$AG$4:$AG$1203,$AG899,'ORDENES'!$O$4:$O$1203,$O899,'ORDENES'!$S$4:$S$1203,$S899))</f>
        <v/>
      </c>
      <c r="AJ899" s="25">
        <f>IF($AI899="","",p_factor_productividad*IFERROR(INDEX('ASIGNACIONES'!$M$4:$M$451,MATCH($O899&amp;"|"&amp;$S899&amp;"|"&amp;$AG899,'ASIGNACIONES'!$N$4:$N$451,0)),0)-$AI899)</f>
        <v/>
      </c>
      <c r="AK899" s="18">
        <f>IF($A899="","",IFERROR(INDEX('2_IMPORTAR_EJECUCION'!$F$9:$F$1208,MATCH($AT899,'2_IMPORTAR_EJECUCION'!$J$9:$J$1208,0)),0))</f>
        <v/>
      </c>
      <c r="AL899" s="18">
        <f>IF($A899="","",MAX(0,IFERROR(INDEX('2_IMPORTAR_EJECUCION'!$H$9:$H$1208,MATCH($AT899,'2_IMPORTAR_EJECUCION'!$J$9:$J$1208,0)),0)-$AK899))</f>
        <v/>
      </c>
      <c r="AM899" s="18">
        <f>IF($A899="","",$AK899+$AL899)</f>
        <v/>
      </c>
      <c r="AN899" s="5">
        <f>IF($A899="","",IF(OR((IFERROR(INDEX('CAT_ACTIVIDADES'!$D$4:$D$11,MATCH($H899,'CAT_ACTIVIDADES'!$A$4:$A$11,0)),""))=0,(IFERROR(INDEX('CAT_ACTIVIDADES'!$D$4:$D$11,MATCH($H899,'CAT_ACTIVIDADES'!$A$4:$A$11,0)),""))=""),"SIN CLASIFICAR",IFERROR(INDEX('CAT_ACTIVIDADES'!$D$4:$D$11,MATCH($H899,'CAT_ACTIVIDADES'!$A$4:$A$11,0)),"")))</f>
        <v/>
      </c>
      <c r="AO899" s="4" t="n"/>
      <c r="AP899" s="4" t="n"/>
      <c r="AQ899" s="4" t="n"/>
      <c r="AR899" s="5">
        <f>IF($AQ899="","",HYPERLINK(p_ruta_base_checklists&amp;$AQ899,"abrir"))</f>
        <v/>
      </c>
      <c r="AS899" s="4" t="n"/>
      <c r="AT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2" t="n"/>
      <c r="K900" s="5" t="n"/>
      <c r="L900" s="18" t="n"/>
      <c r="M900" s="5">
        <f>IF($A900="","",IFERROR(INDEX('AJUSTES'!$B$4:$B$303,MATCH($AT900,'AJUSTES'!$A$4:$A$303,0)),IF($K900="","",$K900)))</f>
        <v/>
      </c>
      <c r="N900" s="5">
        <f>IF($A900="","",IFERROR(INDEX('CAT_ESTADOS_ERP'!$B$4:$B$7,MATCH(IFERROR(INDEX('2_IMPORTAR_EJECUCION'!$C$9:$C$1208,MATCH($AT900,'2_IMPORTAR_EJECUCION'!$J$9:$J$1208,0)),""),'CAT_ESTADOS_ERP'!$A$4:$A$7,0)),"Pendiente"))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IF($J900="","",$P900&amp;"-"&amp;TEXT($Q900,"00"))</f>
        <v/>
      </c>
      <c r="S900" s="5">
        <f>IF($J900="","",INDEX(lista_dias,WEEKDAY($J900,2)))</f>
        <v/>
      </c>
      <c r="T900" s="5">
        <f>IF($J900="","",IFERROR(INDEX('CALENDARIO'!$C$15:$C$214,MATCH(TEXT($J900,"yyyy-mm-dd")&amp;"|"&amp;$X900&amp;"|"&amp;$Y900,'CALENDARIO'!$G$15:$G$214,0)),IFERROR(INDEX('CALENDARIO'!$C$15:$C$214,MATCH(TEXT($J900,"yyyy-mm-dd")&amp;"|"&amp;$X900&amp;"|",'CALENDARIO'!$G$15:$G$214,0)),IFERROR(INDEX('CALENDARIO'!$C$15:$C$214,MATCH(TEXT($J900,"yyyy-mm-dd")&amp;"||",'CALENDARIO'!$G$15:$G$214,0)),INDEX(patronHabil,WEEKDAY($J900,2))))))</f>
        <v/>
      </c>
      <c r="U900" s="5">
        <f>IF($I900="","",IFERROR(INDEX('CAT_TIPOS_OT'!$C$4:$C$8,MATCH($I900,'CAT_TIPOS_OT'!$A$4:$A$8,0)),"sin_clasificar"))</f>
        <v/>
      </c>
      <c r="V900" s="5">
        <f>IF($I900="","",IF(IFERROR(INDEX('CAT_TIPOS_OT'!$D$4:$D$8,MATCH($I900,'CAT_TIPOS_OT'!$A$4:$A$8,0)),"SIN CLASIFICAR")="","SIN CLASIFICAR",IFERROR(INDEX('CAT_TIPOS_OT'!$D$4:$D$8,MATCH($I900,'CAT_TIPOS_OT'!$A$4:$A$8,0)),"SIN CLASIFICAR")))</f>
        <v/>
      </c>
      <c r="W900" s="5">
        <f>IF($F900="","",IFERROR(INDEX('CAT_CENTROS_COSTO'!$F$4:$F$13,MATCH($F900,'CAT_CENTROS_COSTO'!$A$4:$A$13,0)),"(sin catálogo)"))</f>
        <v/>
      </c>
      <c r="X900" s="5">
        <f>IF($F900="","",IFERROR(INDEX('CAT_CENTROS_COSTO'!$D$4:$D$13,MATCH($F900,'CAT_CENTROS_COSTO'!$A$4:$A$13,0)),"(sin catálogo)"))</f>
        <v/>
      </c>
      <c r="Y900" s="5">
        <f>IF($F900="","",IF((IFERROR(INDEX('CAT_CENTROS_COSTO'!$E$4:$E$13,MATCH($F900,'CAT_CENTROS_COSTO'!$A$4:$A$13,0)),""))&lt;&gt;"",IFERROR(INDEX('CAT_CENTROS_COSTO'!$E$4:$E$13,MATCH($F900,'CAT_CENTROS_COSTO'!$A$4:$A$13,0)),""),$X900))</f>
        <v/>
      </c>
      <c r="Z900" s="5">
        <f>IF($F900="","",IFERROR(INDEX('CAT_CENTROS_COSTO'!$G$4:$G$13,MATCH($F900,'CAT_CENTROS_COSTO'!$A$4:$A$13,0)),"(sin catálogo)"))</f>
        <v/>
      </c>
      <c r="AA900" s="5">
        <f>IF($G900="","",IFERROR(INDEX('CAT_PUESTOS'!$B$4:$B$8,MATCH($G900,'CAT_PUESTOS'!$A$4:$A$8,0)),"(sin catálogo)"))</f>
        <v/>
      </c>
      <c r="AB900" s="5">
        <f>IF($H900="","",IFERROR(INDEX('CAT_ACTIVIDADES'!$B$4:$B$11,MATCH($H900,'CAT_ACTIVIDADES'!$A$4:$A$11,0)),"(sin catálogo)"))</f>
        <v/>
      </c>
      <c r="AC900" s="20">
        <f>IF($J900="","",TODAY()-$J900)</f>
        <v/>
      </c>
      <c r="AD900" s="20">
        <f>IF($J900="","",IF($J900&lt;=TODAY(),COUNTIFS(cal_fechas,"&gt;="&amp;$J900,cal_fechas,"&lt;"&amp;TODAY(),cal_habil,"sí"),-COUNTIFS(cal_fechas,"&gt;="&amp;TODAY(),cal_fechas,"&lt;"&amp;$J900,cal_habil,"sí")))</f>
        <v/>
      </c>
      <c r="AE900" s="5">
        <f>IF($AD900="","",IF($AD900&lt;0,"FUTURO",IF($AD900&gt;p_dias_backlog_max,"BACKLOG","MES CORRIENTE")))</f>
        <v/>
      </c>
      <c r="AF900" s="5">
        <f>IF($AD900="",FALSE,AND($AD900&gt;p_dias_backlog_min,$AD900&lt;=p_dias_backlog_max))</f>
        <v/>
      </c>
      <c r="AG900" s="4" t="n"/>
      <c r="AH900" s="5">
        <f>IF($AG900="","",IF((IFERROR(INDEX('ASIGNACIONES'!$J$4:$J$451,MATCH($O900&amp;"|"&amp;$S900&amp;"|"&amp;$AG900,'ASIGNACIONES'!$N$4:$N$451,0)),""))=0,"",IFERROR(INDEX('ASIGNACIONES'!$J$4:$J$451,MATCH($O900&amp;"|"&amp;$S900&amp;"|"&amp;$AG900,'ASIGNACIONES'!$N$4:$N$451,0)),"")))</f>
        <v/>
      </c>
      <c r="AI900" s="25">
        <f>IF($AG900="","",SUMIFS('ORDENES'!$M$4:$M$1203,'ORDENES'!$AG$4:$AG$1203,$AG900,'ORDENES'!$O$4:$O$1203,$O900,'ORDENES'!$S$4:$S$1203,$S900))</f>
        <v/>
      </c>
      <c r="AJ900" s="25">
        <f>IF($AI900="","",p_factor_productividad*IFERROR(INDEX('ASIGNACIONES'!$M$4:$M$451,MATCH($O900&amp;"|"&amp;$S900&amp;"|"&amp;$AG900,'ASIGNACIONES'!$N$4:$N$451,0)),0)-$AI900)</f>
        <v/>
      </c>
      <c r="AK900" s="18">
        <f>IF($A900="","",IFERROR(INDEX('2_IMPORTAR_EJECUCION'!$F$9:$F$1208,MATCH($AT900,'2_IMPORTAR_EJECUCION'!$J$9:$J$1208,0)),0))</f>
        <v/>
      </c>
      <c r="AL900" s="18">
        <f>IF($A900="","",MAX(0,IFERROR(INDEX('2_IMPORTAR_EJECUCION'!$H$9:$H$1208,MATCH($AT900,'2_IMPORTAR_EJECUCION'!$J$9:$J$1208,0)),0)-$AK900))</f>
        <v/>
      </c>
      <c r="AM900" s="18">
        <f>IF($A900="","",$AK900+$AL900)</f>
        <v/>
      </c>
      <c r="AN900" s="5">
        <f>IF($A900="","",IF(OR((IFERROR(INDEX('CAT_ACTIVIDADES'!$D$4:$D$11,MATCH($H900,'CAT_ACTIVIDADES'!$A$4:$A$11,0)),""))=0,(IFERROR(INDEX('CAT_ACTIVIDADES'!$D$4:$D$11,MATCH($H900,'CAT_ACTIVIDADES'!$A$4:$A$11,0)),""))=""),"SIN CLASIFICAR",IFERROR(INDEX('CAT_ACTIVIDADES'!$D$4:$D$11,MATCH($H900,'CAT_ACTIVIDADES'!$A$4:$A$11,0)),"")))</f>
        <v/>
      </c>
      <c r="AO900" s="4" t="n"/>
      <c r="AP900" s="4" t="n"/>
      <c r="AQ900" s="4" t="n"/>
      <c r="AR900" s="5">
        <f>IF($AQ900="","",HYPERLINK(p_ruta_base_checklists&amp;$AQ900,"abrir"))</f>
        <v/>
      </c>
      <c r="AS900" s="4" t="n"/>
      <c r="AT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2" t="n"/>
      <c r="K901" s="5" t="n"/>
      <c r="L901" s="18" t="n"/>
      <c r="M901" s="5">
        <f>IF($A901="","",IFERROR(INDEX('AJUSTES'!$B$4:$B$303,MATCH($AT901,'AJUSTES'!$A$4:$A$303,0)),IF($K901="","",$K901)))</f>
        <v/>
      </c>
      <c r="N901" s="5">
        <f>IF($A901="","",IFERROR(INDEX('CAT_ESTADOS_ERP'!$B$4:$B$7,MATCH(IFERROR(INDEX('2_IMPORTAR_EJECUCION'!$C$9:$C$1208,MATCH($AT901,'2_IMPORTAR_EJECUCION'!$J$9:$J$1208,0)),""),'CAT_ESTADOS_ERP'!$A$4:$A$7,0)),"Pendiente"))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IF($J901="","",$P901&amp;"-"&amp;TEXT($Q901,"00"))</f>
        <v/>
      </c>
      <c r="S901" s="5">
        <f>IF($J901="","",INDEX(lista_dias,WEEKDAY($J901,2)))</f>
        <v/>
      </c>
      <c r="T901" s="5">
        <f>IF($J901="","",IFERROR(INDEX('CALENDARIO'!$C$15:$C$214,MATCH(TEXT($J901,"yyyy-mm-dd")&amp;"|"&amp;$X901&amp;"|"&amp;$Y901,'CALENDARIO'!$G$15:$G$214,0)),IFERROR(INDEX('CALENDARIO'!$C$15:$C$214,MATCH(TEXT($J901,"yyyy-mm-dd")&amp;"|"&amp;$X901&amp;"|",'CALENDARIO'!$G$15:$G$214,0)),IFERROR(INDEX('CALENDARIO'!$C$15:$C$214,MATCH(TEXT($J901,"yyyy-mm-dd")&amp;"||",'CALENDARIO'!$G$15:$G$214,0)),INDEX(patronHabil,WEEKDAY($J901,2))))))</f>
        <v/>
      </c>
      <c r="U901" s="5">
        <f>IF($I901="","",IFERROR(INDEX('CAT_TIPOS_OT'!$C$4:$C$8,MATCH($I901,'CAT_TIPOS_OT'!$A$4:$A$8,0)),"sin_clasificar"))</f>
        <v/>
      </c>
      <c r="V901" s="5">
        <f>IF($I901="","",IF(IFERROR(INDEX('CAT_TIPOS_OT'!$D$4:$D$8,MATCH($I901,'CAT_TIPOS_OT'!$A$4:$A$8,0)),"SIN CLASIFICAR")="","SIN CLASIFICAR",IFERROR(INDEX('CAT_TIPOS_OT'!$D$4:$D$8,MATCH($I901,'CAT_TIPOS_OT'!$A$4:$A$8,0)),"SIN CLASIFICAR")))</f>
        <v/>
      </c>
      <c r="W901" s="5">
        <f>IF($F901="","",IFERROR(INDEX('CAT_CENTROS_COSTO'!$F$4:$F$13,MATCH($F901,'CAT_CENTROS_COSTO'!$A$4:$A$13,0)),"(sin catálogo)"))</f>
        <v/>
      </c>
      <c r="X901" s="5">
        <f>IF($F901="","",IFERROR(INDEX('CAT_CENTROS_COSTO'!$D$4:$D$13,MATCH($F901,'CAT_CENTROS_COSTO'!$A$4:$A$13,0)),"(sin catálogo)"))</f>
        <v/>
      </c>
      <c r="Y901" s="5">
        <f>IF($F901="","",IF((IFERROR(INDEX('CAT_CENTROS_COSTO'!$E$4:$E$13,MATCH($F901,'CAT_CENTROS_COSTO'!$A$4:$A$13,0)),""))&lt;&gt;"",IFERROR(INDEX('CAT_CENTROS_COSTO'!$E$4:$E$13,MATCH($F901,'CAT_CENTROS_COSTO'!$A$4:$A$13,0)),""),$X901))</f>
        <v/>
      </c>
      <c r="Z901" s="5">
        <f>IF($F901="","",IFERROR(INDEX('CAT_CENTROS_COSTO'!$G$4:$G$13,MATCH($F901,'CAT_CENTROS_COSTO'!$A$4:$A$13,0)),"(sin catálogo)"))</f>
        <v/>
      </c>
      <c r="AA901" s="5">
        <f>IF($G901="","",IFERROR(INDEX('CAT_PUESTOS'!$B$4:$B$8,MATCH($G901,'CAT_PUESTOS'!$A$4:$A$8,0)),"(sin catálogo)"))</f>
        <v/>
      </c>
      <c r="AB901" s="5">
        <f>IF($H901="","",IFERROR(INDEX('CAT_ACTIVIDADES'!$B$4:$B$11,MATCH($H901,'CAT_ACTIVIDADES'!$A$4:$A$11,0)),"(sin catálogo)"))</f>
        <v/>
      </c>
      <c r="AC901" s="20">
        <f>IF($J901="","",TODAY()-$J901)</f>
        <v/>
      </c>
      <c r="AD901" s="20">
        <f>IF($J901="","",IF($J901&lt;=TODAY(),COUNTIFS(cal_fechas,"&gt;="&amp;$J901,cal_fechas,"&lt;"&amp;TODAY(),cal_habil,"sí"),-COUNTIFS(cal_fechas,"&gt;="&amp;TODAY(),cal_fechas,"&lt;"&amp;$J901,cal_habil,"sí")))</f>
        <v/>
      </c>
      <c r="AE901" s="5">
        <f>IF($AD901="","",IF($AD901&lt;0,"FUTURO",IF($AD901&gt;p_dias_backlog_max,"BACKLOG","MES CORRIENTE")))</f>
        <v/>
      </c>
      <c r="AF901" s="5">
        <f>IF($AD901="",FALSE,AND($AD901&gt;p_dias_backlog_min,$AD901&lt;=p_dias_backlog_max))</f>
        <v/>
      </c>
      <c r="AG901" s="4" t="n"/>
      <c r="AH901" s="5">
        <f>IF($AG901="","",IF((IFERROR(INDEX('ASIGNACIONES'!$J$4:$J$451,MATCH($O901&amp;"|"&amp;$S901&amp;"|"&amp;$AG901,'ASIGNACIONES'!$N$4:$N$451,0)),""))=0,"",IFERROR(INDEX('ASIGNACIONES'!$J$4:$J$451,MATCH($O901&amp;"|"&amp;$S901&amp;"|"&amp;$AG901,'ASIGNACIONES'!$N$4:$N$451,0)),"")))</f>
        <v/>
      </c>
      <c r="AI901" s="25">
        <f>IF($AG901="","",SUMIFS('ORDENES'!$M$4:$M$1203,'ORDENES'!$AG$4:$AG$1203,$AG901,'ORDENES'!$O$4:$O$1203,$O901,'ORDENES'!$S$4:$S$1203,$S901))</f>
        <v/>
      </c>
      <c r="AJ901" s="25">
        <f>IF($AI901="","",p_factor_productividad*IFERROR(INDEX('ASIGNACIONES'!$M$4:$M$451,MATCH($O901&amp;"|"&amp;$S901&amp;"|"&amp;$AG901,'ASIGNACIONES'!$N$4:$N$451,0)),0)-$AI901)</f>
        <v/>
      </c>
      <c r="AK901" s="18">
        <f>IF($A901="","",IFERROR(INDEX('2_IMPORTAR_EJECUCION'!$F$9:$F$1208,MATCH($AT901,'2_IMPORTAR_EJECUCION'!$J$9:$J$1208,0)),0))</f>
        <v/>
      </c>
      <c r="AL901" s="18">
        <f>IF($A901="","",MAX(0,IFERROR(INDEX('2_IMPORTAR_EJECUCION'!$H$9:$H$1208,MATCH($AT901,'2_IMPORTAR_EJECUCION'!$J$9:$J$1208,0)),0)-$AK901))</f>
        <v/>
      </c>
      <c r="AM901" s="18">
        <f>IF($A901="","",$AK901+$AL901)</f>
        <v/>
      </c>
      <c r="AN901" s="5">
        <f>IF($A901="","",IF(OR((IFERROR(INDEX('CAT_ACTIVIDADES'!$D$4:$D$11,MATCH($H901,'CAT_ACTIVIDADES'!$A$4:$A$11,0)),""))=0,(IFERROR(INDEX('CAT_ACTIVIDADES'!$D$4:$D$11,MATCH($H901,'CAT_ACTIVIDADES'!$A$4:$A$11,0)),""))=""),"SIN CLASIFICAR",IFERROR(INDEX('CAT_ACTIVIDADES'!$D$4:$D$11,MATCH($H901,'CAT_ACTIVIDADES'!$A$4:$A$11,0)),"")))</f>
        <v/>
      </c>
      <c r="AO901" s="4" t="n"/>
      <c r="AP901" s="4" t="n"/>
      <c r="AQ901" s="4" t="n"/>
      <c r="AR901" s="5">
        <f>IF($AQ901="","",HYPERLINK(p_ruta_base_checklists&amp;$AQ901,"abrir"))</f>
        <v/>
      </c>
      <c r="AS901" s="4" t="n"/>
      <c r="AT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2" t="n"/>
      <c r="K902" s="5" t="n"/>
      <c r="L902" s="18" t="n"/>
      <c r="M902" s="5">
        <f>IF($A902="","",IFERROR(INDEX('AJUSTES'!$B$4:$B$303,MATCH($AT902,'AJUSTES'!$A$4:$A$303,0)),IF($K902="","",$K902)))</f>
        <v/>
      </c>
      <c r="N902" s="5">
        <f>IF($A902="","",IFERROR(INDEX('CAT_ESTADOS_ERP'!$B$4:$B$7,MATCH(IFERROR(INDEX('2_IMPORTAR_EJECUCION'!$C$9:$C$1208,MATCH($AT902,'2_IMPORTAR_EJECUCION'!$J$9:$J$1208,0)),""),'CAT_ESTADOS_ERP'!$A$4:$A$7,0)),"Pendiente"))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IF($J902="","",$P902&amp;"-"&amp;TEXT($Q902,"00"))</f>
        <v/>
      </c>
      <c r="S902" s="5">
        <f>IF($J902="","",INDEX(lista_dias,WEEKDAY($J902,2)))</f>
        <v/>
      </c>
      <c r="T902" s="5">
        <f>IF($J902="","",IFERROR(INDEX('CALENDARIO'!$C$15:$C$214,MATCH(TEXT($J902,"yyyy-mm-dd")&amp;"|"&amp;$X902&amp;"|"&amp;$Y902,'CALENDARIO'!$G$15:$G$214,0)),IFERROR(INDEX('CALENDARIO'!$C$15:$C$214,MATCH(TEXT($J902,"yyyy-mm-dd")&amp;"|"&amp;$X902&amp;"|",'CALENDARIO'!$G$15:$G$214,0)),IFERROR(INDEX('CALENDARIO'!$C$15:$C$214,MATCH(TEXT($J902,"yyyy-mm-dd")&amp;"||",'CALENDARIO'!$G$15:$G$214,0)),INDEX(patronHabil,WEEKDAY($J902,2))))))</f>
        <v/>
      </c>
      <c r="U902" s="5">
        <f>IF($I902="","",IFERROR(INDEX('CAT_TIPOS_OT'!$C$4:$C$8,MATCH($I902,'CAT_TIPOS_OT'!$A$4:$A$8,0)),"sin_clasificar"))</f>
        <v/>
      </c>
      <c r="V902" s="5">
        <f>IF($I902="","",IF(IFERROR(INDEX('CAT_TIPOS_OT'!$D$4:$D$8,MATCH($I902,'CAT_TIPOS_OT'!$A$4:$A$8,0)),"SIN CLASIFICAR")="","SIN CLASIFICAR",IFERROR(INDEX('CAT_TIPOS_OT'!$D$4:$D$8,MATCH($I902,'CAT_TIPOS_OT'!$A$4:$A$8,0)),"SIN CLASIFICAR")))</f>
        <v/>
      </c>
      <c r="W902" s="5">
        <f>IF($F902="","",IFERROR(INDEX('CAT_CENTROS_COSTO'!$F$4:$F$13,MATCH($F902,'CAT_CENTROS_COSTO'!$A$4:$A$13,0)),"(sin catálogo)"))</f>
        <v/>
      </c>
      <c r="X902" s="5">
        <f>IF($F902="","",IFERROR(INDEX('CAT_CENTROS_COSTO'!$D$4:$D$13,MATCH($F902,'CAT_CENTROS_COSTO'!$A$4:$A$13,0)),"(sin catálogo)"))</f>
        <v/>
      </c>
      <c r="Y902" s="5">
        <f>IF($F902="","",IF((IFERROR(INDEX('CAT_CENTROS_COSTO'!$E$4:$E$13,MATCH($F902,'CAT_CENTROS_COSTO'!$A$4:$A$13,0)),""))&lt;&gt;"",IFERROR(INDEX('CAT_CENTROS_COSTO'!$E$4:$E$13,MATCH($F902,'CAT_CENTROS_COSTO'!$A$4:$A$13,0)),""),$X902))</f>
        <v/>
      </c>
      <c r="Z902" s="5">
        <f>IF($F902="","",IFERROR(INDEX('CAT_CENTROS_COSTO'!$G$4:$G$13,MATCH($F902,'CAT_CENTROS_COSTO'!$A$4:$A$13,0)),"(sin catálogo)"))</f>
        <v/>
      </c>
      <c r="AA902" s="5">
        <f>IF($G902="","",IFERROR(INDEX('CAT_PUESTOS'!$B$4:$B$8,MATCH($G902,'CAT_PUESTOS'!$A$4:$A$8,0)),"(sin catálogo)"))</f>
        <v/>
      </c>
      <c r="AB902" s="5">
        <f>IF($H902="","",IFERROR(INDEX('CAT_ACTIVIDADES'!$B$4:$B$11,MATCH($H902,'CAT_ACTIVIDADES'!$A$4:$A$11,0)),"(sin catálogo)"))</f>
        <v/>
      </c>
      <c r="AC902" s="20">
        <f>IF($J902="","",TODAY()-$J902)</f>
        <v/>
      </c>
      <c r="AD902" s="20">
        <f>IF($J902="","",IF($J902&lt;=TODAY(),COUNTIFS(cal_fechas,"&gt;="&amp;$J902,cal_fechas,"&lt;"&amp;TODAY(),cal_habil,"sí"),-COUNTIFS(cal_fechas,"&gt;="&amp;TODAY(),cal_fechas,"&lt;"&amp;$J902,cal_habil,"sí")))</f>
        <v/>
      </c>
      <c r="AE902" s="5">
        <f>IF($AD902="","",IF($AD902&lt;0,"FUTURO",IF($AD902&gt;p_dias_backlog_max,"BACKLOG","MES CORRIENTE")))</f>
        <v/>
      </c>
      <c r="AF902" s="5">
        <f>IF($AD902="",FALSE,AND($AD902&gt;p_dias_backlog_min,$AD902&lt;=p_dias_backlog_max))</f>
        <v/>
      </c>
      <c r="AG902" s="4" t="n"/>
      <c r="AH902" s="5">
        <f>IF($AG902="","",IF((IFERROR(INDEX('ASIGNACIONES'!$J$4:$J$451,MATCH($O902&amp;"|"&amp;$S902&amp;"|"&amp;$AG902,'ASIGNACIONES'!$N$4:$N$451,0)),""))=0,"",IFERROR(INDEX('ASIGNACIONES'!$J$4:$J$451,MATCH($O902&amp;"|"&amp;$S902&amp;"|"&amp;$AG902,'ASIGNACIONES'!$N$4:$N$451,0)),"")))</f>
        <v/>
      </c>
      <c r="AI902" s="25">
        <f>IF($AG902="","",SUMIFS('ORDENES'!$M$4:$M$1203,'ORDENES'!$AG$4:$AG$1203,$AG902,'ORDENES'!$O$4:$O$1203,$O902,'ORDENES'!$S$4:$S$1203,$S902))</f>
        <v/>
      </c>
      <c r="AJ902" s="25">
        <f>IF($AI902="","",p_factor_productividad*IFERROR(INDEX('ASIGNACIONES'!$M$4:$M$451,MATCH($O902&amp;"|"&amp;$S902&amp;"|"&amp;$AG902,'ASIGNACIONES'!$N$4:$N$451,0)),0)-$AI902)</f>
        <v/>
      </c>
      <c r="AK902" s="18">
        <f>IF($A902="","",IFERROR(INDEX('2_IMPORTAR_EJECUCION'!$F$9:$F$1208,MATCH($AT902,'2_IMPORTAR_EJECUCION'!$J$9:$J$1208,0)),0))</f>
        <v/>
      </c>
      <c r="AL902" s="18">
        <f>IF($A902="","",MAX(0,IFERROR(INDEX('2_IMPORTAR_EJECUCION'!$H$9:$H$1208,MATCH($AT902,'2_IMPORTAR_EJECUCION'!$J$9:$J$1208,0)),0)-$AK902))</f>
        <v/>
      </c>
      <c r="AM902" s="18">
        <f>IF($A902="","",$AK902+$AL902)</f>
        <v/>
      </c>
      <c r="AN902" s="5">
        <f>IF($A902="","",IF(OR((IFERROR(INDEX('CAT_ACTIVIDADES'!$D$4:$D$11,MATCH($H902,'CAT_ACTIVIDADES'!$A$4:$A$11,0)),""))=0,(IFERROR(INDEX('CAT_ACTIVIDADES'!$D$4:$D$11,MATCH($H902,'CAT_ACTIVIDADES'!$A$4:$A$11,0)),""))=""),"SIN CLASIFICAR",IFERROR(INDEX('CAT_ACTIVIDADES'!$D$4:$D$11,MATCH($H902,'CAT_ACTIVIDADES'!$A$4:$A$11,0)),"")))</f>
        <v/>
      </c>
      <c r="AO902" s="4" t="n"/>
      <c r="AP902" s="4" t="n"/>
      <c r="AQ902" s="4" t="n"/>
      <c r="AR902" s="5">
        <f>IF($AQ902="","",HYPERLINK(p_ruta_base_checklists&amp;$AQ902,"abrir"))</f>
        <v/>
      </c>
      <c r="AS902" s="4" t="n"/>
      <c r="AT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2" t="n"/>
      <c r="K903" s="5" t="n"/>
      <c r="L903" s="18" t="n"/>
      <c r="M903" s="5">
        <f>IF($A903="","",IFERROR(INDEX('AJUSTES'!$B$4:$B$303,MATCH($AT903,'AJUSTES'!$A$4:$A$303,0)),IF($K903="","",$K903)))</f>
        <v/>
      </c>
      <c r="N903" s="5">
        <f>IF($A903="","",IFERROR(INDEX('CAT_ESTADOS_ERP'!$B$4:$B$7,MATCH(IFERROR(INDEX('2_IMPORTAR_EJECUCION'!$C$9:$C$1208,MATCH($AT903,'2_IMPORTAR_EJECUCION'!$J$9:$J$1208,0)),""),'CAT_ESTADOS_ERP'!$A$4:$A$7,0)),"Pendiente"))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IF($J903="","",$P903&amp;"-"&amp;TEXT($Q903,"00"))</f>
        <v/>
      </c>
      <c r="S903" s="5">
        <f>IF($J903="","",INDEX(lista_dias,WEEKDAY($J903,2)))</f>
        <v/>
      </c>
      <c r="T903" s="5">
        <f>IF($J903="","",IFERROR(INDEX('CALENDARIO'!$C$15:$C$214,MATCH(TEXT($J903,"yyyy-mm-dd")&amp;"|"&amp;$X903&amp;"|"&amp;$Y903,'CALENDARIO'!$G$15:$G$214,0)),IFERROR(INDEX('CALENDARIO'!$C$15:$C$214,MATCH(TEXT($J903,"yyyy-mm-dd")&amp;"|"&amp;$X903&amp;"|",'CALENDARIO'!$G$15:$G$214,0)),IFERROR(INDEX('CALENDARIO'!$C$15:$C$214,MATCH(TEXT($J903,"yyyy-mm-dd")&amp;"||",'CALENDARIO'!$G$15:$G$214,0)),INDEX(patronHabil,WEEKDAY($J903,2))))))</f>
        <v/>
      </c>
      <c r="U903" s="5">
        <f>IF($I903="","",IFERROR(INDEX('CAT_TIPOS_OT'!$C$4:$C$8,MATCH($I903,'CAT_TIPOS_OT'!$A$4:$A$8,0)),"sin_clasificar"))</f>
        <v/>
      </c>
      <c r="V903" s="5">
        <f>IF($I903="","",IF(IFERROR(INDEX('CAT_TIPOS_OT'!$D$4:$D$8,MATCH($I903,'CAT_TIPOS_OT'!$A$4:$A$8,0)),"SIN CLASIFICAR")="","SIN CLASIFICAR",IFERROR(INDEX('CAT_TIPOS_OT'!$D$4:$D$8,MATCH($I903,'CAT_TIPOS_OT'!$A$4:$A$8,0)),"SIN CLASIFICAR")))</f>
        <v/>
      </c>
      <c r="W903" s="5">
        <f>IF($F903="","",IFERROR(INDEX('CAT_CENTROS_COSTO'!$F$4:$F$13,MATCH($F903,'CAT_CENTROS_COSTO'!$A$4:$A$13,0)),"(sin catálogo)"))</f>
        <v/>
      </c>
      <c r="X903" s="5">
        <f>IF($F903="","",IFERROR(INDEX('CAT_CENTROS_COSTO'!$D$4:$D$13,MATCH($F903,'CAT_CENTROS_COSTO'!$A$4:$A$13,0)),"(sin catálogo)"))</f>
        <v/>
      </c>
      <c r="Y903" s="5">
        <f>IF($F903="","",IF((IFERROR(INDEX('CAT_CENTROS_COSTO'!$E$4:$E$13,MATCH($F903,'CAT_CENTROS_COSTO'!$A$4:$A$13,0)),""))&lt;&gt;"",IFERROR(INDEX('CAT_CENTROS_COSTO'!$E$4:$E$13,MATCH($F903,'CAT_CENTROS_COSTO'!$A$4:$A$13,0)),""),$X903))</f>
        <v/>
      </c>
      <c r="Z903" s="5">
        <f>IF($F903="","",IFERROR(INDEX('CAT_CENTROS_COSTO'!$G$4:$G$13,MATCH($F903,'CAT_CENTROS_COSTO'!$A$4:$A$13,0)),"(sin catálogo)"))</f>
        <v/>
      </c>
      <c r="AA903" s="5">
        <f>IF($G903="","",IFERROR(INDEX('CAT_PUESTOS'!$B$4:$B$8,MATCH($G903,'CAT_PUESTOS'!$A$4:$A$8,0)),"(sin catálogo)"))</f>
        <v/>
      </c>
      <c r="AB903" s="5">
        <f>IF($H903="","",IFERROR(INDEX('CAT_ACTIVIDADES'!$B$4:$B$11,MATCH($H903,'CAT_ACTIVIDADES'!$A$4:$A$11,0)),"(sin catálogo)"))</f>
        <v/>
      </c>
      <c r="AC903" s="20">
        <f>IF($J903="","",TODAY()-$J903)</f>
        <v/>
      </c>
      <c r="AD903" s="20">
        <f>IF($J903="","",IF($J903&lt;=TODAY(),COUNTIFS(cal_fechas,"&gt;="&amp;$J903,cal_fechas,"&lt;"&amp;TODAY(),cal_habil,"sí"),-COUNTIFS(cal_fechas,"&gt;="&amp;TODAY(),cal_fechas,"&lt;"&amp;$J903,cal_habil,"sí")))</f>
        <v/>
      </c>
      <c r="AE903" s="5">
        <f>IF($AD903="","",IF($AD903&lt;0,"FUTURO",IF($AD903&gt;p_dias_backlog_max,"BACKLOG","MES CORRIENTE")))</f>
        <v/>
      </c>
      <c r="AF903" s="5">
        <f>IF($AD903="",FALSE,AND($AD903&gt;p_dias_backlog_min,$AD903&lt;=p_dias_backlog_max))</f>
        <v/>
      </c>
      <c r="AG903" s="4" t="n"/>
      <c r="AH903" s="5">
        <f>IF($AG903="","",IF((IFERROR(INDEX('ASIGNACIONES'!$J$4:$J$451,MATCH($O903&amp;"|"&amp;$S903&amp;"|"&amp;$AG903,'ASIGNACIONES'!$N$4:$N$451,0)),""))=0,"",IFERROR(INDEX('ASIGNACIONES'!$J$4:$J$451,MATCH($O903&amp;"|"&amp;$S903&amp;"|"&amp;$AG903,'ASIGNACIONES'!$N$4:$N$451,0)),"")))</f>
        <v/>
      </c>
      <c r="AI903" s="25">
        <f>IF($AG903="","",SUMIFS('ORDENES'!$M$4:$M$1203,'ORDENES'!$AG$4:$AG$1203,$AG903,'ORDENES'!$O$4:$O$1203,$O903,'ORDENES'!$S$4:$S$1203,$S903))</f>
        <v/>
      </c>
      <c r="AJ903" s="25">
        <f>IF($AI903="","",p_factor_productividad*IFERROR(INDEX('ASIGNACIONES'!$M$4:$M$451,MATCH($O903&amp;"|"&amp;$S903&amp;"|"&amp;$AG903,'ASIGNACIONES'!$N$4:$N$451,0)),0)-$AI903)</f>
        <v/>
      </c>
      <c r="AK903" s="18">
        <f>IF($A903="","",IFERROR(INDEX('2_IMPORTAR_EJECUCION'!$F$9:$F$1208,MATCH($AT903,'2_IMPORTAR_EJECUCION'!$J$9:$J$1208,0)),0))</f>
        <v/>
      </c>
      <c r="AL903" s="18">
        <f>IF($A903="","",MAX(0,IFERROR(INDEX('2_IMPORTAR_EJECUCION'!$H$9:$H$1208,MATCH($AT903,'2_IMPORTAR_EJECUCION'!$J$9:$J$1208,0)),0)-$AK903))</f>
        <v/>
      </c>
      <c r="AM903" s="18">
        <f>IF($A903="","",$AK903+$AL903)</f>
        <v/>
      </c>
      <c r="AN903" s="5">
        <f>IF($A903="","",IF(OR((IFERROR(INDEX('CAT_ACTIVIDADES'!$D$4:$D$11,MATCH($H903,'CAT_ACTIVIDADES'!$A$4:$A$11,0)),""))=0,(IFERROR(INDEX('CAT_ACTIVIDADES'!$D$4:$D$11,MATCH($H903,'CAT_ACTIVIDADES'!$A$4:$A$11,0)),""))=""),"SIN CLASIFICAR",IFERROR(INDEX('CAT_ACTIVIDADES'!$D$4:$D$11,MATCH($H903,'CAT_ACTIVIDADES'!$A$4:$A$11,0)),"")))</f>
        <v/>
      </c>
      <c r="AO903" s="4" t="n"/>
      <c r="AP903" s="4" t="n"/>
      <c r="AQ903" s="4" t="n"/>
      <c r="AR903" s="5">
        <f>IF($AQ903="","",HYPERLINK(p_ruta_base_checklists&amp;$AQ903,"abrir"))</f>
        <v/>
      </c>
      <c r="AS903" s="4" t="n"/>
      <c r="AT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2" t="n"/>
      <c r="K904" s="5" t="n"/>
      <c r="L904" s="18" t="n"/>
      <c r="M904" s="5">
        <f>IF($A904="","",IFERROR(INDEX('AJUSTES'!$B$4:$B$303,MATCH($AT904,'AJUSTES'!$A$4:$A$303,0)),IF($K904="","",$K904)))</f>
        <v/>
      </c>
      <c r="N904" s="5">
        <f>IF($A904="","",IFERROR(INDEX('CAT_ESTADOS_ERP'!$B$4:$B$7,MATCH(IFERROR(INDEX('2_IMPORTAR_EJECUCION'!$C$9:$C$1208,MATCH($AT904,'2_IMPORTAR_EJECUCION'!$J$9:$J$1208,0)),""),'CAT_ESTADOS_ERP'!$A$4:$A$7,0)),"Pendiente"))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IF($J904="","",$P904&amp;"-"&amp;TEXT($Q904,"00"))</f>
        <v/>
      </c>
      <c r="S904" s="5">
        <f>IF($J904="","",INDEX(lista_dias,WEEKDAY($J904,2)))</f>
        <v/>
      </c>
      <c r="T904" s="5">
        <f>IF($J904="","",IFERROR(INDEX('CALENDARIO'!$C$15:$C$214,MATCH(TEXT($J904,"yyyy-mm-dd")&amp;"|"&amp;$X904&amp;"|"&amp;$Y904,'CALENDARIO'!$G$15:$G$214,0)),IFERROR(INDEX('CALENDARIO'!$C$15:$C$214,MATCH(TEXT($J904,"yyyy-mm-dd")&amp;"|"&amp;$X904&amp;"|",'CALENDARIO'!$G$15:$G$214,0)),IFERROR(INDEX('CALENDARIO'!$C$15:$C$214,MATCH(TEXT($J904,"yyyy-mm-dd")&amp;"||",'CALENDARIO'!$G$15:$G$214,0)),INDEX(patronHabil,WEEKDAY($J904,2))))))</f>
        <v/>
      </c>
      <c r="U904" s="5">
        <f>IF($I904="","",IFERROR(INDEX('CAT_TIPOS_OT'!$C$4:$C$8,MATCH($I904,'CAT_TIPOS_OT'!$A$4:$A$8,0)),"sin_clasificar"))</f>
        <v/>
      </c>
      <c r="V904" s="5">
        <f>IF($I904="","",IF(IFERROR(INDEX('CAT_TIPOS_OT'!$D$4:$D$8,MATCH($I904,'CAT_TIPOS_OT'!$A$4:$A$8,0)),"SIN CLASIFICAR")="","SIN CLASIFICAR",IFERROR(INDEX('CAT_TIPOS_OT'!$D$4:$D$8,MATCH($I904,'CAT_TIPOS_OT'!$A$4:$A$8,0)),"SIN CLASIFICAR")))</f>
        <v/>
      </c>
      <c r="W904" s="5">
        <f>IF($F904="","",IFERROR(INDEX('CAT_CENTROS_COSTO'!$F$4:$F$13,MATCH($F904,'CAT_CENTROS_COSTO'!$A$4:$A$13,0)),"(sin catálogo)"))</f>
        <v/>
      </c>
      <c r="X904" s="5">
        <f>IF($F904="","",IFERROR(INDEX('CAT_CENTROS_COSTO'!$D$4:$D$13,MATCH($F904,'CAT_CENTROS_COSTO'!$A$4:$A$13,0)),"(sin catálogo)"))</f>
        <v/>
      </c>
      <c r="Y904" s="5">
        <f>IF($F904="","",IF((IFERROR(INDEX('CAT_CENTROS_COSTO'!$E$4:$E$13,MATCH($F904,'CAT_CENTROS_COSTO'!$A$4:$A$13,0)),""))&lt;&gt;"",IFERROR(INDEX('CAT_CENTROS_COSTO'!$E$4:$E$13,MATCH($F904,'CAT_CENTROS_COSTO'!$A$4:$A$13,0)),""),$X904))</f>
        <v/>
      </c>
      <c r="Z904" s="5">
        <f>IF($F904="","",IFERROR(INDEX('CAT_CENTROS_COSTO'!$G$4:$G$13,MATCH($F904,'CAT_CENTROS_COSTO'!$A$4:$A$13,0)),"(sin catálogo)"))</f>
        <v/>
      </c>
      <c r="AA904" s="5">
        <f>IF($G904="","",IFERROR(INDEX('CAT_PUESTOS'!$B$4:$B$8,MATCH($G904,'CAT_PUESTOS'!$A$4:$A$8,0)),"(sin catálogo)"))</f>
        <v/>
      </c>
      <c r="AB904" s="5">
        <f>IF($H904="","",IFERROR(INDEX('CAT_ACTIVIDADES'!$B$4:$B$11,MATCH($H904,'CAT_ACTIVIDADES'!$A$4:$A$11,0)),"(sin catálogo)"))</f>
        <v/>
      </c>
      <c r="AC904" s="20">
        <f>IF($J904="","",TODAY()-$J904)</f>
        <v/>
      </c>
      <c r="AD904" s="20">
        <f>IF($J904="","",IF($J904&lt;=TODAY(),COUNTIFS(cal_fechas,"&gt;="&amp;$J904,cal_fechas,"&lt;"&amp;TODAY(),cal_habil,"sí"),-COUNTIFS(cal_fechas,"&gt;="&amp;TODAY(),cal_fechas,"&lt;"&amp;$J904,cal_habil,"sí")))</f>
        <v/>
      </c>
      <c r="AE904" s="5">
        <f>IF($AD904="","",IF($AD904&lt;0,"FUTURO",IF($AD904&gt;p_dias_backlog_max,"BACKLOG","MES CORRIENTE")))</f>
        <v/>
      </c>
      <c r="AF904" s="5">
        <f>IF($AD904="",FALSE,AND($AD904&gt;p_dias_backlog_min,$AD904&lt;=p_dias_backlog_max))</f>
        <v/>
      </c>
      <c r="AG904" s="4" t="n"/>
      <c r="AH904" s="5">
        <f>IF($AG904="","",IF((IFERROR(INDEX('ASIGNACIONES'!$J$4:$J$451,MATCH($O904&amp;"|"&amp;$S904&amp;"|"&amp;$AG904,'ASIGNACIONES'!$N$4:$N$451,0)),""))=0,"",IFERROR(INDEX('ASIGNACIONES'!$J$4:$J$451,MATCH($O904&amp;"|"&amp;$S904&amp;"|"&amp;$AG904,'ASIGNACIONES'!$N$4:$N$451,0)),"")))</f>
        <v/>
      </c>
      <c r="AI904" s="25">
        <f>IF($AG904="","",SUMIFS('ORDENES'!$M$4:$M$1203,'ORDENES'!$AG$4:$AG$1203,$AG904,'ORDENES'!$O$4:$O$1203,$O904,'ORDENES'!$S$4:$S$1203,$S904))</f>
        <v/>
      </c>
      <c r="AJ904" s="25">
        <f>IF($AI904="","",p_factor_productividad*IFERROR(INDEX('ASIGNACIONES'!$M$4:$M$451,MATCH($O904&amp;"|"&amp;$S904&amp;"|"&amp;$AG904,'ASIGNACIONES'!$N$4:$N$451,0)),0)-$AI904)</f>
        <v/>
      </c>
      <c r="AK904" s="18">
        <f>IF($A904="","",IFERROR(INDEX('2_IMPORTAR_EJECUCION'!$F$9:$F$1208,MATCH($AT904,'2_IMPORTAR_EJECUCION'!$J$9:$J$1208,0)),0))</f>
        <v/>
      </c>
      <c r="AL904" s="18">
        <f>IF($A904="","",MAX(0,IFERROR(INDEX('2_IMPORTAR_EJECUCION'!$H$9:$H$1208,MATCH($AT904,'2_IMPORTAR_EJECUCION'!$J$9:$J$1208,0)),0)-$AK904))</f>
        <v/>
      </c>
      <c r="AM904" s="18">
        <f>IF($A904="","",$AK904+$AL904)</f>
        <v/>
      </c>
      <c r="AN904" s="5">
        <f>IF($A904="","",IF(OR((IFERROR(INDEX('CAT_ACTIVIDADES'!$D$4:$D$11,MATCH($H904,'CAT_ACTIVIDADES'!$A$4:$A$11,0)),""))=0,(IFERROR(INDEX('CAT_ACTIVIDADES'!$D$4:$D$11,MATCH($H904,'CAT_ACTIVIDADES'!$A$4:$A$11,0)),""))=""),"SIN CLASIFICAR",IFERROR(INDEX('CAT_ACTIVIDADES'!$D$4:$D$11,MATCH($H904,'CAT_ACTIVIDADES'!$A$4:$A$11,0)),"")))</f>
        <v/>
      </c>
      <c r="AO904" s="4" t="n"/>
      <c r="AP904" s="4" t="n"/>
      <c r="AQ904" s="4" t="n"/>
      <c r="AR904" s="5">
        <f>IF($AQ904="","",HYPERLINK(p_ruta_base_checklists&amp;$AQ904,"abrir"))</f>
        <v/>
      </c>
      <c r="AS904" s="4" t="n"/>
      <c r="AT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2" t="n"/>
      <c r="K905" s="5" t="n"/>
      <c r="L905" s="18" t="n"/>
      <c r="M905" s="5">
        <f>IF($A905="","",IFERROR(INDEX('AJUSTES'!$B$4:$B$303,MATCH($AT905,'AJUSTES'!$A$4:$A$303,0)),IF($K905="","",$K905)))</f>
        <v/>
      </c>
      <c r="N905" s="5">
        <f>IF($A905="","",IFERROR(INDEX('CAT_ESTADOS_ERP'!$B$4:$B$7,MATCH(IFERROR(INDEX('2_IMPORTAR_EJECUCION'!$C$9:$C$1208,MATCH($AT905,'2_IMPORTAR_EJECUCION'!$J$9:$J$1208,0)),""),'CAT_ESTADOS_ERP'!$A$4:$A$7,0)),"Pendiente"))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IF($J905="","",$P905&amp;"-"&amp;TEXT($Q905,"00"))</f>
        <v/>
      </c>
      <c r="S905" s="5">
        <f>IF($J905="","",INDEX(lista_dias,WEEKDAY($J905,2)))</f>
        <v/>
      </c>
      <c r="T905" s="5">
        <f>IF($J905="","",IFERROR(INDEX('CALENDARIO'!$C$15:$C$214,MATCH(TEXT($J905,"yyyy-mm-dd")&amp;"|"&amp;$X905&amp;"|"&amp;$Y905,'CALENDARIO'!$G$15:$G$214,0)),IFERROR(INDEX('CALENDARIO'!$C$15:$C$214,MATCH(TEXT($J905,"yyyy-mm-dd")&amp;"|"&amp;$X905&amp;"|",'CALENDARIO'!$G$15:$G$214,0)),IFERROR(INDEX('CALENDARIO'!$C$15:$C$214,MATCH(TEXT($J905,"yyyy-mm-dd")&amp;"||",'CALENDARIO'!$G$15:$G$214,0)),INDEX(patronHabil,WEEKDAY($J905,2))))))</f>
        <v/>
      </c>
      <c r="U905" s="5">
        <f>IF($I905="","",IFERROR(INDEX('CAT_TIPOS_OT'!$C$4:$C$8,MATCH($I905,'CAT_TIPOS_OT'!$A$4:$A$8,0)),"sin_clasificar"))</f>
        <v/>
      </c>
      <c r="V905" s="5">
        <f>IF($I905="","",IF(IFERROR(INDEX('CAT_TIPOS_OT'!$D$4:$D$8,MATCH($I905,'CAT_TIPOS_OT'!$A$4:$A$8,0)),"SIN CLASIFICAR")="","SIN CLASIFICAR",IFERROR(INDEX('CAT_TIPOS_OT'!$D$4:$D$8,MATCH($I905,'CAT_TIPOS_OT'!$A$4:$A$8,0)),"SIN CLASIFICAR")))</f>
        <v/>
      </c>
      <c r="W905" s="5">
        <f>IF($F905="","",IFERROR(INDEX('CAT_CENTROS_COSTO'!$F$4:$F$13,MATCH($F905,'CAT_CENTROS_COSTO'!$A$4:$A$13,0)),"(sin catálogo)"))</f>
        <v/>
      </c>
      <c r="X905" s="5">
        <f>IF($F905="","",IFERROR(INDEX('CAT_CENTROS_COSTO'!$D$4:$D$13,MATCH($F905,'CAT_CENTROS_COSTO'!$A$4:$A$13,0)),"(sin catálogo)"))</f>
        <v/>
      </c>
      <c r="Y905" s="5">
        <f>IF($F905="","",IF((IFERROR(INDEX('CAT_CENTROS_COSTO'!$E$4:$E$13,MATCH($F905,'CAT_CENTROS_COSTO'!$A$4:$A$13,0)),""))&lt;&gt;"",IFERROR(INDEX('CAT_CENTROS_COSTO'!$E$4:$E$13,MATCH($F905,'CAT_CENTROS_COSTO'!$A$4:$A$13,0)),""),$X905))</f>
        <v/>
      </c>
      <c r="Z905" s="5">
        <f>IF($F905="","",IFERROR(INDEX('CAT_CENTROS_COSTO'!$G$4:$G$13,MATCH($F905,'CAT_CENTROS_COSTO'!$A$4:$A$13,0)),"(sin catálogo)"))</f>
        <v/>
      </c>
      <c r="AA905" s="5">
        <f>IF($G905="","",IFERROR(INDEX('CAT_PUESTOS'!$B$4:$B$8,MATCH($G905,'CAT_PUESTOS'!$A$4:$A$8,0)),"(sin catálogo)"))</f>
        <v/>
      </c>
      <c r="AB905" s="5">
        <f>IF($H905="","",IFERROR(INDEX('CAT_ACTIVIDADES'!$B$4:$B$11,MATCH($H905,'CAT_ACTIVIDADES'!$A$4:$A$11,0)),"(sin catálogo)"))</f>
        <v/>
      </c>
      <c r="AC905" s="20">
        <f>IF($J905="","",TODAY()-$J905)</f>
        <v/>
      </c>
      <c r="AD905" s="20">
        <f>IF($J905="","",IF($J905&lt;=TODAY(),COUNTIFS(cal_fechas,"&gt;="&amp;$J905,cal_fechas,"&lt;"&amp;TODAY(),cal_habil,"sí"),-COUNTIFS(cal_fechas,"&gt;="&amp;TODAY(),cal_fechas,"&lt;"&amp;$J905,cal_habil,"sí")))</f>
        <v/>
      </c>
      <c r="AE905" s="5">
        <f>IF($AD905="","",IF($AD905&lt;0,"FUTURO",IF($AD905&gt;p_dias_backlog_max,"BACKLOG","MES CORRIENTE")))</f>
        <v/>
      </c>
      <c r="AF905" s="5">
        <f>IF($AD905="",FALSE,AND($AD905&gt;p_dias_backlog_min,$AD905&lt;=p_dias_backlog_max))</f>
        <v/>
      </c>
      <c r="AG905" s="4" t="n"/>
      <c r="AH905" s="5">
        <f>IF($AG905="","",IF((IFERROR(INDEX('ASIGNACIONES'!$J$4:$J$451,MATCH($O905&amp;"|"&amp;$S905&amp;"|"&amp;$AG905,'ASIGNACIONES'!$N$4:$N$451,0)),""))=0,"",IFERROR(INDEX('ASIGNACIONES'!$J$4:$J$451,MATCH($O905&amp;"|"&amp;$S905&amp;"|"&amp;$AG905,'ASIGNACIONES'!$N$4:$N$451,0)),"")))</f>
        <v/>
      </c>
      <c r="AI905" s="25">
        <f>IF($AG905="","",SUMIFS('ORDENES'!$M$4:$M$1203,'ORDENES'!$AG$4:$AG$1203,$AG905,'ORDENES'!$O$4:$O$1203,$O905,'ORDENES'!$S$4:$S$1203,$S905))</f>
        <v/>
      </c>
      <c r="AJ905" s="25">
        <f>IF($AI905="","",p_factor_productividad*IFERROR(INDEX('ASIGNACIONES'!$M$4:$M$451,MATCH($O905&amp;"|"&amp;$S905&amp;"|"&amp;$AG905,'ASIGNACIONES'!$N$4:$N$451,0)),0)-$AI905)</f>
        <v/>
      </c>
      <c r="AK905" s="18">
        <f>IF($A905="","",IFERROR(INDEX('2_IMPORTAR_EJECUCION'!$F$9:$F$1208,MATCH($AT905,'2_IMPORTAR_EJECUCION'!$J$9:$J$1208,0)),0))</f>
        <v/>
      </c>
      <c r="AL905" s="18">
        <f>IF($A905="","",MAX(0,IFERROR(INDEX('2_IMPORTAR_EJECUCION'!$H$9:$H$1208,MATCH($AT905,'2_IMPORTAR_EJECUCION'!$J$9:$J$1208,0)),0)-$AK905))</f>
        <v/>
      </c>
      <c r="AM905" s="18">
        <f>IF($A905="","",$AK905+$AL905)</f>
        <v/>
      </c>
      <c r="AN905" s="5">
        <f>IF($A905="","",IF(OR((IFERROR(INDEX('CAT_ACTIVIDADES'!$D$4:$D$11,MATCH($H905,'CAT_ACTIVIDADES'!$A$4:$A$11,0)),""))=0,(IFERROR(INDEX('CAT_ACTIVIDADES'!$D$4:$D$11,MATCH($H905,'CAT_ACTIVIDADES'!$A$4:$A$11,0)),""))=""),"SIN CLASIFICAR",IFERROR(INDEX('CAT_ACTIVIDADES'!$D$4:$D$11,MATCH($H905,'CAT_ACTIVIDADES'!$A$4:$A$11,0)),"")))</f>
        <v/>
      </c>
      <c r="AO905" s="4" t="n"/>
      <c r="AP905" s="4" t="n"/>
      <c r="AQ905" s="4" t="n"/>
      <c r="AR905" s="5">
        <f>IF($AQ905="","",HYPERLINK(p_ruta_base_checklists&amp;$AQ905,"abrir"))</f>
        <v/>
      </c>
      <c r="AS905" s="4" t="n"/>
      <c r="AT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2" t="n"/>
      <c r="K906" s="5" t="n"/>
      <c r="L906" s="18" t="n"/>
      <c r="M906" s="5">
        <f>IF($A906="","",IFERROR(INDEX('AJUSTES'!$B$4:$B$303,MATCH($AT906,'AJUSTES'!$A$4:$A$303,0)),IF($K906="","",$K906)))</f>
        <v/>
      </c>
      <c r="N906" s="5">
        <f>IF($A906="","",IFERROR(INDEX('CAT_ESTADOS_ERP'!$B$4:$B$7,MATCH(IFERROR(INDEX('2_IMPORTAR_EJECUCION'!$C$9:$C$1208,MATCH($AT906,'2_IMPORTAR_EJECUCION'!$J$9:$J$1208,0)),""),'CAT_ESTADOS_ERP'!$A$4:$A$7,0)),"Pendiente"))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IF($J906="","",$P906&amp;"-"&amp;TEXT($Q906,"00"))</f>
        <v/>
      </c>
      <c r="S906" s="5">
        <f>IF($J906="","",INDEX(lista_dias,WEEKDAY($J906,2)))</f>
        <v/>
      </c>
      <c r="T906" s="5">
        <f>IF($J906="","",IFERROR(INDEX('CALENDARIO'!$C$15:$C$214,MATCH(TEXT($J906,"yyyy-mm-dd")&amp;"|"&amp;$X906&amp;"|"&amp;$Y906,'CALENDARIO'!$G$15:$G$214,0)),IFERROR(INDEX('CALENDARIO'!$C$15:$C$214,MATCH(TEXT($J906,"yyyy-mm-dd")&amp;"|"&amp;$X906&amp;"|",'CALENDARIO'!$G$15:$G$214,0)),IFERROR(INDEX('CALENDARIO'!$C$15:$C$214,MATCH(TEXT($J906,"yyyy-mm-dd")&amp;"||",'CALENDARIO'!$G$15:$G$214,0)),INDEX(patronHabil,WEEKDAY($J906,2))))))</f>
        <v/>
      </c>
      <c r="U906" s="5">
        <f>IF($I906="","",IFERROR(INDEX('CAT_TIPOS_OT'!$C$4:$C$8,MATCH($I906,'CAT_TIPOS_OT'!$A$4:$A$8,0)),"sin_clasificar"))</f>
        <v/>
      </c>
      <c r="V906" s="5">
        <f>IF($I906="","",IF(IFERROR(INDEX('CAT_TIPOS_OT'!$D$4:$D$8,MATCH($I906,'CAT_TIPOS_OT'!$A$4:$A$8,0)),"SIN CLASIFICAR")="","SIN CLASIFICAR",IFERROR(INDEX('CAT_TIPOS_OT'!$D$4:$D$8,MATCH($I906,'CAT_TIPOS_OT'!$A$4:$A$8,0)),"SIN CLASIFICAR")))</f>
        <v/>
      </c>
      <c r="W906" s="5">
        <f>IF($F906="","",IFERROR(INDEX('CAT_CENTROS_COSTO'!$F$4:$F$13,MATCH($F906,'CAT_CENTROS_COSTO'!$A$4:$A$13,0)),"(sin catálogo)"))</f>
        <v/>
      </c>
      <c r="X906" s="5">
        <f>IF($F906="","",IFERROR(INDEX('CAT_CENTROS_COSTO'!$D$4:$D$13,MATCH($F906,'CAT_CENTROS_COSTO'!$A$4:$A$13,0)),"(sin catálogo)"))</f>
        <v/>
      </c>
      <c r="Y906" s="5">
        <f>IF($F906="","",IF((IFERROR(INDEX('CAT_CENTROS_COSTO'!$E$4:$E$13,MATCH($F906,'CAT_CENTROS_COSTO'!$A$4:$A$13,0)),""))&lt;&gt;"",IFERROR(INDEX('CAT_CENTROS_COSTO'!$E$4:$E$13,MATCH($F906,'CAT_CENTROS_COSTO'!$A$4:$A$13,0)),""),$X906))</f>
        <v/>
      </c>
      <c r="Z906" s="5">
        <f>IF($F906="","",IFERROR(INDEX('CAT_CENTROS_COSTO'!$G$4:$G$13,MATCH($F906,'CAT_CENTROS_COSTO'!$A$4:$A$13,0)),"(sin catálogo)"))</f>
        <v/>
      </c>
      <c r="AA906" s="5">
        <f>IF($G906="","",IFERROR(INDEX('CAT_PUESTOS'!$B$4:$B$8,MATCH($G906,'CAT_PUESTOS'!$A$4:$A$8,0)),"(sin catálogo)"))</f>
        <v/>
      </c>
      <c r="AB906" s="5">
        <f>IF($H906="","",IFERROR(INDEX('CAT_ACTIVIDADES'!$B$4:$B$11,MATCH($H906,'CAT_ACTIVIDADES'!$A$4:$A$11,0)),"(sin catálogo)"))</f>
        <v/>
      </c>
      <c r="AC906" s="20">
        <f>IF($J906="","",TODAY()-$J906)</f>
        <v/>
      </c>
      <c r="AD906" s="20">
        <f>IF($J906="","",IF($J906&lt;=TODAY(),COUNTIFS(cal_fechas,"&gt;="&amp;$J906,cal_fechas,"&lt;"&amp;TODAY(),cal_habil,"sí"),-COUNTIFS(cal_fechas,"&gt;="&amp;TODAY(),cal_fechas,"&lt;"&amp;$J906,cal_habil,"sí")))</f>
        <v/>
      </c>
      <c r="AE906" s="5">
        <f>IF($AD906="","",IF($AD906&lt;0,"FUTURO",IF($AD906&gt;p_dias_backlog_max,"BACKLOG","MES CORRIENTE")))</f>
        <v/>
      </c>
      <c r="AF906" s="5">
        <f>IF($AD906="",FALSE,AND($AD906&gt;p_dias_backlog_min,$AD906&lt;=p_dias_backlog_max))</f>
        <v/>
      </c>
      <c r="AG906" s="4" t="n"/>
      <c r="AH906" s="5">
        <f>IF($AG906="","",IF((IFERROR(INDEX('ASIGNACIONES'!$J$4:$J$451,MATCH($O906&amp;"|"&amp;$S906&amp;"|"&amp;$AG906,'ASIGNACIONES'!$N$4:$N$451,0)),""))=0,"",IFERROR(INDEX('ASIGNACIONES'!$J$4:$J$451,MATCH($O906&amp;"|"&amp;$S906&amp;"|"&amp;$AG906,'ASIGNACIONES'!$N$4:$N$451,0)),"")))</f>
        <v/>
      </c>
      <c r="AI906" s="25">
        <f>IF($AG906="","",SUMIFS('ORDENES'!$M$4:$M$1203,'ORDENES'!$AG$4:$AG$1203,$AG906,'ORDENES'!$O$4:$O$1203,$O906,'ORDENES'!$S$4:$S$1203,$S906))</f>
        <v/>
      </c>
      <c r="AJ906" s="25">
        <f>IF($AI906="","",p_factor_productividad*IFERROR(INDEX('ASIGNACIONES'!$M$4:$M$451,MATCH($O906&amp;"|"&amp;$S906&amp;"|"&amp;$AG906,'ASIGNACIONES'!$N$4:$N$451,0)),0)-$AI906)</f>
        <v/>
      </c>
      <c r="AK906" s="18">
        <f>IF($A906="","",IFERROR(INDEX('2_IMPORTAR_EJECUCION'!$F$9:$F$1208,MATCH($AT906,'2_IMPORTAR_EJECUCION'!$J$9:$J$1208,0)),0))</f>
        <v/>
      </c>
      <c r="AL906" s="18">
        <f>IF($A906="","",MAX(0,IFERROR(INDEX('2_IMPORTAR_EJECUCION'!$H$9:$H$1208,MATCH($AT906,'2_IMPORTAR_EJECUCION'!$J$9:$J$1208,0)),0)-$AK906))</f>
        <v/>
      </c>
      <c r="AM906" s="18">
        <f>IF($A906="","",$AK906+$AL906)</f>
        <v/>
      </c>
      <c r="AN906" s="5">
        <f>IF($A906="","",IF(OR((IFERROR(INDEX('CAT_ACTIVIDADES'!$D$4:$D$11,MATCH($H906,'CAT_ACTIVIDADES'!$A$4:$A$11,0)),""))=0,(IFERROR(INDEX('CAT_ACTIVIDADES'!$D$4:$D$11,MATCH($H906,'CAT_ACTIVIDADES'!$A$4:$A$11,0)),""))=""),"SIN CLASIFICAR",IFERROR(INDEX('CAT_ACTIVIDADES'!$D$4:$D$11,MATCH($H906,'CAT_ACTIVIDADES'!$A$4:$A$11,0)),"")))</f>
        <v/>
      </c>
      <c r="AO906" s="4" t="n"/>
      <c r="AP906" s="4" t="n"/>
      <c r="AQ906" s="4" t="n"/>
      <c r="AR906" s="5">
        <f>IF($AQ906="","",HYPERLINK(p_ruta_base_checklists&amp;$AQ906,"abrir"))</f>
        <v/>
      </c>
      <c r="AS906" s="4" t="n"/>
      <c r="AT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2" t="n"/>
      <c r="K907" s="5" t="n"/>
      <c r="L907" s="18" t="n"/>
      <c r="M907" s="5">
        <f>IF($A907="","",IFERROR(INDEX('AJUSTES'!$B$4:$B$303,MATCH($AT907,'AJUSTES'!$A$4:$A$303,0)),IF($K907="","",$K907)))</f>
        <v/>
      </c>
      <c r="N907" s="5">
        <f>IF($A907="","",IFERROR(INDEX('CAT_ESTADOS_ERP'!$B$4:$B$7,MATCH(IFERROR(INDEX('2_IMPORTAR_EJECUCION'!$C$9:$C$1208,MATCH($AT907,'2_IMPORTAR_EJECUCION'!$J$9:$J$1208,0)),""),'CAT_ESTADOS_ERP'!$A$4:$A$7,0)),"Pendiente"))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IF($J907="","",$P907&amp;"-"&amp;TEXT($Q907,"00"))</f>
        <v/>
      </c>
      <c r="S907" s="5">
        <f>IF($J907="","",INDEX(lista_dias,WEEKDAY($J907,2)))</f>
        <v/>
      </c>
      <c r="T907" s="5">
        <f>IF($J907="","",IFERROR(INDEX('CALENDARIO'!$C$15:$C$214,MATCH(TEXT($J907,"yyyy-mm-dd")&amp;"|"&amp;$X907&amp;"|"&amp;$Y907,'CALENDARIO'!$G$15:$G$214,0)),IFERROR(INDEX('CALENDARIO'!$C$15:$C$214,MATCH(TEXT($J907,"yyyy-mm-dd")&amp;"|"&amp;$X907&amp;"|",'CALENDARIO'!$G$15:$G$214,0)),IFERROR(INDEX('CALENDARIO'!$C$15:$C$214,MATCH(TEXT($J907,"yyyy-mm-dd")&amp;"||",'CALENDARIO'!$G$15:$G$214,0)),INDEX(patronHabil,WEEKDAY($J907,2))))))</f>
        <v/>
      </c>
      <c r="U907" s="5">
        <f>IF($I907="","",IFERROR(INDEX('CAT_TIPOS_OT'!$C$4:$C$8,MATCH($I907,'CAT_TIPOS_OT'!$A$4:$A$8,0)),"sin_clasificar"))</f>
        <v/>
      </c>
      <c r="V907" s="5">
        <f>IF($I907="","",IF(IFERROR(INDEX('CAT_TIPOS_OT'!$D$4:$D$8,MATCH($I907,'CAT_TIPOS_OT'!$A$4:$A$8,0)),"SIN CLASIFICAR")="","SIN CLASIFICAR",IFERROR(INDEX('CAT_TIPOS_OT'!$D$4:$D$8,MATCH($I907,'CAT_TIPOS_OT'!$A$4:$A$8,0)),"SIN CLASIFICAR")))</f>
        <v/>
      </c>
      <c r="W907" s="5">
        <f>IF($F907="","",IFERROR(INDEX('CAT_CENTROS_COSTO'!$F$4:$F$13,MATCH($F907,'CAT_CENTROS_COSTO'!$A$4:$A$13,0)),"(sin catálogo)"))</f>
        <v/>
      </c>
      <c r="X907" s="5">
        <f>IF($F907="","",IFERROR(INDEX('CAT_CENTROS_COSTO'!$D$4:$D$13,MATCH($F907,'CAT_CENTROS_COSTO'!$A$4:$A$13,0)),"(sin catálogo)"))</f>
        <v/>
      </c>
      <c r="Y907" s="5">
        <f>IF($F907="","",IF((IFERROR(INDEX('CAT_CENTROS_COSTO'!$E$4:$E$13,MATCH($F907,'CAT_CENTROS_COSTO'!$A$4:$A$13,0)),""))&lt;&gt;"",IFERROR(INDEX('CAT_CENTROS_COSTO'!$E$4:$E$13,MATCH($F907,'CAT_CENTROS_COSTO'!$A$4:$A$13,0)),""),$X907))</f>
        <v/>
      </c>
      <c r="Z907" s="5">
        <f>IF($F907="","",IFERROR(INDEX('CAT_CENTROS_COSTO'!$G$4:$G$13,MATCH($F907,'CAT_CENTROS_COSTO'!$A$4:$A$13,0)),"(sin catálogo)"))</f>
        <v/>
      </c>
      <c r="AA907" s="5">
        <f>IF($G907="","",IFERROR(INDEX('CAT_PUESTOS'!$B$4:$B$8,MATCH($G907,'CAT_PUESTOS'!$A$4:$A$8,0)),"(sin catálogo)"))</f>
        <v/>
      </c>
      <c r="AB907" s="5">
        <f>IF($H907="","",IFERROR(INDEX('CAT_ACTIVIDADES'!$B$4:$B$11,MATCH($H907,'CAT_ACTIVIDADES'!$A$4:$A$11,0)),"(sin catálogo)"))</f>
        <v/>
      </c>
      <c r="AC907" s="20">
        <f>IF($J907="","",TODAY()-$J907)</f>
        <v/>
      </c>
      <c r="AD907" s="20">
        <f>IF($J907="","",IF($J907&lt;=TODAY(),COUNTIFS(cal_fechas,"&gt;="&amp;$J907,cal_fechas,"&lt;"&amp;TODAY(),cal_habil,"sí"),-COUNTIFS(cal_fechas,"&gt;="&amp;TODAY(),cal_fechas,"&lt;"&amp;$J907,cal_habil,"sí")))</f>
        <v/>
      </c>
      <c r="AE907" s="5">
        <f>IF($AD907="","",IF($AD907&lt;0,"FUTURO",IF($AD907&gt;p_dias_backlog_max,"BACKLOG","MES CORRIENTE")))</f>
        <v/>
      </c>
      <c r="AF907" s="5">
        <f>IF($AD907="",FALSE,AND($AD907&gt;p_dias_backlog_min,$AD907&lt;=p_dias_backlog_max))</f>
        <v/>
      </c>
      <c r="AG907" s="4" t="n"/>
      <c r="AH907" s="5">
        <f>IF($AG907="","",IF((IFERROR(INDEX('ASIGNACIONES'!$J$4:$J$451,MATCH($O907&amp;"|"&amp;$S907&amp;"|"&amp;$AG907,'ASIGNACIONES'!$N$4:$N$451,0)),""))=0,"",IFERROR(INDEX('ASIGNACIONES'!$J$4:$J$451,MATCH($O907&amp;"|"&amp;$S907&amp;"|"&amp;$AG907,'ASIGNACIONES'!$N$4:$N$451,0)),"")))</f>
        <v/>
      </c>
      <c r="AI907" s="25">
        <f>IF($AG907="","",SUMIFS('ORDENES'!$M$4:$M$1203,'ORDENES'!$AG$4:$AG$1203,$AG907,'ORDENES'!$O$4:$O$1203,$O907,'ORDENES'!$S$4:$S$1203,$S907))</f>
        <v/>
      </c>
      <c r="AJ907" s="25">
        <f>IF($AI907="","",p_factor_productividad*IFERROR(INDEX('ASIGNACIONES'!$M$4:$M$451,MATCH($O907&amp;"|"&amp;$S907&amp;"|"&amp;$AG907,'ASIGNACIONES'!$N$4:$N$451,0)),0)-$AI907)</f>
        <v/>
      </c>
      <c r="AK907" s="18">
        <f>IF($A907="","",IFERROR(INDEX('2_IMPORTAR_EJECUCION'!$F$9:$F$1208,MATCH($AT907,'2_IMPORTAR_EJECUCION'!$J$9:$J$1208,0)),0))</f>
        <v/>
      </c>
      <c r="AL907" s="18">
        <f>IF($A907="","",MAX(0,IFERROR(INDEX('2_IMPORTAR_EJECUCION'!$H$9:$H$1208,MATCH($AT907,'2_IMPORTAR_EJECUCION'!$J$9:$J$1208,0)),0)-$AK907))</f>
        <v/>
      </c>
      <c r="AM907" s="18">
        <f>IF($A907="","",$AK907+$AL907)</f>
        <v/>
      </c>
      <c r="AN907" s="5">
        <f>IF($A907="","",IF(OR((IFERROR(INDEX('CAT_ACTIVIDADES'!$D$4:$D$11,MATCH($H907,'CAT_ACTIVIDADES'!$A$4:$A$11,0)),""))=0,(IFERROR(INDEX('CAT_ACTIVIDADES'!$D$4:$D$11,MATCH($H907,'CAT_ACTIVIDADES'!$A$4:$A$11,0)),""))=""),"SIN CLASIFICAR",IFERROR(INDEX('CAT_ACTIVIDADES'!$D$4:$D$11,MATCH($H907,'CAT_ACTIVIDADES'!$A$4:$A$11,0)),"")))</f>
        <v/>
      </c>
      <c r="AO907" s="4" t="n"/>
      <c r="AP907" s="4" t="n"/>
      <c r="AQ907" s="4" t="n"/>
      <c r="AR907" s="5">
        <f>IF($AQ907="","",HYPERLINK(p_ruta_base_checklists&amp;$AQ907,"abrir"))</f>
        <v/>
      </c>
      <c r="AS907" s="4" t="n"/>
      <c r="AT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2" t="n"/>
      <c r="K908" s="5" t="n"/>
      <c r="L908" s="18" t="n"/>
      <c r="M908" s="5">
        <f>IF($A908="","",IFERROR(INDEX('AJUSTES'!$B$4:$B$303,MATCH($AT908,'AJUSTES'!$A$4:$A$303,0)),IF($K908="","",$K908)))</f>
        <v/>
      </c>
      <c r="N908" s="5">
        <f>IF($A908="","",IFERROR(INDEX('CAT_ESTADOS_ERP'!$B$4:$B$7,MATCH(IFERROR(INDEX('2_IMPORTAR_EJECUCION'!$C$9:$C$1208,MATCH($AT908,'2_IMPORTAR_EJECUCION'!$J$9:$J$1208,0)),""),'CAT_ESTADOS_ERP'!$A$4:$A$7,0)),"Pendiente"))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IF($J908="","",$P908&amp;"-"&amp;TEXT($Q908,"00"))</f>
        <v/>
      </c>
      <c r="S908" s="5">
        <f>IF($J908="","",INDEX(lista_dias,WEEKDAY($J908,2)))</f>
        <v/>
      </c>
      <c r="T908" s="5">
        <f>IF($J908="","",IFERROR(INDEX('CALENDARIO'!$C$15:$C$214,MATCH(TEXT($J908,"yyyy-mm-dd")&amp;"|"&amp;$X908&amp;"|"&amp;$Y908,'CALENDARIO'!$G$15:$G$214,0)),IFERROR(INDEX('CALENDARIO'!$C$15:$C$214,MATCH(TEXT($J908,"yyyy-mm-dd")&amp;"|"&amp;$X908&amp;"|",'CALENDARIO'!$G$15:$G$214,0)),IFERROR(INDEX('CALENDARIO'!$C$15:$C$214,MATCH(TEXT($J908,"yyyy-mm-dd")&amp;"||",'CALENDARIO'!$G$15:$G$214,0)),INDEX(patronHabil,WEEKDAY($J908,2))))))</f>
        <v/>
      </c>
      <c r="U908" s="5">
        <f>IF($I908="","",IFERROR(INDEX('CAT_TIPOS_OT'!$C$4:$C$8,MATCH($I908,'CAT_TIPOS_OT'!$A$4:$A$8,0)),"sin_clasificar"))</f>
        <v/>
      </c>
      <c r="V908" s="5">
        <f>IF($I908="","",IF(IFERROR(INDEX('CAT_TIPOS_OT'!$D$4:$D$8,MATCH($I908,'CAT_TIPOS_OT'!$A$4:$A$8,0)),"SIN CLASIFICAR")="","SIN CLASIFICAR",IFERROR(INDEX('CAT_TIPOS_OT'!$D$4:$D$8,MATCH($I908,'CAT_TIPOS_OT'!$A$4:$A$8,0)),"SIN CLASIFICAR")))</f>
        <v/>
      </c>
      <c r="W908" s="5">
        <f>IF($F908="","",IFERROR(INDEX('CAT_CENTROS_COSTO'!$F$4:$F$13,MATCH($F908,'CAT_CENTROS_COSTO'!$A$4:$A$13,0)),"(sin catálogo)"))</f>
        <v/>
      </c>
      <c r="X908" s="5">
        <f>IF($F908="","",IFERROR(INDEX('CAT_CENTROS_COSTO'!$D$4:$D$13,MATCH($F908,'CAT_CENTROS_COSTO'!$A$4:$A$13,0)),"(sin catálogo)"))</f>
        <v/>
      </c>
      <c r="Y908" s="5">
        <f>IF($F908="","",IF((IFERROR(INDEX('CAT_CENTROS_COSTO'!$E$4:$E$13,MATCH($F908,'CAT_CENTROS_COSTO'!$A$4:$A$13,0)),""))&lt;&gt;"",IFERROR(INDEX('CAT_CENTROS_COSTO'!$E$4:$E$13,MATCH($F908,'CAT_CENTROS_COSTO'!$A$4:$A$13,0)),""),$X908))</f>
        <v/>
      </c>
      <c r="Z908" s="5">
        <f>IF($F908="","",IFERROR(INDEX('CAT_CENTROS_COSTO'!$G$4:$G$13,MATCH($F908,'CAT_CENTROS_COSTO'!$A$4:$A$13,0)),"(sin catálogo)"))</f>
        <v/>
      </c>
      <c r="AA908" s="5">
        <f>IF($G908="","",IFERROR(INDEX('CAT_PUESTOS'!$B$4:$B$8,MATCH($G908,'CAT_PUESTOS'!$A$4:$A$8,0)),"(sin catálogo)"))</f>
        <v/>
      </c>
      <c r="AB908" s="5">
        <f>IF($H908="","",IFERROR(INDEX('CAT_ACTIVIDADES'!$B$4:$B$11,MATCH($H908,'CAT_ACTIVIDADES'!$A$4:$A$11,0)),"(sin catálogo)"))</f>
        <v/>
      </c>
      <c r="AC908" s="20">
        <f>IF($J908="","",TODAY()-$J908)</f>
        <v/>
      </c>
      <c r="AD908" s="20">
        <f>IF($J908="","",IF($J908&lt;=TODAY(),COUNTIFS(cal_fechas,"&gt;="&amp;$J908,cal_fechas,"&lt;"&amp;TODAY(),cal_habil,"sí"),-COUNTIFS(cal_fechas,"&gt;="&amp;TODAY(),cal_fechas,"&lt;"&amp;$J908,cal_habil,"sí")))</f>
        <v/>
      </c>
      <c r="AE908" s="5">
        <f>IF($AD908="","",IF($AD908&lt;0,"FUTURO",IF($AD908&gt;p_dias_backlog_max,"BACKLOG","MES CORRIENTE")))</f>
        <v/>
      </c>
      <c r="AF908" s="5">
        <f>IF($AD908="",FALSE,AND($AD908&gt;p_dias_backlog_min,$AD908&lt;=p_dias_backlog_max))</f>
        <v/>
      </c>
      <c r="AG908" s="4" t="n"/>
      <c r="AH908" s="5">
        <f>IF($AG908="","",IF((IFERROR(INDEX('ASIGNACIONES'!$J$4:$J$451,MATCH($O908&amp;"|"&amp;$S908&amp;"|"&amp;$AG908,'ASIGNACIONES'!$N$4:$N$451,0)),""))=0,"",IFERROR(INDEX('ASIGNACIONES'!$J$4:$J$451,MATCH($O908&amp;"|"&amp;$S908&amp;"|"&amp;$AG908,'ASIGNACIONES'!$N$4:$N$451,0)),"")))</f>
        <v/>
      </c>
      <c r="AI908" s="25">
        <f>IF($AG908="","",SUMIFS('ORDENES'!$M$4:$M$1203,'ORDENES'!$AG$4:$AG$1203,$AG908,'ORDENES'!$O$4:$O$1203,$O908,'ORDENES'!$S$4:$S$1203,$S908))</f>
        <v/>
      </c>
      <c r="AJ908" s="25">
        <f>IF($AI908="","",p_factor_productividad*IFERROR(INDEX('ASIGNACIONES'!$M$4:$M$451,MATCH($O908&amp;"|"&amp;$S908&amp;"|"&amp;$AG908,'ASIGNACIONES'!$N$4:$N$451,0)),0)-$AI908)</f>
        <v/>
      </c>
      <c r="AK908" s="18">
        <f>IF($A908="","",IFERROR(INDEX('2_IMPORTAR_EJECUCION'!$F$9:$F$1208,MATCH($AT908,'2_IMPORTAR_EJECUCION'!$J$9:$J$1208,0)),0))</f>
        <v/>
      </c>
      <c r="AL908" s="18">
        <f>IF($A908="","",MAX(0,IFERROR(INDEX('2_IMPORTAR_EJECUCION'!$H$9:$H$1208,MATCH($AT908,'2_IMPORTAR_EJECUCION'!$J$9:$J$1208,0)),0)-$AK908))</f>
        <v/>
      </c>
      <c r="AM908" s="18">
        <f>IF($A908="","",$AK908+$AL908)</f>
        <v/>
      </c>
      <c r="AN908" s="5">
        <f>IF($A908="","",IF(OR((IFERROR(INDEX('CAT_ACTIVIDADES'!$D$4:$D$11,MATCH($H908,'CAT_ACTIVIDADES'!$A$4:$A$11,0)),""))=0,(IFERROR(INDEX('CAT_ACTIVIDADES'!$D$4:$D$11,MATCH($H908,'CAT_ACTIVIDADES'!$A$4:$A$11,0)),""))=""),"SIN CLASIFICAR",IFERROR(INDEX('CAT_ACTIVIDADES'!$D$4:$D$11,MATCH($H908,'CAT_ACTIVIDADES'!$A$4:$A$11,0)),"")))</f>
        <v/>
      </c>
      <c r="AO908" s="4" t="n"/>
      <c r="AP908" s="4" t="n"/>
      <c r="AQ908" s="4" t="n"/>
      <c r="AR908" s="5">
        <f>IF($AQ908="","",HYPERLINK(p_ruta_base_checklists&amp;$AQ908,"abrir"))</f>
        <v/>
      </c>
      <c r="AS908" s="4" t="n"/>
      <c r="AT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2" t="n"/>
      <c r="K909" s="5" t="n"/>
      <c r="L909" s="18" t="n"/>
      <c r="M909" s="5">
        <f>IF($A909="","",IFERROR(INDEX('AJUSTES'!$B$4:$B$303,MATCH($AT909,'AJUSTES'!$A$4:$A$303,0)),IF($K909="","",$K909)))</f>
        <v/>
      </c>
      <c r="N909" s="5">
        <f>IF($A909="","",IFERROR(INDEX('CAT_ESTADOS_ERP'!$B$4:$B$7,MATCH(IFERROR(INDEX('2_IMPORTAR_EJECUCION'!$C$9:$C$1208,MATCH($AT909,'2_IMPORTAR_EJECUCION'!$J$9:$J$1208,0)),""),'CAT_ESTADOS_ERP'!$A$4:$A$7,0)),"Pendiente"))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IF($J909="","",$P909&amp;"-"&amp;TEXT($Q909,"00"))</f>
        <v/>
      </c>
      <c r="S909" s="5">
        <f>IF($J909="","",INDEX(lista_dias,WEEKDAY($J909,2)))</f>
        <v/>
      </c>
      <c r="T909" s="5">
        <f>IF($J909="","",IFERROR(INDEX('CALENDARIO'!$C$15:$C$214,MATCH(TEXT($J909,"yyyy-mm-dd")&amp;"|"&amp;$X909&amp;"|"&amp;$Y909,'CALENDARIO'!$G$15:$G$214,0)),IFERROR(INDEX('CALENDARIO'!$C$15:$C$214,MATCH(TEXT($J909,"yyyy-mm-dd")&amp;"|"&amp;$X909&amp;"|",'CALENDARIO'!$G$15:$G$214,0)),IFERROR(INDEX('CALENDARIO'!$C$15:$C$214,MATCH(TEXT($J909,"yyyy-mm-dd")&amp;"||",'CALENDARIO'!$G$15:$G$214,0)),INDEX(patronHabil,WEEKDAY($J909,2))))))</f>
        <v/>
      </c>
      <c r="U909" s="5">
        <f>IF($I909="","",IFERROR(INDEX('CAT_TIPOS_OT'!$C$4:$C$8,MATCH($I909,'CAT_TIPOS_OT'!$A$4:$A$8,0)),"sin_clasificar"))</f>
        <v/>
      </c>
      <c r="V909" s="5">
        <f>IF($I909="","",IF(IFERROR(INDEX('CAT_TIPOS_OT'!$D$4:$D$8,MATCH($I909,'CAT_TIPOS_OT'!$A$4:$A$8,0)),"SIN CLASIFICAR")="","SIN CLASIFICAR",IFERROR(INDEX('CAT_TIPOS_OT'!$D$4:$D$8,MATCH($I909,'CAT_TIPOS_OT'!$A$4:$A$8,0)),"SIN CLASIFICAR")))</f>
        <v/>
      </c>
      <c r="W909" s="5">
        <f>IF($F909="","",IFERROR(INDEX('CAT_CENTROS_COSTO'!$F$4:$F$13,MATCH($F909,'CAT_CENTROS_COSTO'!$A$4:$A$13,0)),"(sin catálogo)"))</f>
        <v/>
      </c>
      <c r="X909" s="5">
        <f>IF($F909="","",IFERROR(INDEX('CAT_CENTROS_COSTO'!$D$4:$D$13,MATCH($F909,'CAT_CENTROS_COSTO'!$A$4:$A$13,0)),"(sin catálogo)"))</f>
        <v/>
      </c>
      <c r="Y909" s="5">
        <f>IF($F909="","",IF((IFERROR(INDEX('CAT_CENTROS_COSTO'!$E$4:$E$13,MATCH($F909,'CAT_CENTROS_COSTO'!$A$4:$A$13,0)),""))&lt;&gt;"",IFERROR(INDEX('CAT_CENTROS_COSTO'!$E$4:$E$13,MATCH($F909,'CAT_CENTROS_COSTO'!$A$4:$A$13,0)),""),$X909))</f>
        <v/>
      </c>
      <c r="Z909" s="5">
        <f>IF($F909="","",IFERROR(INDEX('CAT_CENTROS_COSTO'!$G$4:$G$13,MATCH($F909,'CAT_CENTROS_COSTO'!$A$4:$A$13,0)),"(sin catálogo)"))</f>
        <v/>
      </c>
      <c r="AA909" s="5">
        <f>IF($G909="","",IFERROR(INDEX('CAT_PUESTOS'!$B$4:$B$8,MATCH($G909,'CAT_PUESTOS'!$A$4:$A$8,0)),"(sin catálogo)"))</f>
        <v/>
      </c>
      <c r="AB909" s="5">
        <f>IF($H909="","",IFERROR(INDEX('CAT_ACTIVIDADES'!$B$4:$B$11,MATCH($H909,'CAT_ACTIVIDADES'!$A$4:$A$11,0)),"(sin catálogo)"))</f>
        <v/>
      </c>
      <c r="AC909" s="20">
        <f>IF($J909="","",TODAY()-$J909)</f>
        <v/>
      </c>
      <c r="AD909" s="20">
        <f>IF($J909="","",IF($J909&lt;=TODAY(),COUNTIFS(cal_fechas,"&gt;="&amp;$J909,cal_fechas,"&lt;"&amp;TODAY(),cal_habil,"sí"),-COUNTIFS(cal_fechas,"&gt;="&amp;TODAY(),cal_fechas,"&lt;"&amp;$J909,cal_habil,"sí")))</f>
        <v/>
      </c>
      <c r="AE909" s="5">
        <f>IF($AD909="","",IF($AD909&lt;0,"FUTURO",IF($AD909&gt;p_dias_backlog_max,"BACKLOG","MES CORRIENTE")))</f>
        <v/>
      </c>
      <c r="AF909" s="5">
        <f>IF($AD909="",FALSE,AND($AD909&gt;p_dias_backlog_min,$AD909&lt;=p_dias_backlog_max))</f>
        <v/>
      </c>
      <c r="AG909" s="4" t="n"/>
      <c r="AH909" s="5">
        <f>IF($AG909="","",IF((IFERROR(INDEX('ASIGNACIONES'!$J$4:$J$451,MATCH($O909&amp;"|"&amp;$S909&amp;"|"&amp;$AG909,'ASIGNACIONES'!$N$4:$N$451,0)),""))=0,"",IFERROR(INDEX('ASIGNACIONES'!$J$4:$J$451,MATCH($O909&amp;"|"&amp;$S909&amp;"|"&amp;$AG909,'ASIGNACIONES'!$N$4:$N$451,0)),"")))</f>
        <v/>
      </c>
      <c r="AI909" s="25">
        <f>IF($AG909="","",SUMIFS('ORDENES'!$M$4:$M$1203,'ORDENES'!$AG$4:$AG$1203,$AG909,'ORDENES'!$O$4:$O$1203,$O909,'ORDENES'!$S$4:$S$1203,$S909))</f>
        <v/>
      </c>
      <c r="AJ909" s="25">
        <f>IF($AI909="","",p_factor_productividad*IFERROR(INDEX('ASIGNACIONES'!$M$4:$M$451,MATCH($O909&amp;"|"&amp;$S909&amp;"|"&amp;$AG909,'ASIGNACIONES'!$N$4:$N$451,0)),0)-$AI909)</f>
        <v/>
      </c>
      <c r="AK909" s="18">
        <f>IF($A909="","",IFERROR(INDEX('2_IMPORTAR_EJECUCION'!$F$9:$F$1208,MATCH($AT909,'2_IMPORTAR_EJECUCION'!$J$9:$J$1208,0)),0))</f>
        <v/>
      </c>
      <c r="AL909" s="18">
        <f>IF($A909="","",MAX(0,IFERROR(INDEX('2_IMPORTAR_EJECUCION'!$H$9:$H$1208,MATCH($AT909,'2_IMPORTAR_EJECUCION'!$J$9:$J$1208,0)),0)-$AK909))</f>
        <v/>
      </c>
      <c r="AM909" s="18">
        <f>IF($A909="","",$AK909+$AL909)</f>
        <v/>
      </c>
      <c r="AN909" s="5">
        <f>IF($A909="","",IF(OR((IFERROR(INDEX('CAT_ACTIVIDADES'!$D$4:$D$11,MATCH($H909,'CAT_ACTIVIDADES'!$A$4:$A$11,0)),""))=0,(IFERROR(INDEX('CAT_ACTIVIDADES'!$D$4:$D$11,MATCH($H909,'CAT_ACTIVIDADES'!$A$4:$A$11,0)),""))=""),"SIN CLASIFICAR",IFERROR(INDEX('CAT_ACTIVIDADES'!$D$4:$D$11,MATCH($H909,'CAT_ACTIVIDADES'!$A$4:$A$11,0)),"")))</f>
        <v/>
      </c>
      <c r="AO909" s="4" t="n"/>
      <c r="AP909" s="4" t="n"/>
      <c r="AQ909" s="4" t="n"/>
      <c r="AR909" s="5">
        <f>IF($AQ909="","",HYPERLINK(p_ruta_base_checklists&amp;$AQ909,"abrir"))</f>
        <v/>
      </c>
      <c r="AS909" s="4" t="n"/>
      <c r="AT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2" t="n"/>
      <c r="K910" s="5" t="n"/>
      <c r="L910" s="18" t="n"/>
      <c r="M910" s="5">
        <f>IF($A910="","",IFERROR(INDEX('AJUSTES'!$B$4:$B$303,MATCH($AT910,'AJUSTES'!$A$4:$A$303,0)),IF($K910="","",$K910)))</f>
        <v/>
      </c>
      <c r="N910" s="5">
        <f>IF($A910="","",IFERROR(INDEX('CAT_ESTADOS_ERP'!$B$4:$B$7,MATCH(IFERROR(INDEX('2_IMPORTAR_EJECUCION'!$C$9:$C$1208,MATCH($AT910,'2_IMPORTAR_EJECUCION'!$J$9:$J$1208,0)),""),'CAT_ESTADOS_ERP'!$A$4:$A$7,0)),"Pendiente"))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IF($J910="","",$P910&amp;"-"&amp;TEXT($Q910,"00"))</f>
        <v/>
      </c>
      <c r="S910" s="5">
        <f>IF($J910="","",INDEX(lista_dias,WEEKDAY($J910,2)))</f>
        <v/>
      </c>
      <c r="T910" s="5">
        <f>IF($J910="","",IFERROR(INDEX('CALENDARIO'!$C$15:$C$214,MATCH(TEXT($J910,"yyyy-mm-dd")&amp;"|"&amp;$X910&amp;"|"&amp;$Y910,'CALENDARIO'!$G$15:$G$214,0)),IFERROR(INDEX('CALENDARIO'!$C$15:$C$214,MATCH(TEXT($J910,"yyyy-mm-dd")&amp;"|"&amp;$X910&amp;"|",'CALENDARIO'!$G$15:$G$214,0)),IFERROR(INDEX('CALENDARIO'!$C$15:$C$214,MATCH(TEXT($J910,"yyyy-mm-dd")&amp;"||",'CALENDARIO'!$G$15:$G$214,0)),INDEX(patronHabil,WEEKDAY($J910,2))))))</f>
        <v/>
      </c>
      <c r="U910" s="5">
        <f>IF($I910="","",IFERROR(INDEX('CAT_TIPOS_OT'!$C$4:$C$8,MATCH($I910,'CAT_TIPOS_OT'!$A$4:$A$8,0)),"sin_clasificar"))</f>
        <v/>
      </c>
      <c r="V910" s="5">
        <f>IF($I910="","",IF(IFERROR(INDEX('CAT_TIPOS_OT'!$D$4:$D$8,MATCH($I910,'CAT_TIPOS_OT'!$A$4:$A$8,0)),"SIN CLASIFICAR")="","SIN CLASIFICAR",IFERROR(INDEX('CAT_TIPOS_OT'!$D$4:$D$8,MATCH($I910,'CAT_TIPOS_OT'!$A$4:$A$8,0)),"SIN CLASIFICAR")))</f>
        <v/>
      </c>
      <c r="W910" s="5">
        <f>IF($F910="","",IFERROR(INDEX('CAT_CENTROS_COSTO'!$F$4:$F$13,MATCH($F910,'CAT_CENTROS_COSTO'!$A$4:$A$13,0)),"(sin catálogo)"))</f>
        <v/>
      </c>
      <c r="X910" s="5">
        <f>IF($F910="","",IFERROR(INDEX('CAT_CENTROS_COSTO'!$D$4:$D$13,MATCH($F910,'CAT_CENTROS_COSTO'!$A$4:$A$13,0)),"(sin catálogo)"))</f>
        <v/>
      </c>
      <c r="Y910" s="5">
        <f>IF($F910="","",IF((IFERROR(INDEX('CAT_CENTROS_COSTO'!$E$4:$E$13,MATCH($F910,'CAT_CENTROS_COSTO'!$A$4:$A$13,0)),""))&lt;&gt;"",IFERROR(INDEX('CAT_CENTROS_COSTO'!$E$4:$E$13,MATCH($F910,'CAT_CENTROS_COSTO'!$A$4:$A$13,0)),""),$X910))</f>
        <v/>
      </c>
      <c r="Z910" s="5">
        <f>IF($F910="","",IFERROR(INDEX('CAT_CENTROS_COSTO'!$G$4:$G$13,MATCH($F910,'CAT_CENTROS_COSTO'!$A$4:$A$13,0)),"(sin catálogo)"))</f>
        <v/>
      </c>
      <c r="AA910" s="5">
        <f>IF($G910="","",IFERROR(INDEX('CAT_PUESTOS'!$B$4:$B$8,MATCH($G910,'CAT_PUESTOS'!$A$4:$A$8,0)),"(sin catálogo)"))</f>
        <v/>
      </c>
      <c r="AB910" s="5">
        <f>IF($H910="","",IFERROR(INDEX('CAT_ACTIVIDADES'!$B$4:$B$11,MATCH($H910,'CAT_ACTIVIDADES'!$A$4:$A$11,0)),"(sin catálogo)"))</f>
        <v/>
      </c>
      <c r="AC910" s="20">
        <f>IF($J910="","",TODAY()-$J910)</f>
        <v/>
      </c>
      <c r="AD910" s="20">
        <f>IF($J910="","",IF($J910&lt;=TODAY(),COUNTIFS(cal_fechas,"&gt;="&amp;$J910,cal_fechas,"&lt;"&amp;TODAY(),cal_habil,"sí"),-COUNTIFS(cal_fechas,"&gt;="&amp;TODAY(),cal_fechas,"&lt;"&amp;$J910,cal_habil,"sí")))</f>
        <v/>
      </c>
      <c r="AE910" s="5">
        <f>IF($AD910="","",IF($AD910&lt;0,"FUTURO",IF($AD910&gt;p_dias_backlog_max,"BACKLOG","MES CORRIENTE")))</f>
        <v/>
      </c>
      <c r="AF910" s="5">
        <f>IF($AD910="",FALSE,AND($AD910&gt;p_dias_backlog_min,$AD910&lt;=p_dias_backlog_max))</f>
        <v/>
      </c>
      <c r="AG910" s="4" t="n"/>
      <c r="AH910" s="5">
        <f>IF($AG910="","",IF((IFERROR(INDEX('ASIGNACIONES'!$J$4:$J$451,MATCH($O910&amp;"|"&amp;$S910&amp;"|"&amp;$AG910,'ASIGNACIONES'!$N$4:$N$451,0)),""))=0,"",IFERROR(INDEX('ASIGNACIONES'!$J$4:$J$451,MATCH($O910&amp;"|"&amp;$S910&amp;"|"&amp;$AG910,'ASIGNACIONES'!$N$4:$N$451,0)),"")))</f>
        <v/>
      </c>
      <c r="AI910" s="25">
        <f>IF($AG910="","",SUMIFS('ORDENES'!$M$4:$M$1203,'ORDENES'!$AG$4:$AG$1203,$AG910,'ORDENES'!$O$4:$O$1203,$O910,'ORDENES'!$S$4:$S$1203,$S910))</f>
        <v/>
      </c>
      <c r="AJ910" s="25">
        <f>IF($AI910="","",p_factor_productividad*IFERROR(INDEX('ASIGNACIONES'!$M$4:$M$451,MATCH($O910&amp;"|"&amp;$S910&amp;"|"&amp;$AG910,'ASIGNACIONES'!$N$4:$N$451,0)),0)-$AI910)</f>
        <v/>
      </c>
      <c r="AK910" s="18">
        <f>IF($A910="","",IFERROR(INDEX('2_IMPORTAR_EJECUCION'!$F$9:$F$1208,MATCH($AT910,'2_IMPORTAR_EJECUCION'!$J$9:$J$1208,0)),0))</f>
        <v/>
      </c>
      <c r="AL910" s="18">
        <f>IF($A910="","",MAX(0,IFERROR(INDEX('2_IMPORTAR_EJECUCION'!$H$9:$H$1208,MATCH($AT910,'2_IMPORTAR_EJECUCION'!$J$9:$J$1208,0)),0)-$AK910))</f>
        <v/>
      </c>
      <c r="AM910" s="18">
        <f>IF($A910="","",$AK910+$AL910)</f>
        <v/>
      </c>
      <c r="AN910" s="5">
        <f>IF($A910="","",IF(OR((IFERROR(INDEX('CAT_ACTIVIDADES'!$D$4:$D$11,MATCH($H910,'CAT_ACTIVIDADES'!$A$4:$A$11,0)),""))=0,(IFERROR(INDEX('CAT_ACTIVIDADES'!$D$4:$D$11,MATCH($H910,'CAT_ACTIVIDADES'!$A$4:$A$11,0)),""))=""),"SIN CLASIFICAR",IFERROR(INDEX('CAT_ACTIVIDADES'!$D$4:$D$11,MATCH($H910,'CAT_ACTIVIDADES'!$A$4:$A$11,0)),"")))</f>
        <v/>
      </c>
      <c r="AO910" s="4" t="n"/>
      <c r="AP910" s="4" t="n"/>
      <c r="AQ910" s="4" t="n"/>
      <c r="AR910" s="5">
        <f>IF($AQ910="","",HYPERLINK(p_ruta_base_checklists&amp;$AQ910,"abrir"))</f>
        <v/>
      </c>
      <c r="AS910" s="4" t="n"/>
      <c r="AT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2" t="n"/>
      <c r="K911" s="5" t="n"/>
      <c r="L911" s="18" t="n"/>
      <c r="M911" s="5">
        <f>IF($A911="","",IFERROR(INDEX('AJUSTES'!$B$4:$B$303,MATCH($AT911,'AJUSTES'!$A$4:$A$303,0)),IF($K911="","",$K911)))</f>
        <v/>
      </c>
      <c r="N911" s="5">
        <f>IF($A911="","",IFERROR(INDEX('CAT_ESTADOS_ERP'!$B$4:$B$7,MATCH(IFERROR(INDEX('2_IMPORTAR_EJECUCION'!$C$9:$C$1208,MATCH($AT911,'2_IMPORTAR_EJECUCION'!$J$9:$J$1208,0)),""),'CAT_ESTADOS_ERP'!$A$4:$A$7,0)),"Pendiente"))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IF($J911="","",$P911&amp;"-"&amp;TEXT($Q911,"00"))</f>
        <v/>
      </c>
      <c r="S911" s="5">
        <f>IF($J911="","",INDEX(lista_dias,WEEKDAY($J911,2)))</f>
        <v/>
      </c>
      <c r="T911" s="5">
        <f>IF($J911="","",IFERROR(INDEX('CALENDARIO'!$C$15:$C$214,MATCH(TEXT($J911,"yyyy-mm-dd")&amp;"|"&amp;$X911&amp;"|"&amp;$Y911,'CALENDARIO'!$G$15:$G$214,0)),IFERROR(INDEX('CALENDARIO'!$C$15:$C$214,MATCH(TEXT($J911,"yyyy-mm-dd")&amp;"|"&amp;$X911&amp;"|",'CALENDARIO'!$G$15:$G$214,0)),IFERROR(INDEX('CALENDARIO'!$C$15:$C$214,MATCH(TEXT($J911,"yyyy-mm-dd")&amp;"||",'CALENDARIO'!$G$15:$G$214,0)),INDEX(patronHabil,WEEKDAY($J911,2))))))</f>
        <v/>
      </c>
      <c r="U911" s="5">
        <f>IF($I911="","",IFERROR(INDEX('CAT_TIPOS_OT'!$C$4:$C$8,MATCH($I911,'CAT_TIPOS_OT'!$A$4:$A$8,0)),"sin_clasificar"))</f>
        <v/>
      </c>
      <c r="V911" s="5">
        <f>IF($I911="","",IF(IFERROR(INDEX('CAT_TIPOS_OT'!$D$4:$D$8,MATCH($I911,'CAT_TIPOS_OT'!$A$4:$A$8,0)),"SIN CLASIFICAR")="","SIN CLASIFICAR",IFERROR(INDEX('CAT_TIPOS_OT'!$D$4:$D$8,MATCH($I911,'CAT_TIPOS_OT'!$A$4:$A$8,0)),"SIN CLASIFICAR")))</f>
        <v/>
      </c>
      <c r="W911" s="5">
        <f>IF($F911="","",IFERROR(INDEX('CAT_CENTROS_COSTO'!$F$4:$F$13,MATCH($F911,'CAT_CENTROS_COSTO'!$A$4:$A$13,0)),"(sin catálogo)"))</f>
        <v/>
      </c>
      <c r="X911" s="5">
        <f>IF($F911="","",IFERROR(INDEX('CAT_CENTROS_COSTO'!$D$4:$D$13,MATCH($F911,'CAT_CENTROS_COSTO'!$A$4:$A$13,0)),"(sin catálogo)"))</f>
        <v/>
      </c>
      <c r="Y911" s="5">
        <f>IF($F911="","",IF((IFERROR(INDEX('CAT_CENTROS_COSTO'!$E$4:$E$13,MATCH($F911,'CAT_CENTROS_COSTO'!$A$4:$A$13,0)),""))&lt;&gt;"",IFERROR(INDEX('CAT_CENTROS_COSTO'!$E$4:$E$13,MATCH($F911,'CAT_CENTROS_COSTO'!$A$4:$A$13,0)),""),$X911))</f>
        <v/>
      </c>
      <c r="Z911" s="5">
        <f>IF($F911="","",IFERROR(INDEX('CAT_CENTROS_COSTO'!$G$4:$G$13,MATCH($F911,'CAT_CENTROS_COSTO'!$A$4:$A$13,0)),"(sin catálogo)"))</f>
        <v/>
      </c>
      <c r="AA911" s="5">
        <f>IF($G911="","",IFERROR(INDEX('CAT_PUESTOS'!$B$4:$B$8,MATCH($G911,'CAT_PUESTOS'!$A$4:$A$8,0)),"(sin catálogo)"))</f>
        <v/>
      </c>
      <c r="AB911" s="5">
        <f>IF($H911="","",IFERROR(INDEX('CAT_ACTIVIDADES'!$B$4:$B$11,MATCH($H911,'CAT_ACTIVIDADES'!$A$4:$A$11,0)),"(sin catálogo)"))</f>
        <v/>
      </c>
      <c r="AC911" s="20">
        <f>IF($J911="","",TODAY()-$J911)</f>
        <v/>
      </c>
      <c r="AD911" s="20">
        <f>IF($J911="","",IF($J911&lt;=TODAY(),COUNTIFS(cal_fechas,"&gt;="&amp;$J911,cal_fechas,"&lt;"&amp;TODAY(),cal_habil,"sí"),-COUNTIFS(cal_fechas,"&gt;="&amp;TODAY(),cal_fechas,"&lt;"&amp;$J911,cal_habil,"sí")))</f>
        <v/>
      </c>
      <c r="AE911" s="5">
        <f>IF($AD911="","",IF($AD911&lt;0,"FUTURO",IF($AD911&gt;p_dias_backlog_max,"BACKLOG","MES CORRIENTE")))</f>
        <v/>
      </c>
      <c r="AF911" s="5">
        <f>IF($AD911="",FALSE,AND($AD911&gt;p_dias_backlog_min,$AD911&lt;=p_dias_backlog_max))</f>
        <v/>
      </c>
      <c r="AG911" s="4" t="n"/>
      <c r="AH911" s="5">
        <f>IF($AG911="","",IF((IFERROR(INDEX('ASIGNACIONES'!$J$4:$J$451,MATCH($O911&amp;"|"&amp;$S911&amp;"|"&amp;$AG911,'ASIGNACIONES'!$N$4:$N$451,0)),""))=0,"",IFERROR(INDEX('ASIGNACIONES'!$J$4:$J$451,MATCH($O911&amp;"|"&amp;$S911&amp;"|"&amp;$AG911,'ASIGNACIONES'!$N$4:$N$451,0)),"")))</f>
        <v/>
      </c>
      <c r="AI911" s="25">
        <f>IF($AG911="","",SUMIFS('ORDENES'!$M$4:$M$1203,'ORDENES'!$AG$4:$AG$1203,$AG911,'ORDENES'!$O$4:$O$1203,$O911,'ORDENES'!$S$4:$S$1203,$S911))</f>
        <v/>
      </c>
      <c r="AJ911" s="25">
        <f>IF($AI911="","",p_factor_productividad*IFERROR(INDEX('ASIGNACIONES'!$M$4:$M$451,MATCH($O911&amp;"|"&amp;$S911&amp;"|"&amp;$AG911,'ASIGNACIONES'!$N$4:$N$451,0)),0)-$AI911)</f>
        <v/>
      </c>
      <c r="AK911" s="18">
        <f>IF($A911="","",IFERROR(INDEX('2_IMPORTAR_EJECUCION'!$F$9:$F$1208,MATCH($AT911,'2_IMPORTAR_EJECUCION'!$J$9:$J$1208,0)),0))</f>
        <v/>
      </c>
      <c r="AL911" s="18">
        <f>IF($A911="","",MAX(0,IFERROR(INDEX('2_IMPORTAR_EJECUCION'!$H$9:$H$1208,MATCH($AT911,'2_IMPORTAR_EJECUCION'!$J$9:$J$1208,0)),0)-$AK911))</f>
        <v/>
      </c>
      <c r="AM911" s="18">
        <f>IF($A911="","",$AK911+$AL911)</f>
        <v/>
      </c>
      <c r="AN911" s="5">
        <f>IF($A911="","",IF(OR((IFERROR(INDEX('CAT_ACTIVIDADES'!$D$4:$D$11,MATCH($H911,'CAT_ACTIVIDADES'!$A$4:$A$11,0)),""))=0,(IFERROR(INDEX('CAT_ACTIVIDADES'!$D$4:$D$11,MATCH($H911,'CAT_ACTIVIDADES'!$A$4:$A$11,0)),""))=""),"SIN CLASIFICAR",IFERROR(INDEX('CAT_ACTIVIDADES'!$D$4:$D$11,MATCH($H911,'CAT_ACTIVIDADES'!$A$4:$A$11,0)),"")))</f>
        <v/>
      </c>
      <c r="AO911" s="4" t="n"/>
      <c r="AP911" s="4" t="n"/>
      <c r="AQ911" s="4" t="n"/>
      <c r="AR911" s="5">
        <f>IF($AQ911="","",HYPERLINK(p_ruta_base_checklists&amp;$AQ911,"abrir"))</f>
        <v/>
      </c>
      <c r="AS911" s="4" t="n"/>
      <c r="AT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2" t="n"/>
      <c r="K912" s="5" t="n"/>
      <c r="L912" s="18" t="n"/>
      <c r="M912" s="5">
        <f>IF($A912="","",IFERROR(INDEX('AJUSTES'!$B$4:$B$303,MATCH($AT912,'AJUSTES'!$A$4:$A$303,0)),IF($K912="","",$K912)))</f>
        <v/>
      </c>
      <c r="N912" s="5">
        <f>IF($A912="","",IFERROR(INDEX('CAT_ESTADOS_ERP'!$B$4:$B$7,MATCH(IFERROR(INDEX('2_IMPORTAR_EJECUCION'!$C$9:$C$1208,MATCH($AT912,'2_IMPORTAR_EJECUCION'!$J$9:$J$1208,0)),""),'CAT_ESTADOS_ERP'!$A$4:$A$7,0)),"Pendiente"))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IF($J912="","",$P912&amp;"-"&amp;TEXT($Q912,"00"))</f>
        <v/>
      </c>
      <c r="S912" s="5">
        <f>IF($J912="","",INDEX(lista_dias,WEEKDAY($J912,2)))</f>
        <v/>
      </c>
      <c r="T912" s="5">
        <f>IF($J912="","",IFERROR(INDEX('CALENDARIO'!$C$15:$C$214,MATCH(TEXT($J912,"yyyy-mm-dd")&amp;"|"&amp;$X912&amp;"|"&amp;$Y912,'CALENDARIO'!$G$15:$G$214,0)),IFERROR(INDEX('CALENDARIO'!$C$15:$C$214,MATCH(TEXT($J912,"yyyy-mm-dd")&amp;"|"&amp;$X912&amp;"|",'CALENDARIO'!$G$15:$G$214,0)),IFERROR(INDEX('CALENDARIO'!$C$15:$C$214,MATCH(TEXT($J912,"yyyy-mm-dd")&amp;"||",'CALENDARIO'!$G$15:$G$214,0)),INDEX(patronHabil,WEEKDAY($J912,2))))))</f>
        <v/>
      </c>
      <c r="U912" s="5">
        <f>IF($I912="","",IFERROR(INDEX('CAT_TIPOS_OT'!$C$4:$C$8,MATCH($I912,'CAT_TIPOS_OT'!$A$4:$A$8,0)),"sin_clasificar"))</f>
        <v/>
      </c>
      <c r="V912" s="5">
        <f>IF($I912="","",IF(IFERROR(INDEX('CAT_TIPOS_OT'!$D$4:$D$8,MATCH($I912,'CAT_TIPOS_OT'!$A$4:$A$8,0)),"SIN CLASIFICAR")="","SIN CLASIFICAR",IFERROR(INDEX('CAT_TIPOS_OT'!$D$4:$D$8,MATCH($I912,'CAT_TIPOS_OT'!$A$4:$A$8,0)),"SIN CLASIFICAR")))</f>
        <v/>
      </c>
      <c r="W912" s="5">
        <f>IF($F912="","",IFERROR(INDEX('CAT_CENTROS_COSTO'!$F$4:$F$13,MATCH($F912,'CAT_CENTROS_COSTO'!$A$4:$A$13,0)),"(sin catálogo)"))</f>
        <v/>
      </c>
      <c r="X912" s="5">
        <f>IF($F912="","",IFERROR(INDEX('CAT_CENTROS_COSTO'!$D$4:$D$13,MATCH($F912,'CAT_CENTROS_COSTO'!$A$4:$A$13,0)),"(sin catálogo)"))</f>
        <v/>
      </c>
      <c r="Y912" s="5">
        <f>IF($F912="","",IF((IFERROR(INDEX('CAT_CENTROS_COSTO'!$E$4:$E$13,MATCH($F912,'CAT_CENTROS_COSTO'!$A$4:$A$13,0)),""))&lt;&gt;"",IFERROR(INDEX('CAT_CENTROS_COSTO'!$E$4:$E$13,MATCH($F912,'CAT_CENTROS_COSTO'!$A$4:$A$13,0)),""),$X912))</f>
        <v/>
      </c>
      <c r="Z912" s="5">
        <f>IF($F912="","",IFERROR(INDEX('CAT_CENTROS_COSTO'!$G$4:$G$13,MATCH($F912,'CAT_CENTROS_COSTO'!$A$4:$A$13,0)),"(sin catálogo)"))</f>
        <v/>
      </c>
      <c r="AA912" s="5">
        <f>IF($G912="","",IFERROR(INDEX('CAT_PUESTOS'!$B$4:$B$8,MATCH($G912,'CAT_PUESTOS'!$A$4:$A$8,0)),"(sin catálogo)"))</f>
        <v/>
      </c>
      <c r="AB912" s="5">
        <f>IF($H912="","",IFERROR(INDEX('CAT_ACTIVIDADES'!$B$4:$B$11,MATCH($H912,'CAT_ACTIVIDADES'!$A$4:$A$11,0)),"(sin catálogo)"))</f>
        <v/>
      </c>
      <c r="AC912" s="20">
        <f>IF($J912="","",TODAY()-$J912)</f>
        <v/>
      </c>
      <c r="AD912" s="20">
        <f>IF($J912="","",IF($J912&lt;=TODAY(),COUNTIFS(cal_fechas,"&gt;="&amp;$J912,cal_fechas,"&lt;"&amp;TODAY(),cal_habil,"sí"),-COUNTIFS(cal_fechas,"&gt;="&amp;TODAY(),cal_fechas,"&lt;"&amp;$J912,cal_habil,"sí")))</f>
        <v/>
      </c>
      <c r="AE912" s="5">
        <f>IF($AD912="","",IF($AD912&lt;0,"FUTURO",IF($AD912&gt;p_dias_backlog_max,"BACKLOG","MES CORRIENTE")))</f>
        <v/>
      </c>
      <c r="AF912" s="5">
        <f>IF($AD912="",FALSE,AND($AD912&gt;p_dias_backlog_min,$AD912&lt;=p_dias_backlog_max))</f>
        <v/>
      </c>
      <c r="AG912" s="4" t="n"/>
      <c r="AH912" s="5">
        <f>IF($AG912="","",IF((IFERROR(INDEX('ASIGNACIONES'!$J$4:$J$451,MATCH($O912&amp;"|"&amp;$S912&amp;"|"&amp;$AG912,'ASIGNACIONES'!$N$4:$N$451,0)),""))=0,"",IFERROR(INDEX('ASIGNACIONES'!$J$4:$J$451,MATCH($O912&amp;"|"&amp;$S912&amp;"|"&amp;$AG912,'ASIGNACIONES'!$N$4:$N$451,0)),"")))</f>
        <v/>
      </c>
      <c r="AI912" s="25">
        <f>IF($AG912="","",SUMIFS('ORDENES'!$M$4:$M$1203,'ORDENES'!$AG$4:$AG$1203,$AG912,'ORDENES'!$O$4:$O$1203,$O912,'ORDENES'!$S$4:$S$1203,$S912))</f>
        <v/>
      </c>
      <c r="AJ912" s="25">
        <f>IF($AI912="","",p_factor_productividad*IFERROR(INDEX('ASIGNACIONES'!$M$4:$M$451,MATCH($O912&amp;"|"&amp;$S912&amp;"|"&amp;$AG912,'ASIGNACIONES'!$N$4:$N$451,0)),0)-$AI912)</f>
        <v/>
      </c>
      <c r="AK912" s="18">
        <f>IF($A912="","",IFERROR(INDEX('2_IMPORTAR_EJECUCION'!$F$9:$F$1208,MATCH($AT912,'2_IMPORTAR_EJECUCION'!$J$9:$J$1208,0)),0))</f>
        <v/>
      </c>
      <c r="AL912" s="18">
        <f>IF($A912="","",MAX(0,IFERROR(INDEX('2_IMPORTAR_EJECUCION'!$H$9:$H$1208,MATCH($AT912,'2_IMPORTAR_EJECUCION'!$J$9:$J$1208,0)),0)-$AK912))</f>
        <v/>
      </c>
      <c r="AM912" s="18">
        <f>IF($A912="","",$AK912+$AL912)</f>
        <v/>
      </c>
      <c r="AN912" s="5">
        <f>IF($A912="","",IF(OR((IFERROR(INDEX('CAT_ACTIVIDADES'!$D$4:$D$11,MATCH($H912,'CAT_ACTIVIDADES'!$A$4:$A$11,0)),""))=0,(IFERROR(INDEX('CAT_ACTIVIDADES'!$D$4:$D$11,MATCH($H912,'CAT_ACTIVIDADES'!$A$4:$A$11,0)),""))=""),"SIN CLASIFICAR",IFERROR(INDEX('CAT_ACTIVIDADES'!$D$4:$D$11,MATCH($H912,'CAT_ACTIVIDADES'!$A$4:$A$11,0)),"")))</f>
        <v/>
      </c>
      <c r="AO912" s="4" t="n"/>
      <c r="AP912" s="4" t="n"/>
      <c r="AQ912" s="4" t="n"/>
      <c r="AR912" s="5">
        <f>IF($AQ912="","",HYPERLINK(p_ruta_base_checklists&amp;$AQ912,"abrir"))</f>
        <v/>
      </c>
      <c r="AS912" s="4" t="n"/>
      <c r="AT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2" t="n"/>
      <c r="K913" s="5" t="n"/>
      <c r="L913" s="18" t="n"/>
      <c r="M913" s="5">
        <f>IF($A913="","",IFERROR(INDEX('AJUSTES'!$B$4:$B$303,MATCH($AT913,'AJUSTES'!$A$4:$A$303,0)),IF($K913="","",$K913)))</f>
        <v/>
      </c>
      <c r="N913" s="5">
        <f>IF($A913="","",IFERROR(INDEX('CAT_ESTADOS_ERP'!$B$4:$B$7,MATCH(IFERROR(INDEX('2_IMPORTAR_EJECUCION'!$C$9:$C$1208,MATCH($AT913,'2_IMPORTAR_EJECUCION'!$J$9:$J$1208,0)),""),'CAT_ESTADOS_ERP'!$A$4:$A$7,0)),"Pendiente"))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IF($J913="","",$P913&amp;"-"&amp;TEXT($Q913,"00"))</f>
        <v/>
      </c>
      <c r="S913" s="5">
        <f>IF($J913="","",INDEX(lista_dias,WEEKDAY($J913,2)))</f>
        <v/>
      </c>
      <c r="T913" s="5">
        <f>IF($J913="","",IFERROR(INDEX('CALENDARIO'!$C$15:$C$214,MATCH(TEXT($J913,"yyyy-mm-dd")&amp;"|"&amp;$X913&amp;"|"&amp;$Y913,'CALENDARIO'!$G$15:$G$214,0)),IFERROR(INDEX('CALENDARIO'!$C$15:$C$214,MATCH(TEXT($J913,"yyyy-mm-dd")&amp;"|"&amp;$X913&amp;"|",'CALENDARIO'!$G$15:$G$214,0)),IFERROR(INDEX('CALENDARIO'!$C$15:$C$214,MATCH(TEXT($J913,"yyyy-mm-dd")&amp;"||",'CALENDARIO'!$G$15:$G$214,0)),INDEX(patronHabil,WEEKDAY($J913,2))))))</f>
        <v/>
      </c>
      <c r="U913" s="5">
        <f>IF($I913="","",IFERROR(INDEX('CAT_TIPOS_OT'!$C$4:$C$8,MATCH($I913,'CAT_TIPOS_OT'!$A$4:$A$8,0)),"sin_clasificar"))</f>
        <v/>
      </c>
      <c r="V913" s="5">
        <f>IF($I913="","",IF(IFERROR(INDEX('CAT_TIPOS_OT'!$D$4:$D$8,MATCH($I913,'CAT_TIPOS_OT'!$A$4:$A$8,0)),"SIN CLASIFICAR")="","SIN CLASIFICAR",IFERROR(INDEX('CAT_TIPOS_OT'!$D$4:$D$8,MATCH($I913,'CAT_TIPOS_OT'!$A$4:$A$8,0)),"SIN CLASIFICAR")))</f>
        <v/>
      </c>
      <c r="W913" s="5">
        <f>IF($F913="","",IFERROR(INDEX('CAT_CENTROS_COSTO'!$F$4:$F$13,MATCH($F913,'CAT_CENTROS_COSTO'!$A$4:$A$13,0)),"(sin catálogo)"))</f>
        <v/>
      </c>
      <c r="X913" s="5">
        <f>IF($F913="","",IFERROR(INDEX('CAT_CENTROS_COSTO'!$D$4:$D$13,MATCH($F913,'CAT_CENTROS_COSTO'!$A$4:$A$13,0)),"(sin catálogo)"))</f>
        <v/>
      </c>
      <c r="Y913" s="5">
        <f>IF($F913="","",IF((IFERROR(INDEX('CAT_CENTROS_COSTO'!$E$4:$E$13,MATCH($F913,'CAT_CENTROS_COSTO'!$A$4:$A$13,0)),""))&lt;&gt;"",IFERROR(INDEX('CAT_CENTROS_COSTO'!$E$4:$E$13,MATCH($F913,'CAT_CENTROS_COSTO'!$A$4:$A$13,0)),""),$X913))</f>
        <v/>
      </c>
      <c r="Z913" s="5">
        <f>IF($F913="","",IFERROR(INDEX('CAT_CENTROS_COSTO'!$G$4:$G$13,MATCH($F913,'CAT_CENTROS_COSTO'!$A$4:$A$13,0)),"(sin catálogo)"))</f>
        <v/>
      </c>
      <c r="AA913" s="5">
        <f>IF($G913="","",IFERROR(INDEX('CAT_PUESTOS'!$B$4:$B$8,MATCH($G913,'CAT_PUESTOS'!$A$4:$A$8,0)),"(sin catálogo)"))</f>
        <v/>
      </c>
      <c r="AB913" s="5">
        <f>IF($H913="","",IFERROR(INDEX('CAT_ACTIVIDADES'!$B$4:$B$11,MATCH($H913,'CAT_ACTIVIDADES'!$A$4:$A$11,0)),"(sin catálogo)"))</f>
        <v/>
      </c>
      <c r="AC913" s="20">
        <f>IF($J913="","",TODAY()-$J913)</f>
        <v/>
      </c>
      <c r="AD913" s="20">
        <f>IF($J913="","",IF($J913&lt;=TODAY(),COUNTIFS(cal_fechas,"&gt;="&amp;$J913,cal_fechas,"&lt;"&amp;TODAY(),cal_habil,"sí"),-COUNTIFS(cal_fechas,"&gt;="&amp;TODAY(),cal_fechas,"&lt;"&amp;$J913,cal_habil,"sí")))</f>
        <v/>
      </c>
      <c r="AE913" s="5">
        <f>IF($AD913="","",IF($AD913&lt;0,"FUTURO",IF($AD913&gt;p_dias_backlog_max,"BACKLOG","MES CORRIENTE")))</f>
        <v/>
      </c>
      <c r="AF913" s="5">
        <f>IF($AD913="",FALSE,AND($AD913&gt;p_dias_backlog_min,$AD913&lt;=p_dias_backlog_max))</f>
        <v/>
      </c>
      <c r="AG913" s="4" t="n"/>
      <c r="AH913" s="5">
        <f>IF($AG913="","",IF((IFERROR(INDEX('ASIGNACIONES'!$J$4:$J$451,MATCH($O913&amp;"|"&amp;$S913&amp;"|"&amp;$AG913,'ASIGNACIONES'!$N$4:$N$451,0)),""))=0,"",IFERROR(INDEX('ASIGNACIONES'!$J$4:$J$451,MATCH($O913&amp;"|"&amp;$S913&amp;"|"&amp;$AG913,'ASIGNACIONES'!$N$4:$N$451,0)),"")))</f>
        <v/>
      </c>
      <c r="AI913" s="25">
        <f>IF($AG913="","",SUMIFS('ORDENES'!$M$4:$M$1203,'ORDENES'!$AG$4:$AG$1203,$AG913,'ORDENES'!$O$4:$O$1203,$O913,'ORDENES'!$S$4:$S$1203,$S913))</f>
        <v/>
      </c>
      <c r="AJ913" s="25">
        <f>IF($AI913="","",p_factor_productividad*IFERROR(INDEX('ASIGNACIONES'!$M$4:$M$451,MATCH($O913&amp;"|"&amp;$S913&amp;"|"&amp;$AG913,'ASIGNACIONES'!$N$4:$N$451,0)),0)-$AI913)</f>
        <v/>
      </c>
      <c r="AK913" s="18">
        <f>IF($A913="","",IFERROR(INDEX('2_IMPORTAR_EJECUCION'!$F$9:$F$1208,MATCH($AT913,'2_IMPORTAR_EJECUCION'!$J$9:$J$1208,0)),0))</f>
        <v/>
      </c>
      <c r="AL913" s="18">
        <f>IF($A913="","",MAX(0,IFERROR(INDEX('2_IMPORTAR_EJECUCION'!$H$9:$H$1208,MATCH($AT913,'2_IMPORTAR_EJECUCION'!$J$9:$J$1208,0)),0)-$AK913))</f>
        <v/>
      </c>
      <c r="AM913" s="18">
        <f>IF($A913="","",$AK913+$AL913)</f>
        <v/>
      </c>
      <c r="AN913" s="5">
        <f>IF($A913="","",IF(OR((IFERROR(INDEX('CAT_ACTIVIDADES'!$D$4:$D$11,MATCH($H913,'CAT_ACTIVIDADES'!$A$4:$A$11,0)),""))=0,(IFERROR(INDEX('CAT_ACTIVIDADES'!$D$4:$D$11,MATCH($H913,'CAT_ACTIVIDADES'!$A$4:$A$11,0)),""))=""),"SIN CLASIFICAR",IFERROR(INDEX('CAT_ACTIVIDADES'!$D$4:$D$11,MATCH($H913,'CAT_ACTIVIDADES'!$A$4:$A$11,0)),"")))</f>
        <v/>
      </c>
      <c r="AO913" s="4" t="n"/>
      <c r="AP913" s="4" t="n"/>
      <c r="AQ913" s="4" t="n"/>
      <c r="AR913" s="5">
        <f>IF($AQ913="","",HYPERLINK(p_ruta_base_checklists&amp;$AQ913,"abrir"))</f>
        <v/>
      </c>
      <c r="AS913" s="4" t="n"/>
      <c r="AT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2" t="n"/>
      <c r="K914" s="5" t="n"/>
      <c r="L914" s="18" t="n"/>
      <c r="M914" s="5">
        <f>IF($A914="","",IFERROR(INDEX('AJUSTES'!$B$4:$B$303,MATCH($AT914,'AJUSTES'!$A$4:$A$303,0)),IF($K914="","",$K914)))</f>
        <v/>
      </c>
      <c r="N914" s="5">
        <f>IF($A914="","",IFERROR(INDEX('CAT_ESTADOS_ERP'!$B$4:$B$7,MATCH(IFERROR(INDEX('2_IMPORTAR_EJECUCION'!$C$9:$C$1208,MATCH($AT914,'2_IMPORTAR_EJECUCION'!$J$9:$J$1208,0)),""),'CAT_ESTADOS_ERP'!$A$4:$A$7,0)),"Pendiente"))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IF($J914="","",$P914&amp;"-"&amp;TEXT($Q914,"00"))</f>
        <v/>
      </c>
      <c r="S914" s="5">
        <f>IF($J914="","",INDEX(lista_dias,WEEKDAY($J914,2)))</f>
        <v/>
      </c>
      <c r="T914" s="5">
        <f>IF($J914="","",IFERROR(INDEX('CALENDARIO'!$C$15:$C$214,MATCH(TEXT($J914,"yyyy-mm-dd")&amp;"|"&amp;$X914&amp;"|"&amp;$Y914,'CALENDARIO'!$G$15:$G$214,0)),IFERROR(INDEX('CALENDARIO'!$C$15:$C$214,MATCH(TEXT($J914,"yyyy-mm-dd")&amp;"|"&amp;$X914&amp;"|",'CALENDARIO'!$G$15:$G$214,0)),IFERROR(INDEX('CALENDARIO'!$C$15:$C$214,MATCH(TEXT($J914,"yyyy-mm-dd")&amp;"||",'CALENDARIO'!$G$15:$G$214,0)),INDEX(patronHabil,WEEKDAY($J914,2))))))</f>
        <v/>
      </c>
      <c r="U914" s="5">
        <f>IF($I914="","",IFERROR(INDEX('CAT_TIPOS_OT'!$C$4:$C$8,MATCH($I914,'CAT_TIPOS_OT'!$A$4:$A$8,0)),"sin_clasificar"))</f>
        <v/>
      </c>
      <c r="V914" s="5">
        <f>IF($I914="","",IF(IFERROR(INDEX('CAT_TIPOS_OT'!$D$4:$D$8,MATCH($I914,'CAT_TIPOS_OT'!$A$4:$A$8,0)),"SIN CLASIFICAR")="","SIN CLASIFICAR",IFERROR(INDEX('CAT_TIPOS_OT'!$D$4:$D$8,MATCH($I914,'CAT_TIPOS_OT'!$A$4:$A$8,0)),"SIN CLASIFICAR")))</f>
        <v/>
      </c>
      <c r="W914" s="5">
        <f>IF($F914="","",IFERROR(INDEX('CAT_CENTROS_COSTO'!$F$4:$F$13,MATCH($F914,'CAT_CENTROS_COSTO'!$A$4:$A$13,0)),"(sin catálogo)"))</f>
        <v/>
      </c>
      <c r="X914" s="5">
        <f>IF($F914="","",IFERROR(INDEX('CAT_CENTROS_COSTO'!$D$4:$D$13,MATCH($F914,'CAT_CENTROS_COSTO'!$A$4:$A$13,0)),"(sin catálogo)"))</f>
        <v/>
      </c>
      <c r="Y914" s="5">
        <f>IF($F914="","",IF((IFERROR(INDEX('CAT_CENTROS_COSTO'!$E$4:$E$13,MATCH($F914,'CAT_CENTROS_COSTO'!$A$4:$A$13,0)),""))&lt;&gt;"",IFERROR(INDEX('CAT_CENTROS_COSTO'!$E$4:$E$13,MATCH($F914,'CAT_CENTROS_COSTO'!$A$4:$A$13,0)),""),$X914))</f>
        <v/>
      </c>
      <c r="Z914" s="5">
        <f>IF($F914="","",IFERROR(INDEX('CAT_CENTROS_COSTO'!$G$4:$G$13,MATCH($F914,'CAT_CENTROS_COSTO'!$A$4:$A$13,0)),"(sin catálogo)"))</f>
        <v/>
      </c>
      <c r="AA914" s="5">
        <f>IF($G914="","",IFERROR(INDEX('CAT_PUESTOS'!$B$4:$B$8,MATCH($G914,'CAT_PUESTOS'!$A$4:$A$8,0)),"(sin catálogo)"))</f>
        <v/>
      </c>
      <c r="AB914" s="5">
        <f>IF($H914="","",IFERROR(INDEX('CAT_ACTIVIDADES'!$B$4:$B$11,MATCH($H914,'CAT_ACTIVIDADES'!$A$4:$A$11,0)),"(sin catálogo)"))</f>
        <v/>
      </c>
      <c r="AC914" s="20">
        <f>IF($J914="","",TODAY()-$J914)</f>
        <v/>
      </c>
      <c r="AD914" s="20">
        <f>IF($J914="","",IF($J914&lt;=TODAY(),COUNTIFS(cal_fechas,"&gt;="&amp;$J914,cal_fechas,"&lt;"&amp;TODAY(),cal_habil,"sí"),-COUNTIFS(cal_fechas,"&gt;="&amp;TODAY(),cal_fechas,"&lt;"&amp;$J914,cal_habil,"sí")))</f>
        <v/>
      </c>
      <c r="AE914" s="5">
        <f>IF($AD914="","",IF($AD914&lt;0,"FUTURO",IF($AD914&gt;p_dias_backlog_max,"BACKLOG","MES CORRIENTE")))</f>
        <v/>
      </c>
      <c r="AF914" s="5">
        <f>IF($AD914="",FALSE,AND($AD914&gt;p_dias_backlog_min,$AD914&lt;=p_dias_backlog_max))</f>
        <v/>
      </c>
      <c r="AG914" s="4" t="n"/>
      <c r="AH914" s="5">
        <f>IF($AG914="","",IF((IFERROR(INDEX('ASIGNACIONES'!$J$4:$J$451,MATCH($O914&amp;"|"&amp;$S914&amp;"|"&amp;$AG914,'ASIGNACIONES'!$N$4:$N$451,0)),""))=0,"",IFERROR(INDEX('ASIGNACIONES'!$J$4:$J$451,MATCH($O914&amp;"|"&amp;$S914&amp;"|"&amp;$AG914,'ASIGNACIONES'!$N$4:$N$451,0)),"")))</f>
        <v/>
      </c>
      <c r="AI914" s="25">
        <f>IF($AG914="","",SUMIFS('ORDENES'!$M$4:$M$1203,'ORDENES'!$AG$4:$AG$1203,$AG914,'ORDENES'!$O$4:$O$1203,$O914,'ORDENES'!$S$4:$S$1203,$S914))</f>
        <v/>
      </c>
      <c r="AJ914" s="25">
        <f>IF($AI914="","",p_factor_productividad*IFERROR(INDEX('ASIGNACIONES'!$M$4:$M$451,MATCH($O914&amp;"|"&amp;$S914&amp;"|"&amp;$AG914,'ASIGNACIONES'!$N$4:$N$451,0)),0)-$AI914)</f>
        <v/>
      </c>
      <c r="AK914" s="18">
        <f>IF($A914="","",IFERROR(INDEX('2_IMPORTAR_EJECUCION'!$F$9:$F$1208,MATCH($AT914,'2_IMPORTAR_EJECUCION'!$J$9:$J$1208,0)),0))</f>
        <v/>
      </c>
      <c r="AL914" s="18">
        <f>IF($A914="","",MAX(0,IFERROR(INDEX('2_IMPORTAR_EJECUCION'!$H$9:$H$1208,MATCH($AT914,'2_IMPORTAR_EJECUCION'!$J$9:$J$1208,0)),0)-$AK914))</f>
        <v/>
      </c>
      <c r="AM914" s="18">
        <f>IF($A914="","",$AK914+$AL914)</f>
        <v/>
      </c>
      <c r="AN914" s="5">
        <f>IF($A914="","",IF(OR((IFERROR(INDEX('CAT_ACTIVIDADES'!$D$4:$D$11,MATCH($H914,'CAT_ACTIVIDADES'!$A$4:$A$11,0)),""))=0,(IFERROR(INDEX('CAT_ACTIVIDADES'!$D$4:$D$11,MATCH($H914,'CAT_ACTIVIDADES'!$A$4:$A$11,0)),""))=""),"SIN CLASIFICAR",IFERROR(INDEX('CAT_ACTIVIDADES'!$D$4:$D$11,MATCH($H914,'CAT_ACTIVIDADES'!$A$4:$A$11,0)),"")))</f>
        <v/>
      </c>
      <c r="AO914" s="4" t="n"/>
      <c r="AP914" s="4" t="n"/>
      <c r="AQ914" s="4" t="n"/>
      <c r="AR914" s="5">
        <f>IF($AQ914="","",HYPERLINK(p_ruta_base_checklists&amp;$AQ914,"abrir"))</f>
        <v/>
      </c>
      <c r="AS914" s="4" t="n"/>
      <c r="AT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2" t="n"/>
      <c r="K915" s="5" t="n"/>
      <c r="L915" s="18" t="n"/>
      <c r="M915" s="5">
        <f>IF($A915="","",IFERROR(INDEX('AJUSTES'!$B$4:$B$303,MATCH($AT915,'AJUSTES'!$A$4:$A$303,0)),IF($K915="","",$K915)))</f>
        <v/>
      </c>
      <c r="N915" s="5">
        <f>IF($A915="","",IFERROR(INDEX('CAT_ESTADOS_ERP'!$B$4:$B$7,MATCH(IFERROR(INDEX('2_IMPORTAR_EJECUCION'!$C$9:$C$1208,MATCH($AT915,'2_IMPORTAR_EJECUCION'!$J$9:$J$1208,0)),""),'CAT_ESTADOS_ERP'!$A$4:$A$7,0)),"Pendiente"))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IF($J915="","",$P915&amp;"-"&amp;TEXT($Q915,"00"))</f>
        <v/>
      </c>
      <c r="S915" s="5">
        <f>IF($J915="","",INDEX(lista_dias,WEEKDAY($J915,2)))</f>
        <v/>
      </c>
      <c r="T915" s="5">
        <f>IF($J915="","",IFERROR(INDEX('CALENDARIO'!$C$15:$C$214,MATCH(TEXT($J915,"yyyy-mm-dd")&amp;"|"&amp;$X915&amp;"|"&amp;$Y915,'CALENDARIO'!$G$15:$G$214,0)),IFERROR(INDEX('CALENDARIO'!$C$15:$C$214,MATCH(TEXT($J915,"yyyy-mm-dd")&amp;"|"&amp;$X915&amp;"|",'CALENDARIO'!$G$15:$G$214,0)),IFERROR(INDEX('CALENDARIO'!$C$15:$C$214,MATCH(TEXT($J915,"yyyy-mm-dd")&amp;"||",'CALENDARIO'!$G$15:$G$214,0)),INDEX(patronHabil,WEEKDAY($J915,2))))))</f>
        <v/>
      </c>
      <c r="U915" s="5">
        <f>IF($I915="","",IFERROR(INDEX('CAT_TIPOS_OT'!$C$4:$C$8,MATCH($I915,'CAT_TIPOS_OT'!$A$4:$A$8,0)),"sin_clasificar"))</f>
        <v/>
      </c>
      <c r="V915" s="5">
        <f>IF($I915="","",IF(IFERROR(INDEX('CAT_TIPOS_OT'!$D$4:$D$8,MATCH($I915,'CAT_TIPOS_OT'!$A$4:$A$8,0)),"SIN CLASIFICAR")="","SIN CLASIFICAR",IFERROR(INDEX('CAT_TIPOS_OT'!$D$4:$D$8,MATCH($I915,'CAT_TIPOS_OT'!$A$4:$A$8,0)),"SIN CLASIFICAR")))</f>
        <v/>
      </c>
      <c r="W915" s="5">
        <f>IF($F915="","",IFERROR(INDEX('CAT_CENTROS_COSTO'!$F$4:$F$13,MATCH($F915,'CAT_CENTROS_COSTO'!$A$4:$A$13,0)),"(sin catálogo)"))</f>
        <v/>
      </c>
      <c r="X915" s="5">
        <f>IF($F915="","",IFERROR(INDEX('CAT_CENTROS_COSTO'!$D$4:$D$13,MATCH($F915,'CAT_CENTROS_COSTO'!$A$4:$A$13,0)),"(sin catálogo)"))</f>
        <v/>
      </c>
      <c r="Y915" s="5">
        <f>IF($F915="","",IF((IFERROR(INDEX('CAT_CENTROS_COSTO'!$E$4:$E$13,MATCH($F915,'CAT_CENTROS_COSTO'!$A$4:$A$13,0)),""))&lt;&gt;"",IFERROR(INDEX('CAT_CENTROS_COSTO'!$E$4:$E$13,MATCH($F915,'CAT_CENTROS_COSTO'!$A$4:$A$13,0)),""),$X915))</f>
        <v/>
      </c>
      <c r="Z915" s="5">
        <f>IF($F915="","",IFERROR(INDEX('CAT_CENTROS_COSTO'!$G$4:$G$13,MATCH($F915,'CAT_CENTROS_COSTO'!$A$4:$A$13,0)),"(sin catálogo)"))</f>
        <v/>
      </c>
      <c r="AA915" s="5">
        <f>IF($G915="","",IFERROR(INDEX('CAT_PUESTOS'!$B$4:$B$8,MATCH($G915,'CAT_PUESTOS'!$A$4:$A$8,0)),"(sin catálogo)"))</f>
        <v/>
      </c>
      <c r="AB915" s="5">
        <f>IF($H915="","",IFERROR(INDEX('CAT_ACTIVIDADES'!$B$4:$B$11,MATCH($H915,'CAT_ACTIVIDADES'!$A$4:$A$11,0)),"(sin catálogo)"))</f>
        <v/>
      </c>
      <c r="AC915" s="20">
        <f>IF($J915="","",TODAY()-$J915)</f>
        <v/>
      </c>
      <c r="AD915" s="20">
        <f>IF($J915="","",IF($J915&lt;=TODAY(),COUNTIFS(cal_fechas,"&gt;="&amp;$J915,cal_fechas,"&lt;"&amp;TODAY(),cal_habil,"sí"),-COUNTIFS(cal_fechas,"&gt;="&amp;TODAY(),cal_fechas,"&lt;"&amp;$J915,cal_habil,"sí")))</f>
        <v/>
      </c>
      <c r="AE915" s="5">
        <f>IF($AD915="","",IF($AD915&lt;0,"FUTURO",IF($AD915&gt;p_dias_backlog_max,"BACKLOG","MES CORRIENTE")))</f>
        <v/>
      </c>
      <c r="AF915" s="5">
        <f>IF($AD915="",FALSE,AND($AD915&gt;p_dias_backlog_min,$AD915&lt;=p_dias_backlog_max))</f>
        <v/>
      </c>
      <c r="AG915" s="4" t="n"/>
      <c r="AH915" s="5">
        <f>IF($AG915="","",IF((IFERROR(INDEX('ASIGNACIONES'!$J$4:$J$451,MATCH($O915&amp;"|"&amp;$S915&amp;"|"&amp;$AG915,'ASIGNACIONES'!$N$4:$N$451,0)),""))=0,"",IFERROR(INDEX('ASIGNACIONES'!$J$4:$J$451,MATCH($O915&amp;"|"&amp;$S915&amp;"|"&amp;$AG915,'ASIGNACIONES'!$N$4:$N$451,0)),"")))</f>
        <v/>
      </c>
      <c r="AI915" s="25">
        <f>IF($AG915="","",SUMIFS('ORDENES'!$M$4:$M$1203,'ORDENES'!$AG$4:$AG$1203,$AG915,'ORDENES'!$O$4:$O$1203,$O915,'ORDENES'!$S$4:$S$1203,$S915))</f>
        <v/>
      </c>
      <c r="AJ915" s="25">
        <f>IF($AI915="","",p_factor_productividad*IFERROR(INDEX('ASIGNACIONES'!$M$4:$M$451,MATCH($O915&amp;"|"&amp;$S915&amp;"|"&amp;$AG915,'ASIGNACIONES'!$N$4:$N$451,0)),0)-$AI915)</f>
        <v/>
      </c>
      <c r="AK915" s="18">
        <f>IF($A915="","",IFERROR(INDEX('2_IMPORTAR_EJECUCION'!$F$9:$F$1208,MATCH($AT915,'2_IMPORTAR_EJECUCION'!$J$9:$J$1208,0)),0))</f>
        <v/>
      </c>
      <c r="AL915" s="18">
        <f>IF($A915="","",MAX(0,IFERROR(INDEX('2_IMPORTAR_EJECUCION'!$H$9:$H$1208,MATCH($AT915,'2_IMPORTAR_EJECUCION'!$J$9:$J$1208,0)),0)-$AK915))</f>
        <v/>
      </c>
      <c r="AM915" s="18">
        <f>IF($A915="","",$AK915+$AL915)</f>
        <v/>
      </c>
      <c r="AN915" s="5">
        <f>IF($A915="","",IF(OR((IFERROR(INDEX('CAT_ACTIVIDADES'!$D$4:$D$11,MATCH($H915,'CAT_ACTIVIDADES'!$A$4:$A$11,0)),""))=0,(IFERROR(INDEX('CAT_ACTIVIDADES'!$D$4:$D$11,MATCH($H915,'CAT_ACTIVIDADES'!$A$4:$A$11,0)),""))=""),"SIN CLASIFICAR",IFERROR(INDEX('CAT_ACTIVIDADES'!$D$4:$D$11,MATCH($H915,'CAT_ACTIVIDADES'!$A$4:$A$11,0)),"")))</f>
        <v/>
      </c>
      <c r="AO915" s="4" t="n"/>
      <c r="AP915" s="4" t="n"/>
      <c r="AQ915" s="4" t="n"/>
      <c r="AR915" s="5">
        <f>IF($AQ915="","",HYPERLINK(p_ruta_base_checklists&amp;$AQ915,"abrir"))</f>
        <v/>
      </c>
      <c r="AS915" s="4" t="n"/>
      <c r="AT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2" t="n"/>
      <c r="K916" s="5" t="n"/>
      <c r="L916" s="18" t="n"/>
      <c r="M916" s="5">
        <f>IF($A916="","",IFERROR(INDEX('AJUSTES'!$B$4:$B$303,MATCH($AT916,'AJUSTES'!$A$4:$A$303,0)),IF($K916="","",$K916)))</f>
        <v/>
      </c>
      <c r="N916" s="5">
        <f>IF($A916="","",IFERROR(INDEX('CAT_ESTADOS_ERP'!$B$4:$B$7,MATCH(IFERROR(INDEX('2_IMPORTAR_EJECUCION'!$C$9:$C$1208,MATCH($AT916,'2_IMPORTAR_EJECUCION'!$J$9:$J$1208,0)),""),'CAT_ESTADOS_ERP'!$A$4:$A$7,0)),"Pendiente"))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IF($J916="","",$P916&amp;"-"&amp;TEXT($Q916,"00"))</f>
        <v/>
      </c>
      <c r="S916" s="5">
        <f>IF($J916="","",INDEX(lista_dias,WEEKDAY($J916,2)))</f>
        <v/>
      </c>
      <c r="T916" s="5">
        <f>IF($J916="","",IFERROR(INDEX('CALENDARIO'!$C$15:$C$214,MATCH(TEXT($J916,"yyyy-mm-dd")&amp;"|"&amp;$X916&amp;"|"&amp;$Y916,'CALENDARIO'!$G$15:$G$214,0)),IFERROR(INDEX('CALENDARIO'!$C$15:$C$214,MATCH(TEXT($J916,"yyyy-mm-dd")&amp;"|"&amp;$X916&amp;"|",'CALENDARIO'!$G$15:$G$214,0)),IFERROR(INDEX('CALENDARIO'!$C$15:$C$214,MATCH(TEXT($J916,"yyyy-mm-dd")&amp;"||",'CALENDARIO'!$G$15:$G$214,0)),INDEX(patronHabil,WEEKDAY($J916,2))))))</f>
        <v/>
      </c>
      <c r="U916" s="5">
        <f>IF($I916="","",IFERROR(INDEX('CAT_TIPOS_OT'!$C$4:$C$8,MATCH($I916,'CAT_TIPOS_OT'!$A$4:$A$8,0)),"sin_clasificar"))</f>
        <v/>
      </c>
      <c r="V916" s="5">
        <f>IF($I916="","",IF(IFERROR(INDEX('CAT_TIPOS_OT'!$D$4:$D$8,MATCH($I916,'CAT_TIPOS_OT'!$A$4:$A$8,0)),"SIN CLASIFICAR")="","SIN CLASIFICAR",IFERROR(INDEX('CAT_TIPOS_OT'!$D$4:$D$8,MATCH($I916,'CAT_TIPOS_OT'!$A$4:$A$8,0)),"SIN CLASIFICAR")))</f>
        <v/>
      </c>
      <c r="W916" s="5">
        <f>IF($F916="","",IFERROR(INDEX('CAT_CENTROS_COSTO'!$F$4:$F$13,MATCH($F916,'CAT_CENTROS_COSTO'!$A$4:$A$13,0)),"(sin catálogo)"))</f>
        <v/>
      </c>
      <c r="X916" s="5">
        <f>IF($F916="","",IFERROR(INDEX('CAT_CENTROS_COSTO'!$D$4:$D$13,MATCH($F916,'CAT_CENTROS_COSTO'!$A$4:$A$13,0)),"(sin catálogo)"))</f>
        <v/>
      </c>
      <c r="Y916" s="5">
        <f>IF($F916="","",IF((IFERROR(INDEX('CAT_CENTROS_COSTO'!$E$4:$E$13,MATCH($F916,'CAT_CENTROS_COSTO'!$A$4:$A$13,0)),""))&lt;&gt;"",IFERROR(INDEX('CAT_CENTROS_COSTO'!$E$4:$E$13,MATCH($F916,'CAT_CENTROS_COSTO'!$A$4:$A$13,0)),""),$X916))</f>
        <v/>
      </c>
      <c r="Z916" s="5">
        <f>IF($F916="","",IFERROR(INDEX('CAT_CENTROS_COSTO'!$G$4:$G$13,MATCH($F916,'CAT_CENTROS_COSTO'!$A$4:$A$13,0)),"(sin catálogo)"))</f>
        <v/>
      </c>
      <c r="AA916" s="5">
        <f>IF($G916="","",IFERROR(INDEX('CAT_PUESTOS'!$B$4:$B$8,MATCH($G916,'CAT_PUESTOS'!$A$4:$A$8,0)),"(sin catálogo)"))</f>
        <v/>
      </c>
      <c r="AB916" s="5">
        <f>IF($H916="","",IFERROR(INDEX('CAT_ACTIVIDADES'!$B$4:$B$11,MATCH($H916,'CAT_ACTIVIDADES'!$A$4:$A$11,0)),"(sin catálogo)"))</f>
        <v/>
      </c>
      <c r="AC916" s="20">
        <f>IF($J916="","",TODAY()-$J916)</f>
        <v/>
      </c>
      <c r="AD916" s="20">
        <f>IF($J916="","",IF($J916&lt;=TODAY(),COUNTIFS(cal_fechas,"&gt;="&amp;$J916,cal_fechas,"&lt;"&amp;TODAY(),cal_habil,"sí"),-COUNTIFS(cal_fechas,"&gt;="&amp;TODAY(),cal_fechas,"&lt;"&amp;$J916,cal_habil,"sí")))</f>
        <v/>
      </c>
      <c r="AE916" s="5">
        <f>IF($AD916="","",IF($AD916&lt;0,"FUTURO",IF($AD916&gt;p_dias_backlog_max,"BACKLOG","MES CORRIENTE")))</f>
        <v/>
      </c>
      <c r="AF916" s="5">
        <f>IF($AD916="",FALSE,AND($AD916&gt;p_dias_backlog_min,$AD916&lt;=p_dias_backlog_max))</f>
        <v/>
      </c>
      <c r="AG916" s="4" t="n"/>
      <c r="AH916" s="5">
        <f>IF($AG916="","",IF((IFERROR(INDEX('ASIGNACIONES'!$J$4:$J$451,MATCH($O916&amp;"|"&amp;$S916&amp;"|"&amp;$AG916,'ASIGNACIONES'!$N$4:$N$451,0)),""))=0,"",IFERROR(INDEX('ASIGNACIONES'!$J$4:$J$451,MATCH($O916&amp;"|"&amp;$S916&amp;"|"&amp;$AG916,'ASIGNACIONES'!$N$4:$N$451,0)),"")))</f>
        <v/>
      </c>
      <c r="AI916" s="25">
        <f>IF($AG916="","",SUMIFS('ORDENES'!$M$4:$M$1203,'ORDENES'!$AG$4:$AG$1203,$AG916,'ORDENES'!$O$4:$O$1203,$O916,'ORDENES'!$S$4:$S$1203,$S916))</f>
        <v/>
      </c>
      <c r="AJ916" s="25">
        <f>IF($AI916="","",p_factor_productividad*IFERROR(INDEX('ASIGNACIONES'!$M$4:$M$451,MATCH($O916&amp;"|"&amp;$S916&amp;"|"&amp;$AG916,'ASIGNACIONES'!$N$4:$N$451,0)),0)-$AI916)</f>
        <v/>
      </c>
      <c r="AK916" s="18">
        <f>IF($A916="","",IFERROR(INDEX('2_IMPORTAR_EJECUCION'!$F$9:$F$1208,MATCH($AT916,'2_IMPORTAR_EJECUCION'!$J$9:$J$1208,0)),0))</f>
        <v/>
      </c>
      <c r="AL916" s="18">
        <f>IF($A916="","",MAX(0,IFERROR(INDEX('2_IMPORTAR_EJECUCION'!$H$9:$H$1208,MATCH($AT916,'2_IMPORTAR_EJECUCION'!$J$9:$J$1208,0)),0)-$AK916))</f>
        <v/>
      </c>
      <c r="AM916" s="18">
        <f>IF($A916="","",$AK916+$AL916)</f>
        <v/>
      </c>
      <c r="AN916" s="5">
        <f>IF($A916="","",IF(OR((IFERROR(INDEX('CAT_ACTIVIDADES'!$D$4:$D$11,MATCH($H916,'CAT_ACTIVIDADES'!$A$4:$A$11,0)),""))=0,(IFERROR(INDEX('CAT_ACTIVIDADES'!$D$4:$D$11,MATCH($H916,'CAT_ACTIVIDADES'!$A$4:$A$11,0)),""))=""),"SIN CLASIFICAR",IFERROR(INDEX('CAT_ACTIVIDADES'!$D$4:$D$11,MATCH($H916,'CAT_ACTIVIDADES'!$A$4:$A$11,0)),"")))</f>
        <v/>
      </c>
      <c r="AO916" s="4" t="n"/>
      <c r="AP916" s="4" t="n"/>
      <c r="AQ916" s="4" t="n"/>
      <c r="AR916" s="5">
        <f>IF($AQ916="","",HYPERLINK(p_ruta_base_checklists&amp;$AQ916,"abrir"))</f>
        <v/>
      </c>
      <c r="AS916" s="4" t="n"/>
      <c r="AT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2" t="n"/>
      <c r="K917" s="5" t="n"/>
      <c r="L917" s="18" t="n"/>
      <c r="M917" s="5">
        <f>IF($A917="","",IFERROR(INDEX('AJUSTES'!$B$4:$B$303,MATCH($AT917,'AJUSTES'!$A$4:$A$303,0)),IF($K917="","",$K917)))</f>
        <v/>
      </c>
      <c r="N917" s="5">
        <f>IF($A917="","",IFERROR(INDEX('CAT_ESTADOS_ERP'!$B$4:$B$7,MATCH(IFERROR(INDEX('2_IMPORTAR_EJECUCION'!$C$9:$C$1208,MATCH($AT917,'2_IMPORTAR_EJECUCION'!$J$9:$J$1208,0)),""),'CAT_ESTADOS_ERP'!$A$4:$A$7,0)),"Pendiente"))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IF($J917="","",$P917&amp;"-"&amp;TEXT($Q917,"00"))</f>
        <v/>
      </c>
      <c r="S917" s="5">
        <f>IF($J917="","",INDEX(lista_dias,WEEKDAY($J917,2)))</f>
        <v/>
      </c>
      <c r="T917" s="5">
        <f>IF($J917="","",IFERROR(INDEX('CALENDARIO'!$C$15:$C$214,MATCH(TEXT($J917,"yyyy-mm-dd")&amp;"|"&amp;$X917&amp;"|"&amp;$Y917,'CALENDARIO'!$G$15:$G$214,0)),IFERROR(INDEX('CALENDARIO'!$C$15:$C$214,MATCH(TEXT($J917,"yyyy-mm-dd")&amp;"|"&amp;$X917&amp;"|",'CALENDARIO'!$G$15:$G$214,0)),IFERROR(INDEX('CALENDARIO'!$C$15:$C$214,MATCH(TEXT($J917,"yyyy-mm-dd")&amp;"||",'CALENDARIO'!$G$15:$G$214,0)),INDEX(patronHabil,WEEKDAY($J917,2))))))</f>
        <v/>
      </c>
      <c r="U917" s="5">
        <f>IF($I917="","",IFERROR(INDEX('CAT_TIPOS_OT'!$C$4:$C$8,MATCH($I917,'CAT_TIPOS_OT'!$A$4:$A$8,0)),"sin_clasificar"))</f>
        <v/>
      </c>
      <c r="V917" s="5">
        <f>IF($I917="","",IF(IFERROR(INDEX('CAT_TIPOS_OT'!$D$4:$D$8,MATCH($I917,'CAT_TIPOS_OT'!$A$4:$A$8,0)),"SIN CLASIFICAR")="","SIN CLASIFICAR",IFERROR(INDEX('CAT_TIPOS_OT'!$D$4:$D$8,MATCH($I917,'CAT_TIPOS_OT'!$A$4:$A$8,0)),"SIN CLASIFICAR")))</f>
        <v/>
      </c>
      <c r="W917" s="5">
        <f>IF($F917="","",IFERROR(INDEX('CAT_CENTROS_COSTO'!$F$4:$F$13,MATCH($F917,'CAT_CENTROS_COSTO'!$A$4:$A$13,0)),"(sin catálogo)"))</f>
        <v/>
      </c>
      <c r="X917" s="5">
        <f>IF($F917="","",IFERROR(INDEX('CAT_CENTROS_COSTO'!$D$4:$D$13,MATCH($F917,'CAT_CENTROS_COSTO'!$A$4:$A$13,0)),"(sin catálogo)"))</f>
        <v/>
      </c>
      <c r="Y917" s="5">
        <f>IF($F917="","",IF((IFERROR(INDEX('CAT_CENTROS_COSTO'!$E$4:$E$13,MATCH($F917,'CAT_CENTROS_COSTO'!$A$4:$A$13,0)),""))&lt;&gt;"",IFERROR(INDEX('CAT_CENTROS_COSTO'!$E$4:$E$13,MATCH($F917,'CAT_CENTROS_COSTO'!$A$4:$A$13,0)),""),$X917))</f>
        <v/>
      </c>
      <c r="Z917" s="5">
        <f>IF($F917="","",IFERROR(INDEX('CAT_CENTROS_COSTO'!$G$4:$G$13,MATCH($F917,'CAT_CENTROS_COSTO'!$A$4:$A$13,0)),"(sin catálogo)"))</f>
        <v/>
      </c>
      <c r="AA917" s="5">
        <f>IF($G917="","",IFERROR(INDEX('CAT_PUESTOS'!$B$4:$B$8,MATCH($G917,'CAT_PUESTOS'!$A$4:$A$8,0)),"(sin catálogo)"))</f>
        <v/>
      </c>
      <c r="AB917" s="5">
        <f>IF($H917="","",IFERROR(INDEX('CAT_ACTIVIDADES'!$B$4:$B$11,MATCH($H917,'CAT_ACTIVIDADES'!$A$4:$A$11,0)),"(sin catálogo)"))</f>
        <v/>
      </c>
      <c r="AC917" s="20">
        <f>IF($J917="","",TODAY()-$J917)</f>
        <v/>
      </c>
      <c r="AD917" s="20">
        <f>IF($J917="","",IF($J917&lt;=TODAY(),COUNTIFS(cal_fechas,"&gt;="&amp;$J917,cal_fechas,"&lt;"&amp;TODAY(),cal_habil,"sí"),-COUNTIFS(cal_fechas,"&gt;="&amp;TODAY(),cal_fechas,"&lt;"&amp;$J917,cal_habil,"sí")))</f>
        <v/>
      </c>
      <c r="AE917" s="5">
        <f>IF($AD917="","",IF($AD917&lt;0,"FUTURO",IF($AD917&gt;p_dias_backlog_max,"BACKLOG","MES CORRIENTE")))</f>
        <v/>
      </c>
      <c r="AF917" s="5">
        <f>IF($AD917="",FALSE,AND($AD917&gt;p_dias_backlog_min,$AD917&lt;=p_dias_backlog_max))</f>
        <v/>
      </c>
      <c r="AG917" s="4" t="n"/>
      <c r="AH917" s="5">
        <f>IF($AG917="","",IF((IFERROR(INDEX('ASIGNACIONES'!$J$4:$J$451,MATCH($O917&amp;"|"&amp;$S917&amp;"|"&amp;$AG917,'ASIGNACIONES'!$N$4:$N$451,0)),""))=0,"",IFERROR(INDEX('ASIGNACIONES'!$J$4:$J$451,MATCH($O917&amp;"|"&amp;$S917&amp;"|"&amp;$AG917,'ASIGNACIONES'!$N$4:$N$451,0)),"")))</f>
        <v/>
      </c>
      <c r="AI917" s="25">
        <f>IF($AG917="","",SUMIFS('ORDENES'!$M$4:$M$1203,'ORDENES'!$AG$4:$AG$1203,$AG917,'ORDENES'!$O$4:$O$1203,$O917,'ORDENES'!$S$4:$S$1203,$S917))</f>
        <v/>
      </c>
      <c r="AJ917" s="25">
        <f>IF($AI917="","",p_factor_productividad*IFERROR(INDEX('ASIGNACIONES'!$M$4:$M$451,MATCH($O917&amp;"|"&amp;$S917&amp;"|"&amp;$AG917,'ASIGNACIONES'!$N$4:$N$451,0)),0)-$AI917)</f>
        <v/>
      </c>
      <c r="AK917" s="18">
        <f>IF($A917="","",IFERROR(INDEX('2_IMPORTAR_EJECUCION'!$F$9:$F$1208,MATCH($AT917,'2_IMPORTAR_EJECUCION'!$J$9:$J$1208,0)),0))</f>
        <v/>
      </c>
      <c r="AL917" s="18">
        <f>IF($A917="","",MAX(0,IFERROR(INDEX('2_IMPORTAR_EJECUCION'!$H$9:$H$1208,MATCH($AT917,'2_IMPORTAR_EJECUCION'!$J$9:$J$1208,0)),0)-$AK917))</f>
        <v/>
      </c>
      <c r="AM917" s="18">
        <f>IF($A917="","",$AK917+$AL917)</f>
        <v/>
      </c>
      <c r="AN917" s="5">
        <f>IF($A917="","",IF(OR((IFERROR(INDEX('CAT_ACTIVIDADES'!$D$4:$D$11,MATCH($H917,'CAT_ACTIVIDADES'!$A$4:$A$11,0)),""))=0,(IFERROR(INDEX('CAT_ACTIVIDADES'!$D$4:$D$11,MATCH($H917,'CAT_ACTIVIDADES'!$A$4:$A$11,0)),""))=""),"SIN CLASIFICAR",IFERROR(INDEX('CAT_ACTIVIDADES'!$D$4:$D$11,MATCH($H917,'CAT_ACTIVIDADES'!$A$4:$A$11,0)),"")))</f>
        <v/>
      </c>
      <c r="AO917" s="4" t="n"/>
      <c r="AP917" s="4" t="n"/>
      <c r="AQ917" s="4" t="n"/>
      <c r="AR917" s="5">
        <f>IF($AQ917="","",HYPERLINK(p_ruta_base_checklists&amp;$AQ917,"abrir"))</f>
        <v/>
      </c>
      <c r="AS917" s="4" t="n"/>
      <c r="AT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2" t="n"/>
      <c r="K918" s="5" t="n"/>
      <c r="L918" s="18" t="n"/>
      <c r="M918" s="5">
        <f>IF($A918="","",IFERROR(INDEX('AJUSTES'!$B$4:$B$303,MATCH($AT918,'AJUSTES'!$A$4:$A$303,0)),IF($K918="","",$K918)))</f>
        <v/>
      </c>
      <c r="N918" s="5">
        <f>IF($A918="","",IFERROR(INDEX('CAT_ESTADOS_ERP'!$B$4:$B$7,MATCH(IFERROR(INDEX('2_IMPORTAR_EJECUCION'!$C$9:$C$1208,MATCH($AT918,'2_IMPORTAR_EJECUCION'!$J$9:$J$1208,0)),""),'CAT_ESTADOS_ERP'!$A$4:$A$7,0)),"Pendiente"))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IF($J918="","",$P918&amp;"-"&amp;TEXT($Q918,"00"))</f>
        <v/>
      </c>
      <c r="S918" s="5">
        <f>IF($J918="","",INDEX(lista_dias,WEEKDAY($J918,2)))</f>
        <v/>
      </c>
      <c r="T918" s="5">
        <f>IF($J918="","",IFERROR(INDEX('CALENDARIO'!$C$15:$C$214,MATCH(TEXT($J918,"yyyy-mm-dd")&amp;"|"&amp;$X918&amp;"|"&amp;$Y918,'CALENDARIO'!$G$15:$G$214,0)),IFERROR(INDEX('CALENDARIO'!$C$15:$C$214,MATCH(TEXT($J918,"yyyy-mm-dd")&amp;"|"&amp;$X918&amp;"|",'CALENDARIO'!$G$15:$G$214,0)),IFERROR(INDEX('CALENDARIO'!$C$15:$C$214,MATCH(TEXT($J918,"yyyy-mm-dd")&amp;"||",'CALENDARIO'!$G$15:$G$214,0)),INDEX(patronHabil,WEEKDAY($J918,2))))))</f>
        <v/>
      </c>
      <c r="U918" s="5">
        <f>IF($I918="","",IFERROR(INDEX('CAT_TIPOS_OT'!$C$4:$C$8,MATCH($I918,'CAT_TIPOS_OT'!$A$4:$A$8,0)),"sin_clasificar"))</f>
        <v/>
      </c>
      <c r="V918" s="5">
        <f>IF($I918="","",IF(IFERROR(INDEX('CAT_TIPOS_OT'!$D$4:$D$8,MATCH($I918,'CAT_TIPOS_OT'!$A$4:$A$8,0)),"SIN CLASIFICAR")="","SIN CLASIFICAR",IFERROR(INDEX('CAT_TIPOS_OT'!$D$4:$D$8,MATCH($I918,'CAT_TIPOS_OT'!$A$4:$A$8,0)),"SIN CLASIFICAR")))</f>
        <v/>
      </c>
      <c r="W918" s="5">
        <f>IF($F918="","",IFERROR(INDEX('CAT_CENTROS_COSTO'!$F$4:$F$13,MATCH($F918,'CAT_CENTROS_COSTO'!$A$4:$A$13,0)),"(sin catálogo)"))</f>
        <v/>
      </c>
      <c r="X918" s="5">
        <f>IF($F918="","",IFERROR(INDEX('CAT_CENTROS_COSTO'!$D$4:$D$13,MATCH($F918,'CAT_CENTROS_COSTO'!$A$4:$A$13,0)),"(sin catálogo)"))</f>
        <v/>
      </c>
      <c r="Y918" s="5">
        <f>IF($F918="","",IF((IFERROR(INDEX('CAT_CENTROS_COSTO'!$E$4:$E$13,MATCH($F918,'CAT_CENTROS_COSTO'!$A$4:$A$13,0)),""))&lt;&gt;"",IFERROR(INDEX('CAT_CENTROS_COSTO'!$E$4:$E$13,MATCH($F918,'CAT_CENTROS_COSTO'!$A$4:$A$13,0)),""),$X918))</f>
        <v/>
      </c>
      <c r="Z918" s="5">
        <f>IF($F918="","",IFERROR(INDEX('CAT_CENTROS_COSTO'!$G$4:$G$13,MATCH($F918,'CAT_CENTROS_COSTO'!$A$4:$A$13,0)),"(sin catálogo)"))</f>
        <v/>
      </c>
      <c r="AA918" s="5">
        <f>IF($G918="","",IFERROR(INDEX('CAT_PUESTOS'!$B$4:$B$8,MATCH($G918,'CAT_PUESTOS'!$A$4:$A$8,0)),"(sin catálogo)"))</f>
        <v/>
      </c>
      <c r="AB918" s="5">
        <f>IF($H918="","",IFERROR(INDEX('CAT_ACTIVIDADES'!$B$4:$B$11,MATCH($H918,'CAT_ACTIVIDADES'!$A$4:$A$11,0)),"(sin catálogo)"))</f>
        <v/>
      </c>
      <c r="AC918" s="20">
        <f>IF($J918="","",TODAY()-$J918)</f>
        <v/>
      </c>
      <c r="AD918" s="20">
        <f>IF($J918="","",IF($J918&lt;=TODAY(),COUNTIFS(cal_fechas,"&gt;="&amp;$J918,cal_fechas,"&lt;"&amp;TODAY(),cal_habil,"sí"),-COUNTIFS(cal_fechas,"&gt;="&amp;TODAY(),cal_fechas,"&lt;"&amp;$J918,cal_habil,"sí")))</f>
        <v/>
      </c>
      <c r="AE918" s="5">
        <f>IF($AD918="","",IF($AD918&lt;0,"FUTURO",IF($AD918&gt;p_dias_backlog_max,"BACKLOG","MES CORRIENTE")))</f>
        <v/>
      </c>
      <c r="AF918" s="5">
        <f>IF($AD918="",FALSE,AND($AD918&gt;p_dias_backlog_min,$AD918&lt;=p_dias_backlog_max))</f>
        <v/>
      </c>
      <c r="AG918" s="4" t="n"/>
      <c r="AH918" s="5">
        <f>IF($AG918="","",IF((IFERROR(INDEX('ASIGNACIONES'!$J$4:$J$451,MATCH($O918&amp;"|"&amp;$S918&amp;"|"&amp;$AG918,'ASIGNACIONES'!$N$4:$N$451,0)),""))=0,"",IFERROR(INDEX('ASIGNACIONES'!$J$4:$J$451,MATCH($O918&amp;"|"&amp;$S918&amp;"|"&amp;$AG918,'ASIGNACIONES'!$N$4:$N$451,0)),"")))</f>
        <v/>
      </c>
      <c r="AI918" s="25">
        <f>IF($AG918="","",SUMIFS('ORDENES'!$M$4:$M$1203,'ORDENES'!$AG$4:$AG$1203,$AG918,'ORDENES'!$O$4:$O$1203,$O918,'ORDENES'!$S$4:$S$1203,$S918))</f>
        <v/>
      </c>
      <c r="AJ918" s="25">
        <f>IF($AI918="","",p_factor_productividad*IFERROR(INDEX('ASIGNACIONES'!$M$4:$M$451,MATCH($O918&amp;"|"&amp;$S918&amp;"|"&amp;$AG918,'ASIGNACIONES'!$N$4:$N$451,0)),0)-$AI918)</f>
        <v/>
      </c>
      <c r="AK918" s="18">
        <f>IF($A918="","",IFERROR(INDEX('2_IMPORTAR_EJECUCION'!$F$9:$F$1208,MATCH($AT918,'2_IMPORTAR_EJECUCION'!$J$9:$J$1208,0)),0))</f>
        <v/>
      </c>
      <c r="AL918" s="18">
        <f>IF($A918="","",MAX(0,IFERROR(INDEX('2_IMPORTAR_EJECUCION'!$H$9:$H$1208,MATCH($AT918,'2_IMPORTAR_EJECUCION'!$J$9:$J$1208,0)),0)-$AK918))</f>
        <v/>
      </c>
      <c r="AM918" s="18">
        <f>IF($A918="","",$AK918+$AL918)</f>
        <v/>
      </c>
      <c r="AN918" s="5">
        <f>IF($A918="","",IF(OR((IFERROR(INDEX('CAT_ACTIVIDADES'!$D$4:$D$11,MATCH($H918,'CAT_ACTIVIDADES'!$A$4:$A$11,0)),""))=0,(IFERROR(INDEX('CAT_ACTIVIDADES'!$D$4:$D$11,MATCH($H918,'CAT_ACTIVIDADES'!$A$4:$A$11,0)),""))=""),"SIN CLASIFICAR",IFERROR(INDEX('CAT_ACTIVIDADES'!$D$4:$D$11,MATCH($H918,'CAT_ACTIVIDADES'!$A$4:$A$11,0)),"")))</f>
        <v/>
      </c>
      <c r="AO918" s="4" t="n"/>
      <c r="AP918" s="4" t="n"/>
      <c r="AQ918" s="4" t="n"/>
      <c r="AR918" s="5">
        <f>IF($AQ918="","",HYPERLINK(p_ruta_base_checklists&amp;$AQ918,"abrir"))</f>
        <v/>
      </c>
      <c r="AS918" s="4" t="n"/>
      <c r="AT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2" t="n"/>
      <c r="K919" s="5" t="n"/>
      <c r="L919" s="18" t="n"/>
      <c r="M919" s="5">
        <f>IF($A919="","",IFERROR(INDEX('AJUSTES'!$B$4:$B$303,MATCH($AT919,'AJUSTES'!$A$4:$A$303,0)),IF($K919="","",$K919)))</f>
        <v/>
      </c>
      <c r="N919" s="5">
        <f>IF($A919="","",IFERROR(INDEX('CAT_ESTADOS_ERP'!$B$4:$B$7,MATCH(IFERROR(INDEX('2_IMPORTAR_EJECUCION'!$C$9:$C$1208,MATCH($AT919,'2_IMPORTAR_EJECUCION'!$J$9:$J$1208,0)),""),'CAT_ESTADOS_ERP'!$A$4:$A$7,0)),"Pendiente"))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IF($J919="","",$P919&amp;"-"&amp;TEXT($Q919,"00"))</f>
        <v/>
      </c>
      <c r="S919" s="5">
        <f>IF($J919="","",INDEX(lista_dias,WEEKDAY($J919,2)))</f>
        <v/>
      </c>
      <c r="T919" s="5">
        <f>IF($J919="","",IFERROR(INDEX('CALENDARIO'!$C$15:$C$214,MATCH(TEXT($J919,"yyyy-mm-dd")&amp;"|"&amp;$X919&amp;"|"&amp;$Y919,'CALENDARIO'!$G$15:$G$214,0)),IFERROR(INDEX('CALENDARIO'!$C$15:$C$214,MATCH(TEXT($J919,"yyyy-mm-dd")&amp;"|"&amp;$X919&amp;"|",'CALENDARIO'!$G$15:$G$214,0)),IFERROR(INDEX('CALENDARIO'!$C$15:$C$214,MATCH(TEXT($J919,"yyyy-mm-dd")&amp;"||",'CALENDARIO'!$G$15:$G$214,0)),INDEX(patronHabil,WEEKDAY($J919,2))))))</f>
        <v/>
      </c>
      <c r="U919" s="5">
        <f>IF($I919="","",IFERROR(INDEX('CAT_TIPOS_OT'!$C$4:$C$8,MATCH($I919,'CAT_TIPOS_OT'!$A$4:$A$8,0)),"sin_clasificar"))</f>
        <v/>
      </c>
      <c r="V919" s="5">
        <f>IF($I919="","",IF(IFERROR(INDEX('CAT_TIPOS_OT'!$D$4:$D$8,MATCH($I919,'CAT_TIPOS_OT'!$A$4:$A$8,0)),"SIN CLASIFICAR")="","SIN CLASIFICAR",IFERROR(INDEX('CAT_TIPOS_OT'!$D$4:$D$8,MATCH($I919,'CAT_TIPOS_OT'!$A$4:$A$8,0)),"SIN CLASIFICAR")))</f>
        <v/>
      </c>
      <c r="W919" s="5">
        <f>IF($F919="","",IFERROR(INDEX('CAT_CENTROS_COSTO'!$F$4:$F$13,MATCH($F919,'CAT_CENTROS_COSTO'!$A$4:$A$13,0)),"(sin catálogo)"))</f>
        <v/>
      </c>
      <c r="X919" s="5">
        <f>IF($F919="","",IFERROR(INDEX('CAT_CENTROS_COSTO'!$D$4:$D$13,MATCH($F919,'CAT_CENTROS_COSTO'!$A$4:$A$13,0)),"(sin catálogo)"))</f>
        <v/>
      </c>
      <c r="Y919" s="5">
        <f>IF($F919="","",IF((IFERROR(INDEX('CAT_CENTROS_COSTO'!$E$4:$E$13,MATCH($F919,'CAT_CENTROS_COSTO'!$A$4:$A$13,0)),""))&lt;&gt;"",IFERROR(INDEX('CAT_CENTROS_COSTO'!$E$4:$E$13,MATCH($F919,'CAT_CENTROS_COSTO'!$A$4:$A$13,0)),""),$X919))</f>
        <v/>
      </c>
      <c r="Z919" s="5">
        <f>IF($F919="","",IFERROR(INDEX('CAT_CENTROS_COSTO'!$G$4:$G$13,MATCH($F919,'CAT_CENTROS_COSTO'!$A$4:$A$13,0)),"(sin catálogo)"))</f>
        <v/>
      </c>
      <c r="AA919" s="5">
        <f>IF($G919="","",IFERROR(INDEX('CAT_PUESTOS'!$B$4:$B$8,MATCH($G919,'CAT_PUESTOS'!$A$4:$A$8,0)),"(sin catálogo)"))</f>
        <v/>
      </c>
      <c r="AB919" s="5">
        <f>IF($H919="","",IFERROR(INDEX('CAT_ACTIVIDADES'!$B$4:$B$11,MATCH($H919,'CAT_ACTIVIDADES'!$A$4:$A$11,0)),"(sin catálogo)"))</f>
        <v/>
      </c>
      <c r="AC919" s="20">
        <f>IF($J919="","",TODAY()-$J919)</f>
        <v/>
      </c>
      <c r="AD919" s="20">
        <f>IF($J919="","",IF($J919&lt;=TODAY(),COUNTIFS(cal_fechas,"&gt;="&amp;$J919,cal_fechas,"&lt;"&amp;TODAY(),cal_habil,"sí"),-COUNTIFS(cal_fechas,"&gt;="&amp;TODAY(),cal_fechas,"&lt;"&amp;$J919,cal_habil,"sí")))</f>
        <v/>
      </c>
      <c r="AE919" s="5">
        <f>IF($AD919="","",IF($AD919&lt;0,"FUTURO",IF($AD919&gt;p_dias_backlog_max,"BACKLOG","MES CORRIENTE")))</f>
        <v/>
      </c>
      <c r="AF919" s="5">
        <f>IF($AD919="",FALSE,AND($AD919&gt;p_dias_backlog_min,$AD919&lt;=p_dias_backlog_max))</f>
        <v/>
      </c>
      <c r="AG919" s="4" t="n"/>
      <c r="AH919" s="5">
        <f>IF($AG919="","",IF((IFERROR(INDEX('ASIGNACIONES'!$J$4:$J$451,MATCH($O919&amp;"|"&amp;$S919&amp;"|"&amp;$AG919,'ASIGNACIONES'!$N$4:$N$451,0)),""))=0,"",IFERROR(INDEX('ASIGNACIONES'!$J$4:$J$451,MATCH($O919&amp;"|"&amp;$S919&amp;"|"&amp;$AG919,'ASIGNACIONES'!$N$4:$N$451,0)),"")))</f>
        <v/>
      </c>
      <c r="AI919" s="25">
        <f>IF($AG919="","",SUMIFS('ORDENES'!$M$4:$M$1203,'ORDENES'!$AG$4:$AG$1203,$AG919,'ORDENES'!$O$4:$O$1203,$O919,'ORDENES'!$S$4:$S$1203,$S919))</f>
        <v/>
      </c>
      <c r="AJ919" s="25">
        <f>IF($AI919="","",p_factor_productividad*IFERROR(INDEX('ASIGNACIONES'!$M$4:$M$451,MATCH($O919&amp;"|"&amp;$S919&amp;"|"&amp;$AG919,'ASIGNACIONES'!$N$4:$N$451,0)),0)-$AI919)</f>
        <v/>
      </c>
      <c r="AK919" s="18">
        <f>IF($A919="","",IFERROR(INDEX('2_IMPORTAR_EJECUCION'!$F$9:$F$1208,MATCH($AT919,'2_IMPORTAR_EJECUCION'!$J$9:$J$1208,0)),0))</f>
        <v/>
      </c>
      <c r="AL919" s="18">
        <f>IF($A919="","",MAX(0,IFERROR(INDEX('2_IMPORTAR_EJECUCION'!$H$9:$H$1208,MATCH($AT919,'2_IMPORTAR_EJECUCION'!$J$9:$J$1208,0)),0)-$AK919))</f>
        <v/>
      </c>
      <c r="AM919" s="18">
        <f>IF($A919="","",$AK919+$AL919)</f>
        <v/>
      </c>
      <c r="AN919" s="5">
        <f>IF($A919="","",IF(OR((IFERROR(INDEX('CAT_ACTIVIDADES'!$D$4:$D$11,MATCH($H919,'CAT_ACTIVIDADES'!$A$4:$A$11,0)),""))=0,(IFERROR(INDEX('CAT_ACTIVIDADES'!$D$4:$D$11,MATCH($H919,'CAT_ACTIVIDADES'!$A$4:$A$11,0)),""))=""),"SIN CLASIFICAR",IFERROR(INDEX('CAT_ACTIVIDADES'!$D$4:$D$11,MATCH($H919,'CAT_ACTIVIDADES'!$A$4:$A$11,0)),"")))</f>
        <v/>
      </c>
      <c r="AO919" s="4" t="n"/>
      <c r="AP919" s="4" t="n"/>
      <c r="AQ919" s="4" t="n"/>
      <c r="AR919" s="5">
        <f>IF($AQ919="","",HYPERLINK(p_ruta_base_checklists&amp;$AQ919,"abrir"))</f>
        <v/>
      </c>
      <c r="AS919" s="4" t="n"/>
      <c r="AT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2" t="n"/>
      <c r="K920" s="5" t="n"/>
      <c r="L920" s="18" t="n"/>
      <c r="M920" s="5">
        <f>IF($A920="","",IFERROR(INDEX('AJUSTES'!$B$4:$B$303,MATCH($AT920,'AJUSTES'!$A$4:$A$303,0)),IF($K920="","",$K920)))</f>
        <v/>
      </c>
      <c r="N920" s="5">
        <f>IF($A920="","",IFERROR(INDEX('CAT_ESTADOS_ERP'!$B$4:$B$7,MATCH(IFERROR(INDEX('2_IMPORTAR_EJECUCION'!$C$9:$C$1208,MATCH($AT920,'2_IMPORTAR_EJECUCION'!$J$9:$J$1208,0)),""),'CAT_ESTADOS_ERP'!$A$4:$A$7,0)),"Pendiente"))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IF($J920="","",$P920&amp;"-"&amp;TEXT($Q920,"00"))</f>
        <v/>
      </c>
      <c r="S920" s="5">
        <f>IF($J920="","",INDEX(lista_dias,WEEKDAY($J920,2)))</f>
        <v/>
      </c>
      <c r="T920" s="5">
        <f>IF($J920="","",IFERROR(INDEX('CALENDARIO'!$C$15:$C$214,MATCH(TEXT($J920,"yyyy-mm-dd")&amp;"|"&amp;$X920&amp;"|"&amp;$Y920,'CALENDARIO'!$G$15:$G$214,0)),IFERROR(INDEX('CALENDARIO'!$C$15:$C$214,MATCH(TEXT($J920,"yyyy-mm-dd")&amp;"|"&amp;$X920&amp;"|",'CALENDARIO'!$G$15:$G$214,0)),IFERROR(INDEX('CALENDARIO'!$C$15:$C$214,MATCH(TEXT($J920,"yyyy-mm-dd")&amp;"||",'CALENDARIO'!$G$15:$G$214,0)),INDEX(patronHabil,WEEKDAY($J920,2))))))</f>
        <v/>
      </c>
      <c r="U920" s="5">
        <f>IF($I920="","",IFERROR(INDEX('CAT_TIPOS_OT'!$C$4:$C$8,MATCH($I920,'CAT_TIPOS_OT'!$A$4:$A$8,0)),"sin_clasificar"))</f>
        <v/>
      </c>
      <c r="V920" s="5">
        <f>IF($I920="","",IF(IFERROR(INDEX('CAT_TIPOS_OT'!$D$4:$D$8,MATCH($I920,'CAT_TIPOS_OT'!$A$4:$A$8,0)),"SIN CLASIFICAR")="","SIN CLASIFICAR",IFERROR(INDEX('CAT_TIPOS_OT'!$D$4:$D$8,MATCH($I920,'CAT_TIPOS_OT'!$A$4:$A$8,0)),"SIN CLASIFICAR")))</f>
        <v/>
      </c>
      <c r="W920" s="5">
        <f>IF($F920="","",IFERROR(INDEX('CAT_CENTROS_COSTO'!$F$4:$F$13,MATCH($F920,'CAT_CENTROS_COSTO'!$A$4:$A$13,0)),"(sin catálogo)"))</f>
        <v/>
      </c>
      <c r="X920" s="5">
        <f>IF($F920="","",IFERROR(INDEX('CAT_CENTROS_COSTO'!$D$4:$D$13,MATCH($F920,'CAT_CENTROS_COSTO'!$A$4:$A$13,0)),"(sin catálogo)"))</f>
        <v/>
      </c>
      <c r="Y920" s="5">
        <f>IF($F920="","",IF((IFERROR(INDEX('CAT_CENTROS_COSTO'!$E$4:$E$13,MATCH($F920,'CAT_CENTROS_COSTO'!$A$4:$A$13,0)),""))&lt;&gt;"",IFERROR(INDEX('CAT_CENTROS_COSTO'!$E$4:$E$13,MATCH($F920,'CAT_CENTROS_COSTO'!$A$4:$A$13,0)),""),$X920))</f>
        <v/>
      </c>
      <c r="Z920" s="5">
        <f>IF($F920="","",IFERROR(INDEX('CAT_CENTROS_COSTO'!$G$4:$G$13,MATCH($F920,'CAT_CENTROS_COSTO'!$A$4:$A$13,0)),"(sin catálogo)"))</f>
        <v/>
      </c>
      <c r="AA920" s="5">
        <f>IF($G920="","",IFERROR(INDEX('CAT_PUESTOS'!$B$4:$B$8,MATCH($G920,'CAT_PUESTOS'!$A$4:$A$8,0)),"(sin catálogo)"))</f>
        <v/>
      </c>
      <c r="AB920" s="5">
        <f>IF($H920="","",IFERROR(INDEX('CAT_ACTIVIDADES'!$B$4:$B$11,MATCH($H920,'CAT_ACTIVIDADES'!$A$4:$A$11,0)),"(sin catálogo)"))</f>
        <v/>
      </c>
      <c r="AC920" s="20">
        <f>IF($J920="","",TODAY()-$J920)</f>
        <v/>
      </c>
      <c r="AD920" s="20">
        <f>IF($J920="","",IF($J920&lt;=TODAY(),COUNTIFS(cal_fechas,"&gt;="&amp;$J920,cal_fechas,"&lt;"&amp;TODAY(),cal_habil,"sí"),-COUNTIFS(cal_fechas,"&gt;="&amp;TODAY(),cal_fechas,"&lt;"&amp;$J920,cal_habil,"sí")))</f>
        <v/>
      </c>
      <c r="AE920" s="5">
        <f>IF($AD920="","",IF($AD920&lt;0,"FUTURO",IF($AD920&gt;p_dias_backlog_max,"BACKLOG","MES CORRIENTE")))</f>
        <v/>
      </c>
      <c r="AF920" s="5">
        <f>IF($AD920="",FALSE,AND($AD920&gt;p_dias_backlog_min,$AD920&lt;=p_dias_backlog_max))</f>
        <v/>
      </c>
      <c r="AG920" s="4" t="n"/>
      <c r="AH920" s="5">
        <f>IF($AG920="","",IF((IFERROR(INDEX('ASIGNACIONES'!$J$4:$J$451,MATCH($O920&amp;"|"&amp;$S920&amp;"|"&amp;$AG920,'ASIGNACIONES'!$N$4:$N$451,0)),""))=0,"",IFERROR(INDEX('ASIGNACIONES'!$J$4:$J$451,MATCH($O920&amp;"|"&amp;$S920&amp;"|"&amp;$AG920,'ASIGNACIONES'!$N$4:$N$451,0)),"")))</f>
        <v/>
      </c>
      <c r="AI920" s="25">
        <f>IF($AG920="","",SUMIFS('ORDENES'!$M$4:$M$1203,'ORDENES'!$AG$4:$AG$1203,$AG920,'ORDENES'!$O$4:$O$1203,$O920,'ORDENES'!$S$4:$S$1203,$S920))</f>
        <v/>
      </c>
      <c r="AJ920" s="25">
        <f>IF($AI920="","",p_factor_productividad*IFERROR(INDEX('ASIGNACIONES'!$M$4:$M$451,MATCH($O920&amp;"|"&amp;$S920&amp;"|"&amp;$AG920,'ASIGNACIONES'!$N$4:$N$451,0)),0)-$AI920)</f>
        <v/>
      </c>
      <c r="AK920" s="18">
        <f>IF($A920="","",IFERROR(INDEX('2_IMPORTAR_EJECUCION'!$F$9:$F$1208,MATCH($AT920,'2_IMPORTAR_EJECUCION'!$J$9:$J$1208,0)),0))</f>
        <v/>
      </c>
      <c r="AL920" s="18">
        <f>IF($A920="","",MAX(0,IFERROR(INDEX('2_IMPORTAR_EJECUCION'!$H$9:$H$1208,MATCH($AT920,'2_IMPORTAR_EJECUCION'!$J$9:$J$1208,0)),0)-$AK920))</f>
        <v/>
      </c>
      <c r="AM920" s="18">
        <f>IF($A920="","",$AK920+$AL920)</f>
        <v/>
      </c>
      <c r="AN920" s="5">
        <f>IF($A920="","",IF(OR((IFERROR(INDEX('CAT_ACTIVIDADES'!$D$4:$D$11,MATCH($H920,'CAT_ACTIVIDADES'!$A$4:$A$11,0)),""))=0,(IFERROR(INDEX('CAT_ACTIVIDADES'!$D$4:$D$11,MATCH($H920,'CAT_ACTIVIDADES'!$A$4:$A$11,0)),""))=""),"SIN CLASIFICAR",IFERROR(INDEX('CAT_ACTIVIDADES'!$D$4:$D$11,MATCH($H920,'CAT_ACTIVIDADES'!$A$4:$A$11,0)),"")))</f>
        <v/>
      </c>
      <c r="AO920" s="4" t="n"/>
      <c r="AP920" s="4" t="n"/>
      <c r="AQ920" s="4" t="n"/>
      <c r="AR920" s="5">
        <f>IF($AQ920="","",HYPERLINK(p_ruta_base_checklists&amp;$AQ920,"abrir"))</f>
        <v/>
      </c>
      <c r="AS920" s="4" t="n"/>
      <c r="AT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2" t="n"/>
      <c r="K921" s="5" t="n"/>
      <c r="L921" s="18" t="n"/>
      <c r="M921" s="5">
        <f>IF($A921="","",IFERROR(INDEX('AJUSTES'!$B$4:$B$303,MATCH($AT921,'AJUSTES'!$A$4:$A$303,0)),IF($K921="","",$K921)))</f>
        <v/>
      </c>
      <c r="N921" s="5">
        <f>IF($A921="","",IFERROR(INDEX('CAT_ESTADOS_ERP'!$B$4:$B$7,MATCH(IFERROR(INDEX('2_IMPORTAR_EJECUCION'!$C$9:$C$1208,MATCH($AT921,'2_IMPORTAR_EJECUCION'!$J$9:$J$1208,0)),""),'CAT_ESTADOS_ERP'!$A$4:$A$7,0)),"Pendiente"))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IF($J921="","",$P921&amp;"-"&amp;TEXT($Q921,"00"))</f>
        <v/>
      </c>
      <c r="S921" s="5">
        <f>IF($J921="","",INDEX(lista_dias,WEEKDAY($J921,2)))</f>
        <v/>
      </c>
      <c r="T921" s="5">
        <f>IF($J921="","",IFERROR(INDEX('CALENDARIO'!$C$15:$C$214,MATCH(TEXT($J921,"yyyy-mm-dd")&amp;"|"&amp;$X921&amp;"|"&amp;$Y921,'CALENDARIO'!$G$15:$G$214,0)),IFERROR(INDEX('CALENDARIO'!$C$15:$C$214,MATCH(TEXT($J921,"yyyy-mm-dd")&amp;"|"&amp;$X921&amp;"|",'CALENDARIO'!$G$15:$G$214,0)),IFERROR(INDEX('CALENDARIO'!$C$15:$C$214,MATCH(TEXT($J921,"yyyy-mm-dd")&amp;"||",'CALENDARIO'!$G$15:$G$214,0)),INDEX(patronHabil,WEEKDAY($J921,2))))))</f>
        <v/>
      </c>
      <c r="U921" s="5">
        <f>IF($I921="","",IFERROR(INDEX('CAT_TIPOS_OT'!$C$4:$C$8,MATCH($I921,'CAT_TIPOS_OT'!$A$4:$A$8,0)),"sin_clasificar"))</f>
        <v/>
      </c>
      <c r="V921" s="5">
        <f>IF($I921="","",IF(IFERROR(INDEX('CAT_TIPOS_OT'!$D$4:$D$8,MATCH($I921,'CAT_TIPOS_OT'!$A$4:$A$8,0)),"SIN CLASIFICAR")="","SIN CLASIFICAR",IFERROR(INDEX('CAT_TIPOS_OT'!$D$4:$D$8,MATCH($I921,'CAT_TIPOS_OT'!$A$4:$A$8,0)),"SIN CLASIFICAR")))</f>
        <v/>
      </c>
      <c r="W921" s="5">
        <f>IF($F921="","",IFERROR(INDEX('CAT_CENTROS_COSTO'!$F$4:$F$13,MATCH($F921,'CAT_CENTROS_COSTO'!$A$4:$A$13,0)),"(sin catálogo)"))</f>
        <v/>
      </c>
      <c r="X921" s="5">
        <f>IF($F921="","",IFERROR(INDEX('CAT_CENTROS_COSTO'!$D$4:$D$13,MATCH($F921,'CAT_CENTROS_COSTO'!$A$4:$A$13,0)),"(sin catálogo)"))</f>
        <v/>
      </c>
      <c r="Y921" s="5">
        <f>IF($F921="","",IF((IFERROR(INDEX('CAT_CENTROS_COSTO'!$E$4:$E$13,MATCH($F921,'CAT_CENTROS_COSTO'!$A$4:$A$13,0)),""))&lt;&gt;"",IFERROR(INDEX('CAT_CENTROS_COSTO'!$E$4:$E$13,MATCH($F921,'CAT_CENTROS_COSTO'!$A$4:$A$13,0)),""),$X921))</f>
        <v/>
      </c>
      <c r="Z921" s="5">
        <f>IF($F921="","",IFERROR(INDEX('CAT_CENTROS_COSTO'!$G$4:$G$13,MATCH($F921,'CAT_CENTROS_COSTO'!$A$4:$A$13,0)),"(sin catálogo)"))</f>
        <v/>
      </c>
      <c r="AA921" s="5">
        <f>IF($G921="","",IFERROR(INDEX('CAT_PUESTOS'!$B$4:$B$8,MATCH($G921,'CAT_PUESTOS'!$A$4:$A$8,0)),"(sin catálogo)"))</f>
        <v/>
      </c>
      <c r="AB921" s="5">
        <f>IF($H921="","",IFERROR(INDEX('CAT_ACTIVIDADES'!$B$4:$B$11,MATCH($H921,'CAT_ACTIVIDADES'!$A$4:$A$11,0)),"(sin catálogo)"))</f>
        <v/>
      </c>
      <c r="AC921" s="20">
        <f>IF($J921="","",TODAY()-$J921)</f>
        <v/>
      </c>
      <c r="AD921" s="20">
        <f>IF($J921="","",IF($J921&lt;=TODAY(),COUNTIFS(cal_fechas,"&gt;="&amp;$J921,cal_fechas,"&lt;"&amp;TODAY(),cal_habil,"sí"),-COUNTIFS(cal_fechas,"&gt;="&amp;TODAY(),cal_fechas,"&lt;"&amp;$J921,cal_habil,"sí")))</f>
        <v/>
      </c>
      <c r="AE921" s="5">
        <f>IF($AD921="","",IF($AD921&lt;0,"FUTURO",IF($AD921&gt;p_dias_backlog_max,"BACKLOG","MES CORRIENTE")))</f>
        <v/>
      </c>
      <c r="AF921" s="5">
        <f>IF($AD921="",FALSE,AND($AD921&gt;p_dias_backlog_min,$AD921&lt;=p_dias_backlog_max))</f>
        <v/>
      </c>
      <c r="AG921" s="4" t="n"/>
      <c r="AH921" s="5">
        <f>IF($AG921="","",IF((IFERROR(INDEX('ASIGNACIONES'!$J$4:$J$451,MATCH($O921&amp;"|"&amp;$S921&amp;"|"&amp;$AG921,'ASIGNACIONES'!$N$4:$N$451,0)),""))=0,"",IFERROR(INDEX('ASIGNACIONES'!$J$4:$J$451,MATCH($O921&amp;"|"&amp;$S921&amp;"|"&amp;$AG921,'ASIGNACIONES'!$N$4:$N$451,0)),"")))</f>
        <v/>
      </c>
      <c r="AI921" s="25">
        <f>IF($AG921="","",SUMIFS('ORDENES'!$M$4:$M$1203,'ORDENES'!$AG$4:$AG$1203,$AG921,'ORDENES'!$O$4:$O$1203,$O921,'ORDENES'!$S$4:$S$1203,$S921))</f>
        <v/>
      </c>
      <c r="AJ921" s="25">
        <f>IF($AI921="","",p_factor_productividad*IFERROR(INDEX('ASIGNACIONES'!$M$4:$M$451,MATCH($O921&amp;"|"&amp;$S921&amp;"|"&amp;$AG921,'ASIGNACIONES'!$N$4:$N$451,0)),0)-$AI921)</f>
        <v/>
      </c>
      <c r="AK921" s="18">
        <f>IF($A921="","",IFERROR(INDEX('2_IMPORTAR_EJECUCION'!$F$9:$F$1208,MATCH($AT921,'2_IMPORTAR_EJECUCION'!$J$9:$J$1208,0)),0))</f>
        <v/>
      </c>
      <c r="AL921" s="18">
        <f>IF($A921="","",MAX(0,IFERROR(INDEX('2_IMPORTAR_EJECUCION'!$H$9:$H$1208,MATCH($AT921,'2_IMPORTAR_EJECUCION'!$J$9:$J$1208,0)),0)-$AK921))</f>
        <v/>
      </c>
      <c r="AM921" s="18">
        <f>IF($A921="","",$AK921+$AL921)</f>
        <v/>
      </c>
      <c r="AN921" s="5">
        <f>IF($A921="","",IF(OR((IFERROR(INDEX('CAT_ACTIVIDADES'!$D$4:$D$11,MATCH($H921,'CAT_ACTIVIDADES'!$A$4:$A$11,0)),""))=0,(IFERROR(INDEX('CAT_ACTIVIDADES'!$D$4:$D$11,MATCH($H921,'CAT_ACTIVIDADES'!$A$4:$A$11,0)),""))=""),"SIN CLASIFICAR",IFERROR(INDEX('CAT_ACTIVIDADES'!$D$4:$D$11,MATCH($H921,'CAT_ACTIVIDADES'!$A$4:$A$11,0)),"")))</f>
        <v/>
      </c>
      <c r="AO921" s="4" t="n"/>
      <c r="AP921" s="4" t="n"/>
      <c r="AQ921" s="4" t="n"/>
      <c r="AR921" s="5">
        <f>IF($AQ921="","",HYPERLINK(p_ruta_base_checklists&amp;$AQ921,"abrir"))</f>
        <v/>
      </c>
      <c r="AS921" s="4" t="n"/>
      <c r="AT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2" t="n"/>
      <c r="K922" s="5" t="n"/>
      <c r="L922" s="18" t="n"/>
      <c r="M922" s="5">
        <f>IF($A922="","",IFERROR(INDEX('AJUSTES'!$B$4:$B$303,MATCH($AT922,'AJUSTES'!$A$4:$A$303,0)),IF($K922="","",$K922)))</f>
        <v/>
      </c>
      <c r="N922" s="5">
        <f>IF($A922="","",IFERROR(INDEX('CAT_ESTADOS_ERP'!$B$4:$B$7,MATCH(IFERROR(INDEX('2_IMPORTAR_EJECUCION'!$C$9:$C$1208,MATCH($AT922,'2_IMPORTAR_EJECUCION'!$J$9:$J$1208,0)),""),'CAT_ESTADOS_ERP'!$A$4:$A$7,0)),"Pendiente"))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IF($J922="","",$P922&amp;"-"&amp;TEXT($Q922,"00"))</f>
        <v/>
      </c>
      <c r="S922" s="5">
        <f>IF($J922="","",INDEX(lista_dias,WEEKDAY($J922,2)))</f>
        <v/>
      </c>
      <c r="T922" s="5">
        <f>IF($J922="","",IFERROR(INDEX('CALENDARIO'!$C$15:$C$214,MATCH(TEXT($J922,"yyyy-mm-dd")&amp;"|"&amp;$X922&amp;"|"&amp;$Y922,'CALENDARIO'!$G$15:$G$214,0)),IFERROR(INDEX('CALENDARIO'!$C$15:$C$214,MATCH(TEXT($J922,"yyyy-mm-dd")&amp;"|"&amp;$X922&amp;"|",'CALENDARIO'!$G$15:$G$214,0)),IFERROR(INDEX('CALENDARIO'!$C$15:$C$214,MATCH(TEXT($J922,"yyyy-mm-dd")&amp;"||",'CALENDARIO'!$G$15:$G$214,0)),INDEX(patronHabil,WEEKDAY($J922,2))))))</f>
        <v/>
      </c>
      <c r="U922" s="5">
        <f>IF($I922="","",IFERROR(INDEX('CAT_TIPOS_OT'!$C$4:$C$8,MATCH($I922,'CAT_TIPOS_OT'!$A$4:$A$8,0)),"sin_clasificar"))</f>
        <v/>
      </c>
      <c r="V922" s="5">
        <f>IF($I922="","",IF(IFERROR(INDEX('CAT_TIPOS_OT'!$D$4:$D$8,MATCH($I922,'CAT_TIPOS_OT'!$A$4:$A$8,0)),"SIN CLASIFICAR")="","SIN CLASIFICAR",IFERROR(INDEX('CAT_TIPOS_OT'!$D$4:$D$8,MATCH($I922,'CAT_TIPOS_OT'!$A$4:$A$8,0)),"SIN CLASIFICAR")))</f>
        <v/>
      </c>
      <c r="W922" s="5">
        <f>IF($F922="","",IFERROR(INDEX('CAT_CENTROS_COSTO'!$F$4:$F$13,MATCH($F922,'CAT_CENTROS_COSTO'!$A$4:$A$13,0)),"(sin catálogo)"))</f>
        <v/>
      </c>
      <c r="X922" s="5">
        <f>IF($F922="","",IFERROR(INDEX('CAT_CENTROS_COSTO'!$D$4:$D$13,MATCH($F922,'CAT_CENTROS_COSTO'!$A$4:$A$13,0)),"(sin catálogo)"))</f>
        <v/>
      </c>
      <c r="Y922" s="5">
        <f>IF($F922="","",IF((IFERROR(INDEX('CAT_CENTROS_COSTO'!$E$4:$E$13,MATCH($F922,'CAT_CENTROS_COSTO'!$A$4:$A$13,0)),""))&lt;&gt;"",IFERROR(INDEX('CAT_CENTROS_COSTO'!$E$4:$E$13,MATCH($F922,'CAT_CENTROS_COSTO'!$A$4:$A$13,0)),""),$X922))</f>
        <v/>
      </c>
      <c r="Z922" s="5">
        <f>IF($F922="","",IFERROR(INDEX('CAT_CENTROS_COSTO'!$G$4:$G$13,MATCH($F922,'CAT_CENTROS_COSTO'!$A$4:$A$13,0)),"(sin catálogo)"))</f>
        <v/>
      </c>
      <c r="AA922" s="5">
        <f>IF($G922="","",IFERROR(INDEX('CAT_PUESTOS'!$B$4:$B$8,MATCH($G922,'CAT_PUESTOS'!$A$4:$A$8,0)),"(sin catálogo)"))</f>
        <v/>
      </c>
      <c r="AB922" s="5">
        <f>IF($H922="","",IFERROR(INDEX('CAT_ACTIVIDADES'!$B$4:$B$11,MATCH($H922,'CAT_ACTIVIDADES'!$A$4:$A$11,0)),"(sin catálogo)"))</f>
        <v/>
      </c>
      <c r="AC922" s="20">
        <f>IF($J922="","",TODAY()-$J922)</f>
        <v/>
      </c>
      <c r="AD922" s="20">
        <f>IF($J922="","",IF($J922&lt;=TODAY(),COUNTIFS(cal_fechas,"&gt;="&amp;$J922,cal_fechas,"&lt;"&amp;TODAY(),cal_habil,"sí"),-COUNTIFS(cal_fechas,"&gt;="&amp;TODAY(),cal_fechas,"&lt;"&amp;$J922,cal_habil,"sí")))</f>
        <v/>
      </c>
      <c r="AE922" s="5">
        <f>IF($AD922="","",IF($AD922&lt;0,"FUTURO",IF($AD922&gt;p_dias_backlog_max,"BACKLOG","MES CORRIENTE")))</f>
        <v/>
      </c>
      <c r="AF922" s="5">
        <f>IF($AD922="",FALSE,AND($AD922&gt;p_dias_backlog_min,$AD922&lt;=p_dias_backlog_max))</f>
        <v/>
      </c>
      <c r="AG922" s="4" t="n"/>
      <c r="AH922" s="5">
        <f>IF($AG922="","",IF((IFERROR(INDEX('ASIGNACIONES'!$J$4:$J$451,MATCH($O922&amp;"|"&amp;$S922&amp;"|"&amp;$AG922,'ASIGNACIONES'!$N$4:$N$451,0)),""))=0,"",IFERROR(INDEX('ASIGNACIONES'!$J$4:$J$451,MATCH($O922&amp;"|"&amp;$S922&amp;"|"&amp;$AG922,'ASIGNACIONES'!$N$4:$N$451,0)),"")))</f>
        <v/>
      </c>
      <c r="AI922" s="25">
        <f>IF($AG922="","",SUMIFS('ORDENES'!$M$4:$M$1203,'ORDENES'!$AG$4:$AG$1203,$AG922,'ORDENES'!$O$4:$O$1203,$O922,'ORDENES'!$S$4:$S$1203,$S922))</f>
        <v/>
      </c>
      <c r="AJ922" s="25">
        <f>IF($AI922="","",p_factor_productividad*IFERROR(INDEX('ASIGNACIONES'!$M$4:$M$451,MATCH($O922&amp;"|"&amp;$S922&amp;"|"&amp;$AG922,'ASIGNACIONES'!$N$4:$N$451,0)),0)-$AI922)</f>
        <v/>
      </c>
      <c r="AK922" s="18">
        <f>IF($A922="","",IFERROR(INDEX('2_IMPORTAR_EJECUCION'!$F$9:$F$1208,MATCH($AT922,'2_IMPORTAR_EJECUCION'!$J$9:$J$1208,0)),0))</f>
        <v/>
      </c>
      <c r="AL922" s="18">
        <f>IF($A922="","",MAX(0,IFERROR(INDEX('2_IMPORTAR_EJECUCION'!$H$9:$H$1208,MATCH($AT922,'2_IMPORTAR_EJECUCION'!$J$9:$J$1208,0)),0)-$AK922))</f>
        <v/>
      </c>
      <c r="AM922" s="18">
        <f>IF($A922="","",$AK922+$AL922)</f>
        <v/>
      </c>
      <c r="AN922" s="5">
        <f>IF($A922="","",IF(OR((IFERROR(INDEX('CAT_ACTIVIDADES'!$D$4:$D$11,MATCH($H922,'CAT_ACTIVIDADES'!$A$4:$A$11,0)),""))=0,(IFERROR(INDEX('CAT_ACTIVIDADES'!$D$4:$D$11,MATCH($H922,'CAT_ACTIVIDADES'!$A$4:$A$11,0)),""))=""),"SIN CLASIFICAR",IFERROR(INDEX('CAT_ACTIVIDADES'!$D$4:$D$11,MATCH($H922,'CAT_ACTIVIDADES'!$A$4:$A$11,0)),"")))</f>
        <v/>
      </c>
      <c r="AO922" s="4" t="n"/>
      <c r="AP922" s="4" t="n"/>
      <c r="AQ922" s="4" t="n"/>
      <c r="AR922" s="5">
        <f>IF($AQ922="","",HYPERLINK(p_ruta_base_checklists&amp;$AQ922,"abrir"))</f>
        <v/>
      </c>
      <c r="AS922" s="4" t="n"/>
      <c r="AT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2" t="n"/>
      <c r="K923" s="5" t="n"/>
      <c r="L923" s="18" t="n"/>
      <c r="M923" s="5">
        <f>IF($A923="","",IFERROR(INDEX('AJUSTES'!$B$4:$B$303,MATCH($AT923,'AJUSTES'!$A$4:$A$303,0)),IF($K923="","",$K923)))</f>
        <v/>
      </c>
      <c r="N923" s="5">
        <f>IF($A923="","",IFERROR(INDEX('CAT_ESTADOS_ERP'!$B$4:$B$7,MATCH(IFERROR(INDEX('2_IMPORTAR_EJECUCION'!$C$9:$C$1208,MATCH($AT923,'2_IMPORTAR_EJECUCION'!$J$9:$J$1208,0)),""),'CAT_ESTADOS_ERP'!$A$4:$A$7,0)),"Pendiente"))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IF($J923="","",$P923&amp;"-"&amp;TEXT($Q923,"00"))</f>
        <v/>
      </c>
      <c r="S923" s="5">
        <f>IF($J923="","",INDEX(lista_dias,WEEKDAY($J923,2)))</f>
        <v/>
      </c>
      <c r="T923" s="5">
        <f>IF($J923="","",IFERROR(INDEX('CALENDARIO'!$C$15:$C$214,MATCH(TEXT($J923,"yyyy-mm-dd")&amp;"|"&amp;$X923&amp;"|"&amp;$Y923,'CALENDARIO'!$G$15:$G$214,0)),IFERROR(INDEX('CALENDARIO'!$C$15:$C$214,MATCH(TEXT($J923,"yyyy-mm-dd")&amp;"|"&amp;$X923&amp;"|",'CALENDARIO'!$G$15:$G$214,0)),IFERROR(INDEX('CALENDARIO'!$C$15:$C$214,MATCH(TEXT($J923,"yyyy-mm-dd")&amp;"||",'CALENDARIO'!$G$15:$G$214,0)),INDEX(patronHabil,WEEKDAY($J923,2))))))</f>
        <v/>
      </c>
      <c r="U923" s="5">
        <f>IF($I923="","",IFERROR(INDEX('CAT_TIPOS_OT'!$C$4:$C$8,MATCH($I923,'CAT_TIPOS_OT'!$A$4:$A$8,0)),"sin_clasificar"))</f>
        <v/>
      </c>
      <c r="V923" s="5">
        <f>IF($I923="","",IF(IFERROR(INDEX('CAT_TIPOS_OT'!$D$4:$D$8,MATCH($I923,'CAT_TIPOS_OT'!$A$4:$A$8,0)),"SIN CLASIFICAR")="","SIN CLASIFICAR",IFERROR(INDEX('CAT_TIPOS_OT'!$D$4:$D$8,MATCH($I923,'CAT_TIPOS_OT'!$A$4:$A$8,0)),"SIN CLASIFICAR")))</f>
        <v/>
      </c>
      <c r="W923" s="5">
        <f>IF($F923="","",IFERROR(INDEX('CAT_CENTROS_COSTO'!$F$4:$F$13,MATCH($F923,'CAT_CENTROS_COSTO'!$A$4:$A$13,0)),"(sin catálogo)"))</f>
        <v/>
      </c>
      <c r="X923" s="5">
        <f>IF($F923="","",IFERROR(INDEX('CAT_CENTROS_COSTO'!$D$4:$D$13,MATCH($F923,'CAT_CENTROS_COSTO'!$A$4:$A$13,0)),"(sin catálogo)"))</f>
        <v/>
      </c>
      <c r="Y923" s="5">
        <f>IF($F923="","",IF((IFERROR(INDEX('CAT_CENTROS_COSTO'!$E$4:$E$13,MATCH($F923,'CAT_CENTROS_COSTO'!$A$4:$A$13,0)),""))&lt;&gt;"",IFERROR(INDEX('CAT_CENTROS_COSTO'!$E$4:$E$13,MATCH($F923,'CAT_CENTROS_COSTO'!$A$4:$A$13,0)),""),$X923))</f>
        <v/>
      </c>
      <c r="Z923" s="5">
        <f>IF($F923="","",IFERROR(INDEX('CAT_CENTROS_COSTO'!$G$4:$G$13,MATCH($F923,'CAT_CENTROS_COSTO'!$A$4:$A$13,0)),"(sin catálogo)"))</f>
        <v/>
      </c>
      <c r="AA923" s="5">
        <f>IF($G923="","",IFERROR(INDEX('CAT_PUESTOS'!$B$4:$B$8,MATCH($G923,'CAT_PUESTOS'!$A$4:$A$8,0)),"(sin catálogo)"))</f>
        <v/>
      </c>
      <c r="AB923" s="5">
        <f>IF($H923="","",IFERROR(INDEX('CAT_ACTIVIDADES'!$B$4:$B$11,MATCH($H923,'CAT_ACTIVIDADES'!$A$4:$A$11,0)),"(sin catálogo)"))</f>
        <v/>
      </c>
      <c r="AC923" s="20">
        <f>IF($J923="","",TODAY()-$J923)</f>
        <v/>
      </c>
      <c r="AD923" s="20">
        <f>IF($J923="","",IF($J923&lt;=TODAY(),COUNTIFS(cal_fechas,"&gt;="&amp;$J923,cal_fechas,"&lt;"&amp;TODAY(),cal_habil,"sí"),-COUNTIFS(cal_fechas,"&gt;="&amp;TODAY(),cal_fechas,"&lt;"&amp;$J923,cal_habil,"sí")))</f>
        <v/>
      </c>
      <c r="AE923" s="5">
        <f>IF($AD923="","",IF($AD923&lt;0,"FUTURO",IF($AD923&gt;p_dias_backlog_max,"BACKLOG","MES CORRIENTE")))</f>
        <v/>
      </c>
      <c r="AF923" s="5">
        <f>IF($AD923="",FALSE,AND($AD923&gt;p_dias_backlog_min,$AD923&lt;=p_dias_backlog_max))</f>
        <v/>
      </c>
      <c r="AG923" s="4" t="n"/>
      <c r="AH923" s="5">
        <f>IF($AG923="","",IF((IFERROR(INDEX('ASIGNACIONES'!$J$4:$J$451,MATCH($O923&amp;"|"&amp;$S923&amp;"|"&amp;$AG923,'ASIGNACIONES'!$N$4:$N$451,0)),""))=0,"",IFERROR(INDEX('ASIGNACIONES'!$J$4:$J$451,MATCH($O923&amp;"|"&amp;$S923&amp;"|"&amp;$AG923,'ASIGNACIONES'!$N$4:$N$451,0)),"")))</f>
        <v/>
      </c>
      <c r="AI923" s="25">
        <f>IF($AG923="","",SUMIFS('ORDENES'!$M$4:$M$1203,'ORDENES'!$AG$4:$AG$1203,$AG923,'ORDENES'!$O$4:$O$1203,$O923,'ORDENES'!$S$4:$S$1203,$S923))</f>
        <v/>
      </c>
      <c r="AJ923" s="25">
        <f>IF($AI923="","",p_factor_productividad*IFERROR(INDEX('ASIGNACIONES'!$M$4:$M$451,MATCH($O923&amp;"|"&amp;$S923&amp;"|"&amp;$AG923,'ASIGNACIONES'!$N$4:$N$451,0)),0)-$AI923)</f>
        <v/>
      </c>
      <c r="AK923" s="18">
        <f>IF($A923="","",IFERROR(INDEX('2_IMPORTAR_EJECUCION'!$F$9:$F$1208,MATCH($AT923,'2_IMPORTAR_EJECUCION'!$J$9:$J$1208,0)),0))</f>
        <v/>
      </c>
      <c r="AL923" s="18">
        <f>IF($A923="","",MAX(0,IFERROR(INDEX('2_IMPORTAR_EJECUCION'!$H$9:$H$1208,MATCH($AT923,'2_IMPORTAR_EJECUCION'!$J$9:$J$1208,0)),0)-$AK923))</f>
        <v/>
      </c>
      <c r="AM923" s="18">
        <f>IF($A923="","",$AK923+$AL923)</f>
        <v/>
      </c>
      <c r="AN923" s="5">
        <f>IF($A923="","",IF(OR((IFERROR(INDEX('CAT_ACTIVIDADES'!$D$4:$D$11,MATCH($H923,'CAT_ACTIVIDADES'!$A$4:$A$11,0)),""))=0,(IFERROR(INDEX('CAT_ACTIVIDADES'!$D$4:$D$11,MATCH($H923,'CAT_ACTIVIDADES'!$A$4:$A$11,0)),""))=""),"SIN CLASIFICAR",IFERROR(INDEX('CAT_ACTIVIDADES'!$D$4:$D$11,MATCH($H923,'CAT_ACTIVIDADES'!$A$4:$A$11,0)),"")))</f>
        <v/>
      </c>
      <c r="AO923" s="4" t="n"/>
      <c r="AP923" s="4" t="n"/>
      <c r="AQ923" s="4" t="n"/>
      <c r="AR923" s="5">
        <f>IF($AQ923="","",HYPERLINK(p_ruta_base_checklists&amp;$AQ923,"abrir"))</f>
        <v/>
      </c>
      <c r="AS923" s="4" t="n"/>
      <c r="AT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2" t="n"/>
      <c r="K924" s="5" t="n"/>
      <c r="L924" s="18" t="n"/>
      <c r="M924" s="5">
        <f>IF($A924="","",IFERROR(INDEX('AJUSTES'!$B$4:$B$303,MATCH($AT924,'AJUSTES'!$A$4:$A$303,0)),IF($K924="","",$K924)))</f>
        <v/>
      </c>
      <c r="N924" s="5">
        <f>IF($A924="","",IFERROR(INDEX('CAT_ESTADOS_ERP'!$B$4:$B$7,MATCH(IFERROR(INDEX('2_IMPORTAR_EJECUCION'!$C$9:$C$1208,MATCH($AT924,'2_IMPORTAR_EJECUCION'!$J$9:$J$1208,0)),""),'CAT_ESTADOS_ERP'!$A$4:$A$7,0)),"Pendiente"))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IF($J924="","",$P924&amp;"-"&amp;TEXT($Q924,"00"))</f>
        <v/>
      </c>
      <c r="S924" s="5">
        <f>IF($J924="","",INDEX(lista_dias,WEEKDAY($J924,2)))</f>
        <v/>
      </c>
      <c r="T924" s="5">
        <f>IF($J924="","",IFERROR(INDEX('CALENDARIO'!$C$15:$C$214,MATCH(TEXT($J924,"yyyy-mm-dd")&amp;"|"&amp;$X924&amp;"|"&amp;$Y924,'CALENDARIO'!$G$15:$G$214,0)),IFERROR(INDEX('CALENDARIO'!$C$15:$C$214,MATCH(TEXT($J924,"yyyy-mm-dd")&amp;"|"&amp;$X924&amp;"|",'CALENDARIO'!$G$15:$G$214,0)),IFERROR(INDEX('CALENDARIO'!$C$15:$C$214,MATCH(TEXT($J924,"yyyy-mm-dd")&amp;"||",'CALENDARIO'!$G$15:$G$214,0)),INDEX(patronHabil,WEEKDAY($J924,2))))))</f>
        <v/>
      </c>
      <c r="U924" s="5">
        <f>IF($I924="","",IFERROR(INDEX('CAT_TIPOS_OT'!$C$4:$C$8,MATCH($I924,'CAT_TIPOS_OT'!$A$4:$A$8,0)),"sin_clasificar"))</f>
        <v/>
      </c>
      <c r="V924" s="5">
        <f>IF($I924="","",IF(IFERROR(INDEX('CAT_TIPOS_OT'!$D$4:$D$8,MATCH($I924,'CAT_TIPOS_OT'!$A$4:$A$8,0)),"SIN CLASIFICAR")="","SIN CLASIFICAR",IFERROR(INDEX('CAT_TIPOS_OT'!$D$4:$D$8,MATCH($I924,'CAT_TIPOS_OT'!$A$4:$A$8,0)),"SIN CLASIFICAR")))</f>
        <v/>
      </c>
      <c r="W924" s="5">
        <f>IF($F924="","",IFERROR(INDEX('CAT_CENTROS_COSTO'!$F$4:$F$13,MATCH($F924,'CAT_CENTROS_COSTO'!$A$4:$A$13,0)),"(sin catálogo)"))</f>
        <v/>
      </c>
      <c r="X924" s="5">
        <f>IF($F924="","",IFERROR(INDEX('CAT_CENTROS_COSTO'!$D$4:$D$13,MATCH($F924,'CAT_CENTROS_COSTO'!$A$4:$A$13,0)),"(sin catálogo)"))</f>
        <v/>
      </c>
      <c r="Y924" s="5">
        <f>IF($F924="","",IF((IFERROR(INDEX('CAT_CENTROS_COSTO'!$E$4:$E$13,MATCH($F924,'CAT_CENTROS_COSTO'!$A$4:$A$13,0)),""))&lt;&gt;"",IFERROR(INDEX('CAT_CENTROS_COSTO'!$E$4:$E$13,MATCH($F924,'CAT_CENTROS_COSTO'!$A$4:$A$13,0)),""),$X924))</f>
        <v/>
      </c>
      <c r="Z924" s="5">
        <f>IF($F924="","",IFERROR(INDEX('CAT_CENTROS_COSTO'!$G$4:$G$13,MATCH($F924,'CAT_CENTROS_COSTO'!$A$4:$A$13,0)),"(sin catálogo)"))</f>
        <v/>
      </c>
      <c r="AA924" s="5">
        <f>IF($G924="","",IFERROR(INDEX('CAT_PUESTOS'!$B$4:$B$8,MATCH($G924,'CAT_PUESTOS'!$A$4:$A$8,0)),"(sin catálogo)"))</f>
        <v/>
      </c>
      <c r="AB924" s="5">
        <f>IF($H924="","",IFERROR(INDEX('CAT_ACTIVIDADES'!$B$4:$B$11,MATCH($H924,'CAT_ACTIVIDADES'!$A$4:$A$11,0)),"(sin catálogo)"))</f>
        <v/>
      </c>
      <c r="AC924" s="20">
        <f>IF($J924="","",TODAY()-$J924)</f>
        <v/>
      </c>
      <c r="AD924" s="20">
        <f>IF($J924="","",IF($J924&lt;=TODAY(),COUNTIFS(cal_fechas,"&gt;="&amp;$J924,cal_fechas,"&lt;"&amp;TODAY(),cal_habil,"sí"),-COUNTIFS(cal_fechas,"&gt;="&amp;TODAY(),cal_fechas,"&lt;"&amp;$J924,cal_habil,"sí")))</f>
        <v/>
      </c>
      <c r="AE924" s="5">
        <f>IF($AD924="","",IF($AD924&lt;0,"FUTURO",IF($AD924&gt;p_dias_backlog_max,"BACKLOG","MES CORRIENTE")))</f>
        <v/>
      </c>
      <c r="AF924" s="5">
        <f>IF($AD924="",FALSE,AND($AD924&gt;p_dias_backlog_min,$AD924&lt;=p_dias_backlog_max))</f>
        <v/>
      </c>
      <c r="AG924" s="4" t="n"/>
      <c r="AH924" s="5">
        <f>IF($AG924="","",IF((IFERROR(INDEX('ASIGNACIONES'!$J$4:$J$451,MATCH($O924&amp;"|"&amp;$S924&amp;"|"&amp;$AG924,'ASIGNACIONES'!$N$4:$N$451,0)),""))=0,"",IFERROR(INDEX('ASIGNACIONES'!$J$4:$J$451,MATCH($O924&amp;"|"&amp;$S924&amp;"|"&amp;$AG924,'ASIGNACIONES'!$N$4:$N$451,0)),"")))</f>
        <v/>
      </c>
      <c r="AI924" s="25">
        <f>IF($AG924="","",SUMIFS('ORDENES'!$M$4:$M$1203,'ORDENES'!$AG$4:$AG$1203,$AG924,'ORDENES'!$O$4:$O$1203,$O924,'ORDENES'!$S$4:$S$1203,$S924))</f>
        <v/>
      </c>
      <c r="AJ924" s="25">
        <f>IF($AI924="","",p_factor_productividad*IFERROR(INDEX('ASIGNACIONES'!$M$4:$M$451,MATCH($O924&amp;"|"&amp;$S924&amp;"|"&amp;$AG924,'ASIGNACIONES'!$N$4:$N$451,0)),0)-$AI924)</f>
        <v/>
      </c>
      <c r="AK924" s="18">
        <f>IF($A924="","",IFERROR(INDEX('2_IMPORTAR_EJECUCION'!$F$9:$F$1208,MATCH($AT924,'2_IMPORTAR_EJECUCION'!$J$9:$J$1208,0)),0))</f>
        <v/>
      </c>
      <c r="AL924" s="18">
        <f>IF($A924="","",MAX(0,IFERROR(INDEX('2_IMPORTAR_EJECUCION'!$H$9:$H$1208,MATCH($AT924,'2_IMPORTAR_EJECUCION'!$J$9:$J$1208,0)),0)-$AK924))</f>
        <v/>
      </c>
      <c r="AM924" s="18">
        <f>IF($A924="","",$AK924+$AL924)</f>
        <v/>
      </c>
      <c r="AN924" s="5">
        <f>IF($A924="","",IF(OR((IFERROR(INDEX('CAT_ACTIVIDADES'!$D$4:$D$11,MATCH($H924,'CAT_ACTIVIDADES'!$A$4:$A$11,0)),""))=0,(IFERROR(INDEX('CAT_ACTIVIDADES'!$D$4:$D$11,MATCH($H924,'CAT_ACTIVIDADES'!$A$4:$A$11,0)),""))=""),"SIN CLASIFICAR",IFERROR(INDEX('CAT_ACTIVIDADES'!$D$4:$D$11,MATCH($H924,'CAT_ACTIVIDADES'!$A$4:$A$11,0)),"")))</f>
        <v/>
      </c>
      <c r="AO924" s="4" t="n"/>
      <c r="AP924" s="4" t="n"/>
      <c r="AQ924" s="4" t="n"/>
      <c r="AR924" s="5">
        <f>IF($AQ924="","",HYPERLINK(p_ruta_base_checklists&amp;$AQ924,"abrir"))</f>
        <v/>
      </c>
      <c r="AS924" s="4" t="n"/>
      <c r="AT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2" t="n"/>
      <c r="K925" s="5" t="n"/>
      <c r="L925" s="18" t="n"/>
      <c r="M925" s="5">
        <f>IF($A925="","",IFERROR(INDEX('AJUSTES'!$B$4:$B$303,MATCH($AT925,'AJUSTES'!$A$4:$A$303,0)),IF($K925="","",$K925)))</f>
        <v/>
      </c>
      <c r="N925" s="5">
        <f>IF($A925="","",IFERROR(INDEX('CAT_ESTADOS_ERP'!$B$4:$B$7,MATCH(IFERROR(INDEX('2_IMPORTAR_EJECUCION'!$C$9:$C$1208,MATCH($AT925,'2_IMPORTAR_EJECUCION'!$J$9:$J$1208,0)),""),'CAT_ESTADOS_ERP'!$A$4:$A$7,0)),"Pendiente"))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IF($J925="","",$P925&amp;"-"&amp;TEXT($Q925,"00"))</f>
        <v/>
      </c>
      <c r="S925" s="5">
        <f>IF($J925="","",INDEX(lista_dias,WEEKDAY($J925,2)))</f>
        <v/>
      </c>
      <c r="T925" s="5">
        <f>IF($J925="","",IFERROR(INDEX('CALENDARIO'!$C$15:$C$214,MATCH(TEXT($J925,"yyyy-mm-dd")&amp;"|"&amp;$X925&amp;"|"&amp;$Y925,'CALENDARIO'!$G$15:$G$214,0)),IFERROR(INDEX('CALENDARIO'!$C$15:$C$214,MATCH(TEXT($J925,"yyyy-mm-dd")&amp;"|"&amp;$X925&amp;"|",'CALENDARIO'!$G$15:$G$214,0)),IFERROR(INDEX('CALENDARIO'!$C$15:$C$214,MATCH(TEXT($J925,"yyyy-mm-dd")&amp;"||",'CALENDARIO'!$G$15:$G$214,0)),INDEX(patronHabil,WEEKDAY($J925,2))))))</f>
        <v/>
      </c>
      <c r="U925" s="5">
        <f>IF($I925="","",IFERROR(INDEX('CAT_TIPOS_OT'!$C$4:$C$8,MATCH($I925,'CAT_TIPOS_OT'!$A$4:$A$8,0)),"sin_clasificar"))</f>
        <v/>
      </c>
      <c r="V925" s="5">
        <f>IF($I925="","",IF(IFERROR(INDEX('CAT_TIPOS_OT'!$D$4:$D$8,MATCH($I925,'CAT_TIPOS_OT'!$A$4:$A$8,0)),"SIN CLASIFICAR")="","SIN CLASIFICAR",IFERROR(INDEX('CAT_TIPOS_OT'!$D$4:$D$8,MATCH($I925,'CAT_TIPOS_OT'!$A$4:$A$8,0)),"SIN CLASIFICAR")))</f>
        <v/>
      </c>
      <c r="W925" s="5">
        <f>IF($F925="","",IFERROR(INDEX('CAT_CENTROS_COSTO'!$F$4:$F$13,MATCH($F925,'CAT_CENTROS_COSTO'!$A$4:$A$13,0)),"(sin catálogo)"))</f>
        <v/>
      </c>
      <c r="X925" s="5">
        <f>IF($F925="","",IFERROR(INDEX('CAT_CENTROS_COSTO'!$D$4:$D$13,MATCH($F925,'CAT_CENTROS_COSTO'!$A$4:$A$13,0)),"(sin catálogo)"))</f>
        <v/>
      </c>
      <c r="Y925" s="5">
        <f>IF($F925="","",IF((IFERROR(INDEX('CAT_CENTROS_COSTO'!$E$4:$E$13,MATCH($F925,'CAT_CENTROS_COSTO'!$A$4:$A$13,0)),""))&lt;&gt;"",IFERROR(INDEX('CAT_CENTROS_COSTO'!$E$4:$E$13,MATCH($F925,'CAT_CENTROS_COSTO'!$A$4:$A$13,0)),""),$X925))</f>
        <v/>
      </c>
      <c r="Z925" s="5">
        <f>IF($F925="","",IFERROR(INDEX('CAT_CENTROS_COSTO'!$G$4:$G$13,MATCH($F925,'CAT_CENTROS_COSTO'!$A$4:$A$13,0)),"(sin catálogo)"))</f>
        <v/>
      </c>
      <c r="AA925" s="5">
        <f>IF($G925="","",IFERROR(INDEX('CAT_PUESTOS'!$B$4:$B$8,MATCH($G925,'CAT_PUESTOS'!$A$4:$A$8,0)),"(sin catálogo)"))</f>
        <v/>
      </c>
      <c r="AB925" s="5">
        <f>IF($H925="","",IFERROR(INDEX('CAT_ACTIVIDADES'!$B$4:$B$11,MATCH($H925,'CAT_ACTIVIDADES'!$A$4:$A$11,0)),"(sin catálogo)"))</f>
        <v/>
      </c>
      <c r="AC925" s="20">
        <f>IF($J925="","",TODAY()-$J925)</f>
        <v/>
      </c>
      <c r="AD925" s="20">
        <f>IF($J925="","",IF($J925&lt;=TODAY(),COUNTIFS(cal_fechas,"&gt;="&amp;$J925,cal_fechas,"&lt;"&amp;TODAY(),cal_habil,"sí"),-COUNTIFS(cal_fechas,"&gt;="&amp;TODAY(),cal_fechas,"&lt;"&amp;$J925,cal_habil,"sí")))</f>
        <v/>
      </c>
      <c r="AE925" s="5">
        <f>IF($AD925="","",IF($AD925&lt;0,"FUTURO",IF($AD925&gt;p_dias_backlog_max,"BACKLOG","MES CORRIENTE")))</f>
        <v/>
      </c>
      <c r="AF925" s="5">
        <f>IF($AD925="",FALSE,AND($AD925&gt;p_dias_backlog_min,$AD925&lt;=p_dias_backlog_max))</f>
        <v/>
      </c>
      <c r="AG925" s="4" t="n"/>
      <c r="AH925" s="5">
        <f>IF($AG925="","",IF((IFERROR(INDEX('ASIGNACIONES'!$J$4:$J$451,MATCH($O925&amp;"|"&amp;$S925&amp;"|"&amp;$AG925,'ASIGNACIONES'!$N$4:$N$451,0)),""))=0,"",IFERROR(INDEX('ASIGNACIONES'!$J$4:$J$451,MATCH($O925&amp;"|"&amp;$S925&amp;"|"&amp;$AG925,'ASIGNACIONES'!$N$4:$N$451,0)),"")))</f>
        <v/>
      </c>
      <c r="AI925" s="25">
        <f>IF($AG925="","",SUMIFS('ORDENES'!$M$4:$M$1203,'ORDENES'!$AG$4:$AG$1203,$AG925,'ORDENES'!$O$4:$O$1203,$O925,'ORDENES'!$S$4:$S$1203,$S925))</f>
        <v/>
      </c>
      <c r="AJ925" s="25">
        <f>IF($AI925="","",p_factor_productividad*IFERROR(INDEX('ASIGNACIONES'!$M$4:$M$451,MATCH($O925&amp;"|"&amp;$S925&amp;"|"&amp;$AG925,'ASIGNACIONES'!$N$4:$N$451,0)),0)-$AI925)</f>
        <v/>
      </c>
      <c r="AK925" s="18">
        <f>IF($A925="","",IFERROR(INDEX('2_IMPORTAR_EJECUCION'!$F$9:$F$1208,MATCH($AT925,'2_IMPORTAR_EJECUCION'!$J$9:$J$1208,0)),0))</f>
        <v/>
      </c>
      <c r="AL925" s="18">
        <f>IF($A925="","",MAX(0,IFERROR(INDEX('2_IMPORTAR_EJECUCION'!$H$9:$H$1208,MATCH($AT925,'2_IMPORTAR_EJECUCION'!$J$9:$J$1208,0)),0)-$AK925))</f>
        <v/>
      </c>
      <c r="AM925" s="18">
        <f>IF($A925="","",$AK925+$AL925)</f>
        <v/>
      </c>
      <c r="AN925" s="5">
        <f>IF($A925="","",IF(OR((IFERROR(INDEX('CAT_ACTIVIDADES'!$D$4:$D$11,MATCH($H925,'CAT_ACTIVIDADES'!$A$4:$A$11,0)),""))=0,(IFERROR(INDEX('CAT_ACTIVIDADES'!$D$4:$D$11,MATCH($H925,'CAT_ACTIVIDADES'!$A$4:$A$11,0)),""))=""),"SIN CLASIFICAR",IFERROR(INDEX('CAT_ACTIVIDADES'!$D$4:$D$11,MATCH($H925,'CAT_ACTIVIDADES'!$A$4:$A$11,0)),"")))</f>
        <v/>
      </c>
      <c r="AO925" s="4" t="n"/>
      <c r="AP925" s="4" t="n"/>
      <c r="AQ925" s="4" t="n"/>
      <c r="AR925" s="5">
        <f>IF($AQ925="","",HYPERLINK(p_ruta_base_checklists&amp;$AQ925,"abrir"))</f>
        <v/>
      </c>
      <c r="AS925" s="4" t="n"/>
      <c r="AT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2" t="n"/>
      <c r="K926" s="5" t="n"/>
      <c r="L926" s="18" t="n"/>
      <c r="M926" s="5">
        <f>IF($A926="","",IFERROR(INDEX('AJUSTES'!$B$4:$B$303,MATCH($AT926,'AJUSTES'!$A$4:$A$303,0)),IF($K926="","",$K926)))</f>
        <v/>
      </c>
      <c r="N926" s="5">
        <f>IF($A926="","",IFERROR(INDEX('CAT_ESTADOS_ERP'!$B$4:$B$7,MATCH(IFERROR(INDEX('2_IMPORTAR_EJECUCION'!$C$9:$C$1208,MATCH($AT926,'2_IMPORTAR_EJECUCION'!$J$9:$J$1208,0)),""),'CAT_ESTADOS_ERP'!$A$4:$A$7,0)),"Pendiente"))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IF($J926="","",$P926&amp;"-"&amp;TEXT($Q926,"00"))</f>
        <v/>
      </c>
      <c r="S926" s="5">
        <f>IF($J926="","",INDEX(lista_dias,WEEKDAY($J926,2)))</f>
        <v/>
      </c>
      <c r="T926" s="5">
        <f>IF($J926="","",IFERROR(INDEX('CALENDARIO'!$C$15:$C$214,MATCH(TEXT($J926,"yyyy-mm-dd")&amp;"|"&amp;$X926&amp;"|"&amp;$Y926,'CALENDARIO'!$G$15:$G$214,0)),IFERROR(INDEX('CALENDARIO'!$C$15:$C$214,MATCH(TEXT($J926,"yyyy-mm-dd")&amp;"|"&amp;$X926&amp;"|",'CALENDARIO'!$G$15:$G$214,0)),IFERROR(INDEX('CALENDARIO'!$C$15:$C$214,MATCH(TEXT($J926,"yyyy-mm-dd")&amp;"||",'CALENDARIO'!$G$15:$G$214,0)),INDEX(patronHabil,WEEKDAY($J926,2))))))</f>
        <v/>
      </c>
      <c r="U926" s="5">
        <f>IF($I926="","",IFERROR(INDEX('CAT_TIPOS_OT'!$C$4:$C$8,MATCH($I926,'CAT_TIPOS_OT'!$A$4:$A$8,0)),"sin_clasificar"))</f>
        <v/>
      </c>
      <c r="V926" s="5">
        <f>IF($I926="","",IF(IFERROR(INDEX('CAT_TIPOS_OT'!$D$4:$D$8,MATCH($I926,'CAT_TIPOS_OT'!$A$4:$A$8,0)),"SIN CLASIFICAR")="","SIN CLASIFICAR",IFERROR(INDEX('CAT_TIPOS_OT'!$D$4:$D$8,MATCH($I926,'CAT_TIPOS_OT'!$A$4:$A$8,0)),"SIN CLASIFICAR")))</f>
        <v/>
      </c>
      <c r="W926" s="5">
        <f>IF($F926="","",IFERROR(INDEX('CAT_CENTROS_COSTO'!$F$4:$F$13,MATCH($F926,'CAT_CENTROS_COSTO'!$A$4:$A$13,0)),"(sin catálogo)"))</f>
        <v/>
      </c>
      <c r="X926" s="5">
        <f>IF($F926="","",IFERROR(INDEX('CAT_CENTROS_COSTO'!$D$4:$D$13,MATCH($F926,'CAT_CENTROS_COSTO'!$A$4:$A$13,0)),"(sin catálogo)"))</f>
        <v/>
      </c>
      <c r="Y926" s="5">
        <f>IF($F926="","",IF((IFERROR(INDEX('CAT_CENTROS_COSTO'!$E$4:$E$13,MATCH($F926,'CAT_CENTROS_COSTO'!$A$4:$A$13,0)),""))&lt;&gt;"",IFERROR(INDEX('CAT_CENTROS_COSTO'!$E$4:$E$13,MATCH($F926,'CAT_CENTROS_COSTO'!$A$4:$A$13,0)),""),$X926))</f>
        <v/>
      </c>
      <c r="Z926" s="5">
        <f>IF($F926="","",IFERROR(INDEX('CAT_CENTROS_COSTO'!$G$4:$G$13,MATCH($F926,'CAT_CENTROS_COSTO'!$A$4:$A$13,0)),"(sin catálogo)"))</f>
        <v/>
      </c>
      <c r="AA926" s="5">
        <f>IF($G926="","",IFERROR(INDEX('CAT_PUESTOS'!$B$4:$B$8,MATCH($G926,'CAT_PUESTOS'!$A$4:$A$8,0)),"(sin catálogo)"))</f>
        <v/>
      </c>
      <c r="AB926" s="5">
        <f>IF($H926="","",IFERROR(INDEX('CAT_ACTIVIDADES'!$B$4:$B$11,MATCH($H926,'CAT_ACTIVIDADES'!$A$4:$A$11,0)),"(sin catálogo)"))</f>
        <v/>
      </c>
      <c r="AC926" s="20">
        <f>IF($J926="","",TODAY()-$J926)</f>
        <v/>
      </c>
      <c r="AD926" s="20">
        <f>IF($J926="","",IF($J926&lt;=TODAY(),COUNTIFS(cal_fechas,"&gt;="&amp;$J926,cal_fechas,"&lt;"&amp;TODAY(),cal_habil,"sí"),-COUNTIFS(cal_fechas,"&gt;="&amp;TODAY(),cal_fechas,"&lt;"&amp;$J926,cal_habil,"sí")))</f>
        <v/>
      </c>
      <c r="AE926" s="5">
        <f>IF($AD926="","",IF($AD926&lt;0,"FUTURO",IF($AD926&gt;p_dias_backlog_max,"BACKLOG","MES CORRIENTE")))</f>
        <v/>
      </c>
      <c r="AF926" s="5">
        <f>IF($AD926="",FALSE,AND($AD926&gt;p_dias_backlog_min,$AD926&lt;=p_dias_backlog_max))</f>
        <v/>
      </c>
      <c r="AG926" s="4" t="n"/>
      <c r="AH926" s="5">
        <f>IF($AG926="","",IF((IFERROR(INDEX('ASIGNACIONES'!$J$4:$J$451,MATCH($O926&amp;"|"&amp;$S926&amp;"|"&amp;$AG926,'ASIGNACIONES'!$N$4:$N$451,0)),""))=0,"",IFERROR(INDEX('ASIGNACIONES'!$J$4:$J$451,MATCH($O926&amp;"|"&amp;$S926&amp;"|"&amp;$AG926,'ASIGNACIONES'!$N$4:$N$451,0)),"")))</f>
        <v/>
      </c>
      <c r="AI926" s="25">
        <f>IF($AG926="","",SUMIFS('ORDENES'!$M$4:$M$1203,'ORDENES'!$AG$4:$AG$1203,$AG926,'ORDENES'!$O$4:$O$1203,$O926,'ORDENES'!$S$4:$S$1203,$S926))</f>
        <v/>
      </c>
      <c r="AJ926" s="25">
        <f>IF($AI926="","",p_factor_productividad*IFERROR(INDEX('ASIGNACIONES'!$M$4:$M$451,MATCH($O926&amp;"|"&amp;$S926&amp;"|"&amp;$AG926,'ASIGNACIONES'!$N$4:$N$451,0)),0)-$AI926)</f>
        <v/>
      </c>
      <c r="AK926" s="18">
        <f>IF($A926="","",IFERROR(INDEX('2_IMPORTAR_EJECUCION'!$F$9:$F$1208,MATCH($AT926,'2_IMPORTAR_EJECUCION'!$J$9:$J$1208,0)),0))</f>
        <v/>
      </c>
      <c r="AL926" s="18">
        <f>IF($A926="","",MAX(0,IFERROR(INDEX('2_IMPORTAR_EJECUCION'!$H$9:$H$1208,MATCH($AT926,'2_IMPORTAR_EJECUCION'!$J$9:$J$1208,0)),0)-$AK926))</f>
        <v/>
      </c>
      <c r="AM926" s="18">
        <f>IF($A926="","",$AK926+$AL926)</f>
        <v/>
      </c>
      <c r="AN926" s="5">
        <f>IF($A926="","",IF(OR((IFERROR(INDEX('CAT_ACTIVIDADES'!$D$4:$D$11,MATCH($H926,'CAT_ACTIVIDADES'!$A$4:$A$11,0)),""))=0,(IFERROR(INDEX('CAT_ACTIVIDADES'!$D$4:$D$11,MATCH($H926,'CAT_ACTIVIDADES'!$A$4:$A$11,0)),""))=""),"SIN CLASIFICAR",IFERROR(INDEX('CAT_ACTIVIDADES'!$D$4:$D$11,MATCH($H926,'CAT_ACTIVIDADES'!$A$4:$A$11,0)),"")))</f>
        <v/>
      </c>
      <c r="AO926" s="4" t="n"/>
      <c r="AP926" s="4" t="n"/>
      <c r="AQ926" s="4" t="n"/>
      <c r="AR926" s="5">
        <f>IF($AQ926="","",HYPERLINK(p_ruta_base_checklists&amp;$AQ926,"abrir"))</f>
        <v/>
      </c>
      <c r="AS926" s="4" t="n"/>
      <c r="AT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2" t="n"/>
      <c r="K927" s="5" t="n"/>
      <c r="L927" s="18" t="n"/>
      <c r="M927" s="5">
        <f>IF($A927="","",IFERROR(INDEX('AJUSTES'!$B$4:$B$303,MATCH($AT927,'AJUSTES'!$A$4:$A$303,0)),IF($K927="","",$K927)))</f>
        <v/>
      </c>
      <c r="N927" s="5">
        <f>IF($A927="","",IFERROR(INDEX('CAT_ESTADOS_ERP'!$B$4:$B$7,MATCH(IFERROR(INDEX('2_IMPORTAR_EJECUCION'!$C$9:$C$1208,MATCH($AT927,'2_IMPORTAR_EJECUCION'!$J$9:$J$1208,0)),""),'CAT_ESTADOS_ERP'!$A$4:$A$7,0)),"Pendiente"))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IF($J927="","",$P927&amp;"-"&amp;TEXT($Q927,"00"))</f>
        <v/>
      </c>
      <c r="S927" s="5">
        <f>IF($J927="","",INDEX(lista_dias,WEEKDAY($J927,2)))</f>
        <v/>
      </c>
      <c r="T927" s="5">
        <f>IF($J927="","",IFERROR(INDEX('CALENDARIO'!$C$15:$C$214,MATCH(TEXT($J927,"yyyy-mm-dd")&amp;"|"&amp;$X927&amp;"|"&amp;$Y927,'CALENDARIO'!$G$15:$G$214,0)),IFERROR(INDEX('CALENDARIO'!$C$15:$C$214,MATCH(TEXT($J927,"yyyy-mm-dd")&amp;"|"&amp;$X927&amp;"|",'CALENDARIO'!$G$15:$G$214,0)),IFERROR(INDEX('CALENDARIO'!$C$15:$C$214,MATCH(TEXT($J927,"yyyy-mm-dd")&amp;"||",'CALENDARIO'!$G$15:$G$214,0)),INDEX(patronHabil,WEEKDAY($J927,2))))))</f>
        <v/>
      </c>
      <c r="U927" s="5">
        <f>IF($I927="","",IFERROR(INDEX('CAT_TIPOS_OT'!$C$4:$C$8,MATCH($I927,'CAT_TIPOS_OT'!$A$4:$A$8,0)),"sin_clasificar"))</f>
        <v/>
      </c>
      <c r="V927" s="5">
        <f>IF($I927="","",IF(IFERROR(INDEX('CAT_TIPOS_OT'!$D$4:$D$8,MATCH($I927,'CAT_TIPOS_OT'!$A$4:$A$8,0)),"SIN CLASIFICAR")="","SIN CLASIFICAR",IFERROR(INDEX('CAT_TIPOS_OT'!$D$4:$D$8,MATCH($I927,'CAT_TIPOS_OT'!$A$4:$A$8,0)),"SIN CLASIFICAR")))</f>
        <v/>
      </c>
      <c r="W927" s="5">
        <f>IF($F927="","",IFERROR(INDEX('CAT_CENTROS_COSTO'!$F$4:$F$13,MATCH($F927,'CAT_CENTROS_COSTO'!$A$4:$A$13,0)),"(sin catálogo)"))</f>
        <v/>
      </c>
      <c r="X927" s="5">
        <f>IF($F927="","",IFERROR(INDEX('CAT_CENTROS_COSTO'!$D$4:$D$13,MATCH($F927,'CAT_CENTROS_COSTO'!$A$4:$A$13,0)),"(sin catálogo)"))</f>
        <v/>
      </c>
      <c r="Y927" s="5">
        <f>IF($F927="","",IF((IFERROR(INDEX('CAT_CENTROS_COSTO'!$E$4:$E$13,MATCH($F927,'CAT_CENTROS_COSTO'!$A$4:$A$13,0)),""))&lt;&gt;"",IFERROR(INDEX('CAT_CENTROS_COSTO'!$E$4:$E$13,MATCH($F927,'CAT_CENTROS_COSTO'!$A$4:$A$13,0)),""),$X927))</f>
        <v/>
      </c>
      <c r="Z927" s="5">
        <f>IF($F927="","",IFERROR(INDEX('CAT_CENTROS_COSTO'!$G$4:$G$13,MATCH($F927,'CAT_CENTROS_COSTO'!$A$4:$A$13,0)),"(sin catálogo)"))</f>
        <v/>
      </c>
      <c r="AA927" s="5">
        <f>IF($G927="","",IFERROR(INDEX('CAT_PUESTOS'!$B$4:$B$8,MATCH($G927,'CAT_PUESTOS'!$A$4:$A$8,0)),"(sin catálogo)"))</f>
        <v/>
      </c>
      <c r="AB927" s="5">
        <f>IF($H927="","",IFERROR(INDEX('CAT_ACTIVIDADES'!$B$4:$B$11,MATCH($H927,'CAT_ACTIVIDADES'!$A$4:$A$11,0)),"(sin catálogo)"))</f>
        <v/>
      </c>
      <c r="AC927" s="20">
        <f>IF($J927="","",TODAY()-$J927)</f>
        <v/>
      </c>
      <c r="AD927" s="20">
        <f>IF($J927="","",IF($J927&lt;=TODAY(),COUNTIFS(cal_fechas,"&gt;="&amp;$J927,cal_fechas,"&lt;"&amp;TODAY(),cal_habil,"sí"),-COUNTIFS(cal_fechas,"&gt;="&amp;TODAY(),cal_fechas,"&lt;"&amp;$J927,cal_habil,"sí")))</f>
        <v/>
      </c>
      <c r="AE927" s="5">
        <f>IF($AD927="","",IF($AD927&lt;0,"FUTURO",IF($AD927&gt;p_dias_backlog_max,"BACKLOG","MES CORRIENTE")))</f>
        <v/>
      </c>
      <c r="AF927" s="5">
        <f>IF($AD927="",FALSE,AND($AD927&gt;p_dias_backlog_min,$AD927&lt;=p_dias_backlog_max))</f>
        <v/>
      </c>
      <c r="AG927" s="4" t="n"/>
      <c r="AH927" s="5">
        <f>IF($AG927="","",IF((IFERROR(INDEX('ASIGNACIONES'!$J$4:$J$451,MATCH($O927&amp;"|"&amp;$S927&amp;"|"&amp;$AG927,'ASIGNACIONES'!$N$4:$N$451,0)),""))=0,"",IFERROR(INDEX('ASIGNACIONES'!$J$4:$J$451,MATCH($O927&amp;"|"&amp;$S927&amp;"|"&amp;$AG927,'ASIGNACIONES'!$N$4:$N$451,0)),"")))</f>
        <v/>
      </c>
      <c r="AI927" s="25">
        <f>IF($AG927="","",SUMIFS('ORDENES'!$M$4:$M$1203,'ORDENES'!$AG$4:$AG$1203,$AG927,'ORDENES'!$O$4:$O$1203,$O927,'ORDENES'!$S$4:$S$1203,$S927))</f>
        <v/>
      </c>
      <c r="AJ927" s="25">
        <f>IF($AI927="","",p_factor_productividad*IFERROR(INDEX('ASIGNACIONES'!$M$4:$M$451,MATCH($O927&amp;"|"&amp;$S927&amp;"|"&amp;$AG927,'ASIGNACIONES'!$N$4:$N$451,0)),0)-$AI927)</f>
        <v/>
      </c>
      <c r="AK927" s="18">
        <f>IF($A927="","",IFERROR(INDEX('2_IMPORTAR_EJECUCION'!$F$9:$F$1208,MATCH($AT927,'2_IMPORTAR_EJECUCION'!$J$9:$J$1208,0)),0))</f>
        <v/>
      </c>
      <c r="AL927" s="18">
        <f>IF($A927="","",MAX(0,IFERROR(INDEX('2_IMPORTAR_EJECUCION'!$H$9:$H$1208,MATCH($AT927,'2_IMPORTAR_EJECUCION'!$J$9:$J$1208,0)),0)-$AK927))</f>
        <v/>
      </c>
      <c r="AM927" s="18">
        <f>IF($A927="","",$AK927+$AL927)</f>
        <v/>
      </c>
      <c r="AN927" s="5">
        <f>IF($A927="","",IF(OR((IFERROR(INDEX('CAT_ACTIVIDADES'!$D$4:$D$11,MATCH($H927,'CAT_ACTIVIDADES'!$A$4:$A$11,0)),""))=0,(IFERROR(INDEX('CAT_ACTIVIDADES'!$D$4:$D$11,MATCH($H927,'CAT_ACTIVIDADES'!$A$4:$A$11,0)),""))=""),"SIN CLASIFICAR",IFERROR(INDEX('CAT_ACTIVIDADES'!$D$4:$D$11,MATCH($H927,'CAT_ACTIVIDADES'!$A$4:$A$11,0)),"")))</f>
        <v/>
      </c>
      <c r="AO927" s="4" t="n"/>
      <c r="AP927" s="4" t="n"/>
      <c r="AQ927" s="4" t="n"/>
      <c r="AR927" s="5">
        <f>IF($AQ927="","",HYPERLINK(p_ruta_base_checklists&amp;$AQ927,"abrir"))</f>
        <v/>
      </c>
      <c r="AS927" s="4" t="n"/>
      <c r="AT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2" t="n"/>
      <c r="K928" s="5" t="n"/>
      <c r="L928" s="18" t="n"/>
      <c r="M928" s="5">
        <f>IF($A928="","",IFERROR(INDEX('AJUSTES'!$B$4:$B$303,MATCH($AT928,'AJUSTES'!$A$4:$A$303,0)),IF($K928="","",$K928)))</f>
        <v/>
      </c>
      <c r="N928" s="5">
        <f>IF($A928="","",IFERROR(INDEX('CAT_ESTADOS_ERP'!$B$4:$B$7,MATCH(IFERROR(INDEX('2_IMPORTAR_EJECUCION'!$C$9:$C$1208,MATCH($AT928,'2_IMPORTAR_EJECUCION'!$J$9:$J$1208,0)),""),'CAT_ESTADOS_ERP'!$A$4:$A$7,0)),"Pendiente"))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IF($J928="","",$P928&amp;"-"&amp;TEXT($Q928,"00"))</f>
        <v/>
      </c>
      <c r="S928" s="5">
        <f>IF($J928="","",INDEX(lista_dias,WEEKDAY($J928,2)))</f>
        <v/>
      </c>
      <c r="T928" s="5">
        <f>IF($J928="","",IFERROR(INDEX('CALENDARIO'!$C$15:$C$214,MATCH(TEXT($J928,"yyyy-mm-dd")&amp;"|"&amp;$X928&amp;"|"&amp;$Y928,'CALENDARIO'!$G$15:$G$214,0)),IFERROR(INDEX('CALENDARIO'!$C$15:$C$214,MATCH(TEXT($J928,"yyyy-mm-dd")&amp;"|"&amp;$X928&amp;"|",'CALENDARIO'!$G$15:$G$214,0)),IFERROR(INDEX('CALENDARIO'!$C$15:$C$214,MATCH(TEXT($J928,"yyyy-mm-dd")&amp;"||",'CALENDARIO'!$G$15:$G$214,0)),INDEX(patronHabil,WEEKDAY($J928,2))))))</f>
        <v/>
      </c>
      <c r="U928" s="5">
        <f>IF($I928="","",IFERROR(INDEX('CAT_TIPOS_OT'!$C$4:$C$8,MATCH($I928,'CAT_TIPOS_OT'!$A$4:$A$8,0)),"sin_clasificar"))</f>
        <v/>
      </c>
      <c r="V928" s="5">
        <f>IF($I928="","",IF(IFERROR(INDEX('CAT_TIPOS_OT'!$D$4:$D$8,MATCH($I928,'CAT_TIPOS_OT'!$A$4:$A$8,0)),"SIN CLASIFICAR")="","SIN CLASIFICAR",IFERROR(INDEX('CAT_TIPOS_OT'!$D$4:$D$8,MATCH($I928,'CAT_TIPOS_OT'!$A$4:$A$8,0)),"SIN CLASIFICAR")))</f>
        <v/>
      </c>
      <c r="W928" s="5">
        <f>IF($F928="","",IFERROR(INDEX('CAT_CENTROS_COSTO'!$F$4:$F$13,MATCH($F928,'CAT_CENTROS_COSTO'!$A$4:$A$13,0)),"(sin catálogo)"))</f>
        <v/>
      </c>
      <c r="X928" s="5">
        <f>IF($F928="","",IFERROR(INDEX('CAT_CENTROS_COSTO'!$D$4:$D$13,MATCH($F928,'CAT_CENTROS_COSTO'!$A$4:$A$13,0)),"(sin catálogo)"))</f>
        <v/>
      </c>
      <c r="Y928" s="5">
        <f>IF($F928="","",IF((IFERROR(INDEX('CAT_CENTROS_COSTO'!$E$4:$E$13,MATCH($F928,'CAT_CENTROS_COSTO'!$A$4:$A$13,0)),""))&lt;&gt;"",IFERROR(INDEX('CAT_CENTROS_COSTO'!$E$4:$E$13,MATCH($F928,'CAT_CENTROS_COSTO'!$A$4:$A$13,0)),""),$X928))</f>
        <v/>
      </c>
      <c r="Z928" s="5">
        <f>IF($F928="","",IFERROR(INDEX('CAT_CENTROS_COSTO'!$G$4:$G$13,MATCH($F928,'CAT_CENTROS_COSTO'!$A$4:$A$13,0)),"(sin catálogo)"))</f>
        <v/>
      </c>
      <c r="AA928" s="5">
        <f>IF($G928="","",IFERROR(INDEX('CAT_PUESTOS'!$B$4:$B$8,MATCH($G928,'CAT_PUESTOS'!$A$4:$A$8,0)),"(sin catálogo)"))</f>
        <v/>
      </c>
      <c r="AB928" s="5">
        <f>IF($H928="","",IFERROR(INDEX('CAT_ACTIVIDADES'!$B$4:$B$11,MATCH($H928,'CAT_ACTIVIDADES'!$A$4:$A$11,0)),"(sin catálogo)"))</f>
        <v/>
      </c>
      <c r="AC928" s="20">
        <f>IF($J928="","",TODAY()-$J928)</f>
        <v/>
      </c>
      <c r="AD928" s="20">
        <f>IF($J928="","",IF($J928&lt;=TODAY(),COUNTIFS(cal_fechas,"&gt;="&amp;$J928,cal_fechas,"&lt;"&amp;TODAY(),cal_habil,"sí"),-COUNTIFS(cal_fechas,"&gt;="&amp;TODAY(),cal_fechas,"&lt;"&amp;$J928,cal_habil,"sí")))</f>
        <v/>
      </c>
      <c r="AE928" s="5">
        <f>IF($AD928="","",IF($AD928&lt;0,"FUTURO",IF($AD928&gt;p_dias_backlog_max,"BACKLOG","MES CORRIENTE")))</f>
        <v/>
      </c>
      <c r="AF928" s="5">
        <f>IF($AD928="",FALSE,AND($AD928&gt;p_dias_backlog_min,$AD928&lt;=p_dias_backlog_max))</f>
        <v/>
      </c>
      <c r="AG928" s="4" t="n"/>
      <c r="AH928" s="5">
        <f>IF($AG928="","",IF((IFERROR(INDEX('ASIGNACIONES'!$J$4:$J$451,MATCH($O928&amp;"|"&amp;$S928&amp;"|"&amp;$AG928,'ASIGNACIONES'!$N$4:$N$451,0)),""))=0,"",IFERROR(INDEX('ASIGNACIONES'!$J$4:$J$451,MATCH($O928&amp;"|"&amp;$S928&amp;"|"&amp;$AG928,'ASIGNACIONES'!$N$4:$N$451,0)),"")))</f>
        <v/>
      </c>
      <c r="AI928" s="25">
        <f>IF($AG928="","",SUMIFS('ORDENES'!$M$4:$M$1203,'ORDENES'!$AG$4:$AG$1203,$AG928,'ORDENES'!$O$4:$O$1203,$O928,'ORDENES'!$S$4:$S$1203,$S928))</f>
        <v/>
      </c>
      <c r="AJ928" s="25">
        <f>IF($AI928="","",p_factor_productividad*IFERROR(INDEX('ASIGNACIONES'!$M$4:$M$451,MATCH($O928&amp;"|"&amp;$S928&amp;"|"&amp;$AG928,'ASIGNACIONES'!$N$4:$N$451,0)),0)-$AI928)</f>
        <v/>
      </c>
      <c r="AK928" s="18">
        <f>IF($A928="","",IFERROR(INDEX('2_IMPORTAR_EJECUCION'!$F$9:$F$1208,MATCH($AT928,'2_IMPORTAR_EJECUCION'!$J$9:$J$1208,0)),0))</f>
        <v/>
      </c>
      <c r="AL928" s="18">
        <f>IF($A928="","",MAX(0,IFERROR(INDEX('2_IMPORTAR_EJECUCION'!$H$9:$H$1208,MATCH($AT928,'2_IMPORTAR_EJECUCION'!$J$9:$J$1208,0)),0)-$AK928))</f>
        <v/>
      </c>
      <c r="AM928" s="18">
        <f>IF($A928="","",$AK928+$AL928)</f>
        <v/>
      </c>
      <c r="AN928" s="5">
        <f>IF($A928="","",IF(OR((IFERROR(INDEX('CAT_ACTIVIDADES'!$D$4:$D$11,MATCH($H928,'CAT_ACTIVIDADES'!$A$4:$A$11,0)),""))=0,(IFERROR(INDEX('CAT_ACTIVIDADES'!$D$4:$D$11,MATCH($H928,'CAT_ACTIVIDADES'!$A$4:$A$11,0)),""))=""),"SIN CLASIFICAR",IFERROR(INDEX('CAT_ACTIVIDADES'!$D$4:$D$11,MATCH($H928,'CAT_ACTIVIDADES'!$A$4:$A$11,0)),"")))</f>
        <v/>
      </c>
      <c r="AO928" s="4" t="n"/>
      <c r="AP928" s="4" t="n"/>
      <c r="AQ928" s="4" t="n"/>
      <c r="AR928" s="5">
        <f>IF($AQ928="","",HYPERLINK(p_ruta_base_checklists&amp;$AQ928,"abrir"))</f>
        <v/>
      </c>
      <c r="AS928" s="4" t="n"/>
      <c r="AT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2" t="n"/>
      <c r="K929" s="5" t="n"/>
      <c r="L929" s="18" t="n"/>
      <c r="M929" s="5">
        <f>IF($A929="","",IFERROR(INDEX('AJUSTES'!$B$4:$B$303,MATCH($AT929,'AJUSTES'!$A$4:$A$303,0)),IF($K929="","",$K929)))</f>
        <v/>
      </c>
      <c r="N929" s="5">
        <f>IF($A929="","",IFERROR(INDEX('CAT_ESTADOS_ERP'!$B$4:$B$7,MATCH(IFERROR(INDEX('2_IMPORTAR_EJECUCION'!$C$9:$C$1208,MATCH($AT929,'2_IMPORTAR_EJECUCION'!$J$9:$J$1208,0)),""),'CAT_ESTADOS_ERP'!$A$4:$A$7,0)),"Pendiente"))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IF($J929="","",$P929&amp;"-"&amp;TEXT($Q929,"00"))</f>
        <v/>
      </c>
      <c r="S929" s="5">
        <f>IF($J929="","",INDEX(lista_dias,WEEKDAY($J929,2)))</f>
        <v/>
      </c>
      <c r="T929" s="5">
        <f>IF($J929="","",IFERROR(INDEX('CALENDARIO'!$C$15:$C$214,MATCH(TEXT($J929,"yyyy-mm-dd")&amp;"|"&amp;$X929&amp;"|"&amp;$Y929,'CALENDARIO'!$G$15:$G$214,0)),IFERROR(INDEX('CALENDARIO'!$C$15:$C$214,MATCH(TEXT($J929,"yyyy-mm-dd")&amp;"|"&amp;$X929&amp;"|",'CALENDARIO'!$G$15:$G$214,0)),IFERROR(INDEX('CALENDARIO'!$C$15:$C$214,MATCH(TEXT($J929,"yyyy-mm-dd")&amp;"||",'CALENDARIO'!$G$15:$G$214,0)),INDEX(patronHabil,WEEKDAY($J929,2))))))</f>
        <v/>
      </c>
      <c r="U929" s="5">
        <f>IF($I929="","",IFERROR(INDEX('CAT_TIPOS_OT'!$C$4:$C$8,MATCH($I929,'CAT_TIPOS_OT'!$A$4:$A$8,0)),"sin_clasificar"))</f>
        <v/>
      </c>
      <c r="V929" s="5">
        <f>IF($I929="","",IF(IFERROR(INDEX('CAT_TIPOS_OT'!$D$4:$D$8,MATCH($I929,'CAT_TIPOS_OT'!$A$4:$A$8,0)),"SIN CLASIFICAR")="","SIN CLASIFICAR",IFERROR(INDEX('CAT_TIPOS_OT'!$D$4:$D$8,MATCH($I929,'CAT_TIPOS_OT'!$A$4:$A$8,0)),"SIN CLASIFICAR")))</f>
        <v/>
      </c>
      <c r="W929" s="5">
        <f>IF($F929="","",IFERROR(INDEX('CAT_CENTROS_COSTO'!$F$4:$F$13,MATCH($F929,'CAT_CENTROS_COSTO'!$A$4:$A$13,0)),"(sin catálogo)"))</f>
        <v/>
      </c>
      <c r="X929" s="5">
        <f>IF($F929="","",IFERROR(INDEX('CAT_CENTROS_COSTO'!$D$4:$D$13,MATCH($F929,'CAT_CENTROS_COSTO'!$A$4:$A$13,0)),"(sin catálogo)"))</f>
        <v/>
      </c>
      <c r="Y929" s="5">
        <f>IF($F929="","",IF((IFERROR(INDEX('CAT_CENTROS_COSTO'!$E$4:$E$13,MATCH($F929,'CAT_CENTROS_COSTO'!$A$4:$A$13,0)),""))&lt;&gt;"",IFERROR(INDEX('CAT_CENTROS_COSTO'!$E$4:$E$13,MATCH($F929,'CAT_CENTROS_COSTO'!$A$4:$A$13,0)),""),$X929))</f>
        <v/>
      </c>
      <c r="Z929" s="5">
        <f>IF($F929="","",IFERROR(INDEX('CAT_CENTROS_COSTO'!$G$4:$G$13,MATCH($F929,'CAT_CENTROS_COSTO'!$A$4:$A$13,0)),"(sin catálogo)"))</f>
        <v/>
      </c>
      <c r="AA929" s="5">
        <f>IF($G929="","",IFERROR(INDEX('CAT_PUESTOS'!$B$4:$B$8,MATCH($G929,'CAT_PUESTOS'!$A$4:$A$8,0)),"(sin catálogo)"))</f>
        <v/>
      </c>
      <c r="AB929" s="5">
        <f>IF($H929="","",IFERROR(INDEX('CAT_ACTIVIDADES'!$B$4:$B$11,MATCH($H929,'CAT_ACTIVIDADES'!$A$4:$A$11,0)),"(sin catálogo)"))</f>
        <v/>
      </c>
      <c r="AC929" s="20">
        <f>IF($J929="","",TODAY()-$J929)</f>
        <v/>
      </c>
      <c r="AD929" s="20">
        <f>IF($J929="","",IF($J929&lt;=TODAY(),COUNTIFS(cal_fechas,"&gt;="&amp;$J929,cal_fechas,"&lt;"&amp;TODAY(),cal_habil,"sí"),-COUNTIFS(cal_fechas,"&gt;="&amp;TODAY(),cal_fechas,"&lt;"&amp;$J929,cal_habil,"sí")))</f>
        <v/>
      </c>
      <c r="AE929" s="5">
        <f>IF($AD929="","",IF($AD929&lt;0,"FUTURO",IF($AD929&gt;p_dias_backlog_max,"BACKLOG","MES CORRIENTE")))</f>
        <v/>
      </c>
      <c r="AF929" s="5">
        <f>IF($AD929="",FALSE,AND($AD929&gt;p_dias_backlog_min,$AD929&lt;=p_dias_backlog_max))</f>
        <v/>
      </c>
      <c r="AG929" s="4" t="n"/>
      <c r="AH929" s="5">
        <f>IF($AG929="","",IF((IFERROR(INDEX('ASIGNACIONES'!$J$4:$J$451,MATCH($O929&amp;"|"&amp;$S929&amp;"|"&amp;$AG929,'ASIGNACIONES'!$N$4:$N$451,0)),""))=0,"",IFERROR(INDEX('ASIGNACIONES'!$J$4:$J$451,MATCH($O929&amp;"|"&amp;$S929&amp;"|"&amp;$AG929,'ASIGNACIONES'!$N$4:$N$451,0)),"")))</f>
        <v/>
      </c>
      <c r="AI929" s="25">
        <f>IF($AG929="","",SUMIFS('ORDENES'!$M$4:$M$1203,'ORDENES'!$AG$4:$AG$1203,$AG929,'ORDENES'!$O$4:$O$1203,$O929,'ORDENES'!$S$4:$S$1203,$S929))</f>
        <v/>
      </c>
      <c r="AJ929" s="25">
        <f>IF($AI929="","",p_factor_productividad*IFERROR(INDEX('ASIGNACIONES'!$M$4:$M$451,MATCH($O929&amp;"|"&amp;$S929&amp;"|"&amp;$AG929,'ASIGNACIONES'!$N$4:$N$451,0)),0)-$AI929)</f>
        <v/>
      </c>
      <c r="AK929" s="18">
        <f>IF($A929="","",IFERROR(INDEX('2_IMPORTAR_EJECUCION'!$F$9:$F$1208,MATCH($AT929,'2_IMPORTAR_EJECUCION'!$J$9:$J$1208,0)),0))</f>
        <v/>
      </c>
      <c r="AL929" s="18">
        <f>IF($A929="","",MAX(0,IFERROR(INDEX('2_IMPORTAR_EJECUCION'!$H$9:$H$1208,MATCH($AT929,'2_IMPORTAR_EJECUCION'!$J$9:$J$1208,0)),0)-$AK929))</f>
        <v/>
      </c>
      <c r="AM929" s="18">
        <f>IF($A929="","",$AK929+$AL929)</f>
        <v/>
      </c>
      <c r="AN929" s="5">
        <f>IF($A929="","",IF(OR((IFERROR(INDEX('CAT_ACTIVIDADES'!$D$4:$D$11,MATCH($H929,'CAT_ACTIVIDADES'!$A$4:$A$11,0)),""))=0,(IFERROR(INDEX('CAT_ACTIVIDADES'!$D$4:$D$11,MATCH($H929,'CAT_ACTIVIDADES'!$A$4:$A$11,0)),""))=""),"SIN CLASIFICAR",IFERROR(INDEX('CAT_ACTIVIDADES'!$D$4:$D$11,MATCH($H929,'CAT_ACTIVIDADES'!$A$4:$A$11,0)),"")))</f>
        <v/>
      </c>
      <c r="AO929" s="4" t="n"/>
      <c r="AP929" s="4" t="n"/>
      <c r="AQ929" s="4" t="n"/>
      <c r="AR929" s="5">
        <f>IF($AQ929="","",HYPERLINK(p_ruta_base_checklists&amp;$AQ929,"abrir"))</f>
        <v/>
      </c>
      <c r="AS929" s="4" t="n"/>
      <c r="AT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2" t="n"/>
      <c r="K930" s="5" t="n"/>
      <c r="L930" s="18" t="n"/>
      <c r="M930" s="5">
        <f>IF($A930="","",IFERROR(INDEX('AJUSTES'!$B$4:$B$303,MATCH($AT930,'AJUSTES'!$A$4:$A$303,0)),IF($K930="","",$K930)))</f>
        <v/>
      </c>
      <c r="N930" s="5">
        <f>IF($A930="","",IFERROR(INDEX('CAT_ESTADOS_ERP'!$B$4:$B$7,MATCH(IFERROR(INDEX('2_IMPORTAR_EJECUCION'!$C$9:$C$1208,MATCH($AT930,'2_IMPORTAR_EJECUCION'!$J$9:$J$1208,0)),""),'CAT_ESTADOS_ERP'!$A$4:$A$7,0)),"Pendiente"))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IF($J930="","",$P930&amp;"-"&amp;TEXT($Q930,"00"))</f>
        <v/>
      </c>
      <c r="S930" s="5">
        <f>IF($J930="","",INDEX(lista_dias,WEEKDAY($J930,2)))</f>
        <v/>
      </c>
      <c r="T930" s="5">
        <f>IF($J930="","",IFERROR(INDEX('CALENDARIO'!$C$15:$C$214,MATCH(TEXT($J930,"yyyy-mm-dd")&amp;"|"&amp;$X930&amp;"|"&amp;$Y930,'CALENDARIO'!$G$15:$G$214,0)),IFERROR(INDEX('CALENDARIO'!$C$15:$C$214,MATCH(TEXT($J930,"yyyy-mm-dd")&amp;"|"&amp;$X930&amp;"|",'CALENDARIO'!$G$15:$G$214,0)),IFERROR(INDEX('CALENDARIO'!$C$15:$C$214,MATCH(TEXT($J930,"yyyy-mm-dd")&amp;"||",'CALENDARIO'!$G$15:$G$214,0)),INDEX(patronHabil,WEEKDAY($J930,2))))))</f>
        <v/>
      </c>
      <c r="U930" s="5">
        <f>IF($I930="","",IFERROR(INDEX('CAT_TIPOS_OT'!$C$4:$C$8,MATCH($I930,'CAT_TIPOS_OT'!$A$4:$A$8,0)),"sin_clasificar"))</f>
        <v/>
      </c>
      <c r="V930" s="5">
        <f>IF($I930="","",IF(IFERROR(INDEX('CAT_TIPOS_OT'!$D$4:$D$8,MATCH($I930,'CAT_TIPOS_OT'!$A$4:$A$8,0)),"SIN CLASIFICAR")="","SIN CLASIFICAR",IFERROR(INDEX('CAT_TIPOS_OT'!$D$4:$D$8,MATCH($I930,'CAT_TIPOS_OT'!$A$4:$A$8,0)),"SIN CLASIFICAR")))</f>
        <v/>
      </c>
      <c r="W930" s="5">
        <f>IF($F930="","",IFERROR(INDEX('CAT_CENTROS_COSTO'!$F$4:$F$13,MATCH($F930,'CAT_CENTROS_COSTO'!$A$4:$A$13,0)),"(sin catálogo)"))</f>
        <v/>
      </c>
      <c r="X930" s="5">
        <f>IF($F930="","",IFERROR(INDEX('CAT_CENTROS_COSTO'!$D$4:$D$13,MATCH($F930,'CAT_CENTROS_COSTO'!$A$4:$A$13,0)),"(sin catálogo)"))</f>
        <v/>
      </c>
      <c r="Y930" s="5">
        <f>IF($F930="","",IF((IFERROR(INDEX('CAT_CENTROS_COSTO'!$E$4:$E$13,MATCH($F930,'CAT_CENTROS_COSTO'!$A$4:$A$13,0)),""))&lt;&gt;"",IFERROR(INDEX('CAT_CENTROS_COSTO'!$E$4:$E$13,MATCH($F930,'CAT_CENTROS_COSTO'!$A$4:$A$13,0)),""),$X930))</f>
        <v/>
      </c>
      <c r="Z930" s="5">
        <f>IF($F930="","",IFERROR(INDEX('CAT_CENTROS_COSTO'!$G$4:$G$13,MATCH($F930,'CAT_CENTROS_COSTO'!$A$4:$A$13,0)),"(sin catálogo)"))</f>
        <v/>
      </c>
      <c r="AA930" s="5">
        <f>IF($G930="","",IFERROR(INDEX('CAT_PUESTOS'!$B$4:$B$8,MATCH($G930,'CAT_PUESTOS'!$A$4:$A$8,0)),"(sin catálogo)"))</f>
        <v/>
      </c>
      <c r="AB930" s="5">
        <f>IF($H930="","",IFERROR(INDEX('CAT_ACTIVIDADES'!$B$4:$B$11,MATCH($H930,'CAT_ACTIVIDADES'!$A$4:$A$11,0)),"(sin catálogo)"))</f>
        <v/>
      </c>
      <c r="AC930" s="20">
        <f>IF($J930="","",TODAY()-$J930)</f>
        <v/>
      </c>
      <c r="AD930" s="20">
        <f>IF($J930="","",IF($J930&lt;=TODAY(),COUNTIFS(cal_fechas,"&gt;="&amp;$J930,cal_fechas,"&lt;"&amp;TODAY(),cal_habil,"sí"),-COUNTIFS(cal_fechas,"&gt;="&amp;TODAY(),cal_fechas,"&lt;"&amp;$J930,cal_habil,"sí")))</f>
        <v/>
      </c>
      <c r="AE930" s="5">
        <f>IF($AD930="","",IF($AD930&lt;0,"FUTURO",IF($AD930&gt;p_dias_backlog_max,"BACKLOG","MES CORRIENTE")))</f>
        <v/>
      </c>
      <c r="AF930" s="5">
        <f>IF($AD930="",FALSE,AND($AD930&gt;p_dias_backlog_min,$AD930&lt;=p_dias_backlog_max))</f>
        <v/>
      </c>
      <c r="AG930" s="4" t="n"/>
      <c r="AH930" s="5">
        <f>IF($AG930="","",IF((IFERROR(INDEX('ASIGNACIONES'!$J$4:$J$451,MATCH($O930&amp;"|"&amp;$S930&amp;"|"&amp;$AG930,'ASIGNACIONES'!$N$4:$N$451,0)),""))=0,"",IFERROR(INDEX('ASIGNACIONES'!$J$4:$J$451,MATCH($O930&amp;"|"&amp;$S930&amp;"|"&amp;$AG930,'ASIGNACIONES'!$N$4:$N$451,0)),"")))</f>
        <v/>
      </c>
      <c r="AI930" s="25">
        <f>IF($AG930="","",SUMIFS('ORDENES'!$M$4:$M$1203,'ORDENES'!$AG$4:$AG$1203,$AG930,'ORDENES'!$O$4:$O$1203,$O930,'ORDENES'!$S$4:$S$1203,$S930))</f>
        <v/>
      </c>
      <c r="AJ930" s="25">
        <f>IF($AI930="","",p_factor_productividad*IFERROR(INDEX('ASIGNACIONES'!$M$4:$M$451,MATCH($O930&amp;"|"&amp;$S930&amp;"|"&amp;$AG930,'ASIGNACIONES'!$N$4:$N$451,0)),0)-$AI930)</f>
        <v/>
      </c>
      <c r="AK930" s="18">
        <f>IF($A930="","",IFERROR(INDEX('2_IMPORTAR_EJECUCION'!$F$9:$F$1208,MATCH($AT930,'2_IMPORTAR_EJECUCION'!$J$9:$J$1208,0)),0))</f>
        <v/>
      </c>
      <c r="AL930" s="18">
        <f>IF($A930="","",MAX(0,IFERROR(INDEX('2_IMPORTAR_EJECUCION'!$H$9:$H$1208,MATCH($AT930,'2_IMPORTAR_EJECUCION'!$J$9:$J$1208,0)),0)-$AK930))</f>
        <v/>
      </c>
      <c r="AM930" s="18">
        <f>IF($A930="","",$AK930+$AL930)</f>
        <v/>
      </c>
      <c r="AN930" s="5">
        <f>IF($A930="","",IF(OR((IFERROR(INDEX('CAT_ACTIVIDADES'!$D$4:$D$11,MATCH($H930,'CAT_ACTIVIDADES'!$A$4:$A$11,0)),""))=0,(IFERROR(INDEX('CAT_ACTIVIDADES'!$D$4:$D$11,MATCH($H930,'CAT_ACTIVIDADES'!$A$4:$A$11,0)),""))=""),"SIN CLASIFICAR",IFERROR(INDEX('CAT_ACTIVIDADES'!$D$4:$D$11,MATCH($H930,'CAT_ACTIVIDADES'!$A$4:$A$11,0)),"")))</f>
        <v/>
      </c>
      <c r="AO930" s="4" t="n"/>
      <c r="AP930" s="4" t="n"/>
      <c r="AQ930" s="4" t="n"/>
      <c r="AR930" s="5">
        <f>IF($AQ930="","",HYPERLINK(p_ruta_base_checklists&amp;$AQ930,"abrir"))</f>
        <v/>
      </c>
      <c r="AS930" s="4" t="n"/>
      <c r="AT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2" t="n"/>
      <c r="K931" s="5" t="n"/>
      <c r="L931" s="18" t="n"/>
      <c r="M931" s="5">
        <f>IF($A931="","",IFERROR(INDEX('AJUSTES'!$B$4:$B$303,MATCH($AT931,'AJUSTES'!$A$4:$A$303,0)),IF($K931="","",$K931)))</f>
        <v/>
      </c>
      <c r="N931" s="5">
        <f>IF($A931="","",IFERROR(INDEX('CAT_ESTADOS_ERP'!$B$4:$B$7,MATCH(IFERROR(INDEX('2_IMPORTAR_EJECUCION'!$C$9:$C$1208,MATCH($AT931,'2_IMPORTAR_EJECUCION'!$J$9:$J$1208,0)),""),'CAT_ESTADOS_ERP'!$A$4:$A$7,0)),"Pendiente"))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IF($J931="","",$P931&amp;"-"&amp;TEXT($Q931,"00"))</f>
        <v/>
      </c>
      <c r="S931" s="5">
        <f>IF($J931="","",INDEX(lista_dias,WEEKDAY($J931,2)))</f>
        <v/>
      </c>
      <c r="T931" s="5">
        <f>IF($J931="","",IFERROR(INDEX('CALENDARIO'!$C$15:$C$214,MATCH(TEXT($J931,"yyyy-mm-dd")&amp;"|"&amp;$X931&amp;"|"&amp;$Y931,'CALENDARIO'!$G$15:$G$214,0)),IFERROR(INDEX('CALENDARIO'!$C$15:$C$214,MATCH(TEXT($J931,"yyyy-mm-dd")&amp;"|"&amp;$X931&amp;"|",'CALENDARIO'!$G$15:$G$214,0)),IFERROR(INDEX('CALENDARIO'!$C$15:$C$214,MATCH(TEXT($J931,"yyyy-mm-dd")&amp;"||",'CALENDARIO'!$G$15:$G$214,0)),INDEX(patronHabil,WEEKDAY($J931,2))))))</f>
        <v/>
      </c>
      <c r="U931" s="5">
        <f>IF($I931="","",IFERROR(INDEX('CAT_TIPOS_OT'!$C$4:$C$8,MATCH($I931,'CAT_TIPOS_OT'!$A$4:$A$8,0)),"sin_clasificar"))</f>
        <v/>
      </c>
      <c r="V931" s="5">
        <f>IF($I931="","",IF(IFERROR(INDEX('CAT_TIPOS_OT'!$D$4:$D$8,MATCH($I931,'CAT_TIPOS_OT'!$A$4:$A$8,0)),"SIN CLASIFICAR")="","SIN CLASIFICAR",IFERROR(INDEX('CAT_TIPOS_OT'!$D$4:$D$8,MATCH($I931,'CAT_TIPOS_OT'!$A$4:$A$8,0)),"SIN CLASIFICAR")))</f>
        <v/>
      </c>
      <c r="W931" s="5">
        <f>IF($F931="","",IFERROR(INDEX('CAT_CENTROS_COSTO'!$F$4:$F$13,MATCH($F931,'CAT_CENTROS_COSTO'!$A$4:$A$13,0)),"(sin catálogo)"))</f>
        <v/>
      </c>
      <c r="X931" s="5">
        <f>IF($F931="","",IFERROR(INDEX('CAT_CENTROS_COSTO'!$D$4:$D$13,MATCH($F931,'CAT_CENTROS_COSTO'!$A$4:$A$13,0)),"(sin catálogo)"))</f>
        <v/>
      </c>
      <c r="Y931" s="5">
        <f>IF($F931="","",IF((IFERROR(INDEX('CAT_CENTROS_COSTO'!$E$4:$E$13,MATCH($F931,'CAT_CENTROS_COSTO'!$A$4:$A$13,0)),""))&lt;&gt;"",IFERROR(INDEX('CAT_CENTROS_COSTO'!$E$4:$E$13,MATCH($F931,'CAT_CENTROS_COSTO'!$A$4:$A$13,0)),""),$X931))</f>
        <v/>
      </c>
      <c r="Z931" s="5">
        <f>IF($F931="","",IFERROR(INDEX('CAT_CENTROS_COSTO'!$G$4:$G$13,MATCH($F931,'CAT_CENTROS_COSTO'!$A$4:$A$13,0)),"(sin catálogo)"))</f>
        <v/>
      </c>
      <c r="AA931" s="5">
        <f>IF($G931="","",IFERROR(INDEX('CAT_PUESTOS'!$B$4:$B$8,MATCH($G931,'CAT_PUESTOS'!$A$4:$A$8,0)),"(sin catálogo)"))</f>
        <v/>
      </c>
      <c r="AB931" s="5">
        <f>IF($H931="","",IFERROR(INDEX('CAT_ACTIVIDADES'!$B$4:$B$11,MATCH($H931,'CAT_ACTIVIDADES'!$A$4:$A$11,0)),"(sin catálogo)"))</f>
        <v/>
      </c>
      <c r="AC931" s="20">
        <f>IF($J931="","",TODAY()-$J931)</f>
        <v/>
      </c>
      <c r="AD931" s="20">
        <f>IF($J931="","",IF($J931&lt;=TODAY(),COUNTIFS(cal_fechas,"&gt;="&amp;$J931,cal_fechas,"&lt;"&amp;TODAY(),cal_habil,"sí"),-COUNTIFS(cal_fechas,"&gt;="&amp;TODAY(),cal_fechas,"&lt;"&amp;$J931,cal_habil,"sí")))</f>
        <v/>
      </c>
      <c r="AE931" s="5">
        <f>IF($AD931="","",IF($AD931&lt;0,"FUTURO",IF($AD931&gt;p_dias_backlog_max,"BACKLOG","MES CORRIENTE")))</f>
        <v/>
      </c>
      <c r="AF931" s="5">
        <f>IF($AD931="",FALSE,AND($AD931&gt;p_dias_backlog_min,$AD931&lt;=p_dias_backlog_max))</f>
        <v/>
      </c>
      <c r="AG931" s="4" t="n"/>
      <c r="AH931" s="5">
        <f>IF($AG931="","",IF((IFERROR(INDEX('ASIGNACIONES'!$J$4:$J$451,MATCH($O931&amp;"|"&amp;$S931&amp;"|"&amp;$AG931,'ASIGNACIONES'!$N$4:$N$451,0)),""))=0,"",IFERROR(INDEX('ASIGNACIONES'!$J$4:$J$451,MATCH($O931&amp;"|"&amp;$S931&amp;"|"&amp;$AG931,'ASIGNACIONES'!$N$4:$N$451,0)),"")))</f>
        <v/>
      </c>
      <c r="AI931" s="25">
        <f>IF($AG931="","",SUMIFS('ORDENES'!$M$4:$M$1203,'ORDENES'!$AG$4:$AG$1203,$AG931,'ORDENES'!$O$4:$O$1203,$O931,'ORDENES'!$S$4:$S$1203,$S931))</f>
        <v/>
      </c>
      <c r="AJ931" s="25">
        <f>IF($AI931="","",p_factor_productividad*IFERROR(INDEX('ASIGNACIONES'!$M$4:$M$451,MATCH($O931&amp;"|"&amp;$S931&amp;"|"&amp;$AG931,'ASIGNACIONES'!$N$4:$N$451,0)),0)-$AI931)</f>
        <v/>
      </c>
      <c r="AK931" s="18">
        <f>IF($A931="","",IFERROR(INDEX('2_IMPORTAR_EJECUCION'!$F$9:$F$1208,MATCH($AT931,'2_IMPORTAR_EJECUCION'!$J$9:$J$1208,0)),0))</f>
        <v/>
      </c>
      <c r="AL931" s="18">
        <f>IF($A931="","",MAX(0,IFERROR(INDEX('2_IMPORTAR_EJECUCION'!$H$9:$H$1208,MATCH($AT931,'2_IMPORTAR_EJECUCION'!$J$9:$J$1208,0)),0)-$AK931))</f>
        <v/>
      </c>
      <c r="AM931" s="18">
        <f>IF($A931="","",$AK931+$AL931)</f>
        <v/>
      </c>
      <c r="AN931" s="5">
        <f>IF($A931="","",IF(OR((IFERROR(INDEX('CAT_ACTIVIDADES'!$D$4:$D$11,MATCH($H931,'CAT_ACTIVIDADES'!$A$4:$A$11,0)),""))=0,(IFERROR(INDEX('CAT_ACTIVIDADES'!$D$4:$D$11,MATCH($H931,'CAT_ACTIVIDADES'!$A$4:$A$11,0)),""))=""),"SIN CLASIFICAR",IFERROR(INDEX('CAT_ACTIVIDADES'!$D$4:$D$11,MATCH($H931,'CAT_ACTIVIDADES'!$A$4:$A$11,0)),"")))</f>
        <v/>
      </c>
      <c r="AO931" s="4" t="n"/>
      <c r="AP931" s="4" t="n"/>
      <c r="AQ931" s="4" t="n"/>
      <c r="AR931" s="5">
        <f>IF($AQ931="","",HYPERLINK(p_ruta_base_checklists&amp;$AQ931,"abrir"))</f>
        <v/>
      </c>
      <c r="AS931" s="4" t="n"/>
      <c r="AT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2" t="n"/>
      <c r="K932" s="5" t="n"/>
      <c r="L932" s="18" t="n"/>
      <c r="M932" s="5">
        <f>IF($A932="","",IFERROR(INDEX('AJUSTES'!$B$4:$B$303,MATCH($AT932,'AJUSTES'!$A$4:$A$303,0)),IF($K932="","",$K932)))</f>
        <v/>
      </c>
      <c r="N932" s="5">
        <f>IF($A932="","",IFERROR(INDEX('CAT_ESTADOS_ERP'!$B$4:$B$7,MATCH(IFERROR(INDEX('2_IMPORTAR_EJECUCION'!$C$9:$C$1208,MATCH($AT932,'2_IMPORTAR_EJECUCION'!$J$9:$J$1208,0)),""),'CAT_ESTADOS_ERP'!$A$4:$A$7,0)),"Pendiente"))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IF($J932="","",$P932&amp;"-"&amp;TEXT($Q932,"00"))</f>
        <v/>
      </c>
      <c r="S932" s="5">
        <f>IF($J932="","",INDEX(lista_dias,WEEKDAY($J932,2)))</f>
        <v/>
      </c>
      <c r="T932" s="5">
        <f>IF($J932="","",IFERROR(INDEX('CALENDARIO'!$C$15:$C$214,MATCH(TEXT($J932,"yyyy-mm-dd")&amp;"|"&amp;$X932&amp;"|"&amp;$Y932,'CALENDARIO'!$G$15:$G$214,0)),IFERROR(INDEX('CALENDARIO'!$C$15:$C$214,MATCH(TEXT($J932,"yyyy-mm-dd")&amp;"|"&amp;$X932&amp;"|",'CALENDARIO'!$G$15:$G$214,0)),IFERROR(INDEX('CALENDARIO'!$C$15:$C$214,MATCH(TEXT($J932,"yyyy-mm-dd")&amp;"||",'CALENDARIO'!$G$15:$G$214,0)),INDEX(patronHabil,WEEKDAY($J932,2))))))</f>
        <v/>
      </c>
      <c r="U932" s="5">
        <f>IF($I932="","",IFERROR(INDEX('CAT_TIPOS_OT'!$C$4:$C$8,MATCH($I932,'CAT_TIPOS_OT'!$A$4:$A$8,0)),"sin_clasificar"))</f>
        <v/>
      </c>
      <c r="V932" s="5">
        <f>IF($I932="","",IF(IFERROR(INDEX('CAT_TIPOS_OT'!$D$4:$D$8,MATCH($I932,'CAT_TIPOS_OT'!$A$4:$A$8,0)),"SIN CLASIFICAR")="","SIN CLASIFICAR",IFERROR(INDEX('CAT_TIPOS_OT'!$D$4:$D$8,MATCH($I932,'CAT_TIPOS_OT'!$A$4:$A$8,0)),"SIN CLASIFICAR")))</f>
        <v/>
      </c>
      <c r="W932" s="5">
        <f>IF($F932="","",IFERROR(INDEX('CAT_CENTROS_COSTO'!$F$4:$F$13,MATCH($F932,'CAT_CENTROS_COSTO'!$A$4:$A$13,0)),"(sin catálogo)"))</f>
        <v/>
      </c>
      <c r="X932" s="5">
        <f>IF($F932="","",IFERROR(INDEX('CAT_CENTROS_COSTO'!$D$4:$D$13,MATCH($F932,'CAT_CENTROS_COSTO'!$A$4:$A$13,0)),"(sin catálogo)"))</f>
        <v/>
      </c>
      <c r="Y932" s="5">
        <f>IF($F932="","",IF((IFERROR(INDEX('CAT_CENTROS_COSTO'!$E$4:$E$13,MATCH($F932,'CAT_CENTROS_COSTO'!$A$4:$A$13,0)),""))&lt;&gt;"",IFERROR(INDEX('CAT_CENTROS_COSTO'!$E$4:$E$13,MATCH($F932,'CAT_CENTROS_COSTO'!$A$4:$A$13,0)),""),$X932))</f>
        <v/>
      </c>
      <c r="Z932" s="5">
        <f>IF($F932="","",IFERROR(INDEX('CAT_CENTROS_COSTO'!$G$4:$G$13,MATCH($F932,'CAT_CENTROS_COSTO'!$A$4:$A$13,0)),"(sin catálogo)"))</f>
        <v/>
      </c>
      <c r="AA932" s="5">
        <f>IF($G932="","",IFERROR(INDEX('CAT_PUESTOS'!$B$4:$B$8,MATCH($G932,'CAT_PUESTOS'!$A$4:$A$8,0)),"(sin catálogo)"))</f>
        <v/>
      </c>
      <c r="AB932" s="5">
        <f>IF($H932="","",IFERROR(INDEX('CAT_ACTIVIDADES'!$B$4:$B$11,MATCH($H932,'CAT_ACTIVIDADES'!$A$4:$A$11,0)),"(sin catálogo)"))</f>
        <v/>
      </c>
      <c r="AC932" s="20">
        <f>IF($J932="","",TODAY()-$J932)</f>
        <v/>
      </c>
      <c r="AD932" s="20">
        <f>IF($J932="","",IF($J932&lt;=TODAY(),COUNTIFS(cal_fechas,"&gt;="&amp;$J932,cal_fechas,"&lt;"&amp;TODAY(),cal_habil,"sí"),-COUNTIFS(cal_fechas,"&gt;="&amp;TODAY(),cal_fechas,"&lt;"&amp;$J932,cal_habil,"sí")))</f>
        <v/>
      </c>
      <c r="AE932" s="5">
        <f>IF($AD932="","",IF($AD932&lt;0,"FUTURO",IF($AD932&gt;p_dias_backlog_max,"BACKLOG","MES CORRIENTE")))</f>
        <v/>
      </c>
      <c r="AF932" s="5">
        <f>IF($AD932="",FALSE,AND($AD932&gt;p_dias_backlog_min,$AD932&lt;=p_dias_backlog_max))</f>
        <v/>
      </c>
      <c r="AG932" s="4" t="n"/>
      <c r="AH932" s="5">
        <f>IF($AG932="","",IF((IFERROR(INDEX('ASIGNACIONES'!$J$4:$J$451,MATCH($O932&amp;"|"&amp;$S932&amp;"|"&amp;$AG932,'ASIGNACIONES'!$N$4:$N$451,0)),""))=0,"",IFERROR(INDEX('ASIGNACIONES'!$J$4:$J$451,MATCH($O932&amp;"|"&amp;$S932&amp;"|"&amp;$AG932,'ASIGNACIONES'!$N$4:$N$451,0)),"")))</f>
        <v/>
      </c>
      <c r="AI932" s="25">
        <f>IF($AG932="","",SUMIFS('ORDENES'!$M$4:$M$1203,'ORDENES'!$AG$4:$AG$1203,$AG932,'ORDENES'!$O$4:$O$1203,$O932,'ORDENES'!$S$4:$S$1203,$S932))</f>
        <v/>
      </c>
      <c r="AJ932" s="25">
        <f>IF($AI932="","",p_factor_productividad*IFERROR(INDEX('ASIGNACIONES'!$M$4:$M$451,MATCH($O932&amp;"|"&amp;$S932&amp;"|"&amp;$AG932,'ASIGNACIONES'!$N$4:$N$451,0)),0)-$AI932)</f>
        <v/>
      </c>
      <c r="AK932" s="18">
        <f>IF($A932="","",IFERROR(INDEX('2_IMPORTAR_EJECUCION'!$F$9:$F$1208,MATCH($AT932,'2_IMPORTAR_EJECUCION'!$J$9:$J$1208,0)),0))</f>
        <v/>
      </c>
      <c r="AL932" s="18">
        <f>IF($A932="","",MAX(0,IFERROR(INDEX('2_IMPORTAR_EJECUCION'!$H$9:$H$1208,MATCH($AT932,'2_IMPORTAR_EJECUCION'!$J$9:$J$1208,0)),0)-$AK932))</f>
        <v/>
      </c>
      <c r="AM932" s="18">
        <f>IF($A932="","",$AK932+$AL932)</f>
        <v/>
      </c>
      <c r="AN932" s="5">
        <f>IF($A932="","",IF(OR((IFERROR(INDEX('CAT_ACTIVIDADES'!$D$4:$D$11,MATCH($H932,'CAT_ACTIVIDADES'!$A$4:$A$11,0)),""))=0,(IFERROR(INDEX('CAT_ACTIVIDADES'!$D$4:$D$11,MATCH($H932,'CAT_ACTIVIDADES'!$A$4:$A$11,0)),""))=""),"SIN CLASIFICAR",IFERROR(INDEX('CAT_ACTIVIDADES'!$D$4:$D$11,MATCH($H932,'CAT_ACTIVIDADES'!$A$4:$A$11,0)),"")))</f>
        <v/>
      </c>
      <c r="AO932" s="4" t="n"/>
      <c r="AP932" s="4" t="n"/>
      <c r="AQ932" s="4" t="n"/>
      <c r="AR932" s="5">
        <f>IF($AQ932="","",HYPERLINK(p_ruta_base_checklists&amp;$AQ932,"abrir"))</f>
        <v/>
      </c>
      <c r="AS932" s="4" t="n"/>
      <c r="AT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2" t="n"/>
      <c r="K933" s="5" t="n"/>
      <c r="L933" s="18" t="n"/>
      <c r="M933" s="5">
        <f>IF($A933="","",IFERROR(INDEX('AJUSTES'!$B$4:$B$303,MATCH($AT933,'AJUSTES'!$A$4:$A$303,0)),IF($K933="","",$K933)))</f>
        <v/>
      </c>
      <c r="N933" s="5">
        <f>IF($A933="","",IFERROR(INDEX('CAT_ESTADOS_ERP'!$B$4:$B$7,MATCH(IFERROR(INDEX('2_IMPORTAR_EJECUCION'!$C$9:$C$1208,MATCH($AT933,'2_IMPORTAR_EJECUCION'!$J$9:$J$1208,0)),""),'CAT_ESTADOS_ERP'!$A$4:$A$7,0)),"Pendiente"))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IF($J933="","",$P933&amp;"-"&amp;TEXT($Q933,"00"))</f>
        <v/>
      </c>
      <c r="S933" s="5">
        <f>IF($J933="","",INDEX(lista_dias,WEEKDAY($J933,2)))</f>
        <v/>
      </c>
      <c r="T933" s="5">
        <f>IF($J933="","",IFERROR(INDEX('CALENDARIO'!$C$15:$C$214,MATCH(TEXT($J933,"yyyy-mm-dd")&amp;"|"&amp;$X933&amp;"|"&amp;$Y933,'CALENDARIO'!$G$15:$G$214,0)),IFERROR(INDEX('CALENDARIO'!$C$15:$C$214,MATCH(TEXT($J933,"yyyy-mm-dd")&amp;"|"&amp;$X933&amp;"|",'CALENDARIO'!$G$15:$G$214,0)),IFERROR(INDEX('CALENDARIO'!$C$15:$C$214,MATCH(TEXT($J933,"yyyy-mm-dd")&amp;"||",'CALENDARIO'!$G$15:$G$214,0)),INDEX(patronHabil,WEEKDAY($J933,2))))))</f>
        <v/>
      </c>
      <c r="U933" s="5">
        <f>IF($I933="","",IFERROR(INDEX('CAT_TIPOS_OT'!$C$4:$C$8,MATCH($I933,'CAT_TIPOS_OT'!$A$4:$A$8,0)),"sin_clasificar"))</f>
        <v/>
      </c>
      <c r="V933" s="5">
        <f>IF($I933="","",IF(IFERROR(INDEX('CAT_TIPOS_OT'!$D$4:$D$8,MATCH($I933,'CAT_TIPOS_OT'!$A$4:$A$8,0)),"SIN CLASIFICAR")="","SIN CLASIFICAR",IFERROR(INDEX('CAT_TIPOS_OT'!$D$4:$D$8,MATCH($I933,'CAT_TIPOS_OT'!$A$4:$A$8,0)),"SIN CLASIFICAR")))</f>
        <v/>
      </c>
      <c r="W933" s="5">
        <f>IF($F933="","",IFERROR(INDEX('CAT_CENTROS_COSTO'!$F$4:$F$13,MATCH($F933,'CAT_CENTROS_COSTO'!$A$4:$A$13,0)),"(sin catálogo)"))</f>
        <v/>
      </c>
      <c r="X933" s="5">
        <f>IF($F933="","",IFERROR(INDEX('CAT_CENTROS_COSTO'!$D$4:$D$13,MATCH($F933,'CAT_CENTROS_COSTO'!$A$4:$A$13,0)),"(sin catálogo)"))</f>
        <v/>
      </c>
      <c r="Y933" s="5">
        <f>IF($F933="","",IF((IFERROR(INDEX('CAT_CENTROS_COSTO'!$E$4:$E$13,MATCH($F933,'CAT_CENTROS_COSTO'!$A$4:$A$13,0)),""))&lt;&gt;"",IFERROR(INDEX('CAT_CENTROS_COSTO'!$E$4:$E$13,MATCH($F933,'CAT_CENTROS_COSTO'!$A$4:$A$13,0)),""),$X933))</f>
        <v/>
      </c>
      <c r="Z933" s="5">
        <f>IF($F933="","",IFERROR(INDEX('CAT_CENTROS_COSTO'!$G$4:$G$13,MATCH($F933,'CAT_CENTROS_COSTO'!$A$4:$A$13,0)),"(sin catálogo)"))</f>
        <v/>
      </c>
      <c r="AA933" s="5">
        <f>IF($G933="","",IFERROR(INDEX('CAT_PUESTOS'!$B$4:$B$8,MATCH($G933,'CAT_PUESTOS'!$A$4:$A$8,0)),"(sin catálogo)"))</f>
        <v/>
      </c>
      <c r="AB933" s="5">
        <f>IF($H933="","",IFERROR(INDEX('CAT_ACTIVIDADES'!$B$4:$B$11,MATCH($H933,'CAT_ACTIVIDADES'!$A$4:$A$11,0)),"(sin catálogo)"))</f>
        <v/>
      </c>
      <c r="AC933" s="20">
        <f>IF($J933="","",TODAY()-$J933)</f>
        <v/>
      </c>
      <c r="AD933" s="20">
        <f>IF($J933="","",IF($J933&lt;=TODAY(),COUNTIFS(cal_fechas,"&gt;="&amp;$J933,cal_fechas,"&lt;"&amp;TODAY(),cal_habil,"sí"),-COUNTIFS(cal_fechas,"&gt;="&amp;TODAY(),cal_fechas,"&lt;"&amp;$J933,cal_habil,"sí")))</f>
        <v/>
      </c>
      <c r="AE933" s="5">
        <f>IF($AD933="","",IF($AD933&lt;0,"FUTURO",IF($AD933&gt;p_dias_backlog_max,"BACKLOG","MES CORRIENTE")))</f>
        <v/>
      </c>
      <c r="AF933" s="5">
        <f>IF($AD933="",FALSE,AND($AD933&gt;p_dias_backlog_min,$AD933&lt;=p_dias_backlog_max))</f>
        <v/>
      </c>
      <c r="AG933" s="4" t="n"/>
      <c r="AH933" s="5">
        <f>IF($AG933="","",IF((IFERROR(INDEX('ASIGNACIONES'!$J$4:$J$451,MATCH($O933&amp;"|"&amp;$S933&amp;"|"&amp;$AG933,'ASIGNACIONES'!$N$4:$N$451,0)),""))=0,"",IFERROR(INDEX('ASIGNACIONES'!$J$4:$J$451,MATCH($O933&amp;"|"&amp;$S933&amp;"|"&amp;$AG933,'ASIGNACIONES'!$N$4:$N$451,0)),"")))</f>
        <v/>
      </c>
      <c r="AI933" s="25">
        <f>IF($AG933="","",SUMIFS('ORDENES'!$M$4:$M$1203,'ORDENES'!$AG$4:$AG$1203,$AG933,'ORDENES'!$O$4:$O$1203,$O933,'ORDENES'!$S$4:$S$1203,$S933))</f>
        <v/>
      </c>
      <c r="AJ933" s="25">
        <f>IF($AI933="","",p_factor_productividad*IFERROR(INDEX('ASIGNACIONES'!$M$4:$M$451,MATCH($O933&amp;"|"&amp;$S933&amp;"|"&amp;$AG933,'ASIGNACIONES'!$N$4:$N$451,0)),0)-$AI933)</f>
        <v/>
      </c>
      <c r="AK933" s="18">
        <f>IF($A933="","",IFERROR(INDEX('2_IMPORTAR_EJECUCION'!$F$9:$F$1208,MATCH($AT933,'2_IMPORTAR_EJECUCION'!$J$9:$J$1208,0)),0))</f>
        <v/>
      </c>
      <c r="AL933" s="18">
        <f>IF($A933="","",MAX(0,IFERROR(INDEX('2_IMPORTAR_EJECUCION'!$H$9:$H$1208,MATCH($AT933,'2_IMPORTAR_EJECUCION'!$J$9:$J$1208,0)),0)-$AK933))</f>
        <v/>
      </c>
      <c r="AM933" s="18">
        <f>IF($A933="","",$AK933+$AL933)</f>
        <v/>
      </c>
      <c r="AN933" s="5">
        <f>IF($A933="","",IF(OR((IFERROR(INDEX('CAT_ACTIVIDADES'!$D$4:$D$11,MATCH($H933,'CAT_ACTIVIDADES'!$A$4:$A$11,0)),""))=0,(IFERROR(INDEX('CAT_ACTIVIDADES'!$D$4:$D$11,MATCH($H933,'CAT_ACTIVIDADES'!$A$4:$A$11,0)),""))=""),"SIN CLASIFICAR",IFERROR(INDEX('CAT_ACTIVIDADES'!$D$4:$D$11,MATCH($H933,'CAT_ACTIVIDADES'!$A$4:$A$11,0)),"")))</f>
        <v/>
      </c>
      <c r="AO933" s="4" t="n"/>
      <c r="AP933" s="4" t="n"/>
      <c r="AQ933" s="4" t="n"/>
      <c r="AR933" s="5">
        <f>IF($AQ933="","",HYPERLINK(p_ruta_base_checklists&amp;$AQ933,"abrir"))</f>
        <v/>
      </c>
      <c r="AS933" s="4" t="n"/>
      <c r="AT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2" t="n"/>
      <c r="K934" s="5" t="n"/>
      <c r="L934" s="18" t="n"/>
      <c r="M934" s="5">
        <f>IF($A934="","",IFERROR(INDEX('AJUSTES'!$B$4:$B$303,MATCH($AT934,'AJUSTES'!$A$4:$A$303,0)),IF($K934="","",$K934)))</f>
        <v/>
      </c>
      <c r="N934" s="5">
        <f>IF($A934="","",IFERROR(INDEX('CAT_ESTADOS_ERP'!$B$4:$B$7,MATCH(IFERROR(INDEX('2_IMPORTAR_EJECUCION'!$C$9:$C$1208,MATCH($AT934,'2_IMPORTAR_EJECUCION'!$J$9:$J$1208,0)),""),'CAT_ESTADOS_ERP'!$A$4:$A$7,0)),"Pendiente"))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IF($J934="","",$P934&amp;"-"&amp;TEXT($Q934,"00"))</f>
        <v/>
      </c>
      <c r="S934" s="5">
        <f>IF($J934="","",INDEX(lista_dias,WEEKDAY($J934,2)))</f>
        <v/>
      </c>
      <c r="T934" s="5">
        <f>IF($J934="","",IFERROR(INDEX('CALENDARIO'!$C$15:$C$214,MATCH(TEXT($J934,"yyyy-mm-dd")&amp;"|"&amp;$X934&amp;"|"&amp;$Y934,'CALENDARIO'!$G$15:$G$214,0)),IFERROR(INDEX('CALENDARIO'!$C$15:$C$214,MATCH(TEXT($J934,"yyyy-mm-dd")&amp;"|"&amp;$X934&amp;"|",'CALENDARIO'!$G$15:$G$214,0)),IFERROR(INDEX('CALENDARIO'!$C$15:$C$214,MATCH(TEXT($J934,"yyyy-mm-dd")&amp;"||",'CALENDARIO'!$G$15:$G$214,0)),INDEX(patronHabil,WEEKDAY($J934,2))))))</f>
        <v/>
      </c>
      <c r="U934" s="5">
        <f>IF($I934="","",IFERROR(INDEX('CAT_TIPOS_OT'!$C$4:$C$8,MATCH($I934,'CAT_TIPOS_OT'!$A$4:$A$8,0)),"sin_clasificar"))</f>
        <v/>
      </c>
      <c r="V934" s="5">
        <f>IF($I934="","",IF(IFERROR(INDEX('CAT_TIPOS_OT'!$D$4:$D$8,MATCH($I934,'CAT_TIPOS_OT'!$A$4:$A$8,0)),"SIN CLASIFICAR")="","SIN CLASIFICAR",IFERROR(INDEX('CAT_TIPOS_OT'!$D$4:$D$8,MATCH($I934,'CAT_TIPOS_OT'!$A$4:$A$8,0)),"SIN CLASIFICAR")))</f>
        <v/>
      </c>
      <c r="W934" s="5">
        <f>IF($F934="","",IFERROR(INDEX('CAT_CENTROS_COSTO'!$F$4:$F$13,MATCH($F934,'CAT_CENTROS_COSTO'!$A$4:$A$13,0)),"(sin catálogo)"))</f>
        <v/>
      </c>
      <c r="X934" s="5">
        <f>IF($F934="","",IFERROR(INDEX('CAT_CENTROS_COSTO'!$D$4:$D$13,MATCH($F934,'CAT_CENTROS_COSTO'!$A$4:$A$13,0)),"(sin catálogo)"))</f>
        <v/>
      </c>
      <c r="Y934" s="5">
        <f>IF($F934="","",IF((IFERROR(INDEX('CAT_CENTROS_COSTO'!$E$4:$E$13,MATCH($F934,'CAT_CENTROS_COSTO'!$A$4:$A$13,0)),""))&lt;&gt;"",IFERROR(INDEX('CAT_CENTROS_COSTO'!$E$4:$E$13,MATCH($F934,'CAT_CENTROS_COSTO'!$A$4:$A$13,0)),""),$X934))</f>
        <v/>
      </c>
      <c r="Z934" s="5">
        <f>IF($F934="","",IFERROR(INDEX('CAT_CENTROS_COSTO'!$G$4:$G$13,MATCH($F934,'CAT_CENTROS_COSTO'!$A$4:$A$13,0)),"(sin catálogo)"))</f>
        <v/>
      </c>
      <c r="AA934" s="5">
        <f>IF($G934="","",IFERROR(INDEX('CAT_PUESTOS'!$B$4:$B$8,MATCH($G934,'CAT_PUESTOS'!$A$4:$A$8,0)),"(sin catálogo)"))</f>
        <v/>
      </c>
      <c r="AB934" s="5">
        <f>IF($H934="","",IFERROR(INDEX('CAT_ACTIVIDADES'!$B$4:$B$11,MATCH($H934,'CAT_ACTIVIDADES'!$A$4:$A$11,0)),"(sin catálogo)"))</f>
        <v/>
      </c>
      <c r="AC934" s="20">
        <f>IF($J934="","",TODAY()-$J934)</f>
        <v/>
      </c>
      <c r="AD934" s="20">
        <f>IF($J934="","",IF($J934&lt;=TODAY(),COUNTIFS(cal_fechas,"&gt;="&amp;$J934,cal_fechas,"&lt;"&amp;TODAY(),cal_habil,"sí"),-COUNTIFS(cal_fechas,"&gt;="&amp;TODAY(),cal_fechas,"&lt;"&amp;$J934,cal_habil,"sí")))</f>
        <v/>
      </c>
      <c r="AE934" s="5">
        <f>IF($AD934="","",IF($AD934&lt;0,"FUTURO",IF($AD934&gt;p_dias_backlog_max,"BACKLOG","MES CORRIENTE")))</f>
        <v/>
      </c>
      <c r="AF934" s="5">
        <f>IF($AD934="",FALSE,AND($AD934&gt;p_dias_backlog_min,$AD934&lt;=p_dias_backlog_max))</f>
        <v/>
      </c>
      <c r="AG934" s="4" t="n"/>
      <c r="AH934" s="5">
        <f>IF($AG934="","",IF((IFERROR(INDEX('ASIGNACIONES'!$J$4:$J$451,MATCH($O934&amp;"|"&amp;$S934&amp;"|"&amp;$AG934,'ASIGNACIONES'!$N$4:$N$451,0)),""))=0,"",IFERROR(INDEX('ASIGNACIONES'!$J$4:$J$451,MATCH($O934&amp;"|"&amp;$S934&amp;"|"&amp;$AG934,'ASIGNACIONES'!$N$4:$N$451,0)),"")))</f>
        <v/>
      </c>
      <c r="AI934" s="25">
        <f>IF($AG934="","",SUMIFS('ORDENES'!$M$4:$M$1203,'ORDENES'!$AG$4:$AG$1203,$AG934,'ORDENES'!$O$4:$O$1203,$O934,'ORDENES'!$S$4:$S$1203,$S934))</f>
        <v/>
      </c>
      <c r="AJ934" s="25">
        <f>IF($AI934="","",p_factor_productividad*IFERROR(INDEX('ASIGNACIONES'!$M$4:$M$451,MATCH($O934&amp;"|"&amp;$S934&amp;"|"&amp;$AG934,'ASIGNACIONES'!$N$4:$N$451,0)),0)-$AI934)</f>
        <v/>
      </c>
      <c r="AK934" s="18">
        <f>IF($A934="","",IFERROR(INDEX('2_IMPORTAR_EJECUCION'!$F$9:$F$1208,MATCH($AT934,'2_IMPORTAR_EJECUCION'!$J$9:$J$1208,0)),0))</f>
        <v/>
      </c>
      <c r="AL934" s="18">
        <f>IF($A934="","",MAX(0,IFERROR(INDEX('2_IMPORTAR_EJECUCION'!$H$9:$H$1208,MATCH($AT934,'2_IMPORTAR_EJECUCION'!$J$9:$J$1208,0)),0)-$AK934))</f>
        <v/>
      </c>
      <c r="AM934" s="18">
        <f>IF($A934="","",$AK934+$AL934)</f>
        <v/>
      </c>
      <c r="AN934" s="5">
        <f>IF($A934="","",IF(OR((IFERROR(INDEX('CAT_ACTIVIDADES'!$D$4:$D$11,MATCH($H934,'CAT_ACTIVIDADES'!$A$4:$A$11,0)),""))=0,(IFERROR(INDEX('CAT_ACTIVIDADES'!$D$4:$D$11,MATCH($H934,'CAT_ACTIVIDADES'!$A$4:$A$11,0)),""))=""),"SIN CLASIFICAR",IFERROR(INDEX('CAT_ACTIVIDADES'!$D$4:$D$11,MATCH($H934,'CAT_ACTIVIDADES'!$A$4:$A$11,0)),"")))</f>
        <v/>
      </c>
      <c r="AO934" s="4" t="n"/>
      <c r="AP934" s="4" t="n"/>
      <c r="AQ934" s="4" t="n"/>
      <c r="AR934" s="5">
        <f>IF($AQ934="","",HYPERLINK(p_ruta_base_checklists&amp;$AQ934,"abrir"))</f>
        <v/>
      </c>
      <c r="AS934" s="4" t="n"/>
      <c r="AT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2" t="n"/>
      <c r="K935" s="5" t="n"/>
      <c r="L935" s="18" t="n"/>
      <c r="M935" s="5">
        <f>IF($A935="","",IFERROR(INDEX('AJUSTES'!$B$4:$B$303,MATCH($AT935,'AJUSTES'!$A$4:$A$303,0)),IF($K935="","",$K935)))</f>
        <v/>
      </c>
      <c r="N935" s="5">
        <f>IF($A935="","",IFERROR(INDEX('CAT_ESTADOS_ERP'!$B$4:$B$7,MATCH(IFERROR(INDEX('2_IMPORTAR_EJECUCION'!$C$9:$C$1208,MATCH($AT935,'2_IMPORTAR_EJECUCION'!$J$9:$J$1208,0)),""),'CAT_ESTADOS_ERP'!$A$4:$A$7,0)),"Pendiente"))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IF($J935="","",$P935&amp;"-"&amp;TEXT($Q935,"00"))</f>
        <v/>
      </c>
      <c r="S935" s="5">
        <f>IF($J935="","",INDEX(lista_dias,WEEKDAY($J935,2)))</f>
        <v/>
      </c>
      <c r="T935" s="5">
        <f>IF($J935="","",IFERROR(INDEX('CALENDARIO'!$C$15:$C$214,MATCH(TEXT($J935,"yyyy-mm-dd")&amp;"|"&amp;$X935&amp;"|"&amp;$Y935,'CALENDARIO'!$G$15:$G$214,0)),IFERROR(INDEX('CALENDARIO'!$C$15:$C$214,MATCH(TEXT($J935,"yyyy-mm-dd")&amp;"|"&amp;$X935&amp;"|",'CALENDARIO'!$G$15:$G$214,0)),IFERROR(INDEX('CALENDARIO'!$C$15:$C$214,MATCH(TEXT($J935,"yyyy-mm-dd")&amp;"||",'CALENDARIO'!$G$15:$G$214,0)),INDEX(patronHabil,WEEKDAY($J935,2))))))</f>
        <v/>
      </c>
      <c r="U935" s="5">
        <f>IF($I935="","",IFERROR(INDEX('CAT_TIPOS_OT'!$C$4:$C$8,MATCH($I935,'CAT_TIPOS_OT'!$A$4:$A$8,0)),"sin_clasificar"))</f>
        <v/>
      </c>
      <c r="V935" s="5">
        <f>IF($I935="","",IF(IFERROR(INDEX('CAT_TIPOS_OT'!$D$4:$D$8,MATCH($I935,'CAT_TIPOS_OT'!$A$4:$A$8,0)),"SIN CLASIFICAR")="","SIN CLASIFICAR",IFERROR(INDEX('CAT_TIPOS_OT'!$D$4:$D$8,MATCH($I935,'CAT_TIPOS_OT'!$A$4:$A$8,0)),"SIN CLASIFICAR")))</f>
        <v/>
      </c>
      <c r="W935" s="5">
        <f>IF($F935="","",IFERROR(INDEX('CAT_CENTROS_COSTO'!$F$4:$F$13,MATCH($F935,'CAT_CENTROS_COSTO'!$A$4:$A$13,0)),"(sin catálogo)"))</f>
        <v/>
      </c>
      <c r="X935" s="5">
        <f>IF($F935="","",IFERROR(INDEX('CAT_CENTROS_COSTO'!$D$4:$D$13,MATCH($F935,'CAT_CENTROS_COSTO'!$A$4:$A$13,0)),"(sin catálogo)"))</f>
        <v/>
      </c>
      <c r="Y935" s="5">
        <f>IF($F935="","",IF((IFERROR(INDEX('CAT_CENTROS_COSTO'!$E$4:$E$13,MATCH($F935,'CAT_CENTROS_COSTO'!$A$4:$A$13,0)),""))&lt;&gt;"",IFERROR(INDEX('CAT_CENTROS_COSTO'!$E$4:$E$13,MATCH($F935,'CAT_CENTROS_COSTO'!$A$4:$A$13,0)),""),$X935))</f>
        <v/>
      </c>
      <c r="Z935" s="5">
        <f>IF($F935="","",IFERROR(INDEX('CAT_CENTROS_COSTO'!$G$4:$G$13,MATCH($F935,'CAT_CENTROS_COSTO'!$A$4:$A$13,0)),"(sin catálogo)"))</f>
        <v/>
      </c>
      <c r="AA935" s="5">
        <f>IF($G935="","",IFERROR(INDEX('CAT_PUESTOS'!$B$4:$B$8,MATCH($G935,'CAT_PUESTOS'!$A$4:$A$8,0)),"(sin catálogo)"))</f>
        <v/>
      </c>
      <c r="AB935" s="5">
        <f>IF($H935="","",IFERROR(INDEX('CAT_ACTIVIDADES'!$B$4:$B$11,MATCH($H935,'CAT_ACTIVIDADES'!$A$4:$A$11,0)),"(sin catálogo)"))</f>
        <v/>
      </c>
      <c r="AC935" s="20">
        <f>IF($J935="","",TODAY()-$J935)</f>
        <v/>
      </c>
      <c r="AD935" s="20">
        <f>IF($J935="","",IF($J935&lt;=TODAY(),COUNTIFS(cal_fechas,"&gt;="&amp;$J935,cal_fechas,"&lt;"&amp;TODAY(),cal_habil,"sí"),-COUNTIFS(cal_fechas,"&gt;="&amp;TODAY(),cal_fechas,"&lt;"&amp;$J935,cal_habil,"sí")))</f>
        <v/>
      </c>
      <c r="AE935" s="5">
        <f>IF($AD935="","",IF($AD935&lt;0,"FUTURO",IF($AD935&gt;p_dias_backlog_max,"BACKLOG","MES CORRIENTE")))</f>
        <v/>
      </c>
      <c r="AF935" s="5">
        <f>IF($AD935="",FALSE,AND($AD935&gt;p_dias_backlog_min,$AD935&lt;=p_dias_backlog_max))</f>
        <v/>
      </c>
      <c r="AG935" s="4" t="n"/>
      <c r="AH935" s="5">
        <f>IF($AG935="","",IF((IFERROR(INDEX('ASIGNACIONES'!$J$4:$J$451,MATCH($O935&amp;"|"&amp;$S935&amp;"|"&amp;$AG935,'ASIGNACIONES'!$N$4:$N$451,0)),""))=0,"",IFERROR(INDEX('ASIGNACIONES'!$J$4:$J$451,MATCH($O935&amp;"|"&amp;$S935&amp;"|"&amp;$AG935,'ASIGNACIONES'!$N$4:$N$451,0)),"")))</f>
        <v/>
      </c>
      <c r="AI935" s="25">
        <f>IF($AG935="","",SUMIFS('ORDENES'!$M$4:$M$1203,'ORDENES'!$AG$4:$AG$1203,$AG935,'ORDENES'!$O$4:$O$1203,$O935,'ORDENES'!$S$4:$S$1203,$S935))</f>
        <v/>
      </c>
      <c r="AJ935" s="25">
        <f>IF($AI935="","",p_factor_productividad*IFERROR(INDEX('ASIGNACIONES'!$M$4:$M$451,MATCH($O935&amp;"|"&amp;$S935&amp;"|"&amp;$AG935,'ASIGNACIONES'!$N$4:$N$451,0)),0)-$AI935)</f>
        <v/>
      </c>
      <c r="AK935" s="18">
        <f>IF($A935="","",IFERROR(INDEX('2_IMPORTAR_EJECUCION'!$F$9:$F$1208,MATCH($AT935,'2_IMPORTAR_EJECUCION'!$J$9:$J$1208,0)),0))</f>
        <v/>
      </c>
      <c r="AL935" s="18">
        <f>IF($A935="","",MAX(0,IFERROR(INDEX('2_IMPORTAR_EJECUCION'!$H$9:$H$1208,MATCH($AT935,'2_IMPORTAR_EJECUCION'!$J$9:$J$1208,0)),0)-$AK935))</f>
        <v/>
      </c>
      <c r="AM935" s="18">
        <f>IF($A935="","",$AK935+$AL935)</f>
        <v/>
      </c>
      <c r="AN935" s="5">
        <f>IF($A935="","",IF(OR((IFERROR(INDEX('CAT_ACTIVIDADES'!$D$4:$D$11,MATCH($H935,'CAT_ACTIVIDADES'!$A$4:$A$11,0)),""))=0,(IFERROR(INDEX('CAT_ACTIVIDADES'!$D$4:$D$11,MATCH($H935,'CAT_ACTIVIDADES'!$A$4:$A$11,0)),""))=""),"SIN CLASIFICAR",IFERROR(INDEX('CAT_ACTIVIDADES'!$D$4:$D$11,MATCH($H935,'CAT_ACTIVIDADES'!$A$4:$A$11,0)),"")))</f>
        <v/>
      </c>
      <c r="AO935" s="4" t="n"/>
      <c r="AP935" s="4" t="n"/>
      <c r="AQ935" s="4" t="n"/>
      <c r="AR935" s="5">
        <f>IF($AQ935="","",HYPERLINK(p_ruta_base_checklists&amp;$AQ935,"abrir"))</f>
        <v/>
      </c>
      <c r="AS935" s="4" t="n"/>
      <c r="AT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2" t="n"/>
      <c r="K936" s="5" t="n"/>
      <c r="L936" s="18" t="n"/>
      <c r="M936" s="5">
        <f>IF($A936="","",IFERROR(INDEX('AJUSTES'!$B$4:$B$303,MATCH($AT936,'AJUSTES'!$A$4:$A$303,0)),IF($K936="","",$K936)))</f>
        <v/>
      </c>
      <c r="N936" s="5">
        <f>IF($A936="","",IFERROR(INDEX('CAT_ESTADOS_ERP'!$B$4:$B$7,MATCH(IFERROR(INDEX('2_IMPORTAR_EJECUCION'!$C$9:$C$1208,MATCH($AT936,'2_IMPORTAR_EJECUCION'!$J$9:$J$1208,0)),""),'CAT_ESTADOS_ERP'!$A$4:$A$7,0)),"Pendiente"))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IF($J936="","",$P936&amp;"-"&amp;TEXT($Q936,"00"))</f>
        <v/>
      </c>
      <c r="S936" s="5">
        <f>IF($J936="","",INDEX(lista_dias,WEEKDAY($J936,2)))</f>
        <v/>
      </c>
      <c r="T936" s="5">
        <f>IF($J936="","",IFERROR(INDEX('CALENDARIO'!$C$15:$C$214,MATCH(TEXT($J936,"yyyy-mm-dd")&amp;"|"&amp;$X936&amp;"|"&amp;$Y936,'CALENDARIO'!$G$15:$G$214,0)),IFERROR(INDEX('CALENDARIO'!$C$15:$C$214,MATCH(TEXT($J936,"yyyy-mm-dd")&amp;"|"&amp;$X936&amp;"|",'CALENDARIO'!$G$15:$G$214,0)),IFERROR(INDEX('CALENDARIO'!$C$15:$C$214,MATCH(TEXT($J936,"yyyy-mm-dd")&amp;"||",'CALENDARIO'!$G$15:$G$214,0)),INDEX(patronHabil,WEEKDAY($J936,2))))))</f>
        <v/>
      </c>
      <c r="U936" s="5">
        <f>IF($I936="","",IFERROR(INDEX('CAT_TIPOS_OT'!$C$4:$C$8,MATCH($I936,'CAT_TIPOS_OT'!$A$4:$A$8,0)),"sin_clasificar"))</f>
        <v/>
      </c>
      <c r="V936" s="5">
        <f>IF($I936="","",IF(IFERROR(INDEX('CAT_TIPOS_OT'!$D$4:$D$8,MATCH($I936,'CAT_TIPOS_OT'!$A$4:$A$8,0)),"SIN CLASIFICAR")="","SIN CLASIFICAR",IFERROR(INDEX('CAT_TIPOS_OT'!$D$4:$D$8,MATCH($I936,'CAT_TIPOS_OT'!$A$4:$A$8,0)),"SIN CLASIFICAR")))</f>
        <v/>
      </c>
      <c r="W936" s="5">
        <f>IF($F936="","",IFERROR(INDEX('CAT_CENTROS_COSTO'!$F$4:$F$13,MATCH($F936,'CAT_CENTROS_COSTO'!$A$4:$A$13,0)),"(sin catálogo)"))</f>
        <v/>
      </c>
      <c r="X936" s="5">
        <f>IF($F936="","",IFERROR(INDEX('CAT_CENTROS_COSTO'!$D$4:$D$13,MATCH($F936,'CAT_CENTROS_COSTO'!$A$4:$A$13,0)),"(sin catálogo)"))</f>
        <v/>
      </c>
      <c r="Y936" s="5">
        <f>IF($F936="","",IF((IFERROR(INDEX('CAT_CENTROS_COSTO'!$E$4:$E$13,MATCH($F936,'CAT_CENTROS_COSTO'!$A$4:$A$13,0)),""))&lt;&gt;"",IFERROR(INDEX('CAT_CENTROS_COSTO'!$E$4:$E$13,MATCH($F936,'CAT_CENTROS_COSTO'!$A$4:$A$13,0)),""),$X936))</f>
        <v/>
      </c>
      <c r="Z936" s="5">
        <f>IF($F936="","",IFERROR(INDEX('CAT_CENTROS_COSTO'!$G$4:$G$13,MATCH($F936,'CAT_CENTROS_COSTO'!$A$4:$A$13,0)),"(sin catálogo)"))</f>
        <v/>
      </c>
      <c r="AA936" s="5">
        <f>IF($G936="","",IFERROR(INDEX('CAT_PUESTOS'!$B$4:$B$8,MATCH($G936,'CAT_PUESTOS'!$A$4:$A$8,0)),"(sin catálogo)"))</f>
        <v/>
      </c>
      <c r="AB936" s="5">
        <f>IF($H936="","",IFERROR(INDEX('CAT_ACTIVIDADES'!$B$4:$B$11,MATCH($H936,'CAT_ACTIVIDADES'!$A$4:$A$11,0)),"(sin catálogo)"))</f>
        <v/>
      </c>
      <c r="AC936" s="20">
        <f>IF($J936="","",TODAY()-$J936)</f>
        <v/>
      </c>
      <c r="AD936" s="20">
        <f>IF($J936="","",IF($J936&lt;=TODAY(),COUNTIFS(cal_fechas,"&gt;="&amp;$J936,cal_fechas,"&lt;"&amp;TODAY(),cal_habil,"sí"),-COUNTIFS(cal_fechas,"&gt;="&amp;TODAY(),cal_fechas,"&lt;"&amp;$J936,cal_habil,"sí")))</f>
        <v/>
      </c>
      <c r="AE936" s="5">
        <f>IF($AD936="","",IF($AD936&lt;0,"FUTURO",IF($AD936&gt;p_dias_backlog_max,"BACKLOG","MES CORRIENTE")))</f>
        <v/>
      </c>
      <c r="AF936" s="5">
        <f>IF($AD936="",FALSE,AND($AD936&gt;p_dias_backlog_min,$AD936&lt;=p_dias_backlog_max))</f>
        <v/>
      </c>
      <c r="AG936" s="4" t="n"/>
      <c r="AH936" s="5">
        <f>IF($AG936="","",IF((IFERROR(INDEX('ASIGNACIONES'!$J$4:$J$451,MATCH($O936&amp;"|"&amp;$S936&amp;"|"&amp;$AG936,'ASIGNACIONES'!$N$4:$N$451,0)),""))=0,"",IFERROR(INDEX('ASIGNACIONES'!$J$4:$J$451,MATCH($O936&amp;"|"&amp;$S936&amp;"|"&amp;$AG936,'ASIGNACIONES'!$N$4:$N$451,0)),"")))</f>
        <v/>
      </c>
      <c r="AI936" s="25">
        <f>IF($AG936="","",SUMIFS('ORDENES'!$M$4:$M$1203,'ORDENES'!$AG$4:$AG$1203,$AG936,'ORDENES'!$O$4:$O$1203,$O936,'ORDENES'!$S$4:$S$1203,$S936))</f>
        <v/>
      </c>
      <c r="AJ936" s="25">
        <f>IF($AI936="","",p_factor_productividad*IFERROR(INDEX('ASIGNACIONES'!$M$4:$M$451,MATCH($O936&amp;"|"&amp;$S936&amp;"|"&amp;$AG936,'ASIGNACIONES'!$N$4:$N$451,0)),0)-$AI936)</f>
        <v/>
      </c>
      <c r="AK936" s="18">
        <f>IF($A936="","",IFERROR(INDEX('2_IMPORTAR_EJECUCION'!$F$9:$F$1208,MATCH($AT936,'2_IMPORTAR_EJECUCION'!$J$9:$J$1208,0)),0))</f>
        <v/>
      </c>
      <c r="AL936" s="18">
        <f>IF($A936="","",MAX(0,IFERROR(INDEX('2_IMPORTAR_EJECUCION'!$H$9:$H$1208,MATCH($AT936,'2_IMPORTAR_EJECUCION'!$J$9:$J$1208,0)),0)-$AK936))</f>
        <v/>
      </c>
      <c r="AM936" s="18">
        <f>IF($A936="","",$AK936+$AL936)</f>
        <v/>
      </c>
      <c r="AN936" s="5">
        <f>IF($A936="","",IF(OR((IFERROR(INDEX('CAT_ACTIVIDADES'!$D$4:$D$11,MATCH($H936,'CAT_ACTIVIDADES'!$A$4:$A$11,0)),""))=0,(IFERROR(INDEX('CAT_ACTIVIDADES'!$D$4:$D$11,MATCH($H936,'CAT_ACTIVIDADES'!$A$4:$A$11,0)),""))=""),"SIN CLASIFICAR",IFERROR(INDEX('CAT_ACTIVIDADES'!$D$4:$D$11,MATCH($H936,'CAT_ACTIVIDADES'!$A$4:$A$11,0)),"")))</f>
        <v/>
      </c>
      <c r="AO936" s="4" t="n"/>
      <c r="AP936" s="4" t="n"/>
      <c r="AQ936" s="4" t="n"/>
      <c r="AR936" s="5">
        <f>IF($AQ936="","",HYPERLINK(p_ruta_base_checklists&amp;$AQ936,"abrir"))</f>
        <v/>
      </c>
      <c r="AS936" s="4" t="n"/>
      <c r="AT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2" t="n"/>
      <c r="K937" s="5" t="n"/>
      <c r="L937" s="18" t="n"/>
      <c r="M937" s="5">
        <f>IF($A937="","",IFERROR(INDEX('AJUSTES'!$B$4:$B$303,MATCH($AT937,'AJUSTES'!$A$4:$A$303,0)),IF($K937="","",$K937)))</f>
        <v/>
      </c>
      <c r="N937" s="5">
        <f>IF($A937="","",IFERROR(INDEX('CAT_ESTADOS_ERP'!$B$4:$B$7,MATCH(IFERROR(INDEX('2_IMPORTAR_EJECUCION'!$C$9:$C$1208,MATCH($AT937,'2_IMPORTAR_EJECUCION'!$J$9:$J$1208,0)),""),'CAT_ESTADOS_ERP'!$A$4:$A$7,0)),"Pendiente"))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IF($J937="","",$P937&amp;"-"&amp;TEXT($Q937,"00"))</f>
        <v/>
      </c>
      <c r="S937" s="5">
        <f>IF($J937="","",INDEX(lista_dias,WEEKDAY($J937,2)))</f>
        <v/>
      </c>
      <c r="T937" s="5">
        <f>IF($J937="","",IFERROR(INDEX('CALENDARIO'!$C$15:$C$214,MATCH(TEXT($J937,"yyyy-mm-dd")&amp;"|"&amp;$X937&amp;"|"&amp;$Y937,'CALENDARIO'!$G$15:$G$214,0)),IFERROR(INDEX('CALENDARIO'!$C$15:$C$214,MATCH(TEXT($J937,"yyyy-mm-dd")&amp;"|"&amp;$X937&amp;"|",'CALENDARIO'!$G$15:$G$214,0)),IFERROR(INDEX('CALENDARIO'!$C$15:$C$214,MATCH(TEXT($J937,"yyyy-mm-dd")&amp;"||",'CALENDARIO'!$G$15:$G$214,0)),INDEX(patronHabil,WEEKDAY($J937,2))))))</f>
        <v/>
      </c>
      <c r="U937" s="5">
        <f>IF($I937="","",IFERROR(INDEX('CAT_TIPOS_OT'!$C$4:$C$8,MATCH($I937,'CAT_TIPOS_OT'!$A$4:$A$8,0)),"sin_clasificar"))</f>
        <v/>
      </c>
      <c r="V937" s="5">
        <f>IF($I937="","",IF(IFERROR(INDEX('CAT_TIPOS_OT'!$D$4:$D$8,MATCH($I937,'CAT_TIPOS_OT'!$A$4:$A$8,0)),"SIN CLASIFICAR")="","SIN CLASIFICAR",IFERROR(INDEX('CAT_TIPOS_OT'!$D$4:$D$8,MATCH($I937,'CAT_TIPOS_OT'!$A$4:$A$8,0)),"SIN CLASIFICAR")))</f>
        <v/>
      </c>
      <c r="W937" s="5">
        <f>IF($F937="","",IFERROR(INDEX('CAT_CENTROS_COSTO'!$F$4:$F$13,MATCH($F937,'CAT_CENTROS_COSTO'!$A$4:$A$13,0)),"(sin catálogo)"))</f>
        <v/>
      </c>
      <c r="X937" s="5">
        <f>IF($F937="","",IFERROR(INDEX('CAT_CENTROS_COSTO'!$D$4:$D$13,MATCH($F937,'CAT_CENTROS_COSTO'!$A$4:$A$13,0)),"(sin catálogo)"))</f>
        <v/>
      </c>
      <c r="Y937" s="5">
        <f>IF($F937="","",IF((IFERROR(INDEX('CAT_CENTROS_COSTO'!$E$4:$E$13,MATCH($F937,'CAT_CENTROS_COSTO'!$A$4:$A$13,0)),""))&lt;&gt;"",IFERROR(INDEX('CAT_CENTROS_COSTO'!$E$4:$E$13,MATCH($F937,'CAT_CENTROS_COSTO'!$A$4:$A$13,0)),""),$X937))</f>
        <v/>
      </c>
      <c r="Z937" s="5">
        <f>IF($F937="","",IFERROR(INDEX('CAT_CENTROS_COSTO'!$G$4:$G$13,MATCH($F937,'CAT_CENTROS_COSTO'!$A$4:$A$13,0)),"(sin catálogo)"))</f>
        <v/>
      </c>
      <c r="AA937" s="5">
        <f>IF($G937="","",IFERROR(INDEX('CAT_PUESTOS'!$B$4:$B$8,MATCH($G937,'CAT_PUESTOS'!$A$4:$A$8,0)),"(sin catálogo)"))</f>
        <v/>
      </c>
      <c r="AB937" s="5">
        <f>IF($H937="","",IFERROR(INDEX('CAT_ACTIVIDADES'!$B$4:$B$11,MATCH($H937,'CAT_ACTIVIDADES'!$A$4:$A$11,0)),"(sin catálogo)"))</f>
        <v/>
      </c>
      <c r="AC937" s="20">
        <f>IF($J937="","",TODAY()-$J937)</f>
        <v/>
      </c>
      <c r="AD937" s="20">
        <f>IF($J937="","",IF($J937&lt;=TODAY(),COUNTIFS(cal_fechas,"&gt;="&amp;$J937,cal_fechas,"&lt;"&amp;TODAY(),cal_habil,"sí"),-COUNTIFS(cal_fechas,"&gt;="&amp;TODAY(),cal_fechas,"&lt;"&amp;$J937,cal_habil,"sí")))</f>
        <v/>
      </c>
      <c r="AE937" s="5">
        <f>IF($AD937="","",IF($AD937&lt;0,"FUTURO",IF($AD937&gt;p_dias_backlog_max,"BACKLOG","MES CORRIENTE")))</f>
        <v/>
      </c>
      <c r="AF937" s="5">
        <f>IF($AD937="",FALSE,AND($AD937&gt;p_dias_backlog_min,$AD937&lt;=p_dias_backlog_max))</f>
        <v/>
      </c>
      <c r="AG937" s="4" t="n"/>
      <c r="AH937" s="5">
        <f>IF($AG937="","",IF((IFERROR(INDEX('ASIGNACIONES'!$J$4:$J$451,MATCH($O937&amp;"|"&amp;$S937&amp;"|"&amp;$AG937,'ASIGNACIONES'!$N$4:$N$451,0)),""))=0,"",IFERROR(INDEX('ASIGNACIONES'!$J$4:$J$451,MATCH($O937&amp;"|"&amp;$S937&amp;"|"&amp;$AG937,'ASIGNACIONES'!$N$4:$N$451,0)),"")))</f>
        <v/>
      </c>
      <c r="AI937" s="25">
        <f>IF($AG937="","",SUMIFS('ORDENES'!$M$4:$M$1203,'ORDENES'!$AG$4:$AG$1203,$AG937,'ORDENES'!$O$4:$O$1203,$O937,'ORDENES'!$S$4:$S$1203,$S937))</f>
        <v/>
      </c>
      <c r="AJ937" s="25">
        <f>IF($AI937="","",p_factor_productividad*IFERROR(INDEX('ASIGNACIONES'!$M$4:$M$451,MATCH($O937&amp;"|"&amp;$S937&amp;"|"&amp;$AG937,'ASIGNACIONES'!$N$4:$N$451,0)),0)-$AI937)</f>
        <v/>
      </c>
      <c r="AK937" s="18">
        <f>IF($A937="","",IFERROR(INDEX('2_IMPORTAR_EJECUCION'!$F$9:$F$1208,MATCH($AT937,'2_IMPORTAR_EJECUCION'!$J$9:$J$1208,0)),0))</f>
        <v/>
      </c>
      <c r="AL937" s="18">
        <f>IF($A937="","",MAX(0,IFERROR(INDEX('2_IMPORTAR_EJECUCION'!$H$9:$H$1208,MATCH($AT937,'2_IMPORTAR_EJECUCION'!$J$9:$J$1208,0)),0)-$AK937))</f>
        <v/>
      </c>
      <c r="AM937" s="18">
        <f>IF($A937="","",$AK937+$AL937)</f>
        <v/>
      </c>
      <c r="AN937" s="5">
        <f>IF($A937="","",IF(OR((IFERROR(INDEX('CAT_ACTIVIDADES'!$D$4:$D$11,MATCH($H937,'CAT_ACTIVIDADES'!$A$4:$A$11,0)),""))=0,(IFERROR(INDEX('CAT_ACTIVIDADES'!$D$4:$D$11,MATCH($H937,'CAT_ACTIVIDADES'!$A$4:$A$11,0)),""))=""),"SIN CLASIFICAR",IFERROR(INDEX('CAT_ACTIVIDADES'!$D$4:$D$11,MATCH($H937,'CAT_ACTIVIDADES'!$A$4:$A$11,0)),"")))</f>
        <v/>
      </c>
      <c r="AO937" s="4" t="n"/>
      <c r="AP937" s="4" t="n"/>
      <c r="AQ937" s="4" t="n"/>
      <c r="AR937" s="5">
        <f>IF($AQ937="","",HYPERLINK(p_ruta_base_checklists&amp;$AQ937,"abrir"))</f>
        <v/>
      </c>
      <c r="AS937" s="4" t="n"/>
      <c r="AT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2" t="n"/>
      <c r="K938" s="5" t="n"/>
      <c r="L938" s="18" t="n"/>
      <c r="M938" s="5">
        <f>IF($A938="","",IFERROR(INDEX('AJUSTES'!$B$4:$B$303,MATCH($AT938,'AJUSTES'!$A$4:$A$303,0)),IF($K938="","",$K938)))</f>
        <v/>
      </c>
      <c r="N938" s="5">
        <f>IF($A938="","",IFERROR(INDEX('CAT_ESTADOS_ERP'!$B$4:$B$7,MATCH(IFERROR(INDEX('2_IMPORTAR_EJECUCION'!$C$9:$C$1208,MATCH($AT938,'2_IMPORTAR_EJECUCION'!$J$9:$J$1208,0)),""),'CAT_ESTADOS_ERP'!$A$4:$A$7,0)),"Pendiente"))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IF($J938="","",$P938&amp;"-"&amp;TEXT($Q938,"00"))</f>
        <v/>
      </c>
      <c r="S938" s="5">
        <f>IF($J938="","",INDEX(lista_dias,WEEKDAY($J938,2)))</f>
        <v/>
      </c>
      <c r="T938" s="5">
        <f>IF($J938="","",IFERROR(INDEX('CALENDARIO'!$C$15:$C$214,MATCH(TEXT($J938,"yyyy-mm-dd")&amp;"|"&amp;$X938&amp;"|"&amp;$Y938,'CALENDARIO'!$G$15:$G$214,0)),IFERROR(INDEX('CALENDARIO'!$C$15:$C$214,MATCH(TEXT($J938,"yyyy-mm-dd")&amp;"|"&amp;$X938&amp;"|",'CALENDARIO'!$G$15:$G$214,0)),IFERROR(INDEX('CALENDARIO'!$C$15:$C$214,MATCH(TEXT($J938,"yyyy-mm-dd")&amp;"||",'CALENDARIO'!$G$15:$G$214,0)),INDEX(patronHabil,WEEKDAY($J938,2))))))</f>
        <v/>
      </c>
      <c r="U938" s="5">
        <f>IF($I938="","",IFERROR(INDEX('CAT_TIPOS_OT'!$C$4:$C$8,MATCH($I938,'CAT_TIPOS_OT'!$A$4:$A$8,0)),"sin_clasificar"))</f>
        <v/>
      </c>
      <c r="V938" s="5">
        <f>IF($I938="","",IF(IFERROR(INDEX('CAT_TIPOS_OT'!$D$4:$D$8,MATCH($I938,'CAT_TIPOS_OT'!$A$4:$A$8,0)),"SIN CLASIFICAR")="","SIN CLASIFICAR",IFERROR(INDEX('CAT_TIPOS_OT'!$D$4:$D$8,MATCH($I938,'CAT_TIPOS_OT'!$A$4:$A$8,0)),"SIN CLASIFICAR")))</f>
        <v/>
      </c>
      <c r="W938" s="5">
        <f>IF($F938="","",IFERROR(INDEX('CAT_CENTROS_COSTO'!$F$4:$F$13,MATCH($F938,'CAT_CENTROS_COSTO'!$A$4:$A$13,0)),"(sin catálogo)"))</f>
        <v/>
      </c>
      <c r="X938" s="5">
        <f>IF($F938="","",IFERROR(INDEX('CAT_CENTROS_COSTO'!$D$4:$D$13,MATCH($F938,'CAT_CENTROS_COSTO'!$A$4:$A$13,0)),"(sin catálogo)"))</f>
        <v/>
      </c>
      <c r="Y938" s="5">
        <f>IF($F938="","",IF((IFERROR(INDEX('CAT_CENTROS_COSTO'!$E$4:$E$13,MATCH($F938,'CAT_CENTROS_COSTO'!$A$4:$A$13,0)),""))&lt;&gt;"",IFERROR(INDEX('CAT_CENTROS_COSTO'!$E$4:$E$13,MATCH($F938,'CAT_CENTROS_COSTO'!$A$4:$A$13,0)),""),$X938))</f>
        <v/>
      </c>
      <c r="Z938" s="5">
        <f>IF($F938="","",IFERROR(INDEX('CAT_CENTROS_COSTO'!$G$4:$G$13,MATCH($F938,'CAT_CENTROS_COSTO'!$A$4:$A$13,0)),"(sin catálogo)"))</f>
        <v/>
      </c>
      <c r="AA938" s="5">
        <f>IF($G938="","",IFERROR(INDEX('CAT_PUESTOS'!$B$4:$B$8,MATCH($G938,'CAT_PUESTOS'!$A$4:$A$8,0)),"(sin catálogo)"))</f>
        <v/>
      </c>
      <c r="AB938" s="5">
        <f>IF($H938="","",IFERROR(INDEX('CAT_ACTIVIDADES'!$B$4:$B$11,MATCH($H938,'CAT_ACTIVIDADES'!$A$4:$A$11,0)),"(sin catálogo)"))</f>
        <v/>
      </c>
      <c r="AC938" s="20">
        <f>IF($J938="","",TODAY()-$J938)</f>
        <v/>
      </c>
      <c r="AD938" s="20">
        <f>IF($J938="","",IF($J938&lt;=TODAY(),COUNTIFS(cal_fechas,"&gt;="&amp;$J938,cal_fechas,"&lt;"&amp;TODAY(),cal_habil,"sí"),-COUNTIFS(cal_fechas,"&gt;="&amp;TODAY(),cal_fechas,"&lt;"&amp;$J938,cal_habil,"sí")))</f>
        <v/>
      </c>
      <c r="AE938" s="5">
        <f>IF($AD938="","",IF($AD938&lt;0,"FUTURO",IF($AD938&gt;p_dias_backlog_max,"BACKLOG","MES CORRIENTE")))</f>
        <v/>
      </c>
      <c r="AF938" s="5">
        <f>IF($AD938="",FALSE,AND($AD938&gt;p_dias_backlog_min,$AD938&lt;=p_dias_backlog_max))</f>
        <v/>
      </c>
      <c r="AG938" s="4" t="n"/>
      <c r="AH938" s="5">
        <f>IF($AG938="","",IF((IFERROR(INDEX('ASIGNACIONES'!$J$4:$J$451,MATCH($O938&amp;"|"&amp;$S938&amp;"|"&amp;$AG938,'ASIGNACIONES'!$N$4:$N$451,0)),""))=0,"",IFERROR(INDEX('ASIGNACIONES'!$J$4:$J$451,MATCH($O938&amp;"|"&amp;$S938&amp;"|"&amp;$AG938,'ASIGNACIONES'!$N$4:$N$451,0)),"")))</f>
        <v/>
      </c>
      <c r="AI938" s="25">
        <f>IF($AG938="","",SUMIFS('ORDENES'!$M$4:$M$1203,'ORDENES'!$AG$4:$AG$1203,$AG938,'ORDENES'!$O$4:$O$1203,$O938,'ORDENES'!$S$4:$S$1203,$S938))</f>
        <v/>
      </c>
      <c r="AJ938" s="25">
        <f>IF($AI938="","",p_factor_productividad*IFERROR(INDEX('ASIGNACIONES'!$M$4:$M$451,MATCH($O938&amp;"|"&amp;$S938&amp;"|"&amp;$AG938,'ASIGNACIONES'!$N$4:$N$451,0)),0)-$AI938)</f>
        <v/>
      </c>
      <c r="AK938" s="18">
        <f>IF($A938="","",IFERROR(INDEX('2_IMPORTAR_EJECUCION'!$F$9:$F$1208,MATCH($AT938,'2_IMPORTAR_EJECUCION'!$J$9:$J$1208,0)),0))</f>
        <v/>
      </c>
      <c r="AL938" s="18">
        <f>IF($A938="","",MAX(0,IFERROR(INDEX('2_IMPORTAR_EJECUCION'!$H$9:$H$1208,MATCH($AT938,'2_IMPORTAR_EJECUCION'!$J$9:$J$1208,0)),0)-$AK938))</f>
        <v/>
      </c>
      <c r="AM938" s="18">
        <f>IF($A938="","",$AK938+$AL938)</f>
        <v/>
      </c>
      <c r="AN938" s="5">
        <f>IF($A938="","",IF(OR((IFERROR(INDEX('CAT_ACTIVIDADES'!$D$4:$D$11,MATCH($H938,'CAT_ACTIVIDADES'!$A$4:$A$11,0)),""))=0,(IFERROR(INDEX('CAT_ACTIVIDADES'!$D$4:$D$11,MATCH($H938,'CAT_ACTIVIDADES'!$A$4:$A$11,0)),""))=""),"SIN CLASIFICAR",IFERROR(INDEX('CAT_ACTIVIDADES'!$D$4:$D$11,MATCH($H938,'CAT_ACTIVIDADES'!$A$4:$A$11,0)),"")))</f>
        <v/>
      </c>
      <c r="AO938" s="4" t="n"/>
      <c r="AP938" s="4" t="n"/>
      <c r="AQ938" s="4" t="n"/>
      <c r="AR938" s="5">
        <f>IF($AQ938="","",HYPERLINK(p_ruta_base_checklists&amp;$AQ938,"abrir"))</f>
        <v/>
      </c>
      <c r="AS938" s="4" t="n"/>
      <c r="AT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2" t="n"/>
      <c r="K939" s="5" t="n"/>
      <c r="L939" s="18" t="n"/>
      <c r="M939" s="5">
        <f>IF($A939="","",IFERROR(INDEX('AJUSTES'!$B$4:$B$303,MATCH($AT939,'AJUSTES'!$A$4:$A$303,0)),IF($K939="","",$K939)))</f>
        <v/>
      </c>
      <c r="N939" s="5">
        <f>IF($A939="","",IFERROR(INDEX('CAT_ESTADOS_ERP'!$B$4:$B$7,MATCH(IFERROR(INDEX('2_IMPORTAR_EJECUCION'!$C$9:$C$1208,MATCH($AT939,'2_IMPORTAR_EJECUCION'!$J$9:$J$1208,0)),""),'CAT_ESTADOS_ERP'!$A$4:$A$7,0)),"Pendiente"))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IF($J939="","",$P939&amp;"-"&amp;TEXT($Q939,"00"))</f>
        <v/>
      </c>
      <c r="S939" s="5">
        <f>IF($J939="","",INDEX(lista_dias,WEEKDAY($J939,2)))</f>
        <v/>
      </c>
      <c r="T939" s="5">
        <f>IF($J939="","",IFERROR(INDEX('CALENDARIO'!$C$15:$C$214,MATCH(TEXT($J939,"yyyy-mm-dd")&amp;"|"&amp;$X939&amp;"|"&amp;$Y939,'CALENDARIO'!$G$15:$G$214,0)),IFERROR(INDEX('CALENDARIO'!$C$15:$C$214,MATCH(TEXT($J939,"yyyy-mm-dd")&amp;"|"&amp;$X939&amp;"|",'CALENDARIO'!$G$15:$G$214,0)),IFERROR(INDEX('CALENDARIO'!$C$15:$C$214,MATCH(TEXT($J939,"yyyy-mm-dd")&amp;"||",'CALENDARIO'!$G$15:$G$214,0)),INDEX(patronHabil,WEEKDAY($J939,2))))))</f>
        <v/>
      </c>
      <c r="U939" s="5">
        <f>IF($I939="","",IFERROR(INDEX('CAT_TIPOS_OT'!$C$4:$C$8,MATCH($I939,'CAT_TIPOS_OT'!$A$4:$A$8,0)),"sin_clasificar"))</f>
        <v/>
      </c>
      <c r="V939" s="5">
        <f>IF($I939="","",IF(IFERROR(INDEX('CAT_TIPOS_OT'!$D$4:$D$8,MATCH($I939,'CAT_TIPOS_OT'!$A$4:$A$8,0)),"SIN CLASIFICAR")="","SIN CLASIFICAR",IFERROR(INDEX('CAT_TIPOS_OT'!$D$4:$D$8,MATCH($I939,'CAT_TIPOS_OT'!$A$4:$A$8,0)),"SIN CLASIFICAR")))</f>
        <v/>
      </c>
      <c r="W939" s="5">
        <f>IF($F939="","",IFERROR(INDEX('CAT_CENTROS_COSTO'!$F$4:$F$13,MATCH($F939,'CAT_CENTROS_COSTO'!$A$4:$A$13,0)),"(sin catálogo)"))</f>
        <v/>
      </c>
      <c r="X939" s="5">
        <f>IF($F939="","",IFERROR(INDEX('CAT_CENTROS_COSTO'!$D$4:$D$13,MATCH($F939,'CAT_CENTROS_COSTO'!$A$4:$A$13,0)),"(sin catálogo)"))</f>
        <v/>
      </c>
      <c r="Y939" s="5">
        <f>IF($F939="","",IF((IFERROR(INDEX('CAT_CENTROS_COSTO'!$E$4:$E$13,MATCH($F939,'CAT_CENTROS_COSTO'!$A$4:$A$13,0)),""))&lt;&gt;"",IFERROR(INDEX('CAT_CENTROS_COSTO'!$E$4:$E$13,MATCH($F939,'CAT_CENTROS_COSTO'!$A$4:$A$13,0)),""),$X939))</f>
        <v/>
      </c>
      <c r="Z939" s="5">
        <f>IF($F939="","",IFERROR(INDEX('CAT_CENTROS_COSTO'!$G$4:$G$13,MATCH($F939,'CAT_CENTROS_COSTO'!$A$4:$A$13,0)),"(sin catálogo)"))</f>
        <v/>
      </c>
      <c r="AA939" s="5">
        <f>IF($G939="","",IFERROR(INDEX('CAT_PUESTOS'!$B$4:$B$8,MATCH($G939,'CAT_PUESTOS'!$A$4:$A$8,0)),"(sin catálogo)"))</f>
        <v/>
      </c>
      <c r="AB939" s="5">
        <f>IF($H939="","",IFERROR(INDEX('CAT_ACTIVIDADES'!$B$4:$B$11,MATCH($H939,'CAT_ACTIVIDADES'!$A$4:$A$11,0)),"(sin catálogo)"))</f>
        <v/>
      </c>
      <c r="AC939" s="20">
        <f>IF($J939="","",TODAY()-$J939)</f>
        <v/>
      </c>
      <c r="AD939" s="20">
        <f>IF($J939="","",IF($J939&lt;=TODAY(),COUNTIFS(cal_fechas,"&gt;="&amp;$J939,cal_fechas,"&lt;"&amp;TODAY(),cal_habil,"sí"),-COUNTIFS(cal_fechas,"&gt;="&amp;TODAY(),cal_fechas,"&lt;"&amp;$J939,cal_habil,"sí")))</f>
        <v/>
      </c>
      <c r="AE939" s="5">
        <f>IF($AD939="","",IF($AD939&lt;0,"FUTURO",IF($AD939&gt;p_dias_backlog_max,"BACKLOG","MES CORRIENTE")))</f>
        <v/>
      </c>
      <c r="AF939" s="5">
        <f>IF($AD939="",FALSE,AND($AD939&gt;p_dias_backlog_min,$AD939&lt;=p_dias_backlog_max))</f>
        <v/>
      </c>
      <c r="AG939" s="4" t="n"/>
      <c r="AH939" s="5">
        <f>IF($AG939="","",IF((IFERROR(INDEX('ASIGNACIONES'!$J$4:$J$451,MATCH($O939&amp;"|"&amp;$S939&amp;"|"&amp;$AG939,'ASIGNACIONES'!$N$4:$N$451,0)),""))=0,"",IFERROR(INDEX('ASIGNACIONES'!$J$4:$J$451,MATCH($O939&amp;"|"&amp;$S939&amp;"|"&amp;$AG939,'ASIGNACIONES'!$N$4:$N$451,0)),"")))</f>
        <v/>
      </c>
      <c r="AI939" s="25">
        <f>IF($AG939="","",SUMIFS('ORDENES'!$M$4:$M$1203,'ORDENES'!$AG$4:$AG$1203,$AG939,'ORDENES'!$O$4:$O$1203,$O939,'ORDENES'!$S$4:$S$1203,$S939))</f>
        <v/>
      </c>
      <c r="AJ939" s="25">
        <f>IF($AI939="","",p_factor_productividad*IFERROR(INDEX('ASIGNACIONES'!$M$4:$M$451,MATCH($O939&amp;"|"&amp;$S939&amp;"|"&amp;$AG939,'ASIGNACIONES'!$N$4:$N$451,0)),0)-$AI939)</f>
        <v/>
      </c>
      <c r="AK939" s="18">
        <f>IF($A939="","",IFERROR(INDEX('2_IMPORTAR_EJECUCION'!$F$9:$F$1208,MATCH($AT939,'2_IMPORTAR_EJECUCION'!$J$9:$J$1208,0)),0))</f>
        <v/>
      </c>
      <c r="AL939" s="18">
        <f>IF($A939="","",MAX(0,IFERROR(INDEX('2_IMPORTAR_EJECUCION'!$H$9:$H$1208,MATCH($AT939,'2_IMPORTAR_EJECUCION'!$J$9:$J$1208,0)),0)-$AK939))</f>
        <v/>
      </c>
      <c r="AM939" s="18">
        <f>IF($A939="","",$AK939+$AL939)</f>
        <v/>
      </c>
      <c r="AN939" s="5">
        <f>IF($A939="","",IF(OR((IFERROR(INDEX('CAT_ACTIVIDADES'!$D$4:$D$11,MATCH($H939,'CAT_ACTIVIDADES'!$A$4:$A$11,0)),""))=0,(IFERROR(INDEX('CAT_ACTIVIDADES'!$D$4:$D$11,MATCH($H939,'CAT_ACTIVIDADES'!$A$4:$A$11,0)),""))=""),"SIN CLASIFICAR",IFERROR(INDEX('CAT_ACTIVIDADES'!$D$4:$D$11,MATCH($H939,'CAT_ACTIVIDADES'!$A$4:$A$11,0)),"")))</f>
        <v/>
      </c>
      <c r="AO939" s="4" t="n"/>
      <c r="AP939" s="4" t="n"/>
      <c r="AQ939" s="4" t="n"/>
      <c r="AR939" s="5">
        <f>IF($AQ939="","",HYPERLINK(p_ruta_base_checklists&amp;$AQ939,"abrir"))</f>
        <v/>
      </c>
      <c r="AS939" s="4" t="n"/>
      <c r="AT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2" t="n"/>
      <c r="K940" s="5" t="n"/>
      <c r="L940" s="18" t="n"/>
      <c r="M940" s="5">
        <f>IF($A940="","",IFERROR(INDEX('AJUSTES'!$B$4:$B$303,MATCH($AT940,'AJUSTES'!$A$4:$A$303,0)),IF($K940="","",$K940)))</f>
        <v/>
      </c>
      <c r="N940" s="5">
        <f>IF($A940="","",IFERROR(INDEX('CAT_ESTADOS_ERP'!$B$4:$B$7,MATCH(IFERROR(INDEX('2_IMPORTAR_EJECUCION'!$C$9:$C$1208,MATCH($AT940,'2_IMPORTAR_EJECUCION'!$J$9:$J$1208,0)),""),'CAT_ESTADOS_ERP'!$A$4:$A$7,0)),"Pendiente"))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IF($J940="","",$P940&amp;"-"&amp;TEXT($Q940,"00"))</f>
        <v/>
      </c>
      <c r="S940" s="5">
        <f>IF($J940="","",INDEX(lista_dias,WEEKDAY($J940,2)))</f>
        <v/>
      </c>
      <c r="T940" s="5">
        <f>IF($J940="","",IFERROR(INDEX('CALENDARIO'!$C$15:$C$214,MATCH(TEXT($J940,"yyyy-mm-dd")&amp;"|"&amp;$X940&amp;"|"&amp;$Y940,'CALENDARIO'!$G$15:$G$214,0)),IFERROR(INDEX('CALENDARIO'!$C$15:$C$214,MATCH(TEXT($J940,"yyyy-mm-dd")&amp;"|"&amp;$X940&amp;"|",'CALENDARIO'!$G$15:$G$214,0)),IFERROR(INDEX('CALENDARIO'!$C$15:$C$214,MATCH(TEXT($J940,"yyyy-mm-dd")&amp;"||",'CALENDARIO'!$G$15:$G$214,0)),INDEX(patronHabil,WEEKDAY($J940,2))))))</f>
        <v/>
      </c>
      <c r="U940" s="5">
        <f>IF($I940="","",IFERROR(INDEX('CAT_TIPOS_OT'!$C$4:$C$8,MATCH($I940,'CAT_TIPOS_OT'!$A$4:$A$8,0)),"sin_clasificar"))</f>
        <v/>
      </c>
      <c r="V940" s="5">
        <f>IF($I940="","",IF(IFERROR(INDEX('CAT_TIPOS_OT'!$D$4:$D$8,MATCH($I940,'CAT_TIPOS_OT'!$A$4:$A$8,0)),"SIN CLASIFICAR")="","SIN CLASIFICAR",IFERROR(INDEX('CAT_TIPOS_OT'!$D$4:$D$8,MATCH($I940,'CAT_TIPOS_OT'!$A$4:$A$8,0)),"SIN CLASIFICAR")))</f>
        <v/>
      </c>
      <c r="W940" s="5">
        <f>IF($F940="","",IFERROR(INDEX('CAT_CENTROS_COSTO'!$F$4:$F$13,MATCH($F940,'CAT_CENTROS_COSTO'!$A$4:$A$13,0)),"(sin catálogo)"))</f>
        <v/>
      </c>
      <c r="X940" s="5">
        <f>IF($F940="","",IFERROR(INDEX('CAT_CENTROS_COSTO'!$D$4:$D$13,MATCH($F940,'CAT_CENTROS_COSTO'!$A$4:$A$13,0)),"(sin catálogo)"))</f>
        <v/>
      </c>
      <c r="Y940" s="5">
        <f>IF($F940="","",IF((IFERROR(INDEX('CAT_CENTROS_COSTO'!$E$4:$E$13,MATCH($F940,'CAT_CENTROS_COSTO'!$A$4:$A$13,0)),""))&lt;&gt;"",IFERROR(INDEX('CAT_CENTROS_COSTO'!$E$4:$E$13,MATCH($F940,'CAT_CENTROS_COSTO'!$A$4:$A$13,0)),""),$X940))</f>
        <v/>
      </c>
      <c r="Z940" s="5">
        <f>IF($F940="","",IFERROR(INDEX('CAT_CENTROS_COSTO'!$G$4:$G$13,MATCH($F940,'CAT_CENTROS_COSTO'!$A$4:$A$13,0)),"(sin catálogo)"))</f>
        <v/>
      </c>
      <c r="AA940" s="5">
        <f>IF($G940="","",IFERROR(INDEX('CAT_PUESTOS'!$B$4:$B$8,MATCH($G940,'CAT_PUESTOS'!$A$4:$A$8,0)),"(sin catálogo)"))</f>
        <v/>
      </c>
      <c r="AB940" s="5">
        <f>IF($H940="","",IFERROR(INDEX('CAT_ACTIVIDADES'!$B$4:$B$11,MATCH($H940,'CAT_ACTIVIDADES'!$A$4:$A$11,0)),"(sin catálogo)"))</f>
        <v/>
      </c>
      <c r="AC940" s="20">
        <f>IF($J940="","",TODAY()-$J940)</f>
        <v/>
      </c>
      <c r="AD940" s="20">
        <f>IF($J940="","",IF($J940&lt;=TODAY(),COUNTIFS(cal_fechas,"&gt;="&amp;$J940,cal_fechas,"&lt;"&amp;TODAY(),cal_habil,"sí"),-COUNTIFS(cal_fechas,"&gt;="&amp;TODAY(),cal_fechas,"&lt;"&amp;$J940,cal_habil,"sí")))</f>
        <v/>
      </c>
      <c r="AE940" s="5">
        <f>IF($AD940="","",IF($AD940&lt;0,"FUTURO",IF($AD940&gt;p_dias_backlog_max,"BACKLOG","MES CORRIENTE")))</f>
        <v/>
      </c>
      <c r="AF940" s="5">
        <f>IF($AD940="",FALSE,AND($AD940&gt;p_dias_backlog_min,$AD940&lt;=p_dias_backlog_max))</f>
        <v/>
      </c>
      <c r="AG940" s="4" t="n"/>
      <c r="AH940" s="5">
        <f>IF($AG940="","",IF((IFERROR(INDEX('ASIGNACIONES'!$J$4:$J$451,MATCH($O940&amp;"|"&amp;$S940&amp;"|"&amp;$AG940,'ASIGNACIONES'!$N$4:$N$451,0)),""))=0,"",IFERROR(INDEX('ASIGNACIONES'!$J$4:$J$451,MATCH($O940&amp;"|"&amp;$S940&amp;"|"&amp;$AG940,'ASIGNACIONES'!$N$4:$N$451,0)),"")))</f>
        <v/>
      </c>
      <c r="AI940" s="25">
        <f>IF($AG940="","",SUMIFS('ORDENES'!$M$4:$M$1203,'ORDENES'!$AG$4:$AG$1203,$AG940,'ORDENES'!$O$4:$O$1203,$O940,'ORDENES'!$S$4:$S$1203,$S940))</f>
        <v/>
      </c>
      <c r="AJ940" s="25">
        <f>IF($AI940="","",p_factor_productividad*IFERROR(INDEX('ASIGNACIONES'!$M$4:$M$451,MATCH($O940&amp;"|"&amp;$S940&amp;"|"&amp;$AG940,'ASIGNACIONES'!$N$4:$N$451,0)),0)-$AI940)</f>
        <v/>
      </c>
      <c r="AK940" s="18">
        <f>IF($A940="","",IFERROR(INDEX('2_IMPORTAR_EJECUCION'!$F$9:$F$1208,MATCH($AT940,'2_IMPORTAR_EJECUCION'!$J$9:$J$1208,0)),0))</f>
        <v/>
      </c>
      <c r="AL940" s="18">
        <f>IF($A940="","",MAX(0,IFERROR(INDEX('2_IMPORTAR_EJECUCION'!$H$9:$H$1208,MATCH($AT940,'2_IMPORTAR_EJECUCION'!$J$9:$J$1208,0)),0)-$AK940))</f>
        <v/>
      </c>
      <c r="AM940" s="18">
        <f>IF($A940="","",$AK940+$AL940)</f>
        <v/>
      </c>
      <c r="AN940" s="5">
        <f>IF($A940="","",IF(OR((IFERROR(INDEX('CAT_ACTIVIDADES'!$D$4:$D$11,MATCH($H940,'CAT_ACTIVIDADES'!$A$4:$A$11,0)),""))=0,(IFERROR(INDEX('CAT_ACTIVIDADES'!$D$4:$D$11,MATCH($H940,'CAT_ACTIVIDADES'!$A$4:$A$11,0)),""))=""),"SIN CLASIFICAR",IFERROR(INDEX('CAT_ACTIVIDADES'!$D$4:$D$11,MATCH($H940,'CAT_ACTIVIDADES'!$A$4:$A$11,0)),"")))</f>
        <v/>
      </c>
      <c r="AO940" s="4" t="n"/>
      <c r="AP940" s="4" t="n"/>
      <c r="AQ940" s="4" t="n"/>
      <c r="AR940" s="5">
        <f>IF($AQ940="","",HYPERLINK(p_ruta_base_checklists&amp;$AQ940,"abrir"))</f>
        <v/>
      </c>
      <c r="AS940" s="4" t="n"/>
      <c r="AT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2" t="n"/>
      <c r="K941" s="5" t="n"/>
      <c r="L941" s="18" t="n"/>
      <c r="M941" s="5">
        <f>IF($A941="","",IFERROR(INDEX('AJUSTES'!$B$4:$B$303,MATCH($AT941,'AJUSTES'!$A$4:$A$303,0)),IF($K941="","",$K941)))</f>
        <v/>
      </c>
      <c r="N941" s="5">
        <f>IF($A941="","",IFERROR(INDEX('CAT_ESTADOS_ERP'!$B$4:$B$7,MATCH(IFERROR(INDEX('2_IMPORTAR_EJECUCION'!$C$9:$C$1208,MATCH($AT941,'2_IMPORTAR_EJECUCION'!$J$9:$J$1208,0)),""),'CAT_ESTADOS_ERP'!$A$4:$A$7,0)),"Pendiente"))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IF($J941="","",$P941&amp;"-"&amp;TEXT($Q941,"00"))</f>
        <v/>
      </c>
      <c r="S941" s="5">
        <f>IF($J941="","",INDEX(lista_dias,WEEKDAY($J941,2)))</f>
        <v/>
      </c>
      <c r="T941" s="5">
        <f>IF($J941="","",IFERROR(INDEX('CALENDARIO'!$C$15:$C$214,MATCH(TEXT($J941,"yyyy-mm-dd")&amp;"|"&amp;$X941&amp;"|"&amp;$Y941,'CALENDARIO'!$G$15:$G$214,0)),IFERROR(INDEX('CALENDARIO'!$C$15:$C$214,MATCH(TEXT($J941,"yyyy-mm-dd")&amp;"|"&amp;$X941&amp;"|",'CALENDARIO'!$G$15:$G$214,0)),IFERROR(INDEX('CALENDARIO'!$C$15:$C$214,MATCH(TEXT($J941,"yyyy-mm-dd")&amp;"||",'CALENDARIO'!$G$15:$G$214,0)),INDEX(patronHabil,WEEKDAY($J941,2))))))</f>
        <v/>
      </c>
      <c r="U941" s="5">
        <f>IF($I941="","",IFERROR(INDEX('CAT_TIPOS_OT'!$C$4:$C$8,MATCH($I941,'CAT_TIPOS_OT'!$A$4:$A$8,0)),"sin_clasificar"))</f>
        <v/>
      </c>
      <c r="V941" s="5">
        <f>IF($I941="","",IF(IFERROR(INDEX('CAT_TIPOS_OT'!$D$4:$D$8,MATCH($I941,'CAT_TIPOS_OT'!$A$4:$A$8,0)),"SIN CLASIFICAR")="","SIN CLASIFICAR",IFERROR(INDEX('CAT_TIPOS_OT'!$D$4:$D$8,MATCH($I941,'CAT_TIPOS_OT'!$A$4:$A$8,0)),"SIN CLASIFICAR")))</f>
        <v/>
      </c>
      <c r="W941" s="5">
        <f>IF($F941="","",IFERROR(INDEX('CAT_CENTROS_COSTO'!$F$4:$F$13,MATCH($F941,'CAT_CENTROS_COSTO'!$A$4:$A$13,0)),"(sin catálogo)"))</f>
        <v/>
      </c>
      <c r="X941" s="5">
        <f>IF($F941="","",IFERROR(INDEX('CAT_CENTROS_COSTO'!$D$4:$D$13,MATCH($F941,'CAT_CENTROS_COSTO'!$A$4:$A$13,0)),"(sin catálogo)"))</f>
        <v/>
      </c>
      <c r="Y941" s="5">
        <f>IF($F941="","",IF((IFERROR(INDEX('CAT_CENTROS_COSTO'!$E$4:$E$13,MATCH($F941,'CAT_CENTROS_COSTO'!$A$4:$A$13,0)),""))&lt;&gt;"",IFERROR(INDEX('CAT_CENTROS_COSTO'!$E$4:$E$13,MATCH($F941,'CAT_CENTROS_COSTO'!$A$4:$A$13,0)),""),$X941))</f>
        <v/>
      </c>
      <c r="Z941" s="5">
        <f>IF($F941="","",IFERROR(INDEX('CAT_CENTROS_COSTO'!$G$4:$G$13,MATCH($F941,'CAT_CENTROS_COSTO'!$A$4:$A$13,0)),"(sin catálogo)"))</f>
        <v/>
      </c>
      <c r="AA941" s="5">
        <f>IF($G941="","",IFERROR(INDEX('CAT_PUESTOS'!$B$4:$B$8,MATCH($G941,'CAT_PUESTOS'!$A$4:$A$8,0)),"(sin catálogo)"))</f>
        <v/>
      </c>
      <c r="AB941" s="5">
        <f>IF($H941="","",IFERROR(INDEX('CAT_ACTIVIDADES'!$B$4:$B$11,MATCH($H941,'CAT_ACTIVIDADES'!$A$4:$A$11,0)),"(sin catálogo)"))</f>
        <v/>
      </c>
      <c r="AC941" s="20">
        <f>IF($J941="","",TODAY()-$J941)</f>
        <v/>
      </c>
      <c r="AD941" s="20">
        <f>IF($J941="","",IF($J941&lt;=TODAY(),COUNTIFS(cal_fechas,"&gt;="&amp;$J941,cal_fechas,"&lt;"&amp;TODAY(),cal_habil,"sí"),-COUNTIFS(cal_fechas,"&gt;="&amp;TODAY(),cal_fechas,"&lt;"&amp;$J941,cal_habil,"sí")))</f>
        <v/>
      </c>
      <c r="AE941" s="5">
        <f>IF($AD941="","",IF($AD941&lt;0,"FUTURO",IF($AD941&gt;p_dias_backlog_max,"BACKLOG","MES CORRIENTE")))</f>
        <v/>
      </c>
      <c r="AF941" s="5">
        <f>IF($AD941="",FALSE,AND($AD941&gt;p_dias_backlog_min,$AD941&lt;=p_dias_backlog_max))</f>
        <v/>
      </c>
      <c r="AG941" s="4" t="n"/>
      <c r="AH941" s="5">
        <f>IF($AG941="","",IF((IFERROR(INDEX('ASIGNACIONES'!$J$4:$J$451,MATCH($O941&amp;"|"&amp;$S941&amp;"|"&amp;$AG941,'ASIGNACIONES'!$N$4:$N$451,0)),""))=0,"",IFERROR(INDEX('ASIGNACIONES'!$J$4:$J$451,MATCH($O941&amp;"|"&amp;$S941&amp;"|"&amp;$AG941,'ASIGNACIONES'!$N$4:$N$451,0)),"")))</f>
        <v/>
      </c>
      <c r="AI941" s="25">
        <f>IF($AG941="","",SUMIFS('ORDENES'!$M$4:$M$1203,'ORDENES'!$AG$4:$AG$1203,$AG941,'ORDENES'!$O$4:$O$1203,$O941,'ORDENES'!$S$4:$S$1203,$S941))</f>
        <v/>
      </c>
      <c r="AJ941" s="25">
        <f>IF($AI941="","",p_factor_productividad*IFERROR(INDEX('ASIGNACIONES'!$M$4:$M$451,MATCH($O941&amp;"|"&amp;$S941&amp;"|"&amp;$AG941,'ASIGNACIONES'!$N$4:$N$451,0)),0)-$AI941)</f>
        <v/>
      </c>
      <c r="AK941" s="18">
        <f>IF($A941="","",IFERROR(INDEX('2_IMPORTAR_EJECUCION'!$F$9:$F$1208,MATCH($AT941,'2_IMPORTAR_EJECUCION'!$J$9:$J$1208,0)),0))</f>
        <v/>
      </c>
      <c r="AL941" s="18">
        <f>IF($A941="","",MAX(0,IFERROR(INDEX('2_IMPORTAR_EJECUCION'!$H$9:$H$1208,MATCH($AT941,'2_IMPORTAR_EJECUCION'!$J$9:$J$1208,0)),0)-$AK941))</f>
        <v/>
      </c>
      <c r="AM941" s="18">
        <f>IF($A941="","",$AK941+$AL941)</f>
        <v/>
      </c>
      <c r="AN941" s="5">
        <f>IF($A941="","",IF(OR((IFERROR(INDEX('CAT_ACTIVIDADES'!$D$4:$D$11,MATCH($H941,'CAT_ACTIVIDADES'!$A$4:$A$11,0)),""))=0,(IFERROR(INDEX('CAT_ACTIVIDADES'!$D$4:$D$11,MATCH($H941,'CAT_ACTIVIDADES'!$A$4:$A$11,0)),""))=""),"SIN CLASIFICAR",IFERROR(INDEX('CAT_ACTIVIDADES'!$D$4:$D$11,MATCH($H941,'CAT_ACTIVIDADES'!$A$4:$A$11,0)),"")))</f>
        <v/>
      </c>
      <c r="AO941" s="4" t="n"/>
      <c r="AP941" s="4" t="n"/>
      <c r="AQ941" s="4" t="n"/>
      <c r="AR941" s="5">
        <f>IF($AQ941="","",HYPERLINK(p_ruta_base_checklists&amp;$AQ941,"abrir"))</f>
        <v/>
      </c>
      <c r="AS941" s="4" t="n"/>
      <c r="AT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2" t="n"/>
      <c r="K942" s="5" t="n"/>
      <c r="L942" s="18" t="n"/>
      <c r="M942" s="5">
        <f>IF($A942="","",IFERROR(INDEX('AJUSTES'!$B$4:$B$303,MATCH($AT942,'AJUSTES'!$A$4:$A$303,0)),IF($K942="","",$K942)))</f>
        <v/>
      </c>
      <c r="N942" s="5">
        <f>IF($A942="","",IFERROR(INDEX('CAT_ESTADOS_ERP'!$B$4:$B$7,MATCH(IFERROR(INDEX('2_IMPORTAR_EJECUCION'!$C$9:$C$1208,MATCH($AT942,'2_IMPORTAR_EJECUCION'!$J$9:$J$1208,0)),""),'CAT_ESTADOS_ERP'!$A$4:$A$7,0)),"Pendiente"))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IF($J942="","",$P942&amp;"-"&amp;TEXT($Q942,"00"))</f>
        <v/>
      </c>
      <c r="S942" s="5">
        <f>IF($J942="","",INDEX(lista_dias,WEEKDAY($J942,2)))</f>
        <v/>
      </c>
      <c r="T942" s="5">
        <f>IF($J942="","",IFERROR(INDEX('CALENDARIO'!$C$15:$C$214,MATCH(TEXT($J942,"yyyy-mm-dd")&amp;"|"&amp;$X942&amp;"|"&amp;$Y942,'CALENDARIO'!$G$15:$G$214,0)),IFERROR(INDEX('CALENDARIO'!$C$15:$C$214,MATCH(TEXT($J942,"yyyy-mm-dd")&amp;"|"&amp;$X942&amp;"|",'CALENDARIO'!$G$15:$G$214,0)),IFERROR(INDEX('CALENDARIO'!$C$15:$C$214,MATCH(TEXT($J942,"yyyy-mm-dd")&amp;"||",'CALENDARIO'!$G$15:$G$214,0)),INDEX(patronHabil,WEEKDAY($J942,2))))))</f>
        <v/>
      </c>
      <c r="U942" s="5">
        <f>IF($I942="","",IFERROR(INDEX('CAT_TIPOS_OT'!$C$4:$C$8,MATCH($I942,'CAT_TIPOS_OT'!$A$4:$A$8,0)),"sin_clasificar"))</f>
        <v/>
      </c>
      <c r="V942" s="5">
        <f>IF($I942="","",IF(IFERROR(INDEX('CAT_TIPOS_OT'!$D$4:$D$8,MATCH($I942,'CAT_TIPOS_OT'!$A$4:$A$8,0)),"SIN CLASIFICAR")="","SIN CLASIFICAR",IFERROR(INDEX('CAT_TIPOS_OT'!$D$4:$D$8,MATCH($I942,'CAT_TIPOS_OT'!$A$4:$A$8,0)),"SIN CLASIFICAR")))</f>
        <v/>
      </c>
      <c r="W942" s="5">
        <f>IF($F942="","",IFERROR(INDEX('CAT_CENTROS_COSTO'!$F$4:$F$13,MATCH($F942,'CAT_CENTROS_COSTO'!$A$4:$A$13,0)),"(sin catálogo)"))</f>
        <v/>
      </c>
      <c r="X942" s="5">
        <f>IF($F942="","",IFERROR(INDEX('CAT_CENTROS_COSTO'!$D$4:$D$13,MATCH($F942,'CAT_CENTROS_COSTO'!$A$4:$A$13,0)),"(sin catálogo)"))</f>
        <v/>
      </c>
      <c r="Y942" s="5">
        <f>IF($F942="","",IF((IFERROR(INDEX('CAT_CENTROS_COSTO'!$E$4:$E$13,MATCH($F942,'CAT_CENTROS_COSTO'!$A$4:$A$13,0)),""))&lt;&gt;"",IFERROR(INDEX('CAT_CENTROS_COSTO'!$E$4:$E$13,MATCH($F942,'CAT_CENTROS_COSTO'!$A$4:$A$13,0)),""),$X942))</f>
        <v/>
      </c>
      <c r="Z942" s="5">
        <f>IF($F942="","",IFERROR(INDEX('CAT_CENTROS_COSTO'!$G$4:$G$13,MATCH($F942,'CAT_CENTROS_COSTO'!$A$4:$A$13,0)),"(sin catálogo)"))</f>
        <v/>
      </c>
      <c r="AA942" s="5">
        <f>IF($G942="","",IFERROR(INDEX('CAT_PUESTOS'!$B$4:$B$8,MATCH($G942,'CAT_PUESTOS'!$A$4:$A$8,0)),"(sin catálogo)"))</f>
        <v/>
      </c>
      <c r="AB942" s="5">
        <f>IF($H942="","",IFERROR(INDEX('CAT_ACTIVIDADES'!$B$4:$B$11,MATCH($H942,'CAT_ACTIVIDADES'!$A$4:$A$11,0)),"(sin catálogo)"))</f>
        <v/>
      </c>
      <c r="AC942" s="20">
        <f>IF($J942="","",TODAY()-$J942)</f>
        <v/>
      </c>
      <c r="AD942" s="20">
        <f>IF($J942="","",IF($J942&lt;=TODAY(),COUNTIFS(cal_fechas,"&gt;="&amp;$J942,cal_fechas,"&lt;"&amp;TODAY(),cal_habil,"sí"),-COUNTIFS(cal_fechas,"&gt;="&amp;TODAY(),cal_fechas,"&lt;"&amp;$J942,cal_habil,"sí")))</f>
        <v/>
      </c>
      <c r="AE942" s="5">
        <f>IF($AD942="","",IF($AD942&lt;0,"FUTURO",IF($AD942&gt;p_dias_backlog_max,"BACKLOG","MES CORRIENTE")))</f>
        <v/>
      </c>
      <c r="AF942" s="5">
        <f>IF($AD942="",FALSE,AND($AD942&gt;p_dias_backlog_min,$AD942&lt;=p_dias_backlog_max))</f>
        <v/>
      </c>
      <c r="AG942" s="4" t="n"/>
      <c r="AH942" s="5">
        <f>IF($AG942="","",IF((IFERROR(INDEX('ASIGNACIONES'!$J$4:$J$451,MATCH($O942&amp;"|"&amp;$S942&amp;"|"&amp;$AG942,'ASIGNACIONES'!$N$4:$N$451,0)),""))=0,"",IFERROR(INDEX('ASIGNACIONES'!$J$4:$J$451,MATCH($O942&amp;"|"&amp;$S942&amp;"|"&amp;$AG942,'ASIGNACIONES'!$N$4:$N$451,0)),"")))</f>
        <v/>
      </c>
      <c r="AI942" s="25">
        <f>IF($AG942="","",SUMIFS('ORDENES'!$M$4:$M$1203,'ORDENES'!$AG$4:$AG$1203,$AG942,'ORDENES'!$O$4:$O$1203,$O942,'ORDENES'!$S$4:$S$1203,$S942))</f>
        <v/>
      </c>
      <c r="AJ942" s="25">
        <f>IF($AI942="","",p_factor_productividad*IFERROR(INDEX('ASIGNACIONES'!$M$4:$M$451,MATCH($O942&amp;"|"&amp;$S942&amp;"|"&amp;$AG942,'ASIGNACIONES'!$N$4:$N$451,0)),0)-$AI942)</f>
        <v/>
      </c>
      <c r="AK942" s="18">
        <f>IF($A942="","",IFERROR(INDEX('2_IMPORTAR_EJECUCION'!$F$9:$F$1208,MATCH($AT942,'2_IMPORTAR_EJECUCION'!$J$9:$J$1208,0)),0))</f>
        <v/>
      </c>
      <c r="AL942" s="18">
        <f>IF($A942="","",MAX(0,IFERROR(INDEX('2_IMPORTAR_EJECUCION'!$H$9:$H$1208,MATCH($AT942,'2_IMPORTAR_EJECUCION'!$J$9:$J$1208,0)),0)-$AK942))</f>
        <v/>
      </c>
      <c r="AM942" s="18">
        <f>IF($A942="","",$AK942+$AL942)</f>
        <v/>
      </c>
      <c r="AN942" s="5">
        <f>IF($A942="","",IF(OR((IFERROR(INDEX('CAT_ACTIVIDADES'!$D$4:$D$11,MATCH($H942,'CAT_ACTIVIDADES'!$A$4:$A$11,0)),""))=0,(IFERROR(INDEX('CAT_ACTIVIDADES'!$D$4:$D$11,MATCH($H942,'CAT_ACTIVIDADES'!$A$4:$A$11,0)),""))=""),"SIN CLASIFICAR",IFERROR(INDEX('CAT_ACTIVIDADES'!$D$4:$D$11,MATCH($H942,'CAT_ACTIVIDADES'!$A$4:$A$11,0)),"")))</f>
        <v/>
      </c>
      <c r="AO942" s="4" t="n"/>
      <c r="AP942" s="4" t="n"/>
      <c r="AQ942" s="4" t="n"/>
      <c r="AR942" s="5">
        <f>IF($AQ942="","",HYPERLINK(p_ruta_base_checklists&amp;$AQ942,"abrir"))</f>
        <v/>
      </c>
      <c r="AS942" s="4" t="n"/>
      <c r="AT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2" t="n"/>
      <c r="K943" s="5" t="n"/>
      <c r="L943" s="18" t="n"/>
      <c r="M943" s="5">
        <f>IF($A943="","",IFERROR(INDEX('AJUSTES'!$B$4:$B$303,MATCH($AT943,'AJUSTES'!$A$4:$A$303,0)),IF($K943="","",$K943)))</f>
        <v/>
      </c>
      <c r="N943" s="5">
        <f>IF($A943="","",IFERROR(INDEX('CAT_ESTADOS_ERP'!$B$4:$B$7,MATCH(IFERROR(INDEX('2_IMPORTAR_EJECUCION'!$C$9:$C$1208,MATCH($AT943,'2_IMPORTAR_EJECUCION'!$J$9:$J$1208,0)),""),'CAT_ESTADOS_ERP'!$A$4:$A$7,0)),"Pendiente"))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IF($J943="","",$P943&amp;"-"&amp;TEXT($Q943,"00"))</f>
        <v/>
      </c>
      <c r="S943" s="5">
        <f>IF($J943="","",INDEX(lista_dias,WEEKDAY($J943,2)))</f>
        <v/>
      </c>
      <c r="T943" s="5">
        <f>IF($J943="","",IFERROR(INDEX('CALENDARIO'!$C$15:$C$214,MATCH(TEXT($J943,"yyyy-mm-dd")&amp;"|"&amp;$X943&amp;"|"&amp;$Y943,'CALENDARIO'!$G$15:$G$214,0)),IFERROR(INDEX('CALENDARIO'!$C$15:$C$214,MATCH(TEXT($J943,"yyyy-mm-dd")&amp;"|"&amp;$X943&amp;"|",'CALENDARIO'!$G$15:$G$214,0)),IFERROR(INDEX('CALENDARIO'!$C$15:$C$214,MATCH(TEXT($J943,"yyyy-mm-dd")&amp;"||",'CALENDARIO'!$G$15:$G$214,0)),INDEX(patronHabil,WEEKDAY($J943,2))))))</f>
        <v/>
      </c>
      <c r="U943" s="5">
        <f>IF($I943="","",IFERROR(INDEX('CAT_TIPOS_OT'!$C$4:$C$8,MATCH($I943,'CAT_TIPOS_OT'!$A$4:$A$8,0)),"sin_clasificar"))</f>
        <v/>
      </c>
      <c r="V943" s="5">
        <f>IF($I943="","",IF(IFERROR(INDEX('CAT_TIPOS_OT'!$D$4:$D$8,MATCH($I943,'CAT_TIPOS_OT'!$A$4:$A$8,0)),"SIN CLASIFICAR")="","SIN CLASIFICAR",IFERROR(INDEX('CAT_TIPOS_OT'!$D$4:$D$8,MATCH($I943,'CAT_TIPOS_OT'!$A$4:$A$8,0)),"SIN CLASIFICAR")))</f>
        <v/>
      </c>
      <c r="W943" s="5">
        <f>IF($F943="","",IFERROR(INDEX('CAT_CENTROS_COSTO'!$F$4:$F$13,MATCH($F943,'CAT_CENTROS_COSTO'!$A$4:$A$13,0)),"(sin catálogo)"))</f>
        <v/>
      </c>
      <c r="X943" s="5">
        <f>IF($F943="","",IFERROR(INDEX('CAT_CENTROS_COSTO'!$D$4:$D$13,MATCH($F943,'CAT_CENTROS_COSTO'!$A$4:$A$13,0)),"(sin catálogo)"))</f>
        <v/>
      </c>
      <c r="Y943" s="5">
        <f>IF($F943="","",IF((IFERROR(INDEX('CAT_CENTROS_COSTO'!$E$4:$E$13,MATCH($F943,'CAT_CENTROS_COSTO'!$A$4:$A$13,0)),""))&lt;&gt;"",IFERROR(INDEX('CAT_CENTROS_COSTO'!$E$4:$E$13,MATCH($F943,'CAT_CENTROS_COSTO'!$A$4:$A$13,0)),""),$X943))</f>
        <v/>
      </c>
      <c r="Z943" s="5">
        <f>IF($F943="","",IFERROR(INDEX('CAT_CENTROS_COSTO'!$G$4:$G$13,MATCH($F943,'CAT_CENTROS_COSTO'!$A$4:$A$13,0)),"(sin catálogo)"))</f>
        <v/>
      </c>
      <c r="AA943" s="5">
        <f>IF($G943="","",IFERROR(INDEX('CAT_PUESTOS'!$B$4:$B$8,MATCH($G943,'CAT_PUESTOS'!$A$4:$A$8,0)),"(sin catálogo)"))</f>
        <v/>
      </c>
      <c r="AB943" s="5">
        <f>IF($H943="","",IFERROR(INDEX('CAT_ACTIVIDADES'!$B$4:$B$11,MATCH($H943,'CAT_ACTIVIDADES'!$A$4:$A$11,0)),"(sin catálogo)"))</f>
        <v/>
      </c>
      <c r="AC943" s="20">
        <f>IF($J943="","",TODAY()-$J943)</f>
        <v/>
      </c>
      <c r="AD943" s="20">
        <f>IF($J943="","",IF($J943&lt;=TODAY(),COUNTIFS(cal_fechas,"&gt;="&amp;$J943,cal_fechas,"&lt;"&amp;TODAY(),cal_habil,"sí"),-COUNTIFS(cal_fechas,"&gt;="&amp;TODAY(),cal_fechas,"&lt;"&amp;$J943,cal_habil,"sí")))</f>
        <v/>
      </c>
      <c r="AE943" s="5">
        <f>IF($AD943="","",IF($AD943&lt;0,"FUTURO",IF($AD943&gt;p_dias_backlog_max,"BACKLOG","MES CORRIENTE")))</f>
        <v/>
      </c>
      <c r="AF943" s="5">
        <f>IF($AD943="",FALSE,AND($AD943&gt;p_dias_backlog_min,$AD943&lt;=p_dias_backlog_max))</f>
        <v/>
      </c>
      <c r="AG943" s="4" t="n"/>
      <c r="AH943" s="5">
        <f>IF($AG943="","",IF((IFERROR(INDEX('ASIGNACIONES'!$J$4:$J$451,MATCH($O943&amp;"|"&amp;$S943&amp;"|"&amp;$AG943,'ASIGNACIONES'!$N$4:$N$451,0)),""))=0,"",IFERROR(INDEX('ASIGNACIONES'!$J$4:$J$451,MATCH($O943&amp;"|"&amp;$S943&amp;"|"&amp;$AG943,'ASIGNACIONES'!$N$4:$N$451,0)),"")))</f>
        <v/>
      </c>
      <c r="AI943" s="25">
        <f>IF($AG943="","",SUMIFS('ORDENES'!$M$4:$M$1203,'ORDENES'!$AG$4:$AG$1203,$AG943,'ORDENES'!$O$4:$O$1203,$O943,'ORDENES'!$S$4:$S$1203,$S943))</f>
        <v/>
      </c>
      <c r="AJ943" s="25">
        <f>IF($AI943="","",p_factor_productividad*IFERROR(INDEX('ASIGNACIONES'!$M$4:$M$451,MATCH($O943&amp;"|"&amp;$S943&amp;"|"&amp;$AG943,'ASIGNACIONES'!$N$4:$N$451,0)),0)-$AI943)</f>
        <v/>
      </c>
      <c r="AK943" s="18">
        <f>IF($A943="","",IFERROR(INDEX('2_IMPORTAR_EJECUCION'!$F$9:$F$1208,MATCH($AT943,'2_IMPORTAR_EJECUCION'!$J$9:$J$1208,0)),0))</f>
        <v/>
      </c>
      <c r="AL943" s="18">
        <f>IF($A943="","",MAX(0,IFERROR(INDEX('2_IMPORTAR_EJECUCION'!$H$9:$H$1208,MATCH($AT943,'2_IMPORTAR_EJECUCION'!$J$9:$J$1208,0)),0)-$AK943))</f>
        <v/>
      </c>
      <c r="AM943" s="18">
        <f>IF($A943="","",$AK943+$AL943)</f>
        <v/>
      </c>
      <c r="AN943" s="5">
        <f>IF($A943="","",IF(OR((IFERROR(INDEX('CAT_ACTIVIDADES'!$D$4:$D$11,MATCH($H943,'CAT_ACTIVIDADES'!$A$4:$A$11,0)),""))=0,(IFERROR(INDEX('CAT_ACTIVIDADES'!$D$4:$D$11,MATCH($H943,'CAT_ACTIVIDADES'!$A$4:$A$11,0)),""))=""),"SIN CLASIFICAR",IFERROR(INDEX('CAT_ACTIVIDADES'!$D$4:$D$11,MATCH($H943,'CAT_ACTIVIDADES'!$A$4:$A$11,0)),"")))</f>
        <v/>
      </c>
      <c r="AO943" s="4" t="n"/>
      <c r="AP943" s="4" t="n"/>
      <c r="AQ943" s="4" t="n"/>
      <c r="AR943" s="5">
        <f>IF($AQ943="","",HYPERLINK(p_ruta_base_checklists&amp;$AQ943,"abrir"))</f>
        <v/>
      </c>
      <c r="AS943" s="4" t="n"/>
      <c r="AT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2" t="n"/>
      <c r="K944" s="5" t="n"/>
      <c r="L944" s="18" t="n"/>
      <c r="M944" s="5">
        <f>IF($A944="","",IFERROR(INDEX('AJUSTES'!$B$4:$B$303,MATCH($AT944,'AJUSTES'!$A$4:$A$303,0)),IF($K944="","",$K944)))</f>
        <v/>
      </c>
      <c r="N944" s="5">
        <f>IF($A944="","",IFERROR(INDEX('CAT_ESTADOS_ERP'!$B$4:$B$7,MATCH(IFERROR(INDEX('2_IMPORTAR_EJECUCION'!$C$9:$C$1208,MATCH($AT944,'2_IMPORTAR_EJECUCION'!$J$9:$J$1208,0)),""),'CAT_ESTADOS_ERP'!$A$4:$A$7,0)),"Pendiente"))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IF($J944="","",$P944&amp;"-"&amp;TEXT($Q944,"00"))</f>
        <v/>
      </c>
      <c r="S944" s="5">
        <f>IF($J944="","",INDEX(lista_dias,WEEKDAY($J944,2)))</f>
        <v/>
      </c>
      <c r="T944" s="5">
        <f>IF($J944="","",IFERROR(INDEX('CALENDARIO'!$C$15:$C$214,MATCH(TEXT($J944,"yyyy-mm-dd")&amp;"|"&amp;$X944&amp;"|"&amp;$Y944,'CALENDARIO'!$G$15:$G$214,0)),IFERROR(INDEX('CALENDARIO'!$C$15:$C$214,MATCH(TEXT($J944,"yyyy-mm-dd")&amp;"|"&amp;$X944&amp;"|",'CALENDARIO'!$G$15:$G$214,0)),IFERROR(INDEX('CALENDARIO'!$C$15:$C$214,MATCH(TEXT($J944,"yyyy-mm-dd")&amp;"||",'CALENDARIO'!$G$15:$G$214,0)),INDEX(patronHabil,WEEKDAY($J944,2))))))</f>
        <v/>
      </c>
      <c r="U944" s="5">
        <f>IF($I944="","",IFERROR(INDEX('CAT_TIPOS_OT'!$C$4:$C$8,MATCH($I944,'CAT_TIPOS_OT'!$A$4:$A$8,0)),"sin_clasificar"))</f>
        <v/>
      </c>
      <c r="V944" s="5">
        <f>IF($I944="","",IF(IFERROR(INDEX('CAT_TIPOS_OT'!$D$4:$D$8,MATCH($I944,'CAT_TIPOS_OT'!$A$4:$A$8,0)),"SIN CLASIFICAR")="","SIN CLASIFICAR",IFERROR(INDEX('CAT_TIPOS_OT'!$D$4:$D$8,MATCH($I944,'CAT_TIPOS_OT'!$A$4:$A$8,0)),"SIN CLASIFICAR")))</f>
        <v/>
      </c>
      <c r="W944" s="5">
        <f>IF($F944="","",IFERROR(INDEX('CAT_CENTROS_COSTO'!$F$4:$F$13,MATCH($F944,'CAT_CENTROS_COSTO'!$A$4:$A$13,0)),"(sin catálogo)"))</f>
        <v/>
      </c>
      <c r="X944" s="5">
        <f>IF($F944="","",IFERROR(INDEX('CAT_CENTROS_COSTO'!$D$4:$D$13,MATCH($F944,'CAT_CENTROS_COSTO'!$A$4:$A$13,0)),"(sin catálogo)"))</f>
        <v/>
      </c>
      <c r="Y944" s="5">
        <f>IF($F944="","",IF((IFERROR(INDEX('CAT_CENTROS_COSTO'!$E$4:$E$13,MATCH($F944,'CAT_CENTROS_COSTO'!$A$4:$A$13,0)),""))&lt;&gt;"",IFERROR(INDEX('CAT_CENTROS_COSTO'!$E$4:$E$13,MATCH($F944,'CAT_CENTROS_COSTO'!$A$4:$A$13,0)),""),$X944))</f>
        <v/>
      </c>
      <c r="Z944" s="5">
        <f>IF($F944="","",IFERROR(INDEX('CAT_CENTROS_COSTO'!$G$4:$G$13,MATCH($F944,'CAT_CENTROS_COSTO'!$A$4:$A$13,0)),"(sin catálogo)"))</f>
        <v/>
      </c>
      <c r="AA944" s="5">
        <f>IF($G944="","",IFERROR(INDEX('CAT_PUESTOS'!$B$4:$B$8,MATCH($G944,'CAT_PUESTOS'!$A$4:$A$8,0)),"(sin catálogo)"))</f>
        <v/>
      </c>
      <c r="AB944" s="5">
        <f>IF($H944="","",IFERROR(INDEX('CAT_ACTIVIDADES'!$B$4:$B$11,MATCH($H944,'CAT_ACTIVIDADES'!$A$4:$A$11,0)),"(sin catálogo)"))</f>
        <v/>
      </c>
      <c r="AC944" s="20">
        <f>IF($J944="","",TODAY()-$J944)</f>
        <v/>
      </c>
      <c r="AD944" s="20">
        <f>IF($J944="","",IF($J944&lt;=TODAY(),COUNTIFS(cal_fechas,"&gt;="&amp;$J944,cal_fechas,"&lt;"&amp;TODAY(),cal_habil,"sí"),-COUNTIFS(cal_fechas,"&gt;="&amp;TODAY(),cal_fechas,"&lt;"&amp;$J944,cal_habil,"sí")))</f>
        <v/>
      </c>
      <c r="AE944" s="5">
        <f>IF($AD944="","",IF($AD944&lt;0,"FUTURO",IF($AD944&gt;p_dias_backlog_max,"BACKLOG","MES CORRIENTE")))</f>
        <v/>
      </c>
      <c r="AF944" s="5">
        <f>IF($AD944="",FALSE,AND($AD944&gt;p_dias_backlog_min,$AD944&lt;=p_dias_backlog_max))</f>
        <v/>
      </c>
      <c r="AG944" s="4" t="n"/>
      <c r="AH944" s="5">
        <f>IF($AG944="","",IF((IFERROR(INDEX('ASIGNACIONES'!$J$4:$J$451,MATCH($O944&amp;"|"&amp;$S944&amp;"|"&amp;$AG944,'ASIGNACIONES'!$N$4:$N$451,0)),""))=0,"",IFERROR(INDEX('ASIGNACIONES'!$J$4:$J$451,MATCH($O944&amp;"|"&amp;$S944&amp;"|"&amp;$AG944,'ASIGNACIONES'!$N$4:$N$451,0)),"")))</f>
        <v/>
      </c>
      <c r="AI944" s="25">
        <f>IF($AG944="","",SUMIFS('ORDENES'!$M$4:$M$1203,'ORDENES'!$AG$4:$AG$1203,$AG944,'ORDENES'!$O$4:$O$1203,$O944,'ORDENES'!$S$4:$S$1203,$S944))</f>
        <v/>
      </c>
      <c r="AJ944" s="25">
        <f>IF($AI944="","",p_factor_productividad*IFERROR(INDEX('ASIGNACIONES'!$M$4:$M$451,MATCH($O944&amp;"|"&amp;$S944&amp;"|"&amp;$AG944,'ASIGNACIONES'!$N$4:$N$451,0)),0)-$AI944)</f>
        <v/>
      </c>
      <c r="AK944" s="18">
        <f>IF($A944="","",IFERROR(INDEX('2_IMPORTAR_EJECUCION'!$F$9:$F$1208,MATCH($AT944,'2_IMPORTAR_EJECUCION'!$J$9:$J$1208,0)),0))</f>
        <v/>
      </c>
      <c r="AL944" s="18">
        <f>IF($A944="","",MAX(0,IFERROR(INDEX('2_IMPORTAR_EJECUCION'!$H$9:$H$1208,MATCH($AT944,'2_IMPORTAR_EJECUCION'!$J$9:$J$1208,0)),0)-$AK944))</f>
        <v/>
      </c>
      <c r="AM944" s="18">
        <f>IF($A944="","",$AK944+$AL944)</f>
        <v/>
      </c>
      <c r="AN944" s="5">
        <f>IF($A944="","",IF(OR((IFERROR(INDEX('CAT_ACTIVIDADES'!$D$4:$D$11,MATCH($H944,'CAT_ACTIVIDADES'!$A$4:$A$11,0)),""))=0,(IFERROR(INDEX('CAT_ACTIVIDADES'!$D$4:$D$11,MATCH($H944,'CAT_ACTIVIDADES'!$A$4:$A$11,0)),""))=""),"SIN CLASIFICAR",IFERROR(INDEX('CAT_ACTIVIDADES'!$D$4:$D$11,MATCH($H944,'CAT_ACTIVIDADES'!$A$4:$A$11,0)),"")))</f>
        <v/>
      </c>
      <c r="AO944" s="4" t="n"/>
      <c r="AP944" s="4" t="n"/>
      <c r="AQ944" s="4" t="n"/>
      <c r="AR944" s="5">
        <f>IF($AQ944="","",HYPERLINK(p_ruta_base_checklists&amp;$AQ944,"abrir"))</f>
        <v/>
      </c>
      <c r="AS944" s="4" t="n"/>
      <c r="AT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2" t="n"/>
      <c r="K945" s="5" t="n"/>
      <c r="L945" s="18" t="n"/>
      <c r="M945" s="5">
        <f>IF($A945="","",IFERROR(INDEX('AJUSTES'!$B$4:$B$303,MATCH($AT945,'AJUSTES'!$A$4:$A$303,0)),IF($K945="","",$K945)))</f>
        <v/>
      </c>
      <c r="N945" s="5">
        <f>IF($A945="","",IFERROR(INDEX('CAT_ESTADOS_ERP'!$B$4:$B$7,MATCH(IFERROR(INDEX('2_IMPORTAR_EJECUCION'!$C$9:$C$1208,MATCH($AT945,'2_IMPORTAR_EJECUCION'!$J$9:$J$1208,0)),""),'CAT_ESTADOS_ERP'!$A$4:$A$7,0)),"Pendiente"))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IF($J945="","",$P945&amp;"-"&amp;TEXT($Q945,"00"))</f>
        <v/>
      </c>
      <c r="S945" s="5">
        <f>IF($J945="","",INDEX(lista_dias,WEEKDAY($J945,2)))</f>
        <v/>
      </c>
      <c r="T945" s="5">
        <f>IF($J945="","",IFERROR(INDEX('CALENDARIO'!$C$15:$C$214,MATCH(TEXT($J945,"yyyy-mm-dd")&amp;"|"&amp;$X945&amp;"|"&amp;$Y945,'CALENDARIO'!$G$15:$G$214,0)),IFERROR(INDEX('CALENDARIO'!$C$15:$C$214,MATCH(TEXT($J945,"yyyy-mm-dd")&amp;"|"&amp;$X945&amp;"|",'CALENDARIO'!$G$15:$G$214,0)),IFERROR(INDEX('CALENDARIO'!$C$15:$C$214,MATCH(TEXT($J945,"yyyy-mm-dd")&amp;"||",'CALENDARIO'!$G$15:$G$214,0)),INDEX(patronHabil,WEEKDAY($J945,2))))))</f>
        <v/>
      </c>
      <c r="U945" s="5">
        <f>IF($I945="","",IFERROR(INDEX('CAT_TIPOS_OT'!$C$4:$C$8,MATCH($I945,'CAT_TIPOS_OT'!$A$4:$A$8,0)),"sin_clasificar"))</f>
        <v/>
      </c>
      <c r="V945" s="5">
        <f>IF($I945="","",IF(IFERROR(INDEX('CAT_TIPOS_OT'!$D$4:$D$8,MATCH($I945,'CAT_TIPOS_OT'!$A$4:$A$8,0)),"SIN CLASIFICAR")="","SIN CLASIFICAR",IFERROR(INDEX('CAT_TIPOS_OT'!$D$4:$D$8,MATCH($I945,'CAT_TIPOS_OT'!$A$4:$A$8,0)),"SIN CLASIFICAR")))</f>
        <v/>
      </c>
      <c r="W945" s="5">
        <f>IF($F945="","",IFERROR(INDEX('CAT_CENTROS_COSTO'!$F$4:$F$13,MATCH($F945,'CAT_CENTROS_COSTO'!$A$4:$A$13,0)),"(sin catálogo)"))</f>
        <v/>
      </c>
      <c r="X945" s="5">
        <f>IF($F945="","",IFERROR(INDEX('CAT_CENTROS_COSTO'!$D$4:$D$13,MATCH($F945,'CAT_CENTROS_COSTO'!$A$4:$A$13,0)),"(sin catálogo)"))</f>
        <v/>
      </c>
      <c r="Y945" s="5">
        <f>IF($F945="","",IF((IFERROR(INDEX('CAT_CENTROS_COSTO'!$E$4:$E$13,MATCH($F945,'CAT_CENTROS_COSTO'!$A$4:$A$13,0)),""))&lt;&gt;"",IFERROR(INDEX('CAT_CENTROS_COSTO'!$E$4:$E$13,MATCH($F945,'CAT_CENTROS_COSTO'!$A$4:$A$13,0)),""),$X945))</f>
        <v/>
      </c>
      <c r="Z945" s="5">
        <f>IF($F945="","",IFERROR(INDEX('CAT_CENTROS_COSTO'!$G$4:$G$13,MATCH($F945,'CAT_CENTROS_COSTO'!$A$4:$A$13,0)),"(sin catálogo)"))</f>
        <v/>
      </c>
      <c r="AA945" s="5">
        <f>IF($G945="","",IFERROR(INDEX('CAT_PUESTOS'!$B$4:$B$8,MATCH($G945,'CAT_PUESTOS'!$A$4:$A$8,0)),"(sin catálogo)"))</f>
        <v/>
      </c>
      <c r="AB945" s="5">
        <f>IF($H945="","",IFERROR(INDEX('CAT_ACTIVIDADES'!$B$4:$B$11,MATCH($H945,'CAT_ACTIVIDADES'!$A$4:$A$11,0)),"(sin catálogo)"))</f>
        <v/>
      </c>
      <c r="AC945" s="20">
        <f>IF($J945="","",TODAY()-$J945)</f>
        <v/>
      </c>
      <c r="AD945" s="20">
        <f>IF($J945="","",IF($J945&lt;=TODAY(),COUNTIFS(cal_fechas,"&gt;="&amp;$J945,cal_fechas,"&lt;"&amp;TODAY(),cal_habil,"sí"),-COUNTIFS(cal_fechas,"&gt;="&amp;TODAY(),cal_fechas,"&lt;"&amp;$J945,cal_habil,"sí")))</f>
        <v/>
      </c>
      <c r="AE945" s="5">
        <f>IF($AD945="","",IF($AD945&lt;0,"FUTURO",IF($AD945&gt;p_dias_backlog_max,"BACKLOG","MES CORRIENTE")))</f>
        <v/>
      </c>
      <c r="AF945" s="5">
        <f>IF($AD945="",FALSE,AND($AD945&gt;p_dias_backlog_min,$AD945&lt;=p_dias_backlog_max))</f>
        <v/>
      </c>
      <c r="AG945" s="4" t="n"/>
      <c r="AH945" s="5">
        <f>IF($AG945="","",IF((IFERROR(INDEX('ASIGNACIONES'!$J$4:$J$451,MATCH($O945&amp;"|"&amp;$S945&amp;"|"&amp;$AG945,'ASIGNACIONES'!$N$4:$N$451,0)),""))=0,"",IFERROR(INDEX('ASIGNACIONES'!$J$4:$J$451,MATCH($O945&amp;"|"&amp;$S945&amp;"|"&amp;$AG945,'ASIGNACIONES'!$N$4:$N$451,0)),"")))</f>
        <v/>
      </c>
      <c r="AI945" s="25">
        <f>IF($AG945="","",SUMIFS('ORDENES'!$M$4:$M$1203,'ORDENES'!$AG$4:$AG$1203,$AG945,'ORDENES'!$O$4:$O$1203,$O945,'ORDENES'!$S$4:$S$1203,$S945))</f>
        <v/>
      </c>
      <c r="AJ945" s="25">
        <f>IF($AI945="","",p_factor_productividad*IFERROR(INDEX('ASIGNACIONES'!$M$4:$M$451,MATCH($O945&amp;"|"&amp;$S945&amp;"|"&amp;$AG945,'ASIGNACIONES'!$N$4:$N$451,0)),0)-$AI945)</f>
        <v/>
      </c>
      <c r="AK945" s="18">
        <f>IF($A945="","",IFERROR(INDEX('2_IMPORTAR_EJECUCION'!$F$9:$F$1208,MATCH($AT945,'2_IMPORTAR_EJECUCION'!$J$9:$J$1208,0)),0))</f>
        <v/>
      </c>
      <c r="AL945" s="18">
        <f>IF($A945="","",MAX(0,IFERROR(INDEX('2_IMPORTAR_EJECUCION'!$H$9:$H$1208,MATCH($AT945,'2_IMPORTAR_EJECUCION'!$J$9:$J$1208,0)),0)-$AK945))</f>
        <v/>
      </c>
      <c r="AM945" s="18">
        <f>IF($A945="","",$AK945+$AL945)</f>
        <v/>
      </c>
      <c r="AN945" s="5">
        <f>IF($A945="","",IF(OR((IFERROR(INDEX('CAT_ACTIVIDADES'!$D$4:$D$11,MATCH($H945,'CAT_ACTIVIDADES'!$A$4:$A$11,0)),""))=0,(IFERROR(INDEX('CAT_ACTIVIDADES'!$D$4:$D$11,MATCH($H945,'CAT_ACTIVIDADES'!$A$4:$A$11,0)),""))=""),"SIN CLASIFICAR",IFERROR(INDEX('CAT_ACTIVIDADES'!$D$4:$D$11,MATCH($H945,'CAT_ACTIVIDADES'!$A$4:$A$11,0)),"")))</f>
        <v/>
      </c>
      <c r="AO945" s="4" t="n"/>
      <c r="AP945" s="4" t="n"/>
      <c r="AQ945" s="4" t="n"/>
      <c r="AR945" s="5">
        <f>IF($AQ945="","",HYPERLINK(p_ruta_base_checklists&amp;$AQ945,"abrir"))</f>
        <v/>
      </c>
      <c r="AS945" s="4" t="n"/>
      <c r="AT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2" t="n"/>
      <c r="K946" s="5" t="n"/>
      <c r="L946" s="18" t="n"/>
      <c r="M946" s="5">
        <f>IF($A946="","",IFERROR(INDEX('AJUSTES'!$B$4:$B$303,MATCH($AT946,'AJUSTES'!$A$4:$A$303,0)),IF($K946="","",$K946)))</f>
        <v/>
      </c>
      <c r="N946" s="5">
        <f>IF($A946="","",IFERROR(INDEX('CAT_ESTADOS_ERP'!$B$4:$B$7,MATCH(IFERROR(INDEX('2_IMPORTAR_EJECUCION'!$C$9:$C$1208,MATCH($AT946,'2_IMPORTAR_EJECUCION'!$J$9:$J$1208,0)),""),'CAT_ESTADOS_ERP'!$A$4:$A$7,0)),"Pendiente"))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IF($J946="","",$P946&amp;"-"&amp;TEXT($Q946,"00"))</f>
        <v/>
      </c>
      <c r="S946" s="5">
        <f>IF($J946="","",INDEX(lista_dias,WEEKDAY($J946,2)))</f>
        <v/>
      </c>
      <c r="T946" s="5">
        <f>IF($J946="","",IFERROR(INDEX('CALENDARIO'!$C$15:$C$214,MATCH(TEXT($J946,"yyyy-mm-dd")&amp;"|"&amp;$X946&amp;"|"&amp;$Y946,'CALENDARIO'!$G$15:$G$214,0)),IFERROR(INDEX('CALENDARIO'!$C$15:$C$214,MATCH(TEXT($J946,"yyyy-mm-dd")&amp;"|"&amp;$X946&amp;"|",'CALENDARIO'!$G$15:$G$214,0)),IFERROR(INDEX('CALENDARIO'!$C$15:$C$214,MATCH(TEXT($J946,"yyyy-mm-dd")&amp;"||",'CALENDARIO'!$G$15:$G$214,0)),INDEX(patronHabil,WEEKDAY($J946,2))))))</f>
        <v/>
      </c>
      <c r="U946" s="5">
        <f>IF($I946="","",IFERROR(INDEX('CAT_TIPOS_OT'!$C$4:$C$8,MATCH($I946,'CAT_TIPOS_OT'!$A$4:$A$8,0)),"sin_clasificar"))</f>
        <v/>
      </c>
      <c r="V946" s="5">
        <f>IF($I946="","",IF(IFERROR(INDEX('CAT_TIPOS_OT'!$D$4:$D$8,MATCH($I946,'CAT_TIPOS_OT'!$A$4:$A$8,0)),"SIN CLASIFICAR")="","SIN CLASIFICAR",IFERROR(INDEX('CAT_TIPOS_OT'!$D$4:$D$8,MATCH($I946,'CAT_TIPOS_OT'!$A$4:$A$8,0)),"SIN CLASIFICAR")))</f>
        <v/>
      </c>
      <c r="W946" s="5">
        <f>IF($F946="","",IFERROR(INDEX('CAT_CENTROS_COSTO'!$F$4:$F$13,MATCH($F946,'CAT_CENTROS_COSTO'!$A$4:$A$13,0)),"(sin catálogo)"))</f>
        <v/>
      </c>
      <c r="X946" s="5">
        <f>IF($F946="","",IFERROR(INDEX('CAT_CENTROS_COSTO'!$D$4:$D$13,MATCH($F946,'CAT_CENTROS_COSTO'!$A$4:$A$13,0)),"(sin catálogo)"))</f>
        <v/>
      </c>
      <c r="Y946" s="5">
        <f>IF($F946="","",IF((IFERROR(INDEX('CAT_CENTROS_COSTO'!$E$4:$E$13,MATCH($F946,'CAT_CENTROS_COSTO'!$A$4:$A$13,0)),""))&lt;&gt;"",IFERROR(INDEX('CAT_CENTROS_COSTO'!$E$4:$E$13,MATCH($F946,'CAT_CENTROS_COSTO'!$A$4:$A$13,0)),""),$X946))</f>
        <v/>
      </c>
      <c r="Z946" s="5">
        <f>IF($F946="","",IFERROR(INDEX('CAT_CENTROS_COSTO'!$G$4:$G$13,MATCH($F946,'CAT_CENTROS_COSTO'!$A$4:$A$13,0)),"(sin catálogo)"))</f>
        <v/>
      </c>
      <c r="AA946" s="5">
        <f>IF($G946="","",IFERROR(INDEX('CAT_PUESTOS'!$B$4:$B$8,MATCH($G946,'CAT_PUESTOS'!$A$4:$A$8,0)),"(sin catálogo)"))</f>
        <v/>
      </c>
      <c r="AB946" s="5">
        <f>IF($H946="","",IFERROR(INDEX('CAT_ACTIVIDADES'!$B$4:$B$11,MATCH($H946,'CAT_ACTIVIDADES'!$A$4:$A$11,0)),"(sin catálogo)"))</f>
        <v/>
      </c>
      <c r="AC946" s="20">
        <f>IF($J946="","",TODAY()-$J946)</f>
        <v/>
      </c>
      <c r="AD946" s="20">
        <f>IF($J946="","",IF($J946&lt;=TODAY(),COUNTIFS(cal_fechas,"&gt;="&amp;$J946,cal_fechas,"&lt;"&amp;TODAY(),cal_habil,"sí"),-COUNTIFS(cal_fechas,"&gt;="&amp;TODAY(),cal_fechas,"&lt;"&amp;$J946,cal_habil,"sí")))</f>
        <v/>
      </c>
      <c r="AE946" s="5">
        <f>IF($AD946="","",IF($AD946&lt;0,"FUTURO",IF($AD946&gt;p_dias_backlog_max,"BACKLOG","MES CORRIENTE")))</f>
        <v/>
      </c>
      <c r="AF946" s="5">
        <f>IF($AD946="",FALSE,AND($AD946&gt;p_dias_backlog_min,$AD946&lt;=p_dias_backlog_max))</f>
        <v/>
      </c>
      <c r="AG946" s="4" t="n"/>
      <c r="AH946" s="5">
        <f>IF($AG946="","",IF((IFERROR(INDEX('ASIGNACIONES'!$J$4:$J$451,MATCH($O946&amp;"|"&amp;$S946&amp;"|"&amp;$AG946,'ASIGNACIONES'!$N$4:$N$451,0)),""))=0,"",IFERROR(INDEX('ASIGNACIONES'!$J$4:$J$451,MATCH($O946&amp;"|"&amp;$S946&amp;"|"&amp;$AG946,'ASIGNACIONES'!$N$4:$N$451,0)),"")))</f>
        <v/>
      </c>
      <c r="AI946" s="25">
        <f>IF($AG946="","",SUMIFS('ORDENES'!$M$4:$M$1203,'ORDENES'!$AG$4:$AG$1203,$AG946,'ORDENES'!$O$4:$O$1203,$O946,'ORDENES'!$S$4:$S$1203,$S946))</f>
        <v/>
      </c>
      <c r="AJ946" s="25">
        <f>IF($AI946="","",p_factor_productividad*IFERROR(INDEX('ASIGNACIONES'!$M$4:$M$451,MATCH($O946&amp;"|"&amp;$S946&amp;"|"&amp;$AG946,'ASIGNACIONES'!$N$4:$N$451,0)),0)-$AI946)</f>
        <v/>
      </c>
      <c r="AK946" s="18">
        <f>IF($A946="","",IFERROR(INDEX('2_IMPORTAR_EJECUCION'!$F$9:$F$1208,MATCH($AT946,'2_IMPORTAR_EJECUCION'!$J$9:$J$1208,0)),0))</f>
        <v/>
      </c>
      <c r="AL946" s="18">
        <f>IF($A946="","",MAX(0,IFERROR(INDEX('2_IMPORTAR_EJECUCION'!$H$9:$H$1208,MATCH($AT946,'2_IMPORTAR_EJECUCION'!$J$9:$J$1208,0)),0)-$AK946))</f>
        <v/>
      </c>
      <c r="AM946" s="18">
        <f>IF($A946="","",$AK946+$AL946)</f>
        <v/>
      </c>
      <c r="AN946" s="5">
        <f>IF($A946="","",IF(OR((IFERROR(INDEX('CAT_ACTIVIDADES'!$D$4:$D$11,MATCH($H946,'CAT_ACTIVIDADES'!$A$4:$A$11,0)),""))=0,(IFERROR(INDEX('CAT_ACTIVIDADES'!$D$4:$D$11,MATCH($H946,'CAT_ACTIVIDADES'!$A$4:$A$11,0)),""))=""),"SIN CLASIFICAR",IFERROR(INDEX('CAT_ACTIVIDADES'!$D$4:$D$11,MATCH($H946,'CAT_ACTIVIDADES'!$A$4:$A$11,0)),"")))</f>
        <v/>
      </c>
      <c r="AO946" s="4" t="n"/>
      <c r="AP946" s="4" t="n"/>
      <c r="AQ946" s="4" t="n"/>
      <c r="AR946" s="5">
        <f>IF($AQ946="","",HYPERLINK(p_ruta_base_checklists&amp;$AQ946,"abrir"))</f>
        <v/>
      </c>
      <c r="AS946" s="4" t="n"/>
      <c r="AT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2" t="n"/>
      <c r="K947" s="5" t="n"/>
      <c r="L947" s="18" t="n"/>
      <c r="M947" s="5">
        <f>IF($A947="","",IFERROR(INDEX('AJUSTES'!$B$4:$B$303,MATCH($AT947,'AJUSTES'!$A$4:$A$303,0)),IF($K947="","",$K947)))</f>
        <v/>
      </c>
      <c r="N947" s="5">
        <f>IF($A947="","",IFERROR(INDEX('CAT_ESTADOS_ERP'!$B$4:$B$7,MATCH(IFERROR(INDEX('2_IMPORTAR_EJECUCION'!$C$9:$C$1208,MATCH($AT947,'2_IMPORTAR_EJECUCION'!$J$9:$J$1208,0)),""),'CAT_ESTADOS_ERP'!$A$4:$A$7,0)),"Pendiente"))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IF($J947="","",$P947&amp;"-"&amp;TEXT($Q947,"00"))</f>
        <v/>
      </c>
      <c r="S947" s="5">
        <f>IF($J947="","",INDEX(lista_dias,WEEKDAY($J947,2)))</f>
        <v/>
      </c>
      <c r="T947" s="5">
        <f>IF($J947="","",IFERROR(INDEX('CALENDARIO'!$C$15:$C$214,MATCH(TEXT($J947,"yyyy-mm-dd")&amp;"|"&amp;$X947&amp;"|"&amp;$Y947,'CALENDARIO'!$G$15:$G$214,0)),IFERROR(INDEX('CALENDARIO'!$C$15:$C$214,MATCH(TEXT($J947,"yyyy-mm-dd")&amp;"|"&amp;$X947&amp;"|",'CALENDARIO'!$G$15:$G$214,0)),IFERROR(INDEX('CALENDARIO'!$C$15:$C$214,MATCH(TEXT($J947,"yyyy-mm-dd")&amp;"||",'CALENDARIO'!$G$15:$G$214,0)),INDEX(patronHabil,WEEKDAY($J947,2))))))</f>
        <v/>
      </c>
      <c r="U947" s="5">
        <f>IF($I947="","",IFERROR(INDEX('CAT_TIPOS_OT'!$C$4:$C$8,MATCH($I947,'CAT_TIPOS_OT'!$A$4:$A$8,0)),"sin_clasificar"))</f>
        <v/>
      </c>
      <c r="V947" s="5">
        <f>IF($I947="","",IF(IFERROR(INDEX('CAT_TIPOS_OT'!$D$4:$D$8,MATCH($I947,'CAT_TIPOS_OT'!$A$4:$A$8,0)),"SIN CLASIFICAR")="","SIN CLASIFICAR",IFERROR(INDEX('CAT_TIPOS_OT'!$D$4:$D$8,MATCH($I947,'CAT_TIPOS_OT'!$A$4:$A$8,0)),"SIN CLASIFICAR")))</f>
        <v/>
      </c>
      <c r="W947" s="5">
        <f>IF($F947="","",IFERROR(INDEX('CAT_CENTROS_COSTO'!$F$4:$F$13,MATCH($F947,'CAT_CENTROS_COSTO'!$A$4:$A$13,0)),"(sin catálogo)"))</f>
        <v/>
      </c>
      <c r="X947" s="5">
        <f>IF($F947="","",IFERROR(INDEX('CAT_CENTROS_COSTO'!$D$4:$D$13,MATCH($F947,'CAT_CENTROS_COSTO'!$A$4:$A$13,0)),"(sin catálogo)"))</f>
        <v/>
      </c>
      <c r="Y947" s="5">
        <f>IF($F947="","",IF((IFERROR(INDEX('CAT_CENTROS_COSTO'!$E$4:$E$13,MATCH($F947,'CAT_CENTROS_COSTO'!$A$4:$A$13,0)),""))&lt;&gt;"",IFERROR(INDEX('CAT_CENTROS_COSTO'!$E$4:$E$13,MATCH($F947,'CAT_CENTROS_COSTO'!$A$4:$A$13,0)),""),$X947))</f>
        <v/>
      </c>
      <c r="Z947" s="5">
        <f>IF($F947="","",IFERROR(INDEX('CAT_CENTROS_COSTO'!$G$4:$G$13,MATCH($F947,'CAT_CENTROS_COSTO'!$A$4:$A$13,0)),"(sin catálogo)"))</f>
        <v/>
      </c>
      <c r="AA947" s="5">
        <f>IF($G947="","",IFERROR(INDEX('CAT_PUESTOS'!$B$4:$B$8,MATCH($G947,'CAT_PUESTOS'!$A$4:$A$8,0)),"(sin catálogo)"))</f>
        <v/>
      </c>
      <c r="AB947" s="5">
        <f>IF($H947="","",IFERROR(INDEX('CAT_ACTIVIDADES'!$B$4:$B$11,MATCH($H947,'CAT_ACTIVIDADES'!$A$4:$A$11,0)),"(sin catálogo)"))</f>
        <v/>
      </c>
      <c r="AC947" s="20">
        <f>IF($J947="","",TODAY()-$J947)</f>
        <v/>
      </c>
      <c r="AD947" s="20">
        <f>IF($J947="","",IF($J947&lt;=TODAY(),COUNTIFS(cal_fechas,"&gt;="&amp;$J947,cal_fechas,"&lt;"&amp;TODAY(),cal_habil,"sí"),-COUNTIFS(cal_fechas,"&gt;="&amp;TODAY(),cal_fechas,"&lt;"&amp;$J947,cal_habil,"sí")))</f>
        <v/>
      </c>
      <c r="AE947" s="5">
        <f>IF($AD947="","",IF($AD947&lt;0,"FUTURO",IF($AD947&gt;p_dias_backlog_max,"BACKLOG","MES CORRIENTE")))</f>
        <v/>
      </c>
      <c r="AF947" s="5">
        <f>IF($AD947="",FALSE,AND($AD947&gt;p_dias_backlog_min,$AD947&lt;=p_dias_backlog_max))</f>
        <v/>
      </c>
      <c r="AG947" s="4" t="n"/>
      <c r="AH947" s="5">
        <f>IF($AG947="","",IF((IFERROR(INDEX('ASIGNACIONES'!$J$4:$J$451,MATCH($O947&amp;"|"&amp;$S947&amp;"|"&amp;$AG947,'ASIGNACIONES'!$N$4:$N$451,0)),""))=0,"",IFERROR(INDEX('ASIGNACIONES'!$J$4:$J$451,MATCH($O947&amp;"|"&amp;$S947&amp;"|"&amp;$AG947,'ASIGNACIONES'!$N$4:$N$451,0)),"")))</f>
        <v/>
      </c>
      <c r="AI947" s="25">
        <f>IF($AG947="","",SUMIFS('ORDENES'!$M$4:$M$1203,'ORDENES'!$AG$4:$AG$1203,$AG947,'ORDENES'!$O$4:$O$1203,$O947,'ORDENES'!$S$4:$S$1203,$S947))</f>
        <v/>
      </c>
      <c r="AJ947" s="25">
        <f>IF($AI947="","",p_factor_productividad*IFERROR(INDEX('ASIGNACIONES'!$M$4:$M$451,MATCH($O947&amp;"|"&amp;$S947&amp;"|"&amp;$AG947,'ASIGNACIONES'!$N$4:$N$451,0)),0)-$AI947)</f>
        <v/>
      </c>
      <c r="AK947" s="18">
        <f>IF($A947="","",IFERROR(INDEX('2_IMPORTAR_EJECUCION'!$F$9:$F$1208,MATCH($AT947,'2_IMPORTAR_EJECUCION'!$J$9:$J$1208,0)),0))</f>
        <v/>
      </c>
      <c r="AL947" s="18">
        <f>IF($A947="","",MAX(0,IFERROR(INDEX('2_IMPORTAR_EJECUCION'!$H$9:$H$1208,MATCH($AT947,'2_IMPORTAR_EJECUCION'!$J$9:$J$1208,0)),0)-$AK947))</f>
        <v/>
      </c>
      <c r="AM947" s="18">
        <f>IF($A947="","",$AK947+$AL947)</f>
        <v/>
      </c>
      <c r="AN947" s="5">
        <f>IF($A947="","",IF(OR((IFERROR(INDEX('CAT_ACTIVIDADES'!$D$4:$D$11,MATCH($H947,'CAT_ACTIVIDADES'!$A$4:$A$11,0)),""))=0,(IFERROR(INDEX('CAT_ACTIVIDADES'!$D$4:$D$11,MATCH($H947,'CAT_ACTIVIDADES'!$A$4:$A$11,0)),""))=""),"SIN CLASIFICAR",IFERROR(INDEX('CAT_ACTIVIDADES'!$D$4:$D$11,MATCH($H947,'CAT_ACTIVIDADES'!$A$4:$A$11,0)),"")))</f>
        <v/>
      </c>
      <c r="AO947" s="4" t="n"/>
      <c r="AP947" s="4" t="n"/>
      <c r="AQ947" s="4" t="n"/>
      <c r="AR947" s="5">
        <f>IF($AQ947="","",HYPERLINK(p_ruta_base_checklists&amp;$AQ947,"abrir"))</f>
        <v/>
      </c>
      <c r="AS947" s="4" t="n"/>
      <c r="AT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2" t="n"/>
      <c r="K948" s="5" t="n"/>
      <c r="L948" s="18" t="n"/>
      <c r="M948" s="5">
        <f>IF($A948="","",IFERROR(INDEX('AJUSTES'!$B$4:$B$303,MATCH($AT948,'AJUSTES'!$A$4:$A$303,0)),IF($K948="","",$K948)))</f>
        <v/>
      </c>
      <c r="N948" s="5">
        <f>IF($A948="","",IFERROR(INDEX('CAT_ESTADOS_ERP'!$B$4:$B$7,MATCH(IFERROR(INDEX('2_IMPORTAR_EJECUCION'!$C$9:$C$1208,MATCH($AT948,'2_IMPORTAR_EJECUCION'!$J$9:$J$1208,0)),""),'CAT_ESTADOS_ERP'!$A$4:$A$7,0)),"Pendiente"))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IF($J948="","",$P948&amp;"-"&amp;TEXT($Q948,"00"))</f>
        <v/>
      </c>
      <c r="S948" s="5">
        <f>IF($J948="","",INDEX(lista_dias,WEEKDAY($J948,2)))</f>
        <v/>
      </c>
      <c r="T948" s="5">
        <f>IF($J948="","",IFERROR(INDEX('CALENDARIO'!$C$15:$C$214,MATCH(TEXT($J948,"yyyy-mm-dd")&amp;"|"&amp;$X948&amp;"|"&amp;$Y948,'CALENDARIO'!$G$15:$G$214,0)),IFERROR(INDEX('CALENDARIO'!$C$15:$C$214,MATCH(TEXT($J948,"yyyy-mm-dd")&amp;"|"&amp;$X948&amp;"|",'CALENDARIO'!$G$15:$G$214,0)),IFERROR(INDEX('CALENDARIO'!$C$15:$C$214,MATCH(TEXT($J948,"yyyy-mm-dd")&amp;"||",'CALENDARIO'!$G$15:$G$214,0)),INDEX(patronHabil,WEEKDAY($J948,2))))))</f>
        <v/>
      </c>
      <c r="U948" s="5">
        <f>IF($I948="","",IFERROR(INDEX('CAT_TIPOS_OT'!$C$4:$C$8,MATCH($I948,'CAT_TIPOS_OT'!$A$4:$A$8,0)),"sin_clasificar"))</f>
        <v/>
      </c>
      <c r="V948" s="5">
        <f>IF($I948="","",IF(IFERROR(INDEX('CAT_TIPOS_OT'!$D$4:$D$8,MATCH($I948,'CAT_TIPOS_OT'!$A$4:$A$8,0)),"SIN CLASIFICAR")="","SIN CLASIFICAR",IFERROR(INDEX('CAT_TIPOS_OT'!$D$4:$D$8,MATCH($I948,'CAT_TIPOS_OT'!$A$4:$A$8,0)),"SIN CLASIFICAR")))</f>
        <v/>
      </c>
      <c r="W948" s="5">
        <f>IF($F948="","",IFERROR(INDEX('CAT_CENTROS_COSTO'!$F$4:$F$13,MATCH($F948,'CAT_CENTROS_COSTO'!$A$4:$A$13,0)),"(sin catálogo)"))</f>
        <v/>
      </c>
      <c r="X948" s="5">
        <f>IF($F948="","",IFERROR(INDEX('CAT_CENTROS_COSTO'!$D$4:$D$13,MATCH($F948,'CAT_CENTROS_COSTO'!$A$4:$A$13,0)),"(sin catálogo)"))</f>
        <v/>
      </c>
      <c r="Y948" s="5">
        <f>IF($F948="","",IF((IFERROR(INDEX('CAT_CENTROS_COSTO'!$E$4:$E$13,MATCH($F948,'CAT_CENTROS_COSTO'!$A$4:$A$13,0)),""))&lt;&gt;"",IFERROR(INDEX('CAT_CENTROS_COSTO'!$E$4:$E$13,MATCH($F948,'CAT_CENTROS_COSTO'!$A$4:$A$13,0)),""),$X948))</f>
        <v/>
      </c>
      <c r="Z948" s="5">
        <f>IF($F948="","",IFERROR(INDEX('CAT_CENTROS_COSTO'!$G$4:$G$13,MATCH($F948,'CAT_CENTROS_COSTO'!$A$4:$A$13,0)),"(sin catálogo)"))</f>
        <v/>
      </c>
      <c r="AA948" s="5">
        <f>IF($G948="","",IFERROR(INDEX('CAT_PUESTOS'!$B$4:$B$8,MATCH($G948,'CAT_PUESTOS'!$A$4:$A$8,0)),"(sin catálogo)"))</f>
        <v/>
      </c>
      <c r="AB948" s="5">
        <f>IF($H948="","",IFERROR(INDEX('CAT_ACTIVIDADES'!$B$4:$B$11,MATCH($H948,'CAT_ACTIVIDADES'!$A$4:$A$11,0)),"(sin catálogo)"))</f>
        <v/>
      </c>
      <c r="AC948" s="20">
        <f>IF($J948="","",TODAY()-$J948)</f>
        <v/>
      </c>
      <c r="AD948" s="20">
        <f>IF($J948="","",IF($J948&lt;=TODAY(),COUNTIFS(cal_fechas,"&gt;="&amp;$J948,cal_fechas,"&lt;"&amp;TODAY(),cal_habil,"sí"),-COUNTIFS(cal_fechas,"&gt;="&amp;TODAY(),cal_fechas,"&lt;"&amp;$J948,cal_habil,"sí")))</f>
        <v/>
      </c>
      <c r="AE948" s="5">
        <f>IF($AD948="","",IF($AD948&lt;0,"FUTURO",IF($AD948&gt;p_dias_backlog_max,"BACKLOG","MES CORRIENTE")))</f>
        <v/>
      </c>
      <c r="AF948" s="5">
        <f>IF($AD948="",FALSE,AND($AD948&gt;p_dias_backlog_min,$AD948&lt;=p_dias_backlog_max))</f>
        <v/>
      </c>
      <c r="AG948" s="4" t="n"/>
      <c r="AH948" s="5">
        <f>IF($AG948="","",IF((IFERROR(INDEX('ASIGNACIONES'!$J$4:$J$451,MATCH($O948&amp;"|"&amp;$S948&amp;"|"&amp;$AG948,'ASIGNACIONES'!$N$4:$N$451,0)),""))=0,"",IFERROR(INDEX('ASIGNACIONES'!$J$4:$J$451,MATCH($O948&amp;"|"&amp;$S948&amp;"|"&amp;$AG948,'ASIGNACIONES'!$N$4:$N$451,0)),"")))</f>
        <v/>
      </c>
      <c r="AI948" s="25">
        <f>IF($AG948="","",SUMIFS('ORDENES'!$M$4:$M$1203,'ORDENES'!$AG$4:$AG$1203,$AG948,'ORDENES'!$O$4:$O$1203,$O948,'ORDENES'!$S$4:$S$1203,$S948))</f>
        <v/>
      </c>
      <c r="AJ948" s="25">
        <f>IF($AI948="","",p_factor_productividad*IFERROR(INDEX('ASIGNACIONES'!$M$4:$M$451,MATCH($O948&amp;"|"&amp;$S948&amp;"|"&amp;$AG948,'ASIGNACIONES'!$N$4:$N$451,0)),0)-$AI948)</f>
        <v/>
      </c>
      <c r="AK948" s="18">
        <f>IF($A948="","",IFERROR(INDEX('2_IMPORTAR_EJECUCION'!$F$9:$F$1208,MATCH($AT948,'2_IMPORTAR_EJECUCION'!$J$9:$J$1208,0)),0))</f>
        <v/>
      </c>
      <c r="AL948" s="18">
        <f>IF($A948="","",MAX(0,IFERROR(INDEX('2_IMPORTAR_EJECUCION'!$H$9:$H$1208,MATCH($AT948,'2_IMPORTAR_EJECUCION'!$J$9:$J$1208,0)),0)-$AK948))</f>
        <v/>
      </c>
      <c r="AM948" s="18">
        <f>IF($A948="","",$AK948+$AL948)</f>
        <v/>
      </c>
      <c r="AN948" s="5">
        <f>IF($A948="","",IF(OR((IFERROR(INDEX('CAT_ACTIVIDADES'!$D$4:$D$11,MATCH($H948,'CAT_ACTIVIDADES'!$A$4:$A$11,0)),""))=0,(IFERROR(INDEX('CAT_ACTIVIDADES'!$D$4:$D$11,MATCH($H948,'CAT_ACTIVIDADES'!$A$4:$A$11,0)),""))=""),"SIN CLASIFICAR",IFERROR(INDEX('CAT_ACTIVIDADES'!$D$4:$D$11,MATCH($H948,'CAT_ACTIVIDADES'!$A$4:$A$11,0)),"")))</f>
        <v/>
      </c>
      <c r="AO948" s="4" t="n"/>
      <c r="AP948" s="4" t="n"/>
      <c r="AQ948" s="4" t="n"/>
      <c r="AR948" s="5">
        <f>IF($AQ948="","",HYPERLINK(p_ruta_base_checklists&amp;$AQ948,"abrir"))</f>
        <v/>
      </c>
      <c r="AS948" s="4" t="n"/>
      <c r="AT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2" t="n"/>
      <c r="K949" s="5" t="n"/>
      <c r="L949" s="18" t="n"/>
      <c r="M949" s="5">
        <f>IF($A949="","",IFERROR(INDEX('AJUSTES'!$B$4:$B$303,MATCH($AT949,'AJUSTES'!$A$4:$A$303,0)),IF($K949="","",$K949)))</f>
        <v/>
      </c>
      <c r="N949" s="5">
        <f>IF($A949="","",IFERROR(INDEX('CAT_ESTADOS_ERP'!$B$4:$B$7,MATCH(IFERROR(INDEX('2_IMPORTAR_EJECUCION'!$C$9:$C$1208,MATCH($AT949,'2_IMPORTAR_EJECUCION'!$J$9:$J$1208,0)),""),'CAT_ESTADOS_ERP'!$A$4:$A$7,0)),"Pendiente"))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IF($J949="","",$P949&amp;"-"&amp;TEXT($Q949,"00"))</f>
        <v/>
      </c>
      <c r="S949" s="5">
        <f>IF($J949="","",INDEX(lista_dias,WEEKDAY($J949,2)))</f>
        <v/>
      </c>
      <c r="T949" s="5">
        <f>IF($J949="","",IFERROR(INDEX('CALENDARIO'!$C$15:$C$214,MATCH(TEXT($J949,"yyyy-mm-dd")&amp;"|"&amp;$X949&amp;"|"&amp;$Y949,'CALENDARIO'!$G$15:$G$214,0)),IFERROR(INDEX('CALENDARIO'!$C$15:$C$214,MATCH(TEXT($J949,"yyyy-mm-dd")&amp;"|"&amp;$X949&amp;"|",'CALENDARIO'!$G$15:$G$214,0)),IFERROR(INDEX('CALENDARIO'!$C$15:$C$214,MATCH(TEXT($J949,"yyyy-mm-dd")&amp;"||",'CALENDARIO'!$G$15:$G$214,0)),INDEX(patronHabil,WEEKDAY($J949,2))))))</f>
        <v/>
      </c>
      <c r="U949" s="5">
        <f>IF($I949="","",IFERROR(INDEX('CAT_TIPOS_OT'!$C$4:$C$8,MATCH($I949,'CAT_TIPOS_OT'!$A$4:$A$8,0)),"sin_clasificar"))</f>
        <v/>
      </c>
      <c r="V949" s="5">
        <f>IF($I949="","",IF(IFERROR(INDEX('CAT_TIPOS_OT'!$D$4:$D$8,MATCH($I949,'CAT_TIPOS_OT'!$A$4:$A$8,0)),"SIN CLASIFICAR")="","SIN CLASIFICAR",IFERROR(INDEX('CAT_TIPOS_OT'!$D$4:$D$8,MATCH($I949,'CAT_TIPOS_OT'!$A$4:$A$8,0)),"SIN CLASIFICAR")))</f>
        <v/>
      </c>
      <c r="W949" s="5">
        <f>IF($F949="","",IFERROR(INDEX('CAT_CENTROS_COSTO'!$F$4:$F$13,MATCH($F949,'CAT_CENTROS_COSTO'!$A$4:$A$13,0)),"(sin catálogo)"))</f>
        <v/>
      </c>
      <c r="X949" s="5">
        <f>IF($F949="","",IFERROR(INDEX('CAT_CENTROS_COSTO'!$D$4:$D$13,MATCH($F949,'CAT_CENTROS_COSTO'!$A$4:$A$13,0)),"(sin catálogo)"))</f>
        <v/>
      </c>
      <c r="Y949" s="5">
        <f>IF($F949="","",IF((IFERROR(INDEX('CAT_CENTROS_COSTO'!$E$4:$E$13,MATCH($F949,'CAT_CENTROS_COSTO'!$A$4:$A$13,0)),""))&lt;&gt;"",IFERROR(INDEX('CAT_CENTROS_COSTO'!$E$4:$E$13,MATCH($F949,'CAT_CENTROS_COSTO'!$A$4:$A$13,0)),""),$X949))</f>
        <v/>
      </c>
      <c r="Z949" s="5">
        <f>IF($F949="","",IFERROR(INDEX('CAT_CENTROS_COSTO'!$G$4:$G$13,MATCH($F949,'CAT_CENTROS_COSTO'!$A$4:$A$13,0)),"(sin catálogo)"))</f>
        <v/>
      </c>
      <c r="AA949" s="5">
        <f>IF($G949="","",IFERROR(INDEX('CAT_PUESTOS'!$B$4:$B$8,MATCH($G949,'CAT_PUESTOS'!$A$4:$A$8,0)),"(sin catálogo)"))</f>
        <v/>
      </c>
      <c r="AB949" s="5">
        <f>IF($H949="","",IFERROR(INDEX('CAT_ACTIVIDADES'!$B$4:$B$11,MATCH($H949,'CAT_ACTIVIDADES'!$A$4:$A$11,0)),"(sin catálogo)"))</f>
        <v/>
      </c>
      <c r="AC949" s="20">
        <f>IF($J949="","",TODAY()-$J949)</f>
        <v/>
      </c>
      <c r="AD949" s="20">
        <f>IF($J949="","",IF($J949&lt;=TODAY(),COUNTIFS(cal_fechas,"&gt;="&amp;$J949,cal_fechas,"&lt;"&amp;TODAY(),cal_habil,"sí"),-COUNTIFS(cal_fechas,"&gt;="&amp;TODAY(),cal_fechas,"&lt;"&amp;$J949,cal_habil,"sí")))</f>
        <v/>
      </c>
      <c r="AE949" s="5">
        <f>IF($AD949="","",IF($AD949&lt;0,"FUTURO",IF($AD949&gt;p_dias_backlog_max,"BACKLOG","MES CORRIENTE")))</f>
        <v/>
      </c>
      <c r="AF949" s="5">
        <f>IF($AD949="",FALSE,AND($AD949&gt;p_dias_backlog_min,$AD949&lt;=p_dias_backlog_max))</f>
        <v/>
      </c>
      <c r="AG949" s="4" t="n"/>
      <c r="AH949" s="5">
        <f>IF($AG949="","",IF((IFERROR(INDEX('ASIGNACIONES'!$J$4:$J$451,MATCH($O949&amp;"|"&amp;$S949&amp;"|"&amp;$AG949,'ASIGNACIONES'!$N$4:$N$451,0)),""))=0,"",IFERROR(INDEX('ASIGNACIONES'!$J$4:$J$451,MATCH($O949&amp;"|"&amp;$S949&amp;"|"&amp;$AG949,'ASIGNACIONES'!$N$4:$N$451,0)),"")))</f>
        <v/>
      </c>
      <c r="AI949" s="25">
        <f>IF($AG949="","",SUMIFS('ORDENES'!$M$4:$M$1203,'ORDENES'!$AG$4:$AG$1203,$AG949,'ORDENES'!$O$4:$O$1203,$O949,'ORDENES'!$S$4:$S$1203,$S949))</f>
        <v/>
      </c>
      <c r="AJ949" s="25">
        <f>IF($AI949="","",p_factor_productividad*IFERROR(INDEX('ASIGNACIONES'!$M$4:$M$451,MATCH($O949&amp;"|"&amp;$S949&amp;"|"&amp;$AG949,'ASIGNACIONES'!$N$4:$N$451,0)),0)-$AI949)</f>
        <v/>
      </c>
      <c r="AK949" s="18">
        <f>IF($A949="","",IFERROR(INDEX('2_IMPORTAR_EJECUCION'!$F$9:$F$1208,MATCH($AT949,'2_IMPORTAR_EJECUCION'!$J$9:$J$1208,0)),0))</f>
        <v/>
      </c>
      <c r="AL949" s="18">
        <f>IF($A949="","",MAX(0,IFERROR(INDEX('2_IMPORTAR_EJECUCION'!$H$9:$H$1208,MATCH($AT949,'2_IMPORTAR_EJECUCION'!$J$9:$J$1208,0)),0)-$AK949))</f>
        <v/>
      </c>
      <c r="AM949" s="18">
        <f>IF($A949="","",$AK949+$AL949)</f>
        <v/>
      </c>
      <c r="AN949" s="5">
        <f>IF($A949="","",IF(OR((IFERROR(INDEX('CAT_ACTIVIDADES'!$D$4:$D$11,MATCH($H949,'CAT_ACTIVIDADES'!$A$4:$A$11,0)),""))=0,(IFERROR(INDEX('CAT_ACTIVIDADES'!$D$4:$D$11,MATCH($H949,'CAT_ACTIVIDADES'!$A$4:$A$11,0)),""))=""),"SIN CLASIFICAR",IFERROR(INDEX('CAT_ACTIVIDADES'!$D$4:$D$11,MATCH($H949,'CAT_ACTIVIDADES'!$A$4:$A$11,0)),"")))</f>
        <v/>
      </c>
      <c r="AO949" s="4" t="n"/>
      <c r="AP949" s="4" t="n"/>
      <c r="AQ949" s="4" t="n"/>
      <c r="AR949" s="5">
        <f>IF($AQ949="","",HYPERLINK(p_ruta_base_checklists&amp;$AQ949,"abrir"))</f>
        <v/>
      </c>
      <c r="AS949" s="4" t="n"/>
      <c r="AT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2" t="n"/>
      <c r="K950" s="5" t="n"/>
      <c r="L950" s="18" t="n"/>
      <c r="M950" s="5">
        <f>IF($A950="","",IFERROR(INDEX('AJUSTES'!$B$4:$B$303,MATCH($AT950,'AJUSTES'!$A$4:$A$303,0)),IF($K950="","",$K950)))</f>
        <v/>
      </c>
      <c r="N950" s="5">
        <f>IF($A950="","",IFERROR(INDEX('CAT_ESTADOS_ERP'!$B$4:$B$7,MATCH(IFERROR(INDEX('2_IMPORTAR_EJECUCION'!$C$9:$C$1208,MATCH($AT950,'2_IMPORTAR_EJECUCION'!$J$9:$J$1208,0)),""),'CAT_ESTADOS_ERP'!$A$4:$A$7,0)),"Pendiente"))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IF($J950="","",$P950&amp;"-"&amp;TEXT($Q950,"00"))</f>
        <v/>
      </c>
      <c r="S950" s="5">
        <f>IF($J950="","",INDEX(lista_dias,WEEKDAY($J950,2)))</f>
        <v/>
      </c>
      <c r="T950" s="5">
        <f>IF($J950="","",IFERROR(INDEX('CALENDARIO'!$C$15:$C$214,MATCH(TEXT($J950,"yyyy-mm-dd")&amp;"|"&amp;$X950&amp;"|"&amp;$Y950,'CALENDARIO'!$G$15:$G$214,0)),IFERROR(INDEX('CALENDARIO'!$C$15:$C$214,MATCH(TEXT($J950,"yyyy-mm-dd")&amp;"|"&amp;$X950&amp;"|",'CALENDARIO'!$G$15:$G$214,0)),IFERROR(INDEX('CALENDARIO'!$C$15:$C$214,MATCH(TEXT($J950,"yyyy-mm-dd")&amp;"||",'CALENDARIO'!$G$15:$G$214,0)),INDEX(patronHabil,WEEKDAY($J950,2))))))</f>
        <v/>
      </c>
      <c r="U950" s="5">
        <f>IF($I950="","",IFERROR(INDEX('CAT_TIPOS_OT'!$C$4:$C$8,MATCH($I950,'CAT_TIPOS_OT'!$A$4:$A$8,0)),"sin_clasificar"))</f>
        <v/>
      </c>
      <c r="V950" s="5">
        <f>IF($I950="","",IF(IFERROR(INDEX('CAT_TIPOS_OT'!$D$4:$D$8,MATCH($I950,'CAT_TIPOS_OT'!$A$4:$A$8,0)),"SIN CLASIFICAR")="","SIN CLASIFICAR",IFERROR(INDEX('CAT_TIPOS_OT'!$D$4:$D$8,MATCH($I950,'CAT_TIPOS_OT'!$A$4:$A$8,0)),"SIN CLASIFICAR")))</f>
        <v/>
      </c>
      <c r="W950" s="5">
        <f>IF($F950="","",IFERROR(INDEX('CAT_CENTROS_COSTO'!$F$4:$F$13,MATCH($F950,'CAT_CENTROS_COSTO'!$A$4:$A$13,0)),"(sin catálogo)"))</f>
        <v/>
      </c>
      <c r="X950" s="5">
        <f>IF($F950="","",IFERROR(INDEX('CAT_CENTROS_COSTO'!$D$4:$D$13,MATCH($F950,'CAT_CENTROS_COSTO'!$A$4:$A$13,0)),"(sin catálogo)"))</f>
        <v/>
      </c>
      <c r="Y950" s="5">
        <f>IF($F950="","",IF((IFERROR(INDEX('CAT_CENTROS_COSTO'!$E$4:$E$13,MATCH($F950,'CAT_CENTROS_COSTO'!$A$4:$A$13,0)),""))&lt;&gt;"",IFERROR(INDEX('CAT_CENTROS_COSTO'!$E$4:$E$13,MATCH($F950,'CAT_CENTROS_COSTO'!$A$4:$A$13,0)),""),$X950))</f>
        <v/>
      </c>
      <c r="Z950" s="5">
        <f>IF($F950="","",IFERROR(INDEX('CAT_CENTROS_COSTO'!$G$4:$G$13,MATCH($F950,'CAT_CENTROS_COSTO'!$A$4:$A$13,0)),"(sin catálogo)"))</f>
        <v/>
      </c>
      <c r="AA950" s="5">
        <f>IF($G950="","",IFERROR(INDEX('CAT_PUESTOS'!$B$4:$B$8,MATCH($G950,'CAT_PUESTOS'!$A$4:$A$8,0)),"(sin catálogo)"))</f>
        <v/>
      </c>
      <c r="AB950" s="5">
        <f>IF($H950="","",IFERROR(INDEX('CAT_ACTIVIDADES'!$B$4:$B$11,MATCH($H950,'CAT_ACTIVIDADES'!$A$4:$A$11,0)),"(sin catálogo)"))</f>
        <v/>
      </c>
      <c r="AC950" s="20">
        <f>IF($J950="","",TODAY()-$J950)</f>
        <v/>
      </c>
      <c r="AD950" s="20">
        <f>IF($J950="","",IF($J950&lt;=TODAY(),COUNTIFS(cal_fechas,"&gt;="&amp;$J950,cal_fechas,"&lt;"&amp;TODAY(),cal_habil,"sí"),-COUNTIFS(cal_fechas,"&gt;="&amp;TODAY(),cal_fechas,"&lt;"&amp;$J950,cal_habil,"sí")))</f>
        <v/>
      </c>
      <c r="AE950" s="5">
        <f>IF($AD950="","",IF($AD950&lt;0,"FUTURO",IF($AD950&gt;p_dias_backlog_max,"BACKLOG","MES CORRIENTE")))</f>
        <v/>
      </c>
      <c r="AF950" s="5">
        <f>IF($AD950="",FALSE,AND($AD950&gt;p_dias_backlog_min,$AD950&lt;=p_dias_backlog_max))</f>
        <v/>
      </c>
      <c r="AG950" s="4" t="n"/>
      <c r="AH950" s="5">
        <f>IF($AG950="","",IF((IFERROR(INDEX('ASIGNACIONES'!$J$4:$J$451,MATCH($O950&amp;"|"&amp;$S950&amp;"|"&amp;$AG950,'ASIGNACIONES'!$N$4:$N$451,0)),""))=0,"",IFERROR(INDEX('ASIGNACIONES'!$J$4:$J$451,MATCH($O950&amp;"|"&amp;$S950&amp;"|"&amp;$AG950,'ASIGNACIONES'!$N$4:$N$451,0)),"")))</f>
        <v/>
      </c>
      <c r="AI950" s="25">
        <f>IF($AG950="","",SUMIFS('ORDENES'!$M$4:$M$1203,'ORDENES'!$AG$4:$AG$1203,$AG950,'ORDENES'!$O$4:$O$1203,$O950,'ORDENES'!$S$4:$S$1203,$S950))</f>
        <v/>
      </c>
      <c r="AJ950" s="25">
        <f>IF($AI950="","",p_factor_productividad*IFERROR(INDEX('ASIGNACIONES'!$M$4:$M$451,MATCH($O950&amp;"|"&amp;$S950&amp;"|"&amp;$AG950,'ASIGNACIONES'!$N$4:$N$451,0)),0)-$AI950)</f>
        <v/>
      </c>
      <c r="AK950" s="18">
        <f>IF($A950="","",IFERROR(INDEX('2_IMPORTAR_EJECUCION'!$F$9:$F$1208,MATCH($AT950,'2_IMPORTAR_EJECUCION'!$J$9:$J$1208,0)),0))</f>
        <v/>
      </c>
      <c r="AL950" s="18">
        <f>IF($A950="","",MAX(0,IFERROR(INDEX('2_IMPORTAR_EJECUCION'!$H$9:$H$1208,MATCH($AT950,'2_IMPORTAR_EJECUCION'!$J$9:$J$1208,0)),0)-$AK950))</f>
        <v/>
      </c>
      <c r="AM950" s="18">
        <f>IF($A950="","",$AK950+$AL950)</f>
        <v/>
      </c>
      <c r="AN950" s="5">
        <f>IF($A950="","",IF(OR((IFERROR(INDEX('CAT_ACTIVIDADES'!$D$4:$D$11,MATCH($H950,'CAT_ACTIVIDADES'!$A$4:$A$11,0)),""))=0,(IFERROR(INDEX('CAT_ACTIVIDADES'!$D$4:$D$11,MATCH($H950,'CAT_ACTIVIDADES'!$A$4:$A$11,0)),""))=""),"SIN CLASIFICAR",IFERROR(INDEX('CAT_ACTIVIDADES'!$D$4:$D$11,MATCH($H950,'CAT_ACTIVIDADES'!$A$4:$A$11,0)),"")))</f>
        <v/>
      </c>
      <c r="AO950" s="4" t="n"/>
      <c r="AP950" s="4" t="n"/>
      <c r="AQ950" s="4" t="n"/>
      <c r="AR950" s="5">
        <f>IF($AQ950="","",HYPERLINK(p_ruta_base_checklists&amp;$AQ950,"abrir"))</f>
        <v/>
      </c>
      <c r="AS950" s="4" t="n"/>
      <c r="AT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2" t="n"/>
      <c r="K951" s="5" t="n"/>
      <c r="L951" s="18" t="n"/>
      <c r="M951" s="5">
        <f>IF($A951="","",IFERROR(INDEX('AJUSTES'!$B$4:$B$303,MATCH($AT951,'AJUSTES'!$A$4:$A$303,0)),IF($K951="","",$K951)))</f>
        <v/>
      </c>
      <c r="N951" s="5">
        <f>IF($A951="","",IFERROR(INDEX('CAT_ESTADOS_ERP'!$B$4:$B$7,MATCH(IFERROR(INDEX('2_IMPORTAR_EJECUCION'!$C$9:$C$1208,MATCH($AT951,'2_IMPORTAR_EJECUCION'!$J$9:$J$1208,0)),""),'CAT_ESTADOS_ERP'!$A$4:$A$7,0)),"Pendiente"))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IF($J951="","",$P951&amp;"-"&amp;TEXT($Q951,"00"))</f>
        <v/>
      </c>
      <c r="S951" s="5">
        <f>IF($J951="","",INDEX(lista_dias,WEEKDAY($J951,2)))</f>
        <v/>
      </c>
      <c r="T951" s="5">
        <f>IF($J951="","",IFERROR(INDEX('CALENDARIO'!$C$15:$C$214,MATCH(TEXT($J951,"yyyy-mm-dd")&amp;"|"&amp;$X951&amp;"|"&amp;$Y951,'CALENDARIO'!$G$15:$G$214,0)),IFERROR(INDEX('CALENDARIO'!$C$15:$C$214,MATCH(TEXT($J951,"yyyy-mm-dd")&amp;"|"&amp;$X951&amp;"|",'CALENDARIO'!$G$15:$G$214,0)),IFERROR(INDEX('CALENDARIO'!$C$15:$C$214,MATCH(TEXT($J951,"yyyy-mm-dd")&amp;"||",'CALENDARIO'!$G$15:$G$214,0)),INDEX(patronHabil,WEEKDAY($J951,2))))))</f>
        <v/>
      </c>
      <c r="U951" s="5">
        <f>IF($I951="","",IFERROR(INDEX('CAT_TIPOS_OT'!$C$4:$C$8,MATCH($I951,'CAT_TIPOS_OT'!$A$4:$A$8,0)),"sin_clasificar"))</f>
        <v/>
      </c>
      <c r="V951" s="5">
        <f>IF($I951="","",IF(IFERROR(INDEX('CAT_TIPOS_OT'!$D$4:$D$8,MATCH($I951,'CAT_TIPOS_OT'!$A$4:$A$8,0)),"SIN CLASIFICAR")="","SIN CLASIFICAR",IFERROR(INDEX('CAT_TIPOS_OT'!$D$4:$D$8,MATCH($I951,'CAT_TIPOS_OT'!$A$4:$A$8,0)),"SIN CLASIFICAR")))</f>
        <v/>
      </c>
      <c r="W951" s="5">
        <f>IF($F951="","",IFERROR(INDEX('CAT_CENTROS_COSTO'!$F$4:$F$13,MATCH($F951,'CAT_CENTROS_COSTO'!$A$4:$A$13,0)),"(sin catálogo)"))</f>
        <v/>
      </c>
      <c r="X951" s="5">
        <f>IF($F951="","",IFERROR(INDEX('CAT_CENTROS_COSTO'!$D$4:$D$13,MATCH($F951,'CAT_CENTROS_COSTO'!$A$4:$A$13,0)),"(sin catálogo)"))</f>
        <v/>
      </c>
      <c r="Y951" s="5">
        <f>IF($F951="","",IF((IFERROR(INDEX('CAT_CENTROS_COSTO'!$E$4:$E$13,MATCH($F951,'CAT_CENTROS_COSTO'!$A$4:$A$13,0)),""))&lt;&gt;"",IFERROR(INDEX('CAT_CENTROS_COSTO'!$E$4:$E$13,MATCH($F951,'CAT_CENTROS_COSTO'!$A$4:$A$13,0)),""),$X951))</f>
        <v/>
      </c>
      <c r="Z951" s="5">
        <f>IF($F951="","",IFERROR(INDEX('CAT_CENTROS_COSTO'!$G$4:$G$13,MATCH($F951,'CAT_CENTROS_COSTO'!$A$4:$A$13,0)),"(sin catálogo)"))</f>
        <v/>
      </c>
      <c r="AA951" s="5">
        <f>IF($G951="","",IFERROR(INDEX('CAT_PUESTOS'!$B$4:$B$8,MATCH($G951,'CAT_PUESTOS'!$A$4:$A$8,0)),"(sin catálogo)"))</f>
        <v/>
      </c>
      <c r="AB951" s="5">
        <f>IF($H951="","",IFERROR(INDEX('CAT_ACTIVIDADES'!$B$4:$B$11,MATCH($H951,'CAT_ACTIVIDADES'!$A$4:$A$11,0)),"(sin catálogo)"))</f>
        <v/>
      </c>
      <c r="AC951" s="20">
        <f>IF($J951="","",TODAY()-$J951)</f>
        <v/>
      </c>
      <c r="AD951" s="20">
        <f>IF($J951="","",IF($J951&lt;=TODAY(),COUNTIFS(cal_fechas,"&gt;="&amp;$J951,cal_fechas,"&lt;"&amp;TODAY(),cal_habil,"sí"),-COUNTIFS(cal_fechas,"&gt;="&amp;TODAY(),cal_fechas,"&lt;"&amp;$J951,cal_habil,"sí")))</f>
        <v/>
      </c>
      <c r="AE951" s="5">
        <f>IF($AD951="","",IF($AD951&lt;0,"FUTURO",IF($AD951&gt;p_dias_backlog_max,"BACKLOG","MES CORRIENTE")))</f>
        <v/>
      </c>
      <c r="AF951" s="5">
        <f>IF($AD951="",FALSE,AND($AD951&gt;p_dias_backlog_min,$AD951&lt;=p_dias_backlog_max))</f>
        <v/>
      </c>
      <c r="AG951" s="4" t="n"/>
      <c r="AH951" s="5">
        <f>IF($AG951="","",IF((IFERROR(INDEX('ASIGNACIONES'!$J$4:$J$451,MATCH($O951&amp;"|"&amp;$S951&amp;"|"&amp;$AG951,'ASIGNACIONES'!$N$4:$N$451,0)),""))=0,"",IFERROR(INDEX('ASIGNACIONES'!$J$4:$J$451,MATCH($O951&amp;"|"&amp;$S951&amp;"|"&amp;$AG951,'ASIGNACIONES'!$N$4:$N$451,0)),"")))</f>
        <v/>
      </c>
      <c r="AI951" s="25">
        <f>IF($AG951="","",SUMIFS('ORDENES'!$M$4:$M$1203,'ORDENES'!$AG$4:$AG$1203,$AG951,'ORDENES'!$O$4:$O$1203,$O951,'ORDENES'!$S$4:$S$1203,$S951))</f>
        <v/>
      </c>
      <c r="AJ951" s="25">
        <f>IF($AI951="","",p_factor_productividad*IFERROR(INDEX('ASIGNACIONES'!$M$4:$M$451,MATCH($O951&amp;"|"&amp;$S951&amp;"|"&amp;$AG951,'ASIGNACIONES'!$N$4:$N$451,0)),0)-$AI951)</f>
        <v/>
      </c>
      <c r="AK951" s="18">
        <f>IF($A951="","",IFERROR(INDEX('2_IMPORTAR_EJECUCION'!$F$9:$F$1208,MATCH($AT951,'2_IMPORTAR_EJECUCION'!$J$9:$J$1208,0)),0))</f>
        <v/>
      </c>
      <c r="AL951" s="18">
        <f>IF($A951="","",MAX(0,IFERROR(INDEX('2_IMPORTAR_EJECUCION'!$H$9:$H$1208,MATCH($AT951,'2_IMPORTAR_EJECUCION'!$J$9:$J$1208,0)),0)-$AK951))</f>
        <v/>
      </c>
      <c r="AM951" s="18">
        <f>IF($A951="","",$AK951+$AL951)</f>
        <v/>
      </c>
      <c r="AN951" s="5">
        <f>IF($A951="","",IF(OR((IFERROR(INDEX('CAT_ACTIVIDADES'!$D$4:$D$11,MATCH($H951,'CAT_ACTIVIDADES'!$A$4:$A$11,0)),""))=0,(IFERROR(INDEX('CAT_ACTIVIDADES'!$D$4:$D$11,MATCH($H951,'CAT_ACTIVIDADES'!$A$4:$A$11,0)),""))=""),"SIN CLASIFICAR",IFERROR(INDEX('CAT_ACTIVIDADES'!$D$4:$D$11,MATCH($H951,'CAT_ACTIVIDADES'!$A$4:$A$11,0)),"")))</f>
        <v/>
      </c>
      <c r="AO951" s="4" t="n"/>
      <c r="AP951" s="4" t="n"/>
      <c r="AQ951" s="4" t="n"/>
      <c r="AR951" s="5">
        <f>IF($AQ951="","",HYPERLINK(p_ruta_base_checklists&amp;$AQ951,"abrir"))</f>
        <v/>
      </c>
      <c r="AS951" s="4" t="n"/>
      <c r="AT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2" t="n"/>
      <c r="K952" s="5" t="n"/>
      <c r="L952" s="18" t="n"/>
      <c r="M952" s="5">
        <f>IF($A952="","",IFERROR(INDEX('AJUSTES'!$B$4:$B$303,MATCH($AT952,'AJUSTES'!$A$4:$A$303,0)),IF($K952="","",$K952)))</f>
        <v/>
      </c>
      <c r="N952" s="5">
        <f>IF($A952="","",IFERROR(INDEX('CAT_ESTADOS_ERP'!$B$4:$B$7,MATCH(IFERROR(INDEX('2_IMPORTAR_EJECUCION'!$C$9:$C$1208,MATCH($AT952,'2_IMPORTAR_EJECUCION'!$J$9:$J$1208,0)),""),'CAT_ESTADOS_ERP'!$A$4:$A$7,0)),"Pendiente"))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IF($J952="","",$P952&amp;"-"&amp;TEXT($Q952,"00"))</f>
        <v/>
      </c>
      <c r="S952" s="5">
        <f>IF($J952="","",INDEX(lista_dias,WEEKDAY($J952,2)))</f>
        <v/>
      </c>
      <c r="T952" s="5">
        <f>IF($J952="","",IFERROR(INDEX('CALENDARIO'!$C$15:$C$214,MATCH(TEXT($J952,"yyyy-mm-dd")&amp;"|"&amp;$X952&amp;"|"&amp;$Y952,'CALENDARIO'!$G$15:$G$214,0)),IFERROR(INDEX('CALENDARIO'!$C$15:$C$214,MATCH(TEXT($J952,"yyyy-mm-dd")&amp;"|"&amp;$X952&amp;"|",'CALENDARIO'!$G$15:$G$214,0)),IFERROR(INDEX('CALENDARIO'!$C$15:$C$214,MATCH(TEXT($J952,"yyyy-mm-dd")&amp;"||",'CALENDARIO'!$G$15:$G$214,0)),INDEX(patronHabil,WEEKDAY($J952,2))))))</f>
        <v/>
      </c>
      <c r="U952" s="5">
        <f>IF($I952="","",IFERROR(INDEX('CAT_TIPOS_OT'!$C$4:$C$8,MATCH($I952,'CAT_TIPOS_OT'!$A$4:$A$8,0)),"sin_clasificar"))</f>
        <v/>
      </c>
      <c r="V952" s="5">
        <f>IF($I952="","",IF(IFERROR(INDEX('CAT_TIPOS_OT'!$D$4:$D$8,MATCH($I952,'CAT_TIPOS_OT'!$A$4:$A$8,0)),"SIN CLASIFICAR")="","SIN CLASIFICAR",IFERROR(INDEX('CAT_TIPOS_OT'!$D$4:$D$8,MATCH($I952,'CAT_TIPOS_OT'!$A$4:$A$8,0)),"SIN CLASIFICAR")))</f>
        <v/>
      </c>
      <c r="W952" s="5">
        <f>IF($F952="","",IFERROR(INDEX('CAT_CENTROS_COSTO'!$F$4:$F$13,MATCH($F952,'CAT_CENTROS_COSTO'!$A$4:$A$13,0)),"(sin catálogo)"))</f>
        <v/>
      </c>
      <c r="X952" s="5">
        <f>IF($F952="","",IFERROR(INDEX('CAT_CENTROS_COSTO'!$D$4:$D$13,MATCH($F952,'CAT_CENTROS_COSTO'!$A$4:$A$13,0)),"(sin catálogo)"))</f>
        <v/>
      </c>
      <c r="Y952" s="5">
        <f>IF($F952="","",IF((IFERROR(INDEX('CAT_CENTROS_COSTO'!$E$4:$E$13,MATCH($F952,'CAT_CENTROS_COSTO'!$A$4:$A$13,0)),""))&lt;&gt;"",IFERROR(INDEX('CAT_CENTROS_COSTO'!$E$4:$E$13,MATCH($F952,'CAT_CENTROS_COSTO'!$A$4:$A$13,0)),""),$X952))</f>
        <v/>
      </c>
      <c r="Z952" s="5">
        <f>IF($F952="","",IFERROR(INDEX('CAT_CENTROS_COSTO'!$G$4:$G$13,MATCH($F952,'CAT_CENTROS_COSTO'!$A$4:$A$13,0)),"(sin catálogo)"))</f>
        <v/>
      </c>
      <c r="AA952" s="5">
        <f>IF($G952="","",IFERROR(INDEX('CAT_PUESTOS'!$B$4:$B$8,MATCH($G952,'CAT_PUESTOS'!$A$4:$A$8,0)),"(sin catálogo)"))</f>
        <v/>
      </c>
      <c r="AB952" s="5">
        <f>IF($H952="","",IFERROR(INDEX('CAT_ACTIVIDADES'!$B$4:$B$11,MATCH($H952,'CAT_ACTIVIDADES'!$A$4:$A$11,0)),"(sin catálogo)"))</f>
        <v/>
      </c>
      <c r="AC952" s="20">
        <f>IF($J952="","",TODAY()-$J952)</f>
        <v/>
      </c>
      <c r="AD952" s="20">
        <f>IF($J952="","",IF($J952&lt;=TODAY(),COUNTIFS(cal_fechas,"&gt;="&amp;$J952,cal_fechas,"&lt;"&amp;TODAY(),cal_habil,"sí"),-COUNTIFS(cal_fechas,"&gt;="&amp;TODAY(),cal_fechas,"&lt;"&amp;$J952,cal_habil,"sí")))</f>
        <v/>
      </c>
      <c r="AE952" s="5">
        <f>IF($AD952="","",IF($AD952&lt;0,"FUTURO",IF($AD952&gt;p_dias_backlog_max,"BACKLOG","MES CORRIENTE")))</f>
        <v/>
      </c>
      <c r="AF952" s="5">
        <f>IF($AD952="",FALSE,AND($AD952&gt;p_dias_backlog_min,$AD952&lt;=p_dias_backlog_max))</f>
        <v/>
      </c>
      <c r="AG952" s="4" t="n"/>
      <c r="AH952" s="5">
        <f>IF($AG952="","",IF((IFERROR(INDEX('ASIGNACIONES'!$J$4:$J$451,MATCH($O952&amp;"|"&amp;$S952&amp;"|"&amp;$AG952,'ASIGNACIONES'!$N$4:$N$451,0)),""))=0,"",IFERROR(INDEX('ASIGNACIONES'!$J$4:$J$451,MATCH($O952&amp;"|"&amp;$S952&amp;"|"&amp;$AG952,'ASIGNACIONES'!$N$4:$N$451,0)),"")))</f>
        <v/>
      </c>
      <c r="AI952" s="25">
        <f>IF($AG952="","",SUMIFS('ORDENES'!$M$4:$M$1203,'ORDENES'!$AG$4:$AG$1203,$AG952,'ORDENES'!$O$4:$O$1203,$O952,'ORDENES'!$S$4:$S$1203,$S952))</f>
        <v/>
      </c>
      <c r="AJ952" s="25">
        <f>IF($AI952="","",p_factor_productividad*IFERROR(INDEX('ASIGNACIONES'!$M$4:$M$451,MATCH($O952&amp;"|"&amp;$S952&amp;"|"&amp;$AG952,'ASIGNACIONES'!$N$4:$N$451,0)),0)-$AI952)</f>
        <v/>
      </c>
      <c r="AK952" s="18">
        <f>IF($A952="","",IFERROR(INDEX('2_IMPORTAR_EJECUCION'!$F$9:$F$1208,MATCH($AT952,'2_IMPORTAR_EJECUCION'!$J$9:$J$1208,0)),0))</f>
        <v/>
      </c>
      <c r="AL952" s="18">
        <f>IF($A952="","",MAX(0,IFERROR(INDEX('2_IMPORTAR_EJECUCION'!$H$9:$H$1208,MATCH($AT952,'2_IMPORTAR_EJECUCION'!$J$9:$J$1208,0)),0)-$AK952))</f>
        <v/>
      </c>
      <c r="AM952" s="18">
        <f>IF($A952="","",$AK952+$AL952)</f>
        <v/>
      </c>
      <c r="AN952" s="5">
        <f>IF($A952="","",IF(OR((IFERROR(INDEX('CAT_ACTIVIDADES'!$D$4:$D$11,MATCH($H952,'CAT_ACTIVIDADES'!$A$4:$A$11,0)),""))=0,(IFERROR(INDEX('CAT_ACTIVIDADES'!$D$4:$D$11,MATCH($H952,'CAT_ACTIVIDADES'!$A$4:$A$11,0)),""))=""),"SIN CLASIFICAR",IFERROR(INDEX('CAT_ACTIVIDADES'!$D$4:$D$11,MATCH($H952,'CAT_ACTIVIDADES'!$A$4:$A$11,0)),"")))</f>
        <v/>
      </c>
      <c r="AO952" s="4" t="n"/>
      <c r="AP952" s="4" t="n"/>
      <c r="AQ952" s="4" t="n"/>
      <c r="AR952" s="5">
        <f>IF($AQ952="","",HYPERLINK(p_ruta_base_checklists&amp;$AQ952,"abrir"))</f>
        <v/>
      </c>
      <c r="AS952" s="4" t="n"/>
      <c r="AT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2" t="n"/>
      <c r="K953" s="5" t="n"/>
      <c r="L953" s="18" t="n"/>
      <c r="M953" s="5">
        <f>IF($A953="","",IFERROR(INDEX('AJUSTES'!$B$4:$B$303,MATCH($AT953,'AJUSTES'!$A$4:$A$303,0)),IF($K953="","",$K953)))</f>
        <v/>
      </c>
      <c r="N953" s="5">
        <f>IF($A953="","",IFERROR(INDEX('CAT_ESTADOS_ERP'!$B$4:$B$7,MATCH(IFERROR(INDEX('2_IMPORTAR_EJECUCION'!$C$9:$C$1208,MATCH($AT953,'2_IMPORTAR_EJECUCION'!$J$9:$J$1208,0)),""),'CAT_ESTADOS_ERP'!$A$4:$A$7,0)),"Pendiente"))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IF($J953="","",$P953&amp;"-"&amp;TEXT($Q953,"00"))</f>
        <v/>
      </c>
      <c r="S953" s="5">
        <f>IF($J953="","",INDEX(lista_dias,WEEKDAY($J953,2)))</f>
        <v/>
      </c>
      <c r="T953" s="5">
        <f>IF($J953="","",IFERROR(INDEX('CALENDARIO'!$C$15:$C$214,MATCH(TEXT($J953,"yyyy-mm-dd")&amp;"|"&amp;$X953&amp;"|"&amp;$Y953,'CALENDARIO'!$G$15:$G$214,0)),IFERROR(INDEX('CALENDARIO'!$C$15:$C$214,MATCH(TEXT($J953,"yyyy-mm-dd")&amp;"|"&amp;$X953&amp;"|",'CALENDARIO'!$G$15:$G$214,0)),IFERROR(INDEX('CALENDARIO'!$C$15:$C$214,MATCH(TEXT($J953,"yyyy-mm-dd")&amp;"||",'CALENDARIO'!$G$15:$G$214,0)),INDEX(patronHabil,WEEKDAY($J953,2))))))</f>
        <v/>
      </c>
      <c r="U953" s="5">
        <f>IF($I953="","",IFERROR(INDEX('CAT_TIPOS_OT'!$C$4:$C$8,MATCH($I953,'CAT_TIPOS_OT'!$A$4:$A$8,0)),"sin_clasificar"))</f>
        <v/>
      </c>
      <c r="V953" s="5">
        <f>IF($I953="","",IF(IFERROR(INDEX('CAT_TIPOS_OT'!$D$4:$D$8,MATCH($I953,'CAT_TIPOS_OT'!$A$4:$A$8,0)),"SIN CLASIFICAR")="","SIN CLASIFICAR",IFERROR(INDEX('CAT_TIPOS_OT'!$D$4:$D$8,MATCH($I953,'CAT_TIPOS_OT'!$A$4:$A$8,0)),"SIN CLASIFICAR")))</f>
        <v/>
      </c>
      <c r="W953" s="5">
        <f>IF($F953="","",IFERROR(INDEX('CAT_CENTROS_COSTO'!$F$4:$F$13,MATCH($F953,'CAT_CENTROS_COSTO'!$A$4:$A$13,0)),"(sin catálogo)"))</f>
        <v/>
      </c>
      <c r="X953" s="5">
        <f>IF($F953="","",IFERROR(INDEX('CAT_CENTROS_COSTO'!$D$4:$D$13,MATCH($F953,'CAT_CENTROS_COSTO'!$A$4:$A$13,0)),"(sin catálogo)"))</f>
        <v/>
      </c>
      <c r="Y953" s="5">
        <f>IF($F953="","",IF((IFERROR(INDEX('CAT_CENTROS_COSTO'!$E$4:$E$13,MATCH($F953,'CAT_CENTROS_COSTO'!$A$4:$A$13,0)),""))&lt;&gt;"",IFERROR(INDEX('CAT_CENTROS_COSTO'!$E$4:$E$13,MATCH($F953,'CAT_CENTROS_COSTO'!$A$4:$A$13,0)),""),$X953))</f>
        <v/>
      </c>
      <c r="Z953" s="5">
        <f>IF($F953="","",IFERROR(INDEX('CAT_CENTROS_COSTO'!$G$4:$G$13,MATCH($F953,'CAT_CENTROS_COSTO'!$A$4:$A$13,0)),"(sin catálogo)"))</f>
        <v/>
      </c>
      <c r="AA953" s="5">
        <f>IF($G953="","",IFERROR(INDEX('CAT_PUESTOS'!$B$4:$B$8,MATCH($G953,'CAT_PUESTOS'!$A$4:$A$8,0)),"(sin catálogo)"))</f>
        <v/>
      </c>
      <c r="AB953" s="5">
        <f>IF($H953="","",IFERROR(INDEX('CAT_ACTIVIDADES'!$B$4:$B$11,MATCH($H953,'CAT_ACTIVIDADES'!$A$4:$A$11,0)),"(sin catálogo)"))</f>
        <v/>
      </c>
      <c r="AC953" s="20">
        <f>IF($J953="","",TODAY()-$J953)</f>
        <v/>
      </c>
      <c r="AD953" s="20">
        <f>IF($J953="","",IF($J953&lt;=TODAY(),COUNTIFS(cal_fechas,"&gt;="&amp;$J953,cal_fechas,"&lt;"&amp;TODAY(),cal_habil,"sí"),-COUNTIFS(cal_fechas,"&gt;="&amp;TODAY(),cal_fechas,"&lt;"&amp;$J953,cal_habil,"sí")))</f>
        <v/>
      </c>
      <c r="AE953" s="5">
        <f>IF($AD953="","",IF($AD953&lt;0,"FUTURO",IF($AD953&gt;p_dias_backlog_max,"BACKLOG","MES CORRIENTE")))</f>
        <v/>
      </c>
      <c r="AF953" s="5">
        <f>IF($AD953="",FALSE,AND($AD953&gt;p_dias_backlog_min,$AD953&lt;=p_dias_backlog_max))</f>
        <v/>
      </c>
      <c r="AG953" s="4" t="n"/>
      <c r="AH953" s="5">
        <f>IF($AG953="","",IF((IFERROR(INDEX('ASIGNACIONES'!$J$4:$J$451,MATCH($O953&amp;"|"&amp;$S953&amp;"|"&amp;$AG953,'ASIGNACIONES'!$N$4:$N$451,0)),""))=0,"",IFERROR(INDEX('ASIGNACIONES'!$J$4:$J$451,MATCH($O953&amp;"|"&amp;$S953&amp;"|"&amp;$AG953,'ASIGNACIONES'!$N$4:$N$451,0)),"")))</f>
        <v/>
      </c>
      <c r="AI953" s="25">
        <f>IF($AG953="","",SUMIFS('ORDENES'!$M$4:$M$1203,'ORDENES'!$AG$4:$AG$1203,$AG953,'ORDENES'!$O$4:$O$1203,$O953,'ORDENES'!$S$4:$S$1203,$S953))</f>
        <v/>
      </c>
      <c r="AJ953" s="25">
        <f>IF($AI953="","",p_factor_productividad*IFERROR(INDEX('ASIGNACIONES'!$M$4:$M$451,MATCH($O953&amp;"|"&amp;$S953&amp;"|"&amp;$AG953,'ASIGNACIONES'!$N$4:$N$451,0)),0)-$AI953)</f>
        <v/>
      </c>
      <c r="AK953" s="18">
        <f>IF($A953="","",IFERROR(INDEX('2_IMPORTAR_EJECUCION'!$F$9:$F$1208,MATCH($AT953,'2_IMPORTAR_EJECUCION'!$J$9:$J$1208,0)),0))</f>
        <v/>
      </c>
      <c r="AL953" s="18">
        <f>IF($A953="","",MAX(0,IFERROR(INDEX('2_IMPORTAR_EJECUCION'!$H$9:$H$1208,MATCH($AT953,'2_IMPORTAR_EJECUCION'!$J$9:$J$1208,0)),0)-$AK953))</f>
        <v/>
      </c>
      <c r="AM953" s="18">
        <f>IF($A953="","",$AK953+$AL953)</f>
        <v/>
      </c>
      <c r="AN953" s="5">
        <f>IF($A953="","",IF(OR((IFERROR(INDEX('CAT_ACTIVIDADES'!$D$4:$D$11,MATCH($H953,'CAT_ACTIVIDADES'!$A$4:$A$11,0)),""))=0,(IFERROR(INDEX('CAT_ACTIVIDADES'!$D$4:$D$11,MATCH($H953,'CAT_ACTIVIDADES'!$A$4:$A$11,0)),""))=""),"SIN CLASIFICAR",IFERROR(INDEX('CAT_ACTIVIDADES'!$D$4:$D$11,MATCH($H953,'CAT_ACTIVIDADES'!$A$4:$A$11,0)),"")))</f>
        <v/>
      </c>
      <c r="AO953" s="4" t="n"/>
      <c r="AP953" s="4" t="n"/>
      <c r="AQ953" s="4" t="n"/>
      <c r="AR953" s="5">
        <f>IF($AQ953="","",HYPERLINK(p_ruta_base_checklists&amp;$AQ953,"abrir"))</f>
        <v/>
      </c>
      <c r="AS953" s="4" t="n"/>
      <c r="AT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2" t="n"/>
      <c r="K954" s="5" t="n"/>
      <c r="L954" s="18" t="n"/>
      <c r="M954" s="5">
        <f>IF($A954="","",IFERROR(INDEX('AJUSTES'!$B$4:$B$303,MATCH($AT954,'AJUSTES'!$A$4:$A$303,0)),IF($K954="","",$K954)))</f>
        <v/>
      </c>
      <c r="N954" s="5">
        <f>IF($A954="","",IFERROR(INDEX('CAT_ESTADOS_ERP'!$B$4:$B$7,MATCH(IFERROR(INDEX('2_IMPORTAR_EJECUCION'!$C$9:$C$1208,MATCH($AT954,'2_IMPORTAR_EJECUCION'!$J$9:$J$1208,0)),""),'CAT_ESTADOS_ERP'!$A$4:$A$7,0)),"Pendiente"))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IF($J954="","",$P954&amp;"-"&amp;TEXT($Q954,"00"))</f>
        <v/>
      </c>
      <c r="S954" s="5">
        <f>IF($J954="","",INDEX(lista_dias,WEEKDAY($J954,2)))</f>
        <v/>
      </c>
      <c r="T954" s="5">
        <f>IF($J954="","",IFERROR(INDEX('CALENDARIO'!$C$15:$C$214,MATCH(TEXT($J954,"yyyy-mm-dd")&amp;"|"&amp;$X954&amp;"|"&amp;$Y954,'CALENDARIO'!$G$15:$G$214,0)),IFERROR(INDEX('CALENDARIO'!$C$15:$C$214,MATCH(TEXT($J954,"yyyy-mm-dd")&amp;"|"&amp;$X954&amp;"|",'CALENDARIO'!$G$15:$G$214,0)),IFERROR(INDEX('CALENDARIO'!$C$15:$C$214,MATCH(TEXT($J954,"yyyy-mm-dd")&amp;"||",'CALENDARIO'!$G$15:$G$214,0)),INDEX(patronHabil,WEEKDAY($J954,2))))))</f>
        <v/>
      </c>
      <c r="U954" s="5">
        <f>IF($I954="","",IFERROR(INDEX('CAT_TIPOS_OT'!$C$4:$C$8,MATCH($I954,'CAT_TIPOS_OT'!$A$4:$A$8,0)),"sin_clasificar"))</f>
        <v/>
      </c>
      <c r="V954" s="5">
        <f>IF($I954="","",IF(IFERROR(INDEX('CAT_TIPOS_OT'!$D$4:$D$8,MATCH($I954,'CAT_TIPOS_OT'!$A$4:$A$8,0)),"SIN CLASIFICAR")="","SIN CLASIFICAR",IFERROR(INDEX('CAT_TIPOS_OT'!$D$4:$D$8,MATCH($I954,'CAT_TIPOS_OT'!$A$4:$A$8,0)),"SIN CLASIFICAR")))</f>
        <v/>
      </c>
      <c r="W954" s="5">
        <f>IF($F954="","",IFERROR(INDEX('CAT_CENTROS_COSTO'!$F$4:$F$13,MATCH($F954,'CAT_CENTROS_COSTO'!$A$4:$A$13,0)),"(sin catálogo)"))</f>
        <v/>
      </c>
      <c r="X954" s="5">
        <f>IF($F954="","",IFERROR(INDEX('CAT_CENTROS_COSTO'!$D$4:$D$13,MATCH($F954,'CAT_CENTROS_COSTO'!$A$4:$A$13,0)),"(sin catálogo)"))</f>
        <v/>
      </c>
      <c r="Y954" s="5">
        <f>IF($F954="","",IF((IFERROR(INDEX('CAT_CENTROS_COSTO'!$E$4:$E$13,MATCH($F954,'CAT_CENTROS_COSTO'!$A$4:$A$13,0)),""))&lt;&gt;"",IFERROR(INDEX('CAT_CENTROS_COSTO'!$E$4:$E$13,MATCH($F954,'CAT_CENTROS_COSTO'!$A$4:$A$13,0)),""),$X954))</f>
        <v/>
      </c>
      <c r="Z954" s="5">
        <f>IF($F954="","",IFERROR(INDEX('CAT_CENTROS_COSTO'!$G$4:$G$13,MATCH($F954,'CAT_CENTROS_COSTO'!$A$4:$A$13,0)),"(sin catálogo)"))</f>
        <v/>
      </c>
      <c r="AA954" s="5">
        <f>IF($G954="","",IFERROR(INDEX('CAT_PUESTOS'!$B$4:$B$8,MATCH($G954,'CAT_PUESTOS'!$A$4:$A$8,0)),"(sin catálogo)"))</f>
        <v/>
      </c>
      <c r="AB954" s="5">
        <f>IF($H954="","",IFERROR(INDEX('CAT_ACTIVIDADES'!$B$4:$B$11,MATCH($H954,'CAT_ACTIVIDADES'!$A$4:$A$11,0)),"(sin catálogo)"))</f>
        <v/>
      </c>
      <c r="AC954" s="20">
        <f>IF($J954="","",TODAY()-$J954)</f>
        <v/>
      </c>
      <c r="AD954" s="20">
        <f>IF($J954="","",IF($J954&lt;=TODAY(),COUNTIFS(cal_fechas,"&gt;="&amp;$J954,cal_fechas,"&lt;"&amp;TODAY(),cal_habil,"sí"),-COUNTIFS(cal_fechas,"&gt;="&amp;TODAY(),cal_fechas,"&lt;"&amp;$J954,cal_habil,"sí")))</f>
        <v/>
      </c>
      <c r="AE954" s="5">
        <f>IF($AD954="","",IF($AD954&lt;0,"FUTURO",IF($AD954&gt;p_dias_backlog_max,"BACKLOG","MES CORRIENTE")))</f>
        <v/>
      </c>
      <c r="AF954" s="5">
        <f>IF($AD954="",FALSE,AND($AD954&gt;p_dias_backlog_min,$AD954&lt;=p_dias_backlog_max))</f>
        <v/>
      </c>
      <c r="AG954" s="4" t="n"/>
      <c r="AH954" s="5">
        <f>IF($AG954="","",IF((IFERROR(INDEX('ASIGNACIONES'!$J$4:$J$451,MATCH($O954&amp;"|"&amp;$S954&amp;"|"&amp;$AG954,'ASIGNACIONES'!$N$4:$N$451,0)),""))=0,"",IFERROR(INDEX('ASIGNACIONES'!$J$4:$J$451,MATCH($O954&amp;"|"&amp;$S954&amp;"|"&amp;$AG954,'ASIGNACIONES'!$N$4:$N$451,0)),"")))</f>
        <v/>
      </c>
      <c r="AI954" s="25">
        <f>IF($AG954="","",SUMIFS('ORDENES'!$M$4:$M$1203,'ORDENES'!$AG$4:$AG$1203,$AG954,'ORDENES'!$O$4:$O$1203,$O954,'ORDENES'!$S$4:$S$1203,$S954))</f>
        <v/>
      </c>
      <c r="AJ954" s="25">
        <f>IF($AI954="","",p_factor_productividad*IFERROR(INDEX('ASIGNACIONES'!$M$4:$M$451,MATCH($O954&amp;"|"&amp;$S954&amp;"|"&amp;$AG954,'ASIGNACIONES'!$N$4:$N$451,0)),0)-$AI954)</f>
        <v/>
      </c>
      <c r="AK954" s="18">
        <f>IF($A954="","",IFERROR(INDEX('2_IMPORTAR_EJECUCION'!$F$9:$F$1208,MATCH($AT954,'2_IMPORTAR_EJECUCION'!$J$9:$J$1208,0)),0))</f>
        <v/>
      </c>
      <c r="AL954" s="18">
        <f>IF($A954="","",MAX(0,IFERROR(INDEX('2_IMPORTAR_EJECUCION'!$H$9:$H$1208,MATCH($AT954,'2_IMPORTAR_EJECUCION'!$J$9:$J$1208,0)),0)-$AK954))</f>
        <v/>
      </c>
      <c r="AM954" s="18">
        <f>IF($A954="","",$AK954+$AL954)</f>
        <v/>
      </c>
      <c r="AN954" s="5">
        <f>IF($A954="","",IF(OR((IFERROR(INDEX('CAT_ACTIVIDADES'!$D$4:$D$11,MATCH($H954,'CAT_ACTIVIDADES'!$A$4:$A$11,0)),""))=0,(IFERROR(INDEX('CAT_ACTIVIDADES'!$D$4:$D$11,MATCH($H954,'CAT_ACTIVIDADES'!$A$4:$A$11,0)),""))=""),"SIN CLASIFICAR",IFERROR(INDEX('CAT_ACTIVIDADES'!$D$4:$D$11,MATCH($H954,'CAT_ACTIVIDADES'!$A$4:$A$11,0)),"")))</f>
        <v/>
      </c>
      <c r="AO954" s="4" t="n"/>
      <c r="AP954" s="4" t="n"/>
      <c r="AQ954" s="4" t="n"/>
      <c r="AR954" s="5">
        <f>IF($AQ954="","",HYPERLINK(p_ruta_base_checklists&amp;$AQ954,"abrir"))</f>
        <v/>
      </c>
      <c r="AS954" s="4" t="n"/>
      <c r="AT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2" t="n"/>
      <c r="K955" s="5" t="n"/>
      <c r="L955" s="18" t="n"/>
      <c r="M955" s="5">
        <f>IF($A955="","",IFERROR(INDEX('AJUSTES'!$B$4:$B$303,MATCH($AT955,'AJUSTES'!$A$4:$A$303,0)),IF($K955="","",$K955)))</f>
        <v/>
      </c>
      <c r="N955" s="5">
        <f>IF($A955="","",IFERROR(INDEX('CAT_ESTADOS_ERP'!$B$4:$B$7,MATCH(IFERROR(INDEX('2_IMPORTAR_EJECUCION'!$C$9:$C$1208,MATCH($AT955,'2_IMPORTAR_EJECUCION'!$J$9:$J$1208,0)),""),'CAT_ESTADOS_ERP'!$A$4:$A$7,0)),"Pendiente"))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IF($J955="","",$P955&amp;"-"&amp;TEXT($Q955,"00"))</f>
        <v/>
      </c>
      <c r="S955" s="5">
        <f>IF($J955="","",INDEX(lista_dias,WEEKDAY($J955,2)))</f>
        <v/>
      </c>
      <c r="T955" s="5">
        <f>IF($J955="","",IFERROR(INDEX('CALENDARIO'!$C$15:$C$214,MATCH(TEXT($J955,"yyyy-mm-dd")&amp;"|"&amp;$X955&amp;"|"&amp;$Y955,'CALENDARIO'!$G$15:$G$214,0)),IFERROR(INDEX('CALENDARIO'!$C$15:$C$214,MATCH(TEXT($J955,"yyyy-mm-dd")&amp;"|"&amp;$X955&amp;"|",'CALENDARIO'!$G$15:$G$214,0)),IFERROR(INDEX('CALENDARIO'!$C$15:$C$214,MATCH(TEXT($J955,"yyyy-mm-dd")&amp;"||",'CALENDARIO'!$G$15:$G$214,0)),INDEX(patronHabil,WEEKDAY($J955,2))))))</f>
        <v/>
      </c>
      <c r="U955" s="5">
        <f>IF($I955="","",IFERROR(INDEX('CAT_TIPOS_OT'!$C$4:$C$8,MATCH($I955,'CAT_TIPOS_OT'!$A$4:$A$8,0)),"sin_clasificar"))</f>
        <v/>
      </c>
      <c r="V955" s="5">
        <f>IF($I955="","",IF(IFERROR(INDEX('CAT_TIPOS_OT'!$D$4:$D$8,MATCH($I955,'CAT_TIPOS_OT'!$A$4:$A$8,0)),"SIN CLASIFICAR")="","SIN CLASIFICAR",IFERROR(INDEX('CAT_TIPOS_OT'!$D$4:$D$8,MATCH($I955,'CAT_TIPOS_OT'!$A$4:$A$8,0)),"SIN CLASIFICAR")))</f>
        <v/>
      </c>
      <c r="W955" s="5">
        <f>IF($F955="","",IFERROR(INDEX('CAT_CENTROS_COSTO'!$F$4:$F$13,MATCH($F955,'CAT_CENTROS_COSTO'!$A$4:$A$13,0)),"(sin catálogo)"))</f>
        <v/>
      </c>
      <c r="X955" s="5">
        <f>IF($F955="","",IFERROR(INDEX('CAT_CENTROS_COSTO'!$D$4:$D$13,MATCH($F955,'CAT_CENTROS_COSTO'!$A$4:$A$13,0)),"(sin catálogo)"))</f>
        <v/>
      </c>
      <c r="Y955" s="5">
        <f>IF($F955="","",IF((IFERROR(INDEX('CAT_CENTROS_COSTO'!$E$4:$E$13,MATCH($F955,'CAT_CENTROS_COSTO'!$A$4:$A$13,0)),""))&lt;&gt;"",IFERROR(INDEX('CAT_CENTROS_COSTO'!$E$4:$E$13,MATCH($F955,'CAT_CENTROS_COSTO'!$A$4:$A$13,0)),""),$X955))</f>
        <v/>
      </c>
      <c r="Z955" s="5">
        <f>IF($F955="","",IFERROR(INDEX('CAT_CENTROS_COSTO'!$G$4:$G$13,MATCH($F955,'CAT_CENTROS_COSTO'!$A$4:$A$13,0)),"(sin catálogo)"))</f>
        <v/>
      </c>
      <c r="AA955" s="5">
        <f>IF($G955="","",IFERROR(INDEX('CAT_PUESTOS'!$B$4:$B$8,MATCH($G955,'CAT_PUESTOS'!$A$4:$A$8,0)),"(sin catálogo)"))</f>
        <v/>
      </c>
      <c r="AB955" s="5">
        <f>IF($H955="","",IFERROR(INDEX('CAT_ACTIVIDADES'!$B$4:$B$11,MATCH($H955,'CAT_ACTIVIDADES'!$A$4:$A$11,0)),"(sin catálogo)"))</f>
        <v/>
      </c>
      <c r="AC955" s="20">
        <f>IF($J955="","",TODAY()-$J955)</f>
        <v/>
      </c>
      <c r="AD955" s="20">
        <f>IF($J955="","",IF($J955&lt;=TODAY(),COUNTIFS(cal_fechas,"&gt;="&amp;$J955,cal_fechas,"&lt;"&amp;TODAY(),cal_habil,"sí"),-COUNTIFS(cal_fechas,"&gt;="&amp;TODAY(),cal_fechas,"&lt;"&amp;$J955,cal_habil,"sí")))</f>
        <v/>
      </c>
      <c r="AE955" s="5">
        <f>IF($AD955="","",IF($AD955&lt;0,"FUTURO",IF($AD955&gt;p_dias_backlog_max,"BACKLOG","MES CORRIENTE")))</f>
        <v/>
      </c>
      <c r="AF955" s="5">
        <f>IF($AD955="",FALSE,AND($AD955&gt;p_dias_backlog_min,$AD955&lt;=p_dias_backlog_max))</f>
        <v/>
      </c>
      <c r="AG955" s="4" t="n"/>
      <c r="AH955" s="5">
        <f>IF($AG955="","",IF((IFERROR(INDEX('ASIGNACIONES'!$J$4:$J$451,MATCH($O955&amp;"|"&amp;$S955&amp;"|"&amp;$AG955,'ASIGNACIONES'!$N$4:$N$451,0)),""))=0,"",IFERROR(INDEX('ASIGNACIONES'!$J$4:$J$451,MATCH($O955&amp;"|"&amp;$S955&amp;"|"&amp;$AG955,'ASIGNACIONES'!$N$4:$N$451,0)),"")))</f>
        <v/>
      </c>
      <c r="AI955" s="25">
        <f>IF($AG955="","",SUMIFS('ORDENES'!$M$4:$M$1203,'ORDENES'!$AG$4:$AG$1203,$AG955,'ORDENES'!$O$4:$O$1203,$O955,'ORDENES'!$S$4:$S$1203,$S955))</f>
        <v/>
      </c>
      <c r="AJ955" s="25">
        <f>IF($AI955="","",p_factor_productividad*IFERROR(INDEX('ASIGNACIONES'!$M$4:$M$451,MATCH($O955&amp;"|"&amp;$S955&amp;"|"&amp;$AG955,'ASIGNACIONES'!$N$4:$N$451,0)),0)-$AI955)</f>
        <v/>
      </c>
      <c r="AK955" s="18">
        <f>IF($A955="","",IFERROR(INDEX('2_IMPORTAR_EJECUCION'!$F$9:$F$1208,MATCH($AT955,'2_IMPORTAR_EJECUCION'!$J$9:$J$1208,0)),0))</f>
        <v/>
      </c>
      <c r="AL955" s="18">
        <f>IF($A955="","",MAX(0,IFERROR(INDEX('2_IMPORTAR_EJECUCION'!$H$9:$H$1208,MATCH($AT955,'2_IMPORTAR_EJECUCION'!$J$9:$J$1208,0)),0)-$AK955))</f>
        <v/>
      </c>
      <c r="AM955" s="18">
        <f>IF($A955="","",$AK955+$AL955)</f>
        <v/>
      </c>
      <c r="AN955" s="5">
        <f>IF($A955="","",IF(OR((IFERROR(INDEX('CAT_ACTIVIDADES'!$D$4:$D$11,MATCH($H955,'CAT_ACTIVIDADES'!$A$4:$A$11,0)),""))=0,(IFERROR(INDEX('CAT_ACTIVIDADES'!$D$4:$D$11,MATCH($H955,'CAT_ACTIVIDADES'!$A$4:$A$11,0)),""))=""),"SIN CLASIFICAR",IFERROR(INDEX('CAT_ACTIVIDADES'!$D$4:$D$11,MATCH($H955,'CAT_ACTIVIDADES'!$A$4:$A$11,0)),"")))</f>
        <v/>
      </c>
      <c r="AO955" s="4" t="n"/>
      <c r="AP955" s="4" t="n"/>
      <c r="AQ955" s="4" t="n"/>
      <c r="AR955" s="5">
        <f>IF($AQ955="","",HYPERLINK(p_ruta_base_checklists&amp;$AQ955,"abrir"))</f>
        <v/>
      </c>
      <c r="AS955" s="4" t="n"/>
      <c r="AT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2" t="n"/>
      <c r="K956" s="5" t="n"/>
      <c r="L956" s="18" t="n"/>
      <c r="M956" s="5">
        <f>IF($A956="","",IFERROR(INDEX('AJUSTES'!$B$4:$B$303,MATCH($AT956,'AJUSTES'!$A$4:$A$303,0)),IF($K956="","",$K956)))</f>
        <v/>
      </c>
      <c r="N956" s="5">
        <f>IF($A956="","",IFERROR(INDEX('CAT_ESTADOS_ERP'!$B$4:$B$7,MATCH(IFERROR(INDEX('2_IMPORTAR_EJECUCION'!$C$9:$C$1208,MATCH($AT956,'2_IMPORTAR_EJECUCION'!$J$9:$J$1208,0)),""),'CAT_ESTADOS_ERP'!$A$4:$A$7,0)),"Pendiente"))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IF($J956="","",$P956&amp;"-"&amp;TEXT($Q956,"00"))</f>
        <v/>
      </c>
      <c r="S956" s="5">
        <f>IF($J956="","",INDEX(lista_dias,WEEKDAY($J956,2)))</f>
        <v/>
      </c>
      <c r="T956" s="5">
        <f>IF($J956="","",IFERROR(INDEX('CALENDARIO'!$C$15:$C$214,MATCH(TEXT($J956,"yyyy-mm-dd")&amp;"|"&amp;$X956&amp;"|"&amp;$Y956,'CALENDARIO'!$G$15:$G$214,0)),IFERROR(INDEX('CALENDARIO'!$C$15:$C$214,MATCH(TEXT($J956,"yyyy-mm-dd")&amp;"|"&amp;$X956&amp;"|",'CALENDARIO'!$G$15:$G$214,0)),IFERROR(INDEX('CALENDARIO'!$C$15:$C$214,MATCH(TEXT($J956,"yyyy-mm-dd")&amp;"||",'CALENDARIO'!$G$15:$G$214,0)),INDEX(patronHabil,WEEKDAY($J956,2))))))</f>
        <v/>
      </c>
      <c r="U956" s="5">
        <f>IF($I956="","",IFERROR(INDEX('CAT_TIPOS_OT'!$C$4:$C$8,MATCH($I956,'CAT_TIPOS_OT'!$A$4:$A$8,0)),"sin_clasificar"))</f>
        <v/>
      </c>
      <c r="V956" s="5">
        <f>IF($I956="","",IF(IFERROR(INDEX('CAT_TIPOS_OT'!$D$4:$D$8,MATCH($I956,'CAT_TIPOS_OT'!$A$4:$A$8,0)),"SIN CLASIFICAR")="","SIN CLASIFICAR",IFERROR(INDEX('CAT_TIPOS_OT'!$D$4:$D$8,MATCH($I956,'CAT_TIPOS_OT'!$A$4:$A$8,0)),"SIN CLASIFICAR")))</f>
        <v/>
      </c>
      <c r="W956" s="5">
        <f>IF($F956="","",IFERROR(INDEX('CAT_CENTROS_COSTO'!$F$4:$F$13,MATCH($F956,'CAT_CENTROS_COSTO'!$A$4:$A$13,0)),"(sin catálogo)"))</f>
        <v/>
      </c>
      <c r="X956" s="5">
        <f>IF($F956="","",IFERROR(INDEX('CAT_CENTROS_COSTO'!$D$4:$D$13,MATCH($F956,'CAT_CENTROS_COSTO'!$A$4:$A$13,0)),"(sin catálogo)"))</f>
        <v/>
      </c>
      <c r="Y956" s="5">
        <f>IF($F956="","",IF((IFERROR(INDEX('CAT_CENTROS_COSTO'!$E$4:$E$13,MATCH($F956,'CAT_CENTROS_COSTO'!$A$4:$A$13,0)),""))&lt;&gt;"",IFERROR(INDEX('CAT_CENTROS_COSTO'!$E$4:$E$13,MATCH($F956,'CAT_CENTROS_COSTO'!$A$4:$A$13,0)),""),$X956))</f>
        <v/>
      </c>
      <c r="Z956" s="5">
        <f>IF($F956="","",IFERROR(INDEX('CAT_CENTROS_COSTO'!$G$4:$G$13,MATCH($F956,'CAT_CENTROS_COSTO'!$A$4:$A$13,0)),"(sin catálogo)"))</f>
        <v/>
      </c>
      <c r="AA956" s="5">
        <f>IF($G956="","",IFERROR(INDEX('CAT_PUESTOS'!$B$4:$B$8,MATCH($G956,'CAT_PUESTOS'!$A$4:$A$8,0)),"(sin catálogo)"))</f>
        <v/>
      </c>
      <c r="AB956" s="5">
        <f>IF($H956="","",IFERROR(INDEX('CAT_ACTIVIDADES'!$B$4:$B$11,MATCH($H956,'CAT_ACTIVIDADES'!$A$4:$A$11,0)),"(sin catálogo)"))</f>
        <v/>
      </c>
      <c r="AC956" s="20">
        <f>IF($J956="","",TODAY()-$J956)</f>
        <v/>
      </c>
      <c r="AD956" s="20">
        <f>IF($J956="","",IF($J956&lt;=TODAY(),COUNTIFS(cal_fechas,"&gt;="&amp;$J956,cal_fechas,"&lt;"&amp;TODAY(),cal_habil,"sí"),-COUNTIFS(cal_fechas,"&gt;="&amp;TODAY(),cal_fechas,"&lt;"&amp;$J956,cal_habil,"sí")))</f>
        <v/>
      </c>
      <c r="AE956" s="5">
        <f>IF($AD956="","",IF($AD956&lt;0,"FUTURO",IF($AD956&gt;p_dias_backlog_max,"BACKLOG","MES CORRIENTE")))</f>
        <v/>
      </c>
      <c r="AF956" s="5">
        <f>IF($AD956="",FALSE,AND($AD956&gt;p_dias_backlog_min,$AD956&lt;=p_dias_backlog_max))</f>
        <v/>
      </c>
      <c r="AG956" s="4" t="n"/>
      <c r="AH956" s="5">
        <f>IF($AG956="","",IF((IFERROR(INDEX('ASIGNACIONES'!$J$4:$J$451,MATCH($O956&amp;"|"&amp;$S956&amp;"|"&amp;$AG956,'ASIGNACIONES'!$N$4:$N$451,0)),""))=0,"",IFERROR(INDEX('ASIGNACIONES'!$J$4:$J$451,MATCH($O956&amp;"|"&amp;$S956&amp;"|"&amp;$AG956,'ASIGNACIONES'!$N$4:$N$451,0)),"")))</f>
        <v/>
      </c>
      <c r="AI956" s="25">
        <f>IF($AG956="","",SUMIFS('ORDENES'!$M$4:$M$1203,'ORDENES'!$AG$4:$AG$1203,$AG956,'ORDENES'!$O$4:$O$1203,$O956,'ORDENES'!$S$4:$S$1203,$S956))</f>
        <v/>
      </c>
      <c r="AJ956" s="25">
        <f>IF($AI956="","",p_factor_productividad*IFERROR(INDEX('ASIGNACIONES'!$M$4:$M$451,MATCH($O956&amp;"|"&amp;$S956&amp;"|"&amp;$AG956,'ASIGNACIONES'!$N$4:$N$451,0)),0)-$AI956)</f>
        <v/>
      </c>
      <c r="AK956" s="18">
        <f>IF($A956="","",IFERROR(INDEX('2_IMPORTAR_EJECUCION'!$F$9:$F$1208,MATCH($AT956,'2_IMPORTAR_EJECUCION'!$J$9:$J$1208,0)),0))</f>
        <v/>
      </c>
      <c r="AL956" s="18">
        <f>IF($A956="","",MAX(0,IFERROR(INDEX('2_IMPORTAR_EJECUCION'!$H$9:$H$1208,MATCH($AT956,'2_IMPORTAR_EJECUCION'!$J$9:$J$1208,0)),0)-$AK956))</f>
        <v/>
      </c>
      <c r="AM956" s="18">
        <f>IF($A956="","",$AK956+$AL956)</f>
        <v/>
      </c>
      <c r="AN956" s="5">
        <f>IF($A956="","",IF(OR((IFERROR(INDEX('CAT_ACTIVIDADES'!$D$4:$D$11,MATCH($H956,'CAT_ACTIVIDADES'!$A$4:$A$11,0)),""))=0,(IFERROR(INDEX('CAT_ACTIVIDADES'!$D$4:$D$11,MATCH($H956,'CAT_ACTIVIDADES'!$A$4:$A$11,0)),""))=""),"SIN CLASIFICAR",IFERROR(INDEX('CAT_ACTIVIDADES'!$D$4:$D$11,MATCH($H956,'CAT_ACTIVIDADES'!$A$4:$A$11,0)),"")))</f>
        <v/>
      </c>
      <c r="AO956" s="4" t="n"/>
      <c r="AP956" s="4" t="n"/>
      <c r="AQ956" s="4" t="n"/>
      <c r="AR956" s="5">
        <f>IF($AQ956="","",HYPERLINK(p_ruta_base_checklists&amp;$AQ956,"abrir"))</f>
        <v/>
      </c>
      <c r="AS956" s="4" t="n"/>
      <c r="AT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2" t="n"/>
      <c r="K957" s="5" t="n"/>
      <c r="L957" s="18" t="n"/>
      <c r="M957" s="5">
        <f>IF($A957="","",IFERROR(INDEX('AJUSTES'!$B$4:$B$303,MATCH($AT957,'AJUSTES'!$A$4:$A$303,0)),IF($K957="","",$K957)))</f>
        <v/>
      </c>
      <c r="N957" s="5">
        <f>IF($A957="","",IFERROR(INDEX('CAT_ESTADOS_ERP'!$B$4:$B$7,MATCH(IFERROR(INDEX('2_IMPORTAR_EJECUCION'!$C$9:$C$1208,MATCH($AT957,'2_IMPORTAR_EJECUCION'!$J$9:$J$1208,0)),""),'CAT_ESTADOS_ERP'!$A$4:$A$7,0)),"Pendiente"))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IF($J957="","",$P957&amp;"-"&amp;TEXT($Q957,"00"))</f>
        <v/>
      </c>
      <c r="S957" s="5">
        <f>IF($J957="","",INDEX(lista_dias,WEEKDAY($J957,2)))</f>
        <v/>
      </c>
      <c r="T957" s="5">
        <f>IF($J957="","",IFERROR(INDEX('CALENDARIO'!$C$15:$C$214,MATCH(TEXT($J957,"yyyy-mm-dd")&amp;"|"&amp;$X957&amp;"|"&amp;$Y957,'CALENDARIO'!$G$15:$G$214,0)),IFERROR(INDEX('CALENDARIO'!$C$15:$C$214,MATCH(TEXT($J957,"yyyy-mm-dd")&amp;"|"&amp;$X957&amp;"|",'CALENDARIO'!$G$15:$G$214,0)),IFERROR(INDEX('CALENDARIO'!$C$15:$C$214,MATCH(TEXT($J957,"yyyy-mm-dd")&amp;"||",'CALENDARIO'!$G$15:$G$214,0)),INDEX(patronHabil,WEEKDAY($J957,2))))))</f>
        <v/>
      </c>
      <c r="U957" s="5">
        <f>IF($I957="","",IFERROR(INDEX('CAT_TIPOS_OT'!$C$4:$C$8,MATCH($I957,'CAT_TIPOS_OT'!$A$4:$A$8,0)),"sin_clasificar"))</f>
        <v/>
      </c>
      <c r="V957" s="5">
        <f>IF($I957="","",IF(IFERROR(INDEX('CAT_TIPOS_OT'!$D$4:$D$8,MATCH($I957,'CAT_TIPOS_OT'!$A$4:$A$8,0)),"SIN CLASIFICAR")="","SIN CLASIFICAR",IFERROR(INDEX('CAT_TIPOS_OT'!$D$4:$D$8,MATCH($I957,'CAT_TIPOS_OT'!$A$4:$A$8,0)),"SIN CLASIFICAR")))</f>
        <v/>
      </c>
      <c r="W957" s="5">
        <f>IF($F957="","",IFERROR(INDEX('CAT_CENTROS_COSTO'!$F$4:$F$13,MATCH($F957,'CAT_CENTROS_COSTO'!$A$4:$A$13,0)),"(sin catálogo)"))</f>
        <v/>
      </c>
      <c r="X957" s="5">
        <f>IF($F957="","",IFERROR(INDEX('CAT_CENTROS_COSTO'!$D$4:$D$13,MATCH($F957,'CAT_CENTROS_COSTO'!$A$4:$A$13,0)),"(sin catálogo)"))</f>
        <v/>
      </c>
      <c r="Y957" s="5">
        <f>IF($F957="","",IF((IFERROR(INDEX('CAT_CENTROS_COSTO'!$E$4:$E$13,MATCH($F957,'CAT_CENTROS_COSTO'!$A$4:$A$13,0)),""))&lt;&gt;"",IFERROR(INDEX('CAT_CENTROS_COSTO'!$E$4:$E$13,MATCH($F957,'CAT_CENTROS_COSTO'!$A$4:$A$13,0)),""),$X957))</f>
        <v/>
      </c>
      <c r="Z957" s="5">
        <f>IF($F957="","",IFERROR(INDEX('CAT_CENTROS_COSTO'!$G$4:$G$13,MATCH($F957,'CAT_CENTROS_COSTO'!$A$4:$A$13,0)),"(sin catálogo)"))</f>
        <v/>
      </c>
      <c r="AA957" s="5">
        <f>IF($G957="","",IFERROR(INDEX('CAT_PUESTOS'!$B$4:$B$8,MATCH($G957,'CAT_PUESTOS'!$A$4:$A$8,0)),"(sin catálogo)"))</f>
        <v/>
      </c>
      <c r="AB957" s="5">
        <f>IF($H957="","",IFERROR(INDEX('CAT_ACTIVIDADES'!$B$4:$B$11,MATCH($H957,'CAT_ACTIVIDADES'!$A$4:$A$11,0)),"(sin catálogo)"))</f>
        <v/>
      </c>
      <c r="AC957" s="20">
        <f>IF($J957="","",TODAY()-$J957)</f>
        <v/>
      </c>
      <c r="AD957" s="20">
        <f>IF($J957="","",IF($J957&lt;=TODAY(),COUNTIFS(cal_fechas,"&gt;="&amp;$J957,cal_fechas,"&lt;"&amp;TODAY(),cal_habil,"sí"),-COUNTIFS(cal_fechas,"&gt;="&amp;TODAY(),cal_fechas,"&lt;"&amp;$J957,cal_habil,"sí")))</f>
        <v/>
      </c>
      <c r="AE957" s="5">
        <f>IF($AD957="","",IF($AD957&lt;0,"FUTURO",IF($AD957&gt;p_dias_backlog_max,"BACKLOG","MES CORRIENTE")))</f>
        <v/>
      </c>
      <c r="AF957" s="5">
        <f>IF($AD957="",FALSE,AND($AD957&gt;p_dias_backlog_min,$AD957&lt;=p_dias_backlog_max))</f>
        <v/>
      </c>
      <c r="AG957" s="4" t="n"/>
      <c r="AH957" s="5">
        <f>IF($AG957="","",IF((IFERROR(INDEX('ASIGNACIONES'!$J$4:$J$451,MATCH($O957&amp;"|"&amp;$S957&amp;"|"&amp;$AG957,'ASIGNACIONES'!$N$4:$N$451,0)),""))=0,"",IFERROR(INDEX('ASIGNACIONES'!$J$4:$J$451,MATCH($O957&amp;"|"&amp;$S957&amp;"|"&amp;$AG957,'ASIGNACIONES'!$N$4:$N$451,0)),"")))</f>
        <v/>
      </c>
      <c r="AI957" s="25">
        <f>IF($AG957="","",SUMIFS('ORDENES'!$M$4:$M$1203,'ORDENES'!$AG$4:$AG$1203,$AG957,'ORDENES'!$O$4:$O$1203,$O957,'ORDENES'!$S$4:$S$1203,$S957))</f>
        <v/>
      </c>
      <c r="AJ957" s="25">
        <f>IF($AI957="","",p_factor_productividad*IFERROR(INDEX('ASIGNACIONES'!$M$4:$M$451,MATCH($O957&amp;"|"&amp;$S957&amp;"|"&amp;$AG957,'ASIGNACIONES'!$N$4:$N$451,0)),0)-$AI957)</f>
        <v/>
      </c>
      <c r="AK957" s="18">
        <f>IF($A957="","",IFERROR(INDEX('2_IMPORTAR_EJECUCION'!$F$9:$F$1208,MATCH($AT957,'2_IMPORTAR_EJECUCION'!$J$9:$J$1208,0)),0))</f>
        <v/>
      </c>
      <c r="AL957" s="18">
        <f>IF($A957="","",MAX(0,IFERROR(INDEX('2_IMPORTAR_EJECUCION'!$H$9:$H$1208,MATCH($AT957,'2_IMPORTAR_EJECUCION'!$J$9:$J$1208,0)),0)-$AK957))</f>
        <v/>
      </c>
      <c r="AM957" s="18">
        <f>IF($A957="","",$AK957+$AL957)</f>
        <v/>
      </c>
      <c r="AN957" s="5">
        <f>IF($A957="","",IF(OR((IFERROR(INDEX('CAT_ACTIVIDADES'!$D$4:$D$11,MATCH($H957,'CAT_ACTIVIDADES'!$A$4:$A$11,0)),""))=0,(IFERROR(INDEX('CAT_ACTIVIDADES'!$D$4:$D$11,MATCH($H957,'CAT_ACTIVIDADES'!$A$4:$A$11,0)),""))=""),"SIN CLASIFICAR",IFERROR(INDEX('CAT_ACTIVIDADES'!$D$4:$D$11,MATCH($H957,'CAT_ACTIVIDADES'!$A$4:$A$11,0)),"")))</f>
        <v/>
      </c>
      <c r="AO957" s="4" t="n"/>
      <c r="AP957" s="4" t="n"/>
      <c r="AQ957" s="4" t="n"/>
      <c r="AR957" s="5">
        <f>IF($AQ957="","",HYPERLINK(p_ruta_base_checklists&amp;$AQ957,"abrir"))</f>
        <v/>
      </c>
      <c r="AS957" s="4" t="n"/>
      <c r="AT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2" t="n"/>
      <c r="K958" s="5" t="n"/>
      <c r="L958" s="18" t="n"/>
      <c r="M958" s="5">
        <f>IF($A958="","",IFERROR(INDEX('AJUSTES'!$B$4:$B$303,MATCH($AT958,'AJUSTES'!$A$4:$A$303,0)),IF($K958="","",$K958)))</f>
        <v/>
      </c>
      <c r="N958" s="5">
        <f>IF($A958="","",IFERROR(INDEX('CAT_ESTADOS_ERP'!$B$4:$B$7,MATCH(IFERROR(INDEX('2_IMPORTAR_EJECUCION'!$C$9:$C$1208,MATCH($AT958,'2_IMPORTAR_EJECUCION'!$J$9:$J$1208,0)),""),'CAT_ESTADOS_ERP'!$A$4:$A$7,0)),"Pendiente"))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IF($J958="","",$P958&amp;"-"&amp;TEXT($Q958,"00"))</f>
        <v/>
      </c>
      <c r="S958" s="5">
        <f>IF($J958="","",INDEX(lista_dias,WEEKDAY($J958,2)))</f>
        <v/>
      </c>
      <c r="T958" s="5">
        <f>IF($J958="","",IFERROR(INDEX('CALENDARIO'!$C$15:$C$214,MATCH(TEXT($J958,"yyyy-mm-dd")&amp;"|"&amp;$X958&amp;"|"&amp;$Y958,'CALENDARIO'!$G$15:$G$214,0)),IFERROR(INDEX('CALENDARIO'!$C$15:$C$214,MATCH(TEXT($J958,"yyyy-mm-dd")&amp;"|"&amp;$X958&amp;"|",'CALENDARIO'!$G$15:$G$214,0)),IFERROR(INDEX('CALENDARIO'!$C$15:$C$214,MATCH(TEXT($J958,"yyyy-mm-dd")&amp;"||",'CALENDARIO'!$G$15:$G$214,0)),INDEX(patronHabil,WEEKDAY($J958,2))))))</f>
        <v/>
      </c>
      <c r="U958" s="5">
        <f>IF($I958="","",IFERROR(INDEX('CAT_TIPOS_OT'!$C$4:$C$8,MATCH($I958,'CAT_TIPOS_OT'!$A$4:$A$8,0)),"sin_clasificar"))</f>
        <v/>
      </c>
      <c r="V958" s="5">
        <f>IF($I958="","",IF(IFERROR(INDEX('CAT_TIPOS_OT'!$D$4:$D$8,MATCH($I958,'CAT_TIPOS_OT'!$A$4:$A$8,0)),"SIN CLASIFICAR")="","SIN CLASIFICAR",IFERROR(INDEX('CAT_TIPOS_OT'!$D$4:$D$8,MATCH($I958,'CAT_TIPOS_OT'!$A$4:$A$8,0)),"SIN CLASIFICAR")))</f>
        <v/>
      </c>
      <c r="W958" s="5">
        <f>IF($F958="","",IFERROR(INDEX('CAT_CENTROS_COSTO'!$F$4:$F$13,MATCH($F958,'CAT_CENTROS_COSTO'!$A$4:$A$13,0)),"(sin catálogo)"))</f>
        <v/>
      </c>
      <c r="X958" s="5">
        <f>IF($F958="","",IFERROR(INDEX('CAT_CENTROS_COSTO'!$D$4:$D$13,MATCH($F958,'CAT_CENTROS_COSTO'!$A$4:$A$13,0)),"(sin catálogo)"))</f>
        <v/>
      </c>
      <c r="Y958" s="5">
        <f>IF($F958="","",IF((IFERROR(INDEX('CAT_CENTROS_COSTO'!$E$4:$E$13,MATCH($F958,'CAT_CENTROS_COSTO'!$A$4:$A$13,0)),""))&lt;&gt;"",IFERROR(INDEX('CAT_CENTROS_COSTO'!$E$4:$E$13,MATCH($F958,'CAT_CENTROS_COSTO'!$A$4:$A$13,0)),""),$X958))</f>
        <v/>
      </c>
      <c r="Z958" s="5">
        <f>IF($F958="","",IFERROR(INDEX('CAT_CENTROS_COSTO'!$G$4:$G$13,MATCH($F958,'CAT_CENTROS_COSTO'!$A$4:$A$13,0)),"(sin catálogo)"))</f>
        <v/>
      </c>
      <c r="AA958" s="5">
        <f>IF($G958="","",IFERROR(INDEX('CAT_PUESTOS'!$B$4:$B$8,MATCH($G958,'CAT_PUESTOS'!$A$4:$A$8,0)),"(sin catálogo)"))</f>
        <v/>
      </c>
      <c r="AB958" s="5">
        <f>IF($H958="","",IFERROR(INDEX('CAT_ACTIVIDADES'!$B$4:$B$11,MATCH($H958,'CAT_ACTIVIDADES'!$A$4:$A$11,0)),"(sin catálogo)"))</f>
        <v/>
      </c>
      <c r="AC958" s="20">
        <f>IF($J958="","",TODAY()-$J958)</f>
        <v/>
      </c>
      <c r="AD958" s="20">
        <f>IF($J958="","",IF($J958&lt;=TODAY(),COUNTIFS(cal_fechas,"&gt;="&amp;$J958,cal_fechas,"&lt;"&amp;TODAY(),cal_habil,"sí"),-COUNTIFS(cal_fechas,"&gt;="&amp;TODAY(),cal_fechas,"&lt;"&amp;$J958,cal_habil,"sí")))</f>
        <v/>
      </c>
      <c r="AE958" s="5">
        <f>IF($AD958="","",IF($AD958&lt;0,"FUTURO",IF($AD958&gt;p_dias_backlog_max,"BACKLOG","MES CORRIENTE")))</f>
        <v/>
      </c>
      <c r="AF958" s="5">
        <f>IF($AD958="",FALSE,AND($AD958&gt;p_dias_backlog_min,$AD958&lt;=p_dias_backlog_max))</f>
        <v/>
      </c>
      <c r="AG958" s="4" t="n"/>
      <c r="AH958" s="5">
        <f>IF($AG958="","",IF((IFERROR(INDEX('ASIGNACIONES'!$J$4:$J$451,MATCH($O958&amp;"|"&amp;$S958&amp;"|"&amp;$AG958,'ASIGNACIONES'!$N$4:$N$451,0)),""))=0,"",IFERROR(INDEX('ASIGNACIONES'!$J$4:$J$451,MATCH($O958&amp;"|"&amp;$S958&amp;"|"&amp;$AG958,'ASIGNACIONES'!$N$4:$N$451,0)),"")))</f>
        <v/>
      </c>
      <c r="AI958" s="25">
        <f>IF($AG958="","",SUMIFS('ORDENES'!$M$4:$M$1203,'ORDENES'!$AG$4:$AG$1203,$AG958,'ORDENES'!$O$4:$O$1203,$O958,'ORDENES'!$S$4:$S$1203,$S958))</f>
        <v/>
      </c>
      <c r="AJ958" s="25">
        <f>IF($AI958="","",p_factor_productividad*IFERROR(INDEX('ASIGNACIONES'!$M$4:$M$451,MATCH($O958&amp;"|"&amp;$S958&amp;"|"&amp;$AG958,'ASIGNACIONES'!$N$4:$N$451,0)),0)-$AI958)</f>
        <v/>
      </c>
      <c r="AK958" s="18">
        <f>IF($A958="","",IFERROR(INDEX('2_IMPORTAR_EJECUCION'!$F$9:$F$1208,MATCH($AT958,'2_IMPORTAR_EJECUCION'!$J$9:$J$1208,0)),0))</f>
        <v/>
      </c>
      <c r="AL958" s="18">
        <f>IF($A958="","",MAX(0,IFERROR(INDEX('2_IMPORTAR_EJECUCION'!$H$9:$H$1208,MATCH($AT958,'2_IMPORTAR_EJECUCION'!$J$9:$J$1208,0)),0)-$AK958))</f>
        <v/>
      </c>
      <c r="AM958" s="18">
        <f>IF($A958="","",$AK958+$AL958)</f>
        <v/>
      </c>
      <c r="AN958" s="5">
        <f>IF($A958="","",IF(OR((IFERROR(INDEX('CAT_ACTIVIDADES'!$D$4:$D$11,MATCH($H958,'CAT_ACTIVIDADES'!$A$4:$A$11,0)),""))=0,(IFERROR(INDEX('CAT_ACTIVIDADES'!$D$4:$D$11,MATCH($H958,'CAT_ACTIVIDADES'!$A$4:$A$11,0)),""))=""),"SIN CLASIFICAR",IFERROR(INDEX('CAT_ACTIVIDADES'!$D$4:$D$11,MATCH($H958,'CAT_ACTIVIDADES'!$A$4:$A$11,0)),"")))</f>
        <v/>
      </c>
      <c r="AO958" s="4" t="n"/>
      <c r="AP958" s="4" t="n"/>
      <c r="AQ958" s="4" t="n"/>
      <c r="AR958" s="5">
        <f>IF($AQ958="","",HYPERLINK(p_ruta_base_checklists&amp;$AQ958,"abrir"))</f>
        <v/>
      </c>
      <c r="AS958" s="4" t="n"/>
      <c r="AT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2" t="n"/>
      <c r="K959" s="5" t="n"/>
      <c r="L959" s="18" t="n"/>
      <c r="M959" s="5">
        <f>IF($A959="","",IFERROR(INDEX('AJUSTES'!$B$4:$B$303,MATCH($AT959,'AJUSTES'!$A$4:$A$303,0)),IF($K959="","",$K959)))</f>
        <v/>
      </c>
      <c r="N959" s="5">
        <f>IF($A959="","",IFERROR(INDEX('CAT_ESTADOS_ERP'!$B$4:$B$7,MATCH(IFERROR(INDEX('2_IMPORTAR_EJECUCION'!$C$9:$C$1208,MATCH($AT959,'2_IMPORTAR_EJECUCION'!$J$9:$J$1208,0)),""),'CAT_ESTADOS_ERP'!$A$4:$A$7,0)),"Pendiente"))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IF($J959="","",$P959&amp;"-"&amp;TEXT($Q959,"00"))</f>
        <v/>
      </c>
      <c r="S959" s="5">
        <f>IF($J959="","",INDEX(lista_dias,WEEKDAY($J959,2)))</f>
        <v/>
      </c>
      <c r="T959" s="5">
        <f>IF($J959="","",IFERROR(INDEX('CALENDARIO'!$C$15:$C$214,MATCH(TEXT($J959,"yyyy-mm-dd")&amp;"|"&amp;$X959&amp;"|"&amp;$Y959,'CALENDARIO'!$G$15:$G$214,0)),IFERROR(INDEX('CALENDARIO'!$C$15:$C$214,MATCH(TEXT($J959,"yyyy-mm-dd")&amp;"|"&amp;$X959&amp;"|",'CALENDARIO'!$G$15:$G$214,0)),IFERROR(INDEX('CALENDARIO'!$C$15:$C$214,MATCH(TEXT($J959,"yyyy-mm-dd")&amp;"||",'CALENDARIO'!$G$15:$G$214,0)),INDEX(patronHabil,WEEKDAY($J959,2))))))</f>
        <v/>
      </c>
      <c r="U959" s="5">
        <f>IF($I959="","",IFERROR(INDEX('CAT_TIPOS_OT'!$C$4:$C$8,MATCH($I959,'CAT_TIPOS_OT'!$A$4:$A$8,0)),"sin_clasificar"))</f>
        <v/>
      </c>
      <c r="V959" s="5">
        <f>IF($I959="","",IF(IFERROR(INDEX('CAT_TIPOS_OT'!$D$4:$D$8,MATCH($I959,'CAT_TIPOS_OT'!$A$4:$A$8,0)),"SIN CLASIFICAR")="","SIN CLASIFICAR",IFERROR(INDEX('CAT_TIPOS_OT'!$D$4:$D$8,MATCH($I959,'CAT_TIPOS_OT'!$A$4:$A$8,0)),"SIN CLASIFICAR")))</f>
        <v/>
      </c>
      <c r="W959" s="5">
        <f>IF($F959="","",IFERROR(INDEX('CAT_CENTROS_COSTO'!$F$4:$F$13,MATCH($F959,'CAT_CENTROS_COSTO'!$A$4:$A$13,0)),"(sin catálogo)"))</f>
        <v/>
      </c>
      <c r="X959" s="5">
        <f>IF($F959="","",IFERROR(INDEX('CAT_CENTROS_COSTO'!$D$4:$D$13,MATCH($F959,'CAT_CENTROS_COSTO'!$A$4:$A$13,0)),"(sin catálogo)"))</f>
        <v/>
      </c>
      <c r="Y959" s="5">
        <f>IF($F959="","",IF((IFERROR(INDEX('CAT_CENTROS_COSTO'!$E$4:$E$13,MATCH($F959,'CAT_CENTROS_COSTO'!$A$4:$A$13,0)),""))&lt;&gt;"",IFERROR(INDEX('CAT_CENTROS_COSTO'!$E$4:$E$13,MATCH($F959,'CAT_CENTROS_COSTO'!$A$4:$A$13,0)),""),$X959))</f>
        <v/>
      </c>
      <c r="Z959" s="5">
        <f>IF($F959="","",IFERROR(INDEX('CAT_CENTROS_COSTO'!$G$4:$G$13,MATCH($F959,'CAT_CENTROS_COSTO'!$A$4:$A$13,0)),"(sin catálogo)"))</f>
        <v/>
      </c>
      <c r="AA959" s="5">
        <f>IF($G959="","",IFERROR(INDEX('CAT_PUESTOS'!$B$4:$B$8,MATCH($G959,'CAT_PUESTOS'!$A$4:$A$8,0)),"(sin catálogo)"))</f>
        <v/>
      </c>
      <c r="AB959" s="5">
        <f>IF($H959="","",IFERROR(INDEX('CAT_ACTIVIDADES'!$B$4:$B$11,MATCH($H959,'CAT_ACTIVIDADES'!$A$4:$A$11,0)),"(sin catálogo)"))</f>
        <v/>
      </c>
      <c r="AC959" s="20">
        <f>IF($J959="","",TODAY()-$J959)</f>
        <v/>
      </c>
      <c r="AD959" s="20">
        <f>IF($J959="","",IF($J959&lt;=TODAY(),COUNTIFS(cal_fechas,"&gt;="&amp;$J959,cal_fechas,"&lt;"&amp;TODAY(),cal_habil,"sí"),-COUNTIFS(cal_fechas,"&gt;="&amp;TODAY(),cal_fechas,"&lt;"&amp;$J959,cal_habil,"sí")))</f>
        <v/>
      </c>
      <c r="AE959" s="5">
        <f>IF($AD959="","",IF($AD959&lt;0,"FUTURO",IF($AD959&gt;p_dias_backlog_max,"BACKLOG","MES CORRIENTE")))</f>
        <v/>
      </c>
      <c r="AF959" s="5">
        <f>IF($AD959="",FALSE,AND($AD959&gt;p_dias_backlog_min,$AD959&lt;=p_dias_backlog_max))</f>
        <v/>
      </c>
      <c r="AG959" s="4" t="n"/>
      <c r="AH959" s="5">
        <f>IF($AG959="","",IF((IFERROR(INDEX('ASIGNACIONES'!$J$4:$J$451,MATCH($O959&amp;"|"&amp;$S959&amp;"|"&amp;$AG959,'ASIGNACIONES'!$N$4:$N$451,0)),""))=0,"",IFERROR(INDEX('ASIGNACIONES'!$J$4:$J$451,MATCH($O959&amp;"|"&amp;$S959&amp;"|"&amp;$AG959,'ASIGNACIONES'!$N$4:$N$451,0)),"")))</f>
        <v/>
      </c>
      <c r="AI959" s="25">
        <f>IF($AG959="","",SUMIFS('ORDENES'!$M$4:$M$1203,'ORDENES'!$AG$4:$AG$1203,$AG959,'ORDENES'!$O$4:$O$1203,$O959,'ORDENES'!$S$4:$S$1203,$S959))</f>
        <v/>
      </c>
      <c r="AJ959" s="25">
        <f>IF($AI959="","",p_factor_productividad*IFERROR(INDEX('ASIGNACIONES'!$M$4:$M$451,MATCH($O959&amp;"|"&amp;$S959&amp;"|"&amp;$AG959,'ASIGNACIONES'!$N$4:$N$451,0)),0)-$AI959)</f>
        <v/>
      </c>
      <c r="AK959" s="18">
        <f>IF($A959="","",IFERROR(INDEX('2_IMPORTAR_EJECUCION'!$F$9:$F$1208,MATCH($AT959,'2_IMPORTAR_EJECUCION'!$J$9:$J$1208,0)),0))</f>
        <v/>
      </c>
      <c r="AL959" s="18">
        <f>IF($A959="","",MAX(0,IFERROR(INDEX('2_IMPORTAR_EJECUCION'!$H$9:$H$1208,MATCH($AT959,'2_IMPORTAR_EJECUCION'!$J$9:$J$1208,0)),0)-$AK959))</f>
        <v/>
      </c>
      <c r="AM959" s="18">
        <f>IF($A959="","",$AK959+$AL959)</f>
        <v/>
      </c>
      <c r="AN959" s="5">
        <f>IF($A959="","",IF(OR((IFERROR(INDEX('CAT_ACTIVIDADES'!$D$4:$D$11,MATCH($H959,'CAT_ACTIVIDADES'!$A$4:$A$11,0)),""))=0,(IFERROR(INDEX('CAT_ACTIVIDADES'!$D$4:$D$11,MATCH($H959,'CAT_ACTIVIDADES'!$A$4:$A$11,0)),""))=""),"SIN CLASIFICAR",IFERROR(INDEX('CAT_ACTIVIDADES'!$D$4:$D$11,MATCH($H959,'CAT_ACTIVIDADES'!$A$4:$A$11,0)),"")))</f>
        <v/>
      </c>
      <c r="AO959" s="4" t="n"/>
      <c r="AP959" s="4" t="n"/>
      <c r="AQ959" s="4" t="n"/>
      <c r="AR959" s="5">
        <f>IF($AQ959="","",HYPERLINK(p_ruta_base_checklists&amp;$AQ959,"abrir"))</f>
        <v/>
      </c>
      <c r="AS959" s="4" t="n"/>
      <c r="AT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2" t="n"/>
      <c r="K960" s="5" t="n"/>
      <c r="L960" s="18" t="n"/>
      <c r="M960" s="5">
        <f>IF($A960="","",IFERROR(INDEX('AJUSTES'!$B$4:$B$303,MATCH($AT960,'AJUSTES'!$A$4:$A$303,0)),IF($K960="","",$K960)))</f>
        <v/>
      </c>
      <c r="N960" s="5">
        <f>IF($A960="","",IFERROR(INDEX('CAT_ESTADOS_ERP'!$B$4:$B$7,MATCH(IFERROR(INDEX('2_IMPORTAR_EJECUCION'!$C$9:$C$1208,MATCH($AT960,'2_IMPORTAR_EJECUCION'!$J$9:$J$1208,0)),""),'CAT_ESTADOS_ERP'!$A$4:$A$7,0)),"Pendiente"))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IF($J960="","",$P960&amp;"-"&amp;TEXT($Q960,"00"))</f>
        <v/>
      </c>
      <c r="S960" s="5">
        <f>IF($J960="","",INDEX(lista_dias,WEEKDAY($J960,2)))</f>
        <v/>
      </c>
      <c r="T960" s="5">
        <f>IF($J960="","",IFERROR(INDEX('CALENDARIO'!$C$15:$C$214,MATCH(TEXT($J960,"yyyy-mm-dd")&amp;"|"&amp;$X960&amp;"|"&amp;$Y960,'CALENDARIO'!$G$15:$G$214,0)),IFERROR(INDEX('CALENDARIO'!$C$15:$C$214,MATCH(TEXT($J960,"yyyy-mm-dd")&amp;"|"&amp;$X960&amp;"|",'CALENDARIO'!$G$15:$G$214,0)),IFERROR(INDEX('CALENDARIO'!$C$15:$C$214,MATCH(TEXT($J960,"yyyy-mm-dd")&amp;"||",'CALENDARIO'!$G$15:$G$214,0)),INDEX(patronHabil,WEEKDAY($J960,2))))))</f>
        <v/>
      </c>
      <c r="U960" s="5">
        <f>IF($I960="","",IFERROR(INDEX('CAT_TIPOS_OT'!$C$4:$C$8,MATCH($I960,'CAT_TIPOS_OT'!$A$4:$A$8,0)),"sin_clasificar"))</f>
        <v/>
      </c>
      <c r="V960" s="5">
        <f>IF($I960="","",IF(IFERROR(INDEX('CAT_TIPOS_OT'!$D$4:$D$8,MATCH($I960,'CAT_TIPOS_OT'!$A$4:$A$8,0)),"SIN CLASIFICAR")="","SIN CLASIFICAR",IFERROR(INDEX('CAT_TIPOS_OT'!$D$4:$D$8,MATCH($I960,'CAT_TIPOS_OT'!$A$4:$A$8,0)),"SIN CLASIFICAR")))</f>
        <v/>
      </c>
      <c r="W960" s="5">
        <f>IF($F960="","",IFERROR(INDEX('CAT_CENTROS_COSTO'!$F$4:$F$13,MATCH($F960,'CAT_CENTROS_COSTO'!$A$4:$A$13,0)),"(sin catálogo)"))</f>
        <v/>
      </c>
      <c r="X960" s="5">
        <f>IF($F960="","",IFERROR(INDEX('CAT_CENTROS_COSTO'!$D$4:$D$13,MATCH($F960,'CAT_CENTROS_COSTO'!$A$4:$A$13,0)),"(sin catálogo)"))</f>
        <v/>
      </c>
      <c r="Y960" s="5">
        <f>IF($F960="","",IF((IFERROR(INDEX('CAT_CENTROS_COSTO'!$E$4:$E$13,MATCH($F960,'CAT_CENTROS_COSTO'!$A$4:$A$13,0)),""))&lt;&gt;"",IFERROR(INDEX('CAT_CENTROS_COSTO'!$E$4:$E$13,MATCH($F960,'CAT_CENTROS_COSTO'!$A$4:$A$13,0)),""),$X960))</f>
        <v/>
      </c>
      <c r="Z960" s="5">
        <f>IF($F960="","",IFERROR(INDEX('CAT_CENTROS_COSTO'!$G$4:$G$13,MATCH($F960,'CAT_CENTROS_COSTO'!$A$4:$A$13,0)),"(sin catálogo)"))</f>
        <v/>
      </c>
      <c r="AA960" s="5">
        <f>IF($G960="","",IFERROR(INDEX('CAT_PUESTOS'!$B$4:$B$8,MATCH($G960,'CAT_PUESTOS'!$A$4:$A$8,0)),"(sin catálogo)"))</f>
        <v/>
      </c>
      <c r="AB960" s="5">
        <f>IF($H960="","",IFERROR(INDEX('CAT_ACTIVIDADES'!$B$4:$B$11,MATCH($H960,'CAT_ACTIVIDADES'!$A$4:$A$11,0)),"(sin catálogo)"))</f>
        <v/>
      </c>
      <c r="AC960" s="20">
        <f>IF($J960="","",TODAY()-$J960)</f>
        <v/>
      </c>
      <c r="AD960" s="20">
        <f>IF($J960="","",IF($J960&lt;=TODAY(),COUNTIFS(cal_fechas,"&gt;="&amp;$J960,cal_fechas,"&lt;"&amp;TODAY(),cal_habil,"sí"),-COUNTIFS(cal_fechas,"&gt;="&amp;TODAY(),cal_fechas,"&lt;"&amp;$J960,cal_habil,"sí")))</f>
        <v/>
      </c>
      <c r="AE960" s="5">
        <f>IF($AD960="","",IF($AD960&lt;0,"FUTURO",IF($AD960&gt;p_dias_backlog_max,"BACKLOG","MES CORRIENTE")))</f>
        <v/>
      </c>
      <c r="AF960" s="5">
        <f>IF($AD960="",FALSE,AND($AD960&gt;p_dias_backlog_min,$AD960&lt;=p_dias_backlog_max))</f>
        <v/>
      </c>
      <c r="AG960" s="4" t="n"/>
      <c r="AH960" s="5">
        <f>IF($AG960="","",IF((IFERROR(INDEX('ASIGNACIONES'!$J$4:$J$451,MATCH($O960&amp;"|"&amp;$S960&amp;"|"&amp;$AG960,'ASIGNACIONES'!$N$4:$N$451,0)),""))=0,"",IFERROR(INDEX('ASIGNACIONES'!$J$4:$J$451,MATCH($O960&amp;"|"&amp;$S960&amp;"|"&amp;$AG960,'ASIGNACIONES'!$N$4:$N$451,0)),"")))</f>
        <v/>
      </c>
      <c r="AI960" s="25">
        <f>IF($AG960="","",SUMIFS('ORDENES'!$M$4:$M$1203,'ORDENES'!$AG$4:$AG$1203,$AG960,'ORDENES'!$O$4:$O$1203,$O960,'ORDENES'!$S$4:$S$1203,$S960))</f>
        <v/>
      </c>
      <c r="AJ960" s="25">
        <f>IF($AI960="","",p_factor_productividad*IFERROR(INDEX('ASIGNACIONES'!$M$4:$M$451,MATCH($O960&amp;"|"&amp;$S960&amp;"|"&amp;$AG960,'ASIGNACIONES'!$N$4:$N$451,0)),0)-$AI960)</f>
        <v/>
      </c>
      <c r="AK960" s="18">
        <f>IF($A960="","",IFERROR(INDEX('2_IMPORTAR_EJECUCION'!$F$9:$F$1208,MATCH($AT960,'2_IMPORTAR_EJECUCION'!$J$9:$J$1208,0)),0))</f>
        <v/>
      </c>
      <c r="AL960" s="18">
        <f>IF($A960="","",MAX(0,IFERROR(INDEX('2_IMPORTAR_EJECUCION'!$H$9:$H$1208,MATCH($AT960,'2_IMPORTAR_EJECUCION'!$J$9:$J$1208,0)),0)-$AK960))</f>
        <v/>
      </c>
      <c r="AM960" s="18">
        <f>IF($A960="","",$AK960+$AL960)</f>
        <v/>
      </c>
      <c r="AN960" s="5">
        <f>IF($A960="","",IF(OR((IFERROR(INDEX('CAT_ACTIVIDADES'!$D$4:$D$11,MATCH($H960,'CAT_ACTIVIDADES'!$A$4:$A$11,0)),""))=0,(IFERROR(INDEX('CAT_ACTIVIDADES'!$D$4:$D$11,MATCH($H960,'CAT_ACTIVIDADES'!$A$4:$A$11,0)),""))=""),"SIN CLASIFICAR",IFERROR(INDEX('CAT_ACTIVIDADES'!$D$4:$D$11,MATCH($H960,'CAT_ACTIVIDADES'!$A$4:$A$11,0)),"")))</f>
        <v/>
      </c>
      <c r="AO960" s="4" t="n"/>
      <c r="AP960" s="4" t="n"/>
      <c r="AQ960" s="4" t="n"/>
      <c r="AR960" s="5">
        <f>IF($AQ960="","",HYPERLINK(p_ruta_base_checklists&amp;$AQ960,"abrir"))</f>
        <v/>
      </c>
      <c r="AS960" s="4" t="n"/>
      <c r="AT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2" t="n"/>
      <c r="K961" s="5" t="n"/>
      <c r="L961" s="18" t="n"/>
      <c r="M961" s="5">
        <f>IF($A961="","",IFERROR(INDEX('AJUSTES'!$B$4:$B$303,MATCH($AT961,'AJUSTES'!$A$4:$A$303,0)),IF($K961="","",$K961)))</f>
        <v/>
      </c>
      <c r="N961" s="5">
        <f>IF($A961="","",IFERROR(INDEX('CAT_ESTADOS_ERP'!$B$4:$B$7,MATCH(IFERROR(INDEX('2_IMPORTAR_EJECUCION'!$C$9:$C$1208,MATCH($AT961,'2_IMPORTAR_EJECUCION'!$J$9:$J$1208,0)),""),'CAT_ESTADOS_ERP'!$A$4:$A$7,0)),"Pendiente"))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IF($J961="","",$P961&amp;"-"&amp;TEXT($Q961,"00"))</f>
        <v/>
      </c>
      <c r="S961" s="5">
        <f>IF($J961="","",INDEX(lista_dias,WEEKDAY($J961,2)))</f>
        <v/>
      </c>
      <c r="T961" s="5">
        <f>IF($J961="","",IFERROR(INDEX('CALENDARIO'!$C$15:$C$214,MATCH(TEXT($J961,"yyyy-mm-dd")&amp;"|"&amp;$X961&amp;"|"&amp;$Y961,'CALENDARIO'!$G$15:$G$214,0)),IFERROR(INDEX('CALENDARIO'!$C$15:$C$214,MATCH(TEXT($J961,"yyyy-mm-dd")&amp;"|"&amp;$X961&amp;"|",'CALENDARIO'!$G$15:$G$214,0)),IFERROR(INDEX('CALENDARIO'!$C$15:$C$214,MATCH(TEXT($J961,"yyyy-mm-dd")&amp;"||",'CALENDARIO'!$G$15:$G$214,0)),INDEX(patronHabil,WEEKDAY($J961,2))))))</f>
        <v/>
      </c>
      <c r="U961" s="5">
        <f>IF($I961="","",IFERROR(INDEX('CAT_TIPOS_OT'!$C$4:$C$8,MATCH($I961,'CAT_TIPOS_OT'!$A$4:$A$8,0)),"sin_clasificar"))</f>
        <v/>
      </c>
      <c r="V961" s="5">
        <f>IF($I961="","",IF(IFERROR(INDEX('CAT_TIPOS_OT'!$D$4:$D$8,MATCH($I961,'CAT_TIPOS_OT'!$A$4:$A$8,0)),"SIN CLASIFICAR")="","SIN CLASIFICAR",IFERROR(INDEX('CAT_TIPOS_OT'!$D$4:$D$8,MATCH($I961,'CAT_TIPOS_OT'!$A$4:$A$8,0)),"SIN CLASIFICAR")))</f>
        <v/>
      </c>
      <c r="W961" s="5">
        <f>IF($F961="","",IFERROR(INDEX('CAT_CENTROS_COSTO'!$F$4:$F$13,MATCH($F961,'CAT_CENTROS_COSTO'!$A$4:$A$13,0)),"(sin catálogo)"))</f>
        <v/>
      </c>
      <c r="X961" s="5">
        <f>IF($F961="","",IFERROR(INDEX('CAT_CENTROS_COSTO'!$D$4:$D$13,MATCH($F961,'CAT_CENTROS_COSTO'!$A$4:$A$13,0)),"(sin catálogo)"))</f>
        <v/>
      </c>
      <c r="Y961" s="5">
        <f>IF($F961="","",IF((IFERROR(INDEX('CAT_CENTROS_COSTO'!$E$4:$E$13,MATCH($F961,'CAT_CENTROS_COSTO'!$A$4:$A$13,0)),""))&lt;&gt;"",IFERROR(INDEX('CAT_CENTROS_COSTO'!$E$4:$E$13,MATCH($F961,'CAT_CENTROS_COSTO'!$A$4:$A$13,0)),""),$X961))</f>
        <v/>
      </c>
      <c r="Z961" s="5">
        <f>IF($F961="","",IFERROR(INDEX('CAT_CENTROS_COSTO'!$G$4:$G$13,MATCH($F961,'CAT_CENTROS_COSTO'!$A$4:$A$13,0)),"(sin catálogo)"))</f>
        <v/>
      </c>
      <c r="AA961" s="5">
        <f>IF($G961="","",IFERROR(INDEX('CAT_PUESTOS'!$B$4:$B$8,MATCH($G961,'CAT_PUESTOS'!$A$4:$A$8,0)),"(sin catálogo)"))</f>
        <v/>
      </c>
      <c r="AB961" s="5">
        <f>IF($H961="","",IFERROR(INDEX('CAT_ACTIVIDADES'!$B$4:$B$11,MATCH($H961,'CAT_ACTIVIDADES'!$A$4:$A$11,0)),"(sin catálogo)"))</f>
        <v/>
      </c>
      <c r="AC961" s="20">
        <f>IF($J961="","",TODAY()-$J961)</f>
        <v/>
      </c>
      <c r="AD961" s="20">
        <f>IF($J961="","",IF($J961&lt;=TODAY(),COUNTIFS(cal_fechas,"&gt;="&amp;$J961,cal_fechas,"&lt;"&amp;TODAY(),cal_habil,"sí"),-COUNTIFS(cal_fechas,"&gt;="&amp;TODAY(),cal_fechas,"&lt;"&amp;$J961,cal_habil,"sí")))</f>
        <v/>
      </c>
      <c r="AE961" s="5">
        <f>IF($AD961="","",IF($AD961&lt;0,"FUTURO",IF($AD961&gt;p_dias_backlog_max,"BACKLOG","MES CORRIENTE")))</f>
        <v/>
      </c>
      <c r="AF961" s="5">
        <f>IF($AD961="",FALSE,AND($AD961&gt;p_dias_backlog_min,$AD961&lt;=p_dias_backlog_max))</f>
        <v/>
      </c>
      <c r="AG961" s="4" t="n"/>
      <c r="AH961" s="5">
        <f>IF($AG961="","",IF((IFERROR(INDEX('ASIGNACIONES'!$J$4:$J$451,MATCH($O961&amp;"|"&amp;$S961&amp;"|"&amp;$AG961,'ASIGNACIONES'!$N$4:$N$451,0)),""))=0,"",IFERROR(INDEX('ASIGNACIONES'!$J$4:$J$451,MATCH($O961&amp;"|"&amp;$S961&amp;"|"&amp;$AG961,'ASIGNACIONES'!$N$4:$N$451,0)),"")))</f>
        <v/>
      </c>
      <c r="AI961" s="25">
        <f>IF($AG961="","",SUMIFS('ORDENES'!$M$4:$M$1203,'ORDENES'!$AG$4:$AG$1203,$AG961,'ORDENES'!$O$4:$O$1203,$O961,'ORDENES'!$S$4:$S$1203,$S961))</f>
        <v/>
      </c>
      <c r="AJ961" s="25">
        <f>IF($AI961="","",p_factor_productividad*IFERROR(INDEX('ASIGNACIONES'!$M$4:$M$451,MATCH($O961&amp;"|"&amp;$S961&amp;"|"&amp;$AG961,'ASIGNACIONES'!$N$4:$N$451,0)),0)-$AI961)</f>
        <v/>
      </c>
      <c r="AK961" s="18">
        <f>IF($A961="","",IFERROR(INDEX('2_IMPORTAR_EJECUCION'!$F$9:$F$1208,MATCH($AT961,'2_IMPORTAR_EJECUCION'!$J$9:$J$1208,0)),0))</f>
        <v/>
      </c>
      <c r="AL961" s="18">
        <f>IF($A961="","",MAX(0,IFERROR(INDEX('2_IMPORTAR_EJECUCION'!$H$9:$H$1208,MATCH($AT961,'2_IMPORTAR_EJECUCION'!$J$9:$J$1208,0)),0)-$AK961))</f>
        <v/>
      </c>
      <c r="AM961" s="18">
        <f>IF($A961="","",$AK961+$AL961)</f>
        <v/>
      </c>
      <c r="AN961" s="5">
        <f>IF($A961="","",IF(OR((IFERROR(INDEX('CAT_ACTIVIDADES'!$D$4:$D$11,MATCH($H961,'CAT_ACTIVIDADES'!$A$4:$A$11,0)),""))=0,(IFERROR(INDEX('CAT_ACTIVIDADES'!$D$4:$D$11,MATCH($H961,'CAT_ACTIVIDADES'!$A$4:$A$11,0)),""))=""),"SIN CLASIFICAR",IFERROR(INDEX('CAT_ACTIVIDADES'!$D$4:$D$11,MATCH($H961,'CAT_ACTIVIDADES'!$A$4:$A$11,0)),"")))</f>
        <v/>
      </c>
      <c r="AO961" s="4" t="n"/>
      <c r="AP961" s="4" t="n"/>
      <c r="AQ961" s="4" t="n"/>
      <c r="AR961" s="5">
        <f>IF($AQ961="","",HYPERLINK(p_ruta_base_checklists&amp;$AQ961,"abrir"))</f>
        <v/>
      </c>
      <c r="AS961" s="4" t="n"/>
      <c r="AT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2" t="n"/>
      <c r="K962" s="5" t="n"/>
      <c r="L962" s="18" t="n"/>
      <c r="M962" s="5">
        <f>IF($A962="","",IFERROR(INDEX('AJUSTES'!$B$4:$B$303,MATCH($AT962,'AJUSTES'!$A$4:$A$303,0)),IF($K962="","",$K962)))</f>
        <v/>
      </c>
      <c r="N962" s="5">
        <f>IF($A962="","",IFERROR(INDEX('CAT_ESTADOS_ERP'!$B$4:$B$7,MATCH(IFERROR(INDEX('2_IMPORTAR_EJECUCION'!$C$9:$C$1208,MATCH($AT962,'2_IMPORTAR_EJECUCION'!$J$9:$J$1208,0)),""),'CAT_ESTADOS_ERP'!$A$4:$A$7,0)),"Pendiente"))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IF($J962="","",$P962&amp;"-"&amp;TEXT($Q962,"00"))</f>
        <v/>
      </c>
      <c r="S962" s="5">
        <f>IF($J962="","",INDEX(lista_dias,WEEKDAY($J962,2)))</f>
        <v/>
      </c>
      <c r="T962" s="5">
        <f>IF($J962="","",IFERROR(INDEX('CALENDARIO'!$C$15:$C$214,MATCH(TEXT($J962,"yyyy-mm-dd")&amp;"|"&amp;$X962&amp;"|"&amp;$Y962,'CALENDARIO'!$G$15:$G$214,0)),IFERROR(INDEX('CALENDARIO'!$C$15:$C$214,MATCH(TEXT($J962,"yyyy-mm-dd")&amp;"|"&amp;$X962&amp;"|",'CALENDARIO'!$G$15:$G$214,0)),IFERROR(INDEX('CALENDARIO'!$C$15:$C$214,MATCH(TEXT($J962,"yyyy-mm-dd")&amp;"||",'CALENDARIO'!$G$15:$G$214,0)),INDEX(patronHabil,WEEKDAY($J962,2))))))</f>
        <v/>
      </c>
      <c r="U962" s="5">
        <f>IF($I962="","",IFERROR(INDEX('CAT_TIPOS_OT'!$C$4:$C$8,MATCH($I962,'CAT_TIPOS_OT'!$A$4:$A$8,0)),"sin_clasificar"))</f>
        <v/>
      </c>
      <c r="V962" s="5">
        <f>IF($I962="","",IF(IFERROR(INDEX('CAT_TIPOS_OT'!$D$4:$D$8,MATCH($I962,'CAT_TIPOS_OT'!$A$4:$A$8,0)),"SIN CLASIFICAR")="","SIN CLASIFICAR",IFERROR(INDEX('CAT_TIPOS_OT'!$D$4:$D$8,MATCH($I962,'CAT_TIPOS_OT'!$A$4:$A$8,0)),"SIN CLASIFICAR")))</f>
        <v/>
      </c>
      <c r="W962" s="5">
        <f>IF($F962="","",IFERROR(INDEX('CAT_CENTROS_COSTO'!$F$4:$F$13,MATCH($F962,'CAT_CENTROS_COSTO'!$A$4:$A$13,0)),"(sin catálogo)"))</f>
        <v/>
      </c>
      <c r="X962" s="5">
        <f>IF($F962="","",IFERROR(INDEX('CAT_CENTROS_COSTO'!$D$4:$D$13,MATCH($F962,'CAT_CENTROS_COSTO'!$A$4:$A$13,0)),"(sin catálogo)"))</f>
        <v/>
      </c>
      <c r="Y962" s="5">
        <f>IF($F962="","",IF((IFERROR(INDEX('CAT_CENTROS_COSTO'!$E$4:$E$13,MATCH($F962,'CAT_CENTROS_COSTO'!$A$4:$A$13,0)),""))&lt;&gt;"",IFERROR(INDEX('CAT_CENTROS_COSTO'!$E$4:$E$13,MATCH($F962,'CAT_CENTROS_COSTO'!$A$4:$A$13,0)),""),$X962))</f>
        <v/>
      </c>
      <c r="Z962" s="5">
        <f>IF($F962="","",IFERROR(INDEX('CAT_CENTROS_COSTO'!$G$4:$G$13,MATCH($F962,'CAT_CENTROS_COSTO'!$A$4:$A$13,0)),"(sin catálogo)"))</f>
        <v/>
      </c>
      <c r="AA962" s="5">
        <f>IF($G962="","",IFERROR(INDEX('CAT_PUESTOS'!$B$4:$B$8,MATCH($G962,'CAT_PUESTOS'!$A$4:$A$8,0)),"(sin catálogo)"))</f>
        <v/>
      </c>
      <c r="AB962" s="5">
        <f>IF($H962="","",IFERROR(INDEX('CAT_ACTIVIDADES'!$B$4:$B$11,MATCH($H962,'CAT_ACTIVIDADES'!$A$4:$A$11,0)),"(sin catálogo)"))</f>
        <v/>
      </c>
      <c r="AC962" s="20">
        <f>IF($J962="","",TODAY()-$J962)</f>
        <v/>
      </c>
      <c r="AD962" s="20">
        <f>IF($J962="","",IF($J962&lt;=TODAY(),COUNTIFS(cal_fechas,"&gt;="&amp;$J962,cal_fechas,"&lt;"&amp;TODAY(),cal_habil,"sí"),-COUNTIFS(cal_fechas,"&gt;="&amp;TODAY(),cal_fechas,"&lt;"&amp;$J962,cal_habil,"sí")))</f>
        <v/>
      </c>
      <c r="AE962" s="5">
        <f>IF($AD962="","",IF($AD962&lt;0,"FUTURO",IF($AD962&gt;p_dias_backlog_max,"BACKLOG","MES CORRIENTE")))</f>
        <v/>
      </c>
      <c r="AF962" s="5">
        <f>IF($AD962="",FALSE,AND($AD962&gt;p_dias_backlog_min,$AD962&lt;=p_dias_backlog_max))</f>
        <v/>
      </c>
      <c r="AG962" s="4" t="n"/>
      <c r="AH962" s="5">
        <f>IF($AG962="","",IF((IFERROR(INDEX('ASIGNACIONES'!$J$4:$J$451,MATCH($O962&amp;"|"&amp;$S962&amp;"|"&amp;$AG962,'ASIGNACIONES'!$N$4:$N$451,0)),""))=0,"",IFERROR(INDEX('ASIGNACIONES'!$J$4:$J$451,MATCH($O962&amp;"|"&amp;$S962&amp;"|"&amp;$AG962,'ASIGNACIONES'!$N$4:$N$451,0)),"")))</f>
        <v/>
      </c>
      <c r="AI962" s="25">
        <f>IF($AG962="","",SUMIFS('ORDENES'!$M$4:$M$1203,'ORDENES'!$AG$4:$AG$1203,$AG962,'ORDENES'!$O$4:$O$1203,$O962,'ORDENES'!$S$4:$S$1203,$S962))</f>
        <v/>
      </c>
      <c r="AJ962" s="25">
        <f>IF($AI962="","",p_factor_productividad*IFERROR(INDEX('ASIGNACIONES'!$M$4:$M$451,MATCH($O962&amp;"|"&amp;$S962&amp;"|"&amp;$AG962,'ASIGNACIONES'!$N$4:$N$451,0)),0)-$AI962)</f>
        <v/>
      </c>
      <c r="AK962" s="18">
        <f>IF($A962="","",IFERROR(INDEX('2_IMPORTAR_EJECUCION'!$F$9:$F$1208,MATCH($AT962,'2_IMPORTAR_EJECUCION'!$J$9:$J$1208,0)),0))</f>
        <v/>
      </c>
      <c r="AL962" s="18">
        <f>IF($A962="","",MAX(0,IFERROR(INDEX('2_IMPORTAR_EJECUCION'!$H$9:$H$1208,MATCH($AT962,'2_IMPORTAR_EJECUCION'!$J$9:$J$1208,0)),0)-$AK962))</f>
        <v/>
      </c>
      <c r="AM962" s="18">
        <f>IF($A962="","",$AK962+$AL962)</f>
        <v/>
      </c>
      <c r="AN962" s="5">
        <f>IF($A962="","",IF(OR((IFERROR(INDEX('CAT_ACTIVIDADES'!$D$4:$D$11,MATCH($H962,'CAT_ACTIVIDADES'!$A$4:$A$11,0)),""))=0,(IFERROR(INDEX('CAT_ACTIVIDADES'!$D$4:$D$11,MATCH($H962,'CAT_ACTIVIDADES'!$A$4:$A$11,0)),""))=""),"SIN CLASIFICAR",IFERROR(INDEX('CAT_ACTIVIDADES'!$D$4:$D$11,MATCH($H962,'CAT_ACTIVIDADES'!$A$4:$A$11,0)),"")))</f>
        <v/>
      </c>
      <c r="AO962" s="4" t="n"/>
      <c r="AP962" s="4" t="n"/>
      <c r="AQ962" s="4" t="n"/>
      <c r="AR962" s="5">
        <f>IF($AQ962="","",HYPERLINK(p_ruta_base_checklists&amp;$AQ962,"abrir"))</f>
        <v/>
      </c>
      <c r="AS962" s="4" t="n"/>
      <c r="AT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2" t="n"/>
      <c r="K963" s="5" t="n"/>
      <c r="L963" s="18" t="n"/>
      <c r="M963" s="5">
        <f>IF($A963="","",IFERROR(INDEX('AJUSTES'!$B$4:$B$303,MATCH($AT963,'AJUSTES'!$A$4:$A$303,0)),IF($K963="","",$K963)))</f>
        <v/>
      </c>
      <c r="N963" s="5">
        <f>IF($A963="","",IFERROR(INDEX('CAT_ESTADOS_ERP'!$B$4:$B$7,MATCH(IFERROR(INDEX('2_IMPORTAR_EJECUCION'!$C$9:$C$1208,MATCH($AT963,'2_IMPORTAR_EJECUCION'!$J$9:$J$1208,0)),""),'CAT_ESTADOS_ERP'!$A$4:$A$7,0)),"Pendiente"))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IF($J963="","",$P963&amp;"-"&amp;TEXT($Q963,"00"))</f>
        <v/>
      </c>
      <c r="S963" s="5">
        <f>IF($J963="","",INDEX(lista_dias,WEEKDAY($J963,2)))</f>
        <v/>
      </c>
      <c r="T963" s="5">
        <f>IF($J963="","",IFERROR(INDEX('CALENDARIO'!$C$15:$C$214,MATCH(TEXT($J963,"yyyy-mm-dd")&amp;"|"&amp;$X963&amp;"|"&amp;$Y963,'CALENDARIO'!$G$15:$G$214,0)),IFERROR(INDEX('CALENDARIO'!$C$15:$C$214,MATCH(TEXT($J963,"yyyy-mm-dd")&amp;"|"&amp;$X963&amp;"|",'CALENDARIO'!$G$15:$G$214,0)),IFERROR(INDEX('CALENDARIO'!$C$15:$C$214,MATCH(TEXT($J963,"yyyy-mm-dd")&amp;"||",'CALENDARIO'!$G$15:$G$214,0)),INDEX(patronHabil,WEEKDAY($J963,2))))))</f>
        <v/>
      </c>
      <c r="U963" s="5">
        <f>IF($I963="","",IFERROR(INDEX('CAT_TIPOS_OT'!$C$4:$C$8,MATCH($I963,'CAT_TIPOS_OT'!$A$4:$A$8,0)),"sin_clasificar"))</f>
        <v/>
      </c>
      <c r="V963" s="5">
        <f>IF($I963="","",IF(IFERROR(INDEX('CAT_TIPOS_OT'!$D$4:$D$8,MATCH($I963,'CAT_TIPOS_OT'!$A$4:$A$8,0)),"SIN CLASIFICAR")="","SIN CLASIFICAR",IFERROR(INDEX('CAT_TIPOS_OT'!$D$4:$D$8,MATCH($I963,'CAT_TIPOS_OT'!$A$4:$A$8,0)),"SIN CLASIFICAR")))</f>
        <v/>
      </c>
      <c r="W963" s="5">
        <f>IF($F963="","",IFERROR(INDEX('CAT_CENTROS_COSTO'!$F$4:$F$13,MATCH($F963,'CAT_CENTROS_COSTO'!$A$4:$A$13,0)),"(sin catálogo)"))</f>
        <v/>
      </c>
      <c r="X963" s="5">
        <f>IF($F963="","",IFERROR(INDEX('CAT_CENTROS_COSTO'!$D$4:$D$13,MATCH($F963,'CAT_CENTROS_COSTO'!$A$4:$A$13,0)),"(sin catálogo)"))</f>
        <v/>
      </c>
      <c r="Y963" s="5">
        <f>IF($F963="","",IF((IFERROR(INDEX('CAT_CENTROS_COSTO'!$E$4:$E$13,MATCH($F963,'CAT_CENTROS_COSTO'!$A$4:$A$13,0)),""))&lt;&gt;"",IFERROR(INDEX('CAT_CENTROS_COSTO'!$E$4:$E$13,MATCH($F963,'CAT_CENTROS_COSTO'!$A$4:$A$13,0)),""),$X963))</f>
        <v/>
      </c>
      <c r="Z963" s="5">
        <f>IF($F963="","",IFERROR(INDEX('CAT_CENTROS_COSTO'!$G$4:$G$13,MATCH($F963,'CAT_CENTROS_COSTO'!$A$4:$A$13,0)),"(sin catálogo)"))</f>
        <v/>
      </c>
      <c r="AA963" s="5">
        <f>IF($G963="","",IFERROR(INDEX('CAT_PUESTOS'!$B$4:$B$8,MATCH($G963,'CAT_PUESTOS'!$A$4:$A$8,0)),"(sin catálogo)"))</f>
        <v/>
      </c>
      <c r="AB963" s="5">
        <f>IF($H963="","",IFERROR(INDEX('CAT_ACTIVIDADES'!$B$4:$B$11,MATCH($H963,'CAT_ACTIVIDADES'!$A$4:$A$11,0)),"(sin catálogo)"))</f>
        <v/>
      </c>
      <c r="AC963" s="20">
        <f>IF($J963="","",TODAY()-$J963)</f>
        <v/>
      </c>
      <c r="AD963" s="20">
        <f>IF($J963="","",IF($J963&lt;=TODAY(),COUNTIFS(cal_fechas,"&gt;="&amp;$J963,cal_fechas,"&lt;"&amp;TODAY(),cal_habil,"sí"),-COUNTIFS(cal_fechas,"&gt;="&amp;TODAY(),cal_fechas,"&lt;"&amp;$J963,cal_habil,"sí")))</f>
        <v/>
      </c>
      <c r="AE963" s="5">
        <f>IF($AD963="","",IF($AD963&lt;0,"FUTURO",IF($AD963&gt;p_dias_backlog_max,"BACKLOG","MES CORRIENTE")))</f>
        <v/>
      </c>
      <c r="AF963" s="5">
        <f>IF($AD963="",FALSE,AND($AD963&gt;p_dias_backlog_min,$AD963&lt;=p_dias_backlog_max))</f>
        <v/>
      </c>
      <c r="AG963" s="4" t="n"/>
      <c r="AH963" s="5">
        <f>IF($AG963="","",IF((IFERROR(INDEX('ASIGNACIONES'!$J$4:$J$451,MATCH($O963&amp;"|"&amp;$S963&amp;"|"&amp;$AG963,'ASIGNACIONES'!$N$4:$N$451,0)),""))=0,"",IFERROR(INDEX('ASIGNACIONES'!$J$4:$J$451,MATCH($O963&amp;"|"&amp;$S963&amp;"|"&amp;$AG963,'ASIGNACIONES'!$N$4:$N$451,0)),"")))</f>
        <v/>
      </c>
      <c r="AI963" s="25">
        <f>IF($AG963="","",SUMIFS('ORDENES'!$M$4:$M$1203,'ORDENES'!$AG$4:$AG$1203,$AG963,'ORDENES'!$O$4:$O$1203,$O963,'ORDENES'!$S$4:$S$1203,$S963))</f>
        <v/>
      </c>
      <c r="AJ963" s="25">
        <f>IF($AI963="","",p_factor_productividad*IFERROR(INDEX('ASIGNACIONES'!$M$4:$M$451,MATCH($O963&amp;"|"&amp;$S963&amp;"|"&amp;$AG963,'ASIGNACIONES'!$N$4:$N$451,0)),0)-$AI963)</f>
        <v/>
      </c>
      <c r="AK963" s="18">
        <f>IF($A963="","",IFERROR(INDEX('2_IMPORTAR_EJECUCION'!$F$9:$F$1208,MATCH($AT963,'2_IMPORTAR_EJECUCION'!$J$9:$J$1208,0)),0))</f>
        <v/>
      </c>
      <c r="AL963" s="18">
        <f>IF($A963="","",MAX(0,IFERROR(INDEX('2_IMPORTAR_EJECUCION'!$H$9:$H$1208,MATCH($AT963,'2_IMPORTAR_EJECUCION'!$J$9:$J$1208,0)),0)-$AK963))</f>
        <v/>
      </c>
      <c r="AM963" s="18">
        <f>IF($A963="","",$AK963+$AL963)</f>
        <v/>
      </c>
      <c r="AN963" s="5">
        <f>IF($A963="","",IF(OR((IFERROR(INDEX('CAT_ACTIVIDADES'!$D$4:$D$11,MATCH($H963,'CAT_ACTIVIDADES'!$A$4:$A$11,0)),""))=0,(IFERROR(INDEX('CAT_ACTIVIDADES'!$D$4:$D$11,MATCH($H963,'CAT_ACTIVIDADES'!$A$4:$A$11,0)),""))=""),"SIN CLASIFICAR",IFERROR(INDEX('CAT_ACTIVIDADES'!$D$4:$D$11,MATCH($H963,'CAT_ACTIVIDADES'!$A$4:$A$11,0)),"")))</f>
        <v/>
      </c>
      <c r="AO963" s="4" t="n"/>
      <c r="AP963" s="4" t="n"/>
      <c r="AQ963" s="4" t="n"/>
      <c r="AR963" s="5">
        <f>IF($AQ963="","",HYPERLINK(p_ruta_base_checklists&amp;$AQ963,"abrir"))</f>
        <v/>
      </c>
      <c r="AS963" s="4" t="n"/>
      <c r="AT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2" t="n"/>
      <c r="K964" s="5" t="n"/>
      <c r="L964" s="18" t="n"/>
      <c r="M964" s="5">
        <f>IF($A964="","",IFERROR(INDEX('AJUSTES'!$B$4:$B$303,MATCH($AT964,'AJUSTES'!$A$4:$A$303,0)),IF($K964="","",$K964)))</f>
        <v/>
      </c>
      <c r="N964" s="5">
        <f>IF($A964="","",IFERROR(INDEX('CAT_ESTADOS_ERP'!$B$4:$B$7,MATCH(IFERROR(INDEX('2_IMPORTAR_EJECUCION'!$C$9:$C$1208,MATCH($AT964,'2_IMPORTAR_EJECUCION'!$J$9:$J$1208,0)),""),'CAT_ESTADOS_ERP'!$A$4:$A$7,0)),"Pendiente"))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IF($J964="","",$P964&amp;"-"&amp;TEXT($Q964,"00"))</f>
        <v/>
      </c>
      <c r="S964" s="5">
        <f>IF($J964="","",INDEX(lista_dias,WEEKDAY($J964,2)))</f>
        <v/>
      </c>
      <c r="T964" s="5">
        <f>IF($J964="","",IFERROR(INDEX('CALENDARIO'!$C$15:$C$214,MATCH(TEXT($J964,"yyyy-mm-dd")&amp;"|"&amp;$X964&amp;"|"&amp;$Y964,'CALENDARIO'!$G$15:$G$214,0)),IFERROR(INDEX('CALENDARIO'!$C$15:$C$214,MATCH(TEXT($J964,"yyyy-mm-dd")&amp;"|"&amp;$X964&amp;"|",'CALENDARIO'!$G$15:$G$214,0)),IFERROR(INDEX('CALENDARIO'!$C$15:$C$214,MATCH(TEXT($J964,"yyyy-mm-dd")&amp;"||",'CALENDARIO'!$G$15:$G$214,0)),INDEX(patronHabil,WEEKDAY($J964,2))))))</f>
        <v/>
      </c>
      <c r="U964" s="5">
        <f>IF($I964="","",IFERROR(INDEX('CAT_TIPOS_OT'!$C$4:$C$8,MATCH($I964,'CAT_TIPOS_OT'!$A$4:$A$8,0)),"sin_clasificar"))</f>
        <v/>
      </c>
      <c r="V964" s="5">
        <f>IF($I964="","",IF(IFERROR(INDEX('CAT_TIPOS_OT'!$D$4:$D$8,MATCH($I964,'CAT_TIPOS_OT'!$A$4:$A$8,0)),"SIN CLASIFICAR")="","SIN CLASIFICAR",IFERROR(INDEX('CAT_TIPOS_OT'!$D$4:$D$8,MATCH($I964,'CAT_TIPOS_OT'!$A$4:$A$8,0)),"SIN CLASIFICAR")))</f>
        <v/>
      </c>
      <c r="W964" s="5">
        <f>IF($F964="","",IFERROR(INDEX('CAT_CENTROS_COSTO'!$F$4:$F$13,MATCH($F964,'CAT_CENTROS_COSTO'!$A$4:$A$13,0)),"(sin catálogo)"))</f>
        <v/>
      </c>
      <c r="X964" s="5">
        <f>IF($F964="","",IFERROR(INDEX('CAT_CENTROS_COSTO'!$D$4:$D$13,MATCH($F964,'CAT_CENTROS_COSTO'!$A$4:$A$13,0)),"(sin catálogo)"))</f>
        <v/>
      </c>
      <c r="Y964" s="5">
        <f>IF($F964="","",IF((IFERROR(INDEX('CAT_CENTROS_COSTO'!$E$4:$E$13,MATCH($F964,'CAT_CENTROS_COSTO'!$A$4:$A$13,0)),""))&lt;&gt;"",IFERROR(INDEX('CAT_CENTROS_COSTO'!$E$4:$E$13,MATCH($F964,'CAT_CENTROS_COSTO'!$A$4:$A$13,0)),""),$X964))</f>
        <v/>
      </c>
      <c r="Z964" s="5">
        <f>IF($F964="","",IFERROR(INDEX('CAT_CENTROS_COSTO'!$G$4:$G$13,MATCH($F964,'CAT_CENTROS_COSTO'!$A$4:$A$13,0)),"(sin catálogo)"))</f>
        <v/>
      </c>
      <c r="AA964" s="5">
        <f>IF($G964="","",IFERROR(INDEX('CAT_PUESTOS'!$B$4:$B$8,MATCH($G964,'CAT_PUESTOS'!$A$4:$A$8,0)),"(sin catálogo)"))</f>
        <v/>
      </c>
      <c r="AB964" s="5">
        <f>IF($H964="","",IFERROR(INDEX('CAT_ACTIVIDADES'!$B$4:$B$11,MATCH($H964,'CAT_ACTIVIDADES'!$A$4:$A$11,0)),"(sin catálogo)"))</f>
        <v/>
      </c>
      <c r="AC964" s="20">
        <f>IF($J964="","",TODAY()-$J964)</f>
        <v/>
      </c>
      <c r="AD964" s="20">
        <f>IF($J964="","",IF($J964&lt;=TODAY(),COUNTIFS(cal_fechas,"&gt;="&amp;$J964,cal_fechas,"&lt;"&amp;TODAY(),cal_habil,"sí"),-COUNTIFS(cal_fechas,"&gt;="&amp;TODAY(),cal_fechas,"&lt;"&amp;$J964,cal_habil,"sí")))</f>
        <v/>
      </c>
      <c r="AE964" s="5">
        <f>IF($AD964="","",IF($AD964&lt;0,"FUTURO",IF($AD964&gt;p_dias_backlog_max,"BACKLOG","MES CORRIENTE")))</f>
        <v/>
      </c>
      <c r="AF964" s="5">
        <f>IF($AD964="",FALSE,AND($AD964&gt;p_dias_backlog_min,$AD964&lt;=p_dias_backlog_max))</f>
        <v/>
      </c>
      <c r="AG964" s="4" t="n"/>
      <c r="AH964" s="5">
        <f>IF($AG964="","",IF((IFERROR(INDEX('ASIGNACIONES'!$J$4:$J$451,MATCH($O964&amp;"|"&amp;$S964&amp;"|"&amp;$AG964,'ASIGNACIONES'!$N$4:$N$451,0)),""))=0,"",IFERROR(INDEX('ASIGNACIONES'!$J$4:$J$451,MATCH($O964&amp;"|"&amp;$S964&amp;"|"&amp;$AG964,'ASIGNACIONES'!$N$4:$N$451,0)),"")))</f>
        <v/>
      </c>
      <c r="AI964" s="25">
        <f>IF($AG964="","",SUMIFS('ORDENES'!$M$4:$M$1203,'ORDENES'!$AG$4:$AG$1203,$AG964,'ORDENES'!$O$4:$O$1203,$O964,'ORDENES'!$S$4:$S$1203,$S964))</f>
        <v/>
      </c>
      <c r="AJ964" s="25">
        <f>IF($AI964="","",p_factor_productividad*IFERROR(INDEX('ASIGNACIONES'!$M$4:$M$451,MATCH($O964&amp;"|"&amp;$S964&amp;"|"&amp;$AG964,'ASIGNACIONES'!$N$4:$N$451,0)),0)-$AI964)</f>
        <v/>
      </c>
      <c r="AK964" s="18">
        <f>IF($A964="","",IFERROR(INDEX('2_IMPORTAR_EJECUCION'!$F$9:$F$1208,MATCH($AT964,'2_IMPORTAR_EJECUCION'!$J$9:$J$1208,0)),0))</f>
        <v/>
      </c>
      <c r="AL964" s="18">
        <f>IF($A964="","",MAX(0,IFERROR(INDEX('2_IMPORTAR_EJECUCION'!$H$9:$H$1208,MATCH($AT964,'2_IMPORTAR_EJECUCION'!$J$9:$J$1208,0)),0)-$AK964))</f>
        <v/>
      </c>
      <c r="AM964" s="18">
        <f>IF($A964="","",$AK964+$AL964)</f>
        <v/>
      </c>
      <c r="AN964" s="5">
        <f>IF($A964="","",IF(OR((IFERROR(INDEX('CAT_ACTIVIDADES'!$D$4:$D$11,MATCH($H964,'CAT_ACTIVIDADES'!$A$4:$A$11,0)),""))=0,(IFERROR(INDEX('CAT_ACTIVIDADES'!$D$4:$D$11,MATCH($H964,'CAT_ACTIVIDADES'!$A$4:$A$11,0)),""))=""),"SIN CLASIFICAR",IFERROR(INDEX('CAT_ACTIVIDADES'!$D$4:$D$11,MATCH($H964,'CAT_ACTIVIDADES'!$A$4:$A$11,0)),"")))</f>
        <v/>
      </c>
      <c r="AO964" s="4" t="n"/>
      <c r="AP964" s="4" t="n"/>
      <c r="AQ964" s="4" t="n"/>
      <c r="AR964" s="5">
        <f>IF($AQ964="","",HYPERLINK(p_ruta_base_checklists&amp;$AQ964,"abrir"))</f>
        <v/>
      </c>
      <c r="AS964" s="4" t="n"/>
      <c r="AT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2" t="n"/>
      <c r="K965" s="5" t="n"/>
      <c r="L965" s="18" t="n"/>
      <c r="M965" s="5">
        <f>IF($A965="","",IFERROR(INDEX('AJUSTES'!$B$4:$B$303,MATCH($AT965,'AJUSTES'!$A$4:$A$303,0)),IF($K965="","",$K965)))</f>
        <v/>
      </c>
      <c r="N965" s="5">
        <f>IF($A965="","",IFERROR(INDEX('CAT_ESTADOS_ERP'!$B$4:$B$7,MATCH(IFERROR(INDEX('2_IMPORTAR_EJECUCION'!$C$9:$C$1208,MATCH($AT965,'2_IMPORTAR_EJECUCION'!$J$9:$J$1208,0)),""),'CAT_ESTADOS_ERP'!$A$4:$A$7,0)),"Pendiente"))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IF($J965="","",$P965&amp;"-"&amp;TEXT($Q965,"00"))</f>
        <v/>
      </c>
      <c r="S965" s="5">
        <f>IF($J965="","",INDEX(lista_dias,WEEKDAY($J965,2)))</f>
        <v/>
      </c>
      <c r="T965" s="5">
        <f>IF($J965="","",IFERROR(INDEX('CALENDARIO'!$C$15:$C$214,MATCH(TEXT($J965,"yyyy-mm-dd")&amp;"|"&amp;$X965&amp;"|"&amp;$Y965,'CALENDARIO'!$G$15:$G$214,0)),IFERROR(INDEX('CALENDARIO'!$C$15:$C$214,MATCH(TEXT($J965,"yyyy-mm-dd")&amp;"|"&amp;$X965&amp;"|",'CALENDARIO'!$G$15:$G$214,0)),IFERROR(INDEX('CALENDARIO'!$C$15:$C$214,MATCH(TEXT($J965,"yyyy-mm-dd")&amp;"||",'CALENDARIO'!$G$15:$G$214,0)),INDEX(patronHabil,WEEKDAY($J965,2))))))</f>
        <v/>
      </c>
      <c r="U965" s="5">
        <f>IF($I965="","",IFERROR(INDEX('CAT_TIPOS_OT'!$C$4:$C$8,MATCH($I965,'CAT_TIPOS_OT'!$A$4:$A$8,0)),"sin_clasificar"))</f>
        <v/>
      </c>
      <c r="V965" s="5">
        <f>IF($I965="","",IF(IFERROR(INDEX('CAT_TIPOS_OT'!$D$4:$D$8,MATCH($I965,'CAT_TIPOS_OT'!$A$4:$A$8,0)),"SIN CLASIFICAR")="","SIN CLASIFICAR",IFERROR(INDEX('CAT_TIPOS_OT'!$D$4:$D$8,MATCH($I965,'CAT_TIPOS_OT'!$A$4:$A$8,0)),"SIN CLASIFICAR")))</f>
        <v/>
      </c>
      <c r="W965" s="5">
        <f>IF($F965="","",IFERROR(INDEX('CAT_CENTROS_COSTO'!$F$4:$F$13,MATCH($F965,'CAT_CENTROS_COSTO'!$A$4:$A$13,0)),"(sin catálogo)"))</f>
        <v/>
      </c>
      <c r="X965" s="5">
        <f>IF($F965="","",IFERROR(INDEX('CAT_CENTROS_COSTO'!$D$4:$D$13,MATCH($F965,'CAT_CENTROS_COSTO'!$A$4:$A$13,0)),"(sin catálogo)"))</f>
        <v/>
      </c>
      <c r="Y965" s="5">
        <f>IF($F965="","",IF((IFERROR(INDEX('CAT_CENTROS_COSTO'!$E$4:$E$13,MATCH($F965,'CAT_CENTROS_COSTO'!$A$4:$A$13,0)),""))&lt;&gt;"",IFERROR(INDEX('CAT_CENTROS_COSTO'!$E$4:$E$13,MATCH($F965,'CAT_CENTROS_COSTO'!$A$4:$A$13,0)),""),$X965))</f>
        <v/>
      </c>
      <c r="Z965" s="5">
        <f>IF($F965="","",IFERROR(INDEX('CAT_CENTROS_COSTO'!$G$4:$G$13,MATCH($F965,'CAT_CENTROS_COSTO'!$A$4:$A$13,0)),"(sin catálogo)"))</f>
        <v/>
      </c>
      <c r="AA965" s="5">
        <f>IF($G965="","",IFERROR(INDEX('CAT_PUESTOS'!$B$4:$B$8,MATCH($G965,'CAT_PUESTOS'!$A$4:$A$8,0)),"(sin catálogo)"))</f>
        <v/>
      </c>
      <c r="AB965" s="5">
        <f>IF($H965="","",IFERROR(INDEX('CAT_ACTIVIDADES'!$B$4:$B$11,MATCH($H965,'CAT_ACTIVIDADES'!$A$4:$A$11,0)),"(sin catálogo)"))</f>
        <v/>
      </c>
      <c r="AC965" s="20">
        <f>IF($J965="","",TODAY()-$J965)</f>
        <v/>
      </c>
      <c r="AD965" s="20">
        <f>IF($J965="","",IF($J965&lt;=TODAY(),COUNTIFS(cal_fechas,"&gt;="&amp;$J965,cal_fechas,"&lt;"&amp;TODAY(),cal_habil,"sí"),-COUNTIFS(cal_fechas,"&gt;="&amp;TODAY(),cal_fechas,"&lt;"&amp;$J965,cal_habil,"sí")))</f>
        <v/>
      </c>
      <c r="AE965" s="5">
        <f>IF($AD965="","",IF($AD965&lt;0,"FUTURO",IF($AD965&gt;p_dias_backlog_max,"BACKLOG","MES CORRIENTE")))</f>
        <v/>
      </c>
      <c r="AF965" s="5">
        <f>IF($AD965="",FALSE,AND($AD965&gt;p_dias_backlog_min,$AD965&lt;=p_dias_backlog_max))</f>
        <v/>
      </c>
      <c r="AG965" s="4" t="n"/>
      <c r="AH965" s="5">
        <f>IF($AG965="","",IF((IFERROR(INDEX('ASIGNACIONES'!$J$4:$J$451,MATCH($O965&amp;"|"&amp;$S965&amp;"|"&amp;$AG965,'ASIGNACIONES'!$N$4:$N$451,0)),""))=0,"",IFERROR(INDEX('ASIGNACIONES'!$J$4:$J$451,MATCH($O965&amp;"|"&amp;$S965&amp;"|"&amp;$AG965,'ASIGNACIONES'!$N$4:$N$451,0)),"")))</f>
        <v/>
      </c>
      <c r="AI965" s="25">
        <f>IF($AG965="","",SUMIFS('ORDENES'!$M$4:$M$1203,'ORDENES'!$AG$4:$AG$1203,$AG965,'ORDENES'!$O$4:$O$1203,$O965,'ORDENES'!$S$4:$S$1203,$S965))</f>
        <v/>
      </c>
      <c r="AJ965" s="25">
        <f>IF($AI965="","",p_factor_productividad*IFERROR(INDEX('ASIGNACIONES'!$M$4:$M$451,MATCH($O965&amp;"|"&amp;$S965&amp;"|"&amp;$AG965,'ASIGNACIONES'!$N$4:$N$451,0)),0)-$AI965)</f>
        <v/>
      </c>
      <c r="AK965" s="18">
        <f>IF($A965="","",IFERROR(INDEX('2_IMPORTAR_EJECUCION'!$F$9:$F$1208,MATCH($AT965,'2_IMPORTAR_EJECUCION'!$J$9:$J$1208,0)),0))</f>
        <v/>
      </c>
      <c r="AL965" s="18">
        <f>IF($A965="","",MAX(0,IFERROR(INDEX('2_IMPORTAR_EJECUCION'!$H$9:$H$1208,MATCH($AT965,'2_IMPORTAR_EJECUCION'!$J$9:$J$1208,0)),0)-$AK965))</f>
        <v/>
      </c>
      <c r="AM965" s="18">
        <f>IF($A965="","",$AK965+$AL965)</f>
        <v/>
      </c>
      <c r="AN965" s="5">
        <f>IF($A965="","",IF(OR((IFERROR(INDEX('CAT_ACTIVIDADES'!$D$4:$D$11,MATCH($H965,'CAT_ACTIVIDADES'!$A$4:$A$11,0)),""))=0,(IFERROR(INDEX('CAT_ACTIVIDADES'!$D$4:$D$11,MATCH($H965,'CAT_ACTIVIDADES'!$A$4:$A$11,0)),""))=""),"SIN CLASIFICAR",IFERROR(INDEX('CAT_ACTIVIDADES'!$D$4:$D$11,MATCH($H965,'CAT_ACTIVIDADES'!$A$4:$A$11,0)),"")))</f>
        <v/>
      </c>
      <c r="AO965" s="4" t="n"/>
      <c r="AP965" s="4" t="n"/>
      <c r="AQ965" s="4" t="n"/>
      <c r="AR965" s="5">
        <f>IF($AQ965="","",HYPERLINK(p_ruta_base_checklists&amp;$AQ965,"abrir"))</f>
        <v/>
      </c>
      <c r="AS965" s="4" t="n"/>
      <c r="AT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2" t="n"/>
      <c r="K966" s="5" t="n"/>
      <c r="L966" s="18" t="n"/>
      <c r="M966" s="5">
        <f>IF($A966="","",IFERROR(INDEX('AJUSTES'!$B$4:$B$303,MATCH($AT966,'AJUSTES'!$A$4:$A$303,0)),IF($K966="","",$K966)))</f>
        <v/>
      </c>
      <c r="N966" s="5">
        <f>IF($A966="","",IFERROR(INDEX('CAT_ESTADOS_ERP'!$B$4:$B$7,MATCH(IFERROR(INDEX('2_IMPORTAR_EJECUCION'!$C$9:$C$1208,MATCH($AT966,'2_IMPORTAR_EJECUCION'!$J$9:$J$1208,0)),""),'CAT_ESTADOS_ERP'!$A$4:$A$7,0)),"Pendiente"))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IF($J966="","",$P966&amp;"-"&amp;TEXT($Q966,"00"))</f>
        <v/>
      </c>
      <c r="S966" s="5">
        <f>IF($J966="","",INDEX(lista_dias,WEEKDAY($J966,2)))</f>
        <v/>
      </c>
      <c r="T966" s="5">
        <f>IF($J966="","",IFERROR(INDEX('CALENDARIO'!$C$15:$C$214,MATCH(TEXT($J966,"yyyy-mm-dd")&amp;"|"&amp;$X966&amp;"|"&amp;$Y966,'CALENDARIO'!$G$15:$G$214,0)),IFERROR(INDEX('CALENDARIO'!$C$15:$C$214,MATCH(TEXT($J966,"yyyy-mm-dd")&amp;"|"&amp;$X966&amp;"|",'CALENDARIO'!$G$15:$G$214,0)),IFERROR(INDEX('CALENDARIO'!$C$15:$C$214,MATCH(TEXT($J966,"yyyy-mm-dd")&amp;"||",'CALENDARIO'!$G$15:$G$214,0)),INDEX(patronHabil,WEEKDAY($J966,2))))))</f>
        <v/>
      </c>
      <c r="U966" s="5">
        <f>IF($I966="","",IFERROR(INDEX('CAT_TIPOS_OT'!$C$4:$C$8,MATCH($I966,'CAT_TIPOS_OT'!$A$4:$A$8,0)),"sin_clasificar"))</f>
        <v/>
      </c>
      <c r="V966" s="5">
        <f>IF($I966="","",IF(IFERROR(INDEX('CAT_TIPOS_OT'!$D$4:$D$8,MATCH($I966,'CAT_TIPOS_OT'!$A$4:$A$8,0)),"SIN CLASIFICAR")="","SIN CLASIFICAR",IFERROR(INDEX('CAT_TIPOS_OT'!$D$4:$D$8,MATCH($I966,'CAT_TIPOS_OT'!$A$4:$A$8,0)),"SIN CLASIFICAR")))</f>
        <v/>
      </c>
      <c r="W966" s="5">
        <f>IF($F966="","",IFERROR(INDEX('CAT_CENTROS_COSTO'!$F$4:$F$13,MATCH($F966,'CAT_CENTROS_COSTO'!$A$4:$A$13,0)),"(sin catálogo)"))</f>
        <v/>
      </c>
      <c r="X966" s="5">
        <f>IF($F966="","",IFERROR(INDEX('CAT_CENTROS_COSTO'!$D$4:$D$13,MATCH($F966,'CAT_CENTROS_COSTO'!$A$4:$A$13,0)),"(sin catálogo)"))</f>
        <v/>
      </c>
      <c r="Y966" s="5">
        <f>IF($F966="","",IF((IFERROR(INDEX('CAT_CENTROS_COSTO'!$E$4:$E$13,MATCH($F966,'CAT_CENTROS_COSTO'!$A$4:$A$13,0)),""))&lt;&gt;"",IFERROR(INDEX('CAT_CENTROS_COSTO'!$E$4:$E$13,MATCH($F966,'CAT_CENTROS_COSTO'!$A$4:$A$13,0)),""),$X966))</f>
        <v/>
      </c>
      <c r="Z966" s="5">
        <f>IF($F966="","",IFERROR(INDEX('CAT_CENTROS_COSTO'!$G$4:$G$13,MATCH($F966,'CAT_CENTROS_COSTO'!$A$4:$A$13,0)),"(sin catálogo)"))</f>
        <v/>
      </c>
      <c r="AA966" s="5">
        <f>IF($G966="","",IFERROR(INDEX('CAT_PUESTOS'!$B$4:$B$8,MATCH($G966,'CAT_PUESTOS'!$A$4:$A$8,0)),"(sin catálogo)"))</f>
        <v/>
      </c>
      <c r="AB966" s="5">
        <f>IF($H966="","",IFERROR(INDEX('CAT_ACTIVIDADES'!$B$4:$B$11,MATCH($H966,'CAT_ACTIVIDADES'!$A$4:$A$11,0)),"(sin catálogo)"))</f>
        <v/>
      </c>
      <c r="AC966" s="20">
        <f>IF($J966="","",TODAY()-$J966)</f>
        <v/>
      </c>
      <c r="AD966" s="20">
        <f>IF($J966="","",IF($J966&lt;=TODAY(),COUNTIFS(cal_fechas,"&gt;="&amp;$J966,cal_fechas,"&lt;"&amp;TODAY(),cal_habil,"sí"),-COUNTIFS(cal_fechas,"&gt;="&amp;TODAY(),cal_fechas,"&lt;"&amp;$J966,cal_habil,"sí")))</f>
        <v/>
      </c>
      <c r="AE966" s="5">
        <f>IF($AD966="","",IF($AD966&lt;0,"FUTURO",IF($AD966&gt;p_dias_backlog_max,"BACKLOG","MES CORRIENTE")))</f>
        <v/>
      </c>
      <c r="AF966" s="5">
        <f>IF($AD966="",FALSE,AND($AD966&gt;p_dias_backlog_min,$AD966&lt;=p_dias_backlog_max))</f>
        <v/>
      </c>
      <c r="AG966" s="4" t="n"/>
      <c r="AH966" s="5">
        <f>IF($AG966="","",IF((IFERROR(INDEX('ASIGNACIONES'!$J$4:$J$451,MATCH($O966&amp;"|"&amp;$S966&amp;"|"&amp;$AG966,'ASIGNACIONES'!$N$4:$N$451,0)),""))=0,"",IFERROR(INDEX('ASIGNACIONES'!$J$4:$J$451,MATCH($O966&amp;"|"&amp;$S966&amp;"|"&amp;$AG966,'ASIGNACIONES'!$N$4:$N$451,0)),"")))</f>
        <v/>
      </c>
      <c r="AI966" s="25">
        <f>IF($AG966="","",SUMIFS('ORDENES'!$M$4:$M$1203,'ORDENES'!$AG$4:$AG$1203,$AG966,'ORDENES'!$O$4:$O$1203,$O966,'ORDENES'!$S$4:$S$1203,$S966))</f>
        <v/>
      </c>
      <c r="AJ966" s="25">
        <f>IF($AI966="","",p_factor_productividad*IFERROR(INDEX('ASIGNACIONES'!$M$4:$M$451,MATCH($O966&amp;"|"&amp;$S966&amp;"|"&amp;$AG966,'ASIGNACIONES'!$N$4:$N$451,0)),0)-$AI966)</f>
        <v/>
      </c>
      <c r="AK966" s="18">
        <f>IF($A966="","",IFERROR(INDEX('2_IMPORTAR_EJECUCION'!$F$9:$F$1208,MATCH($AT966,'2_IMPORTAR_EJECUCION'!$J$9:$J$1208,0)),0))</f>
        <v/>
      </c>
      <c r="AL966" s="18">
        <f>IF($A966="","",MAX(0,IFERROR(INDEX('2_IMPORTAR_EJECUCION'!$H$9:$H$1208,MATCH($AT966,'2_IMPORTAR_EJECUCION'!$J$9:$J$1208,0)),0)-$AK966))</f>
        <v/>
      </c>
      <c r="AM966" s="18">
        <f>IF($A966="","",$AK966+$AL966)</f>
        <v/>
      </c>
      <c r="AN966" s="5">
        <f>IF($A966="","",IF(OR((IFERROR(INDEX('CAT_ACTIVIDADES'!$D$4:$D$11,MATCH($H966,'CAT_ACTIVIDADES'!$A$4:$A$11,0)),""))=0,(IFERROR(INDEX('CAT_ACTIVIDADES'!$D$4:$D$11,MATCH($H966,'CAT_ACTIVIDADES'!$A$4:$A$11,0)),""))=""),"SIN CLASIFICAR",IFERROR(INDEX('CAT_ACTIVIDADES'!$D$4:$D$11,MATCH($H966,'CAT_ACTIVIDADES'!$A$4:$A$11,0)),"")))</f>
        <v/>
      </c>
      <c r="AO966" s="4" t="n"/>
      <c r="AP966" s="4" t="n"/>
      <c r="AQ966" s="4" t="n"/>
      <c r="AR966" s="5">
        <f>IF($AQ966="","",HYPERLINK(p_ruta_base_checklists&amp;$AQ966,"abrir"))</f>
        <v/>
      </c>
      <c r="AS966" s="4" t="n"/>
      <c r="AT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2" t="n"/>
      <c r="K967" s="5" t="n"/>
      <c r="L967" s="18" t="n"/>
      <c r="M967" s="5">
        <f>IF($A967="","",IFERROR(INDEX('AJUSTES'!$B$4:$B$303,MATCH($AT967,'AJUSTES'!$A$4:$A$303,0)),IF($K967="","",$K967)))</f>
        <v/>
      </c>
      <c r="N967" s="5">
        <f>IF($A967="","",IFERROR(INDEX('CAT_ESTADOS_ERP'!$B$4:$B$7,MATCH(IFERROR(INDEX('2_IMPORTAR_EJECUCION'!$C$9:$C$1208,MATCH($AT967,'2_IMPORTAR_EJECUCION'!$J$9:$J$1208,0)),""),'CAT_ESTADOS_ERP'!$A$4:$A$7,0)),"Pendiente"))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IF($J967="","",$P967&amp;"-"&amp;TEXT($Q967,"00"))</f>
        <v/>
      </c>
      <c r="S967" s="5">
        <f>IF($J967="","",INDEX(lista_dias,WEEKDAY($J967,2)))</f>
        <v/>
      </c>
      <c r="T967" s="5">
        <f>IF($J967="","",IFERROR(INDEX('CALENDARIO'!$C$15:$C$214,MATCH(TEXT($J967,"yyyy-mm-dd")&amp;"|"&amp;$X967&amp;"|"&amp;$Y967,'CALENDARIO'!$G$15:$G$214,0)),IFERROR(INDEX('CALENDARIO'!$C$15:$C$214,MATCH(TEXT($J967,"yyyy-mm-dd")&amp;"|"&amp;$X967&amp;"|",'CALENDARIO'!$G$15:$G$214,0)),IFERROR(INDEX('CALENDARIO'!$C$15:$C$214,MATCH(TEXT($J967,"yyyy-mm-dd")&amp;"||",'CALENDARIO'!$G$15:$G$214,0)),INDEX(patronHabil,WEEKDAY($J967,2))))))</f>
        <v/>
      </c>
      <c r="U967" s="5">
        <f>IF($I967="","",IFERROR(INDEX('CAT_TIPOS_OT'!$C$4:$C$8,MATCH($I967,'CAT_TIPOS_OT'!$A$4:$A$8,0)),"sin_clasificar"))</f>
        <v/>
      </c>
      <c r="V967" s="5">
        <f>IF($I967="","",IF(IFERROR(INDEX('CAT_TIPOS_OT'!$D$4:$D$8,MATCH($I967,'CAT_TIPOS_OT'!$A$4:$A$8,0)),"SIN CLASIFICAR")="","SIN CLASIFICAR",IFERROR(INDEX('CAT_TIPOS_OT'!$D$4:$D$8,MATCH($I967,'CAT_TIPOS_OT'!$A$4:$A$8,0)),"SIN CLASIFICAR")))</f>
        <v/>
      </c>
      <c r="W967" s="5">
        <f>IF($F967="","",IFERROR(INDEX('CAT_CENTROS_COSTO'!$F$4:$F$13,MATCH($F967,'CAT_CENTROS_COSTO'!$A$4:$A$13,0)),"(sin catálogo)"))</f>
        <v/>
      </c>
      <c r="X967" s="5">
        <f>IF($F967="","",IFERROR(INDEX('CAT_CENTROS_COSTO'!$D$4:$D$13,MATCH($F967,'CAT_CENTROS_COSTO'!$A$4:$A$13,0)),"(sin catálogo)"))</f>
        <v/>
      </c>
      <c r="Y967" s="5">
        <f>IF($F967="","",IF((IFERROR(INDEX('CAT_CENTROS_COSTO'!$E$4:$E$13,MATCH($F967,'CAT_CENTROS_COSTO'!$A$4:$A$13,0)),""))&lt;&gt;"",IFERROR(INDEX('CAT_CENTROS_COSTO'!$E$4:$E$13,MATCH($F967,'CAT_CENTROS_COSTO'!$A$4:$A$13,0)),""),$X967))</f>
        <v/>
      </c>
      <c r="Z967" s="5">
        <f>IF($F967="","",IFERROR(INDEX('CAT_CENTROS_COSTO'!$G$4:$G$13,MATCH($F967,'CAT_CENTROS_COSTO'!$A$4:$A$13,0)),"(sin catálogo)"))</f>
        <v/>
      </c>
      <c r="AA967" s="5">
        <f>IF($G967="","",IFERROR(INDEX('CAT_PUESTOS'!$B$4:$B$8,MATCH($G967,'CAT_PUESTOS'!$A$4:$A$8,0)),"(sin catálogo)"))</f>
        <v/>
      </c>
      <c r="AB967" s="5">
        <f>IF($H967="","",IFERROR(INDEX('CAT_ACTIVIDADES'!$B$4:$B$11,MATCH($H967,'CAT_ACTIVIDADES'!$A$4:$A$11,0)),"(sin catálogo)"))</f>
        <v/>
      </c>
      <c r="AC967" s="20">
        <f>IF($J967="","",TODAY()-$J967)</f>
        <v/>
      </c>
      <c r="AD967" s="20">
        <f>IF($J967="","",IF($J967&lt;=TODAY(),COUNTIFS(cal_fechas,"&gt;="&amp;$J967,cal_fechas,"&lt;"&amp;TODAY(),cal_habil,"sí"),-COUNTIFS(cal_fechas,"&gt;="&amp;TODAY(),cal_fechas,"&lt;"&amp;$J967,cal_habil,"sí")))</f>
        <v/>
      </c>
      <c r="AE967" s="5">
        <f>IF($AD967="","",IF($AD967&lt;0,"FUTURO",IF($AD967&gt;p_dias_backlog_max,"BACKLOG","MES CORRIENTE")))</f>
        <v/>
      </c>
      <c r="AF967" s="5">
        <f>IF($AD967="",FALSE,AND($AD967&gt;p_dias_backlog_min,$AD967&lt;=p_dias_backlog_max))</f>
        <v/>
      </c>
      <c r="AG967" s="4" t="n"/>
      <c r="AH967" s="5">
        <f>IF($AG967="","",IF((IFERROR(INDEX('ASIGNACIONES'!$J$4:$J$451,MATCH($O967&amp;"|"&amp;$S967&amp;"|"&amp;$AG967,'ASIGNACIONES'!$N$4:$N$451,0)),""))=0,"",IFERROR(INDEX('ASIGNACIONES'!$J$4:$J$451,MATCH($O967&amp;"|"&amp;$S967&amp;"|"&amp;$AG967,'ASIGNACIONES'!$N$4:$N$451,0)),"")))</f>
        <v/>
      </c>
      <c r="AI967" s="25">
        <f>IF($AG967="","",SUMIFS('ORDENES'!$M$4:$M$1203,'ORDENES'!$AG$4:$AG$1203,$AG967,'ORDENES'!$O$4:$O$1203,$O967,'ORDENES'!$S$4:$S$1203,$S967))</f>
        <v/>
      </c>
      <c r="AJ967" s="25">
        <f>IF($AI967="","",p_factor_productividad*IFERROR(INDEX('ASIGNACIONES'!$M$4:$M$451,MATCH($O967&amp;"|"&amp;$S967&amp;"|"&amp;$AG967,'ASIGNACIONES'!$N$4:$N$451,0)),0)-$AI967)</f>
        <v/>
      </c>
      <c r="AK967" s="18">
        <f>IF($A967="","",IFERROR(INDEX('2_IMPORTAR_EJECUCION'!$F$9:$F$1208,MATCH($AT967,'2_IMPORTAR_EJECUCION'!$J$9:$J$1208,0)),0))</f>
        <v/>
      </c>
      <c r="AL967" s="18">
        <f>IF($A967="","",MAX(0,IFERROR(INDEX('2_IMPORTAR_EJECUCION'!$H$9:$H$1208,MATCH($AT967,'2_IMPORTAR_EJECUCION'!$J$9:$J$1208,0)),0)-$AK967))</f>
        <v/>
      </c>
      <c r="AM967" s="18">
        <f>IF($A967="","",$AK967+$AL967)</f>
        <v/>
      </c>
      <c r="AN967" s="5">
        <f>IF($A967="","",IF(OR((IFERROR(INDEX('CAT_ACTIVIDADES'!$D$4:$D$11,MATCH($H967,'CAT_ACTIVIDADES'!$A$4:$A$11,0)),""))=0,(IFERROR(INDEX('CAT_ACTIVIDADES'!$D$4:$D$11,MATCH($H967,'CAT_ACTIVIDADES'!$A$4:$A$11,0)),""))=""),"SIN CLASIFICAR",IFERROR(INDEX('CAT_ACTIVIDADES'!$D$4:$D$11,MATCH($H967,'CAT_ACTIVIDADES'!$A$4:$A$11,0)),"")))</f>
        <v/>
      </c>
      <c r="AO967" s="4" t="n"/>
      <c r="AP967" s="4" t="n"/>
      <c r="AQ967" s="4" t="n"/>
      <c r="AR967" s="5">
        <f>IF($AQ967="","",HYPERLINK(p_ruta_base_checklists&amp;$AQ967,"abrir"))</f>
        <v/>
      </c>
      <c r="AS967" s="4" t="n"/>
      <c r="AT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2" t="n"/>
      <c r="K968" s="5" t="n"/>
      <c r="L968" s="18" t="n"/>
      <c r="M968" s="5">
        <f>IF($A968="","",IFERROR(INDEX('AJUSTES'!$B$4:$B$303,MATCH($AT968,'AJUSTES'!$A$4:$A$303,0)),IF($K968="","",$K968)))</f>
        <v/>
      </c>
      <c r="N968" s="5">
        <f>IF($A968="","",IFERROR(INDEX('CAT_ESTADOS_ERP'!$B$4:$B$7,MATCH(IFERROR(INDEX('2_IMPORTAR_EJECUCION'!$C$9:$C$1208,MATCH($AT968,'2_IMPORTAR_EJECUCION'!$J$9:$J$1208,0)),""),'CAT_ESTADOS_ERP'!$A$4:$A$7,0)),"Pendiente"))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IF($J968="","",$P968&amp;"-"&amp;TEXT($Q968,"00"))</f>
        <v/>
      </c>
      <c r="S968" s="5">
        <f>IF($J968="","",INDEX(lista_dias,WEEKDAY($J968,2)))</f>
        <v/>
      </c>
      <c r="T968" s="5">
        <f>IF($J968="","",IFERROR(INDEX('CALENDARIO'!$C$15:$C$214,MATCH(TEXT($J968,"yyyy-mm-dd")&amp;"|"&amp;$X968&amp;"|"&amp;$Y968,'CALENDARIO'!$G$15:$G$214,0)),IFERROR(INDEX('CALENDARIO'!$C$15:$C$214,MATCH(TEXT($J968,"yyyy-mm-dd")&amp;"|"&amp;$X968&amp;"|",'CALENDARIO'!$G$15:$G$214,0)),IFERROR(INDEX('CALENDARIO'!$C$15:$C$214,MATCH(TEXT($J968,"yyyy-mm-dd")&amp;"||",'CALENDARIO'!$G$15:$G$214,0)),INDEX(patronHabil,WEEKDAY($J968,2))))))</f>
        <v/>
      </c>
      <c r="U968" s="5">
        <f>IF($I968="","",IFERROR(INDEX('CAT_TIPOS_OT'!$C$4:$C$8,MATCH($I968,'CAT_TIPOS_OT'!$A$4:$A$8,0)),"sin_clasificar"))</f>
        <v/>
      </c>
      <c r="V968" s="5">
        <f>IF($I968="","",IF(IFERROR(INDEX('CAT_TIPOS_OT'!$D$4:$D$8,MATCH($I968,'CAT_TIPOS_OT'!$A$4:$A$8,0)),"SIN CLASIFICAR")="","SIN CLASIFICAR",IFERROR(INDEX('CAT_TIPOS_OT'!$D$4:$D$8,MATCH($I968,'CAT_TIPOS_OT'!$A$4:$A$8,0)),"SIN CLASIFICAR")))</f>
        <v/>
      </c>
      <c r="W968" s="5">
        <f>IF($F968="","",IFERROR(INDEX('CAT_CENTROS_COSTO'!$F$4:$F$13,MATCH($F968,'CAT_CENTROS_COSTO'!$A$4:$A$13,0)),"(sin catálogo)"))</f>
        <v/>
      </c>
      <c r="X968" s="5">
        <f>IF($F968="","",IFERROR(INDEX('CAT_CENTROS_COSTO'!$D$4:$D$13,MATCH($F968,'CAT_CENTROS_COSTO'!$A$4:$A$13,0)),"(sin catálogo)"))</f>
        <v/>
      </c>
      <c r="Y968" s="5">
        <f>IF($F968="","",IF((IFERROR(INDEX('CAT_CENTROS_COSTO'!$E$4:$E$13,MATCH($F968,'CAT_CENTROS_COSTO'!$A$4:$A$13,0)),""))&lt;&gt;"",IFERROR(INDEX('CAT_CENTROS_COSTO'!$E$4:$E$13,MATCH($F968,'CAT_CENTROS_COSTO'!$A$4:$A$13,0)),""),$X968))</f>
        <v/>
      </c>
      <c r="Z968" s="5">
        <f>IF($F968="","",IFERROR(INDEX('CAT_CENTROS_COSTO'!$G$4:$G$13,MATCH($F968,'CAT_CENTROS_COSTO'!$A$4:$A$13,0)),"(sin catálogo)"))</f>
        <v/>
      </c>
      <c r="AA968" s="5">
        <f>IF($G968="","",IFERROR(INDEX('CAT_PUESTOS'!$B$4:$B$8,MATCH($G968,'CAT_PUESTOS'!$A$4:$A$8,0)),"(sin catálogo)"))</f>
        <v/>
      </c>
      <c r="AB968" s="5">
        <f>IF($H968="","",IFERROR(INDEX('CAT_ACTIVIDADES'!$B$4:$B$11,MATCH($H968,'CAT_ACTIVIDADES'!$A$4:$A$11,0)),"(sin catálogo)"))</f>
        <v/>
      </c>
      <c r="AC968" s="20">
        <f>IF($J968="","",TODAY()-$J968)</f>
        <v/>
      </c>
      <c r="AD968" s="20">
        <f>IF($J968="","",IF($J968&lt;=TODAY(),COUNTIFS(cal_fechas,"&gt;="&amp;$J968,cal_fechas,"&lt;"&amp;TODAY(),cal_habil,"sí"),-COUNTIFS(cal_fechas,"&gt;="&amp;TODAY(),cal_fechas,"&lt;"&amp;$J968,cal_habil,"sí")))</f>
        <v/>
      </c>
      <c r="AE968" s="5">
        <f>IF($AD968="","",IF($AD968&lt;0,"FUTURO",IF($AD968&gt;p_dias_backlog_max,"BACKLOG","MES CORRIENTE")))</f>
        <v/>
      </c>
      <c r="AF968" s="5">
        <f>IF($AD968="",FALSE,AND($AD968&gt;p_dias_backlog_min,$AD968&lt;=p_dias_backlog_max))</f>
        <v/>
      </c>
      <c r="AG968" s="4" t="n"/>
      <c r="AH968" s="5">
        <f>IF($AG968="","",IF((IFERROR(INDEX('ASIGNACIONES'!$J$4:$J$451,MATCH($O968&amp;"|"&amp;$S968&amp;"|"&amp;$AG968,'ASIGNACIONES'!$N$4:$N$451,0)),""))=0,"",IFERROR(INDEX('ASIGNACIONES'!$J$4:$J$451,MATCH($O968&amp;"|"&amp;$S968&amp;"|"&amp;$AG968,'ASIGNACIONES'!$N$4:$N$451,0)),"")))</f>
        <v/>
      </c>
      <c r="AI968" s="25">
        <f>IF($AG968="","",SUMIFS('ORDENES'!$M$4:$M$1203,'ORDENES'!$AG$4:$AG$1203,$AG968,'ORDENES'!$O$4:$O$1203,$O968,'ORDENES'!$S$4:$S$1203,$S968))</f>
        <v/>
      </c>
      <c r="AJ968" s="25">
        <f>IF($AI968="","",p_factor_productividad*IFERROR(INDEX('ASIGNACIONES'!$M$4:$M$451,MATCH($O968&amp;"|"&amp;$S968&amp;"|"&amp;$AG968,'ASIGNACIONES'!$N$4:$N$451,0)),0)-$AI968)</f>
        <v/>
      </c>
      <c r="AK968" s="18">
        <f>IF($A968="","",IFERROR(INDEX('2_IMPORTAR_EJECUCION'!$F$9:$F$1208,MATCH($AT968,'2_IMPORTAR_EJECUCION'!$J$9:$J$1208,0)),0))</f>
        <v/>
      </c>
      <c r="AL968" s="18">
        <f>IF($A968="","",MAX(0,IFERROR(INDEX('2_IMPORTAR_EJECUCION'!$H$9:$H$1208,MATCH($AT968,'2_IMPORTAR_EJECUCION'!$J$9:$J$1208,0)),0)-$AK968))</f>
        <v/>
      </c>
      <c r="AM968" s="18">
        <f>IF($A968="","",$AK968+$AL968)</f>
        <v/>
      </c>
      <c r="AN968" s="5">
        <f>IF($A968="","",IF(OR((IFERROR(INDEX('CAT_ACTIVIDADES'!$D$4:$D$11,MATCH($H968,'CAT_ACTIVIDADES'!$A$4:$A$11,0)),""))=0,(IFERROR(INDEX('CAT_ACTIVIDADES'!$D$4:$D$11,MATCH($H968,'CAT_ACTIVIDADES'!$A$4:$A$11,0)),""))=""),"SIN CLASIFICAR",IFERROR(INDEX('CAT_ACTIVIDADES'!$D$4:$D$11,MATCH($H968,'CAT_ACTIVIDADES'!$A$4:$A$11,0)),"")))</f>
        <v/>
      </c>
      <c r="AO968" s="4" t="n"/>
      <c r="AP968" s="4" t="n"/>
      <c r="AQ968" s="4" t="n"/>
      <c r="AR968" s="5">
        <f>IF($AQ968="","",HYPERLINK(p_ruta_base_checklists&amp;$AQ968,"abrir"))</f>
        <v/>
      </c>
      <c r="AS968" s="4" t="n"/>
      <c r="AT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2" t="n"/>
      <c r="K969" s="5" t="n"/>
      <c r="L969" s="18" t="n"/>
      <c r="M969" s="5">
        <f>IF($A969="","",IFERROR(INDEX('AJUSTES'!$B$4:$B$303,MATCH($AT969,'AJUSTES'!$A$4:$A$303,0)),IF($K969="","",$K969)))</f>
        <v/>
      </c>
      <c r="N969" s="5">
        <f>IF($A969="","",IFERROR(INDEX('CAT_ESTADOS_ERP'!$B$4:$B$7,MATCH(IFERROR(INDEX('2_IMPORTAR_EJECUCION'!$C$9:$C$1208,MATCH($AT969,'2_IMPORTAR_EJECUCION'!$J$9:$J$1208,0)),""),'CAT_ESTADOS_ERP'!$A$4:$A$7,0)),"Pendiente"))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IF($J969="","",$P969&amp;"-"&amp;TEXT($Q969,"00"))</f>
        <v/>
      </c>
      <c r="S969" s="5">
        <f>IF($J969="","",INDEX(lista_dias,WEEKDAY($J969,2)))</f>
        <v/>
      </c>
      <c r="T969" s="5">
        <f>IF($J969="","",IFERROR(INDEX('CALENDARIO'!$C$15:$C$214,MATCH(TEXT($J969,"yyyy-mm-dd")&amp;"|"&amp;$X969&amp;"|"&amp;$Y969,'CALENDARIO'!$G$15:$G$214,0)),IFERROR(INDEX('CALENDARIO'!$C$15:$C$214,MATCH(TEXT($J969,"yyyy-mm-dd")&amp;"|"&amp;$X969&amp;"|",'CALENDARIO'!$G$15:$G$214,0)),IFERROR(INDEX('CALENDARIO'!$C$15:$C$214,MATCH(TEXT($J969,"yyyy-mm-dd")&amp;"||",'CALENDARIO'!$G$15:$G$214,0)),INDEX(patronHabil,WEEKDAY($J969,2))))))</f>
        <v/>
      </c>
      <c r="U969" s="5">
        <f>IF($I969="","",IFERROR(INDEX('CAT_TIPOS_OT'!$C$4:$C$8,MATCH($I969,'CAT_TIPOS_OT'!$A$4:$A$8,0)),"sin_clasificar"))</f>
        <v/>
      </c>
      <c r="V969" s="5">
        <f>IF($I969="","",IF(IFERROR(INDEX('CAT_TIPOS_OT'!$D$4:$D$8,MATCH($I969,'CAT_TIPOS_OT'!$A$4:$A$8,0)),"SIN CLASIFICAR")="","SIN CLASIFICAR",IFERROR(INDEX('CAT_TIPOS_OT'!$D$4:$D$8,MATCH($I969,'CAT_TIPOS_OT'!$A$4:$A$8,0)),"SIN CLASIFICAR")))</f>
        <v/>
      </c>
      <c r="W969" s="5">
        <f>IF($F969="","",IFERROR(INDEX('CAT_CENTROS_COSTO'!$F$4:$F$13,MATCH($F969,'CAT_CENTROS_COSTO'!$A$4:$A$13,0)),"(sin catálogo)"))</f>
        <v/>
      </c>
      <c r="X969" s="5">
        <f>IF($F969="","",IFERROR(INDEX('CAT_CENTROS_COSTO'!$D$4:$D$13,MATCH($F969,'CAT_CENTROS_COSTO'!$A$4:$A$13,0)),"(sin catálogo)"))</f>
        <v/>
      </c>
      <c r="Y969" s="5">
        <f>IF($F969="","",IF((IFERROR(INDEX('CAT_CENTROS_COSTO'!$E$4:$E$13,MATCH($F969,'CAT_CENTROS_COSTO'!$A$4:$A$13,0)),""))&lt;&gt;"",IFERROR(INDEX('CAT_CENTROS_COSTO'!$E$4:$E$13,MATCH($F969,'CAT_CENTROS_COSTO'!$A$4:$A$13,0)),""),$X969))</f>
        <v/>
      </c>
      <c r="Z969" s="5">
        <f>IF($F969="","",IFERROR(INDEX('CAT_CENTROS_COSTO'!$G$4:$G$13,MATCH($F969,'CAT_CENTROS_COSTO'!$A$4:$A$13,0)),"(sin catálogo)"))</f>
        <v/>
      </c>
      <c r="AA969" s="5">
        <f>IF($G969="","",IFERROR(INDEX('CAT_PUESTOS'!$B$4:$B$8,MATCH($G969,'CAT_PUESTOS'!$A$4:$A$8,0)),"(sin catálogo)"))</f>
        <v/>
      </c>
      <c r="AB969" s="5">
        <f>IF($H969="","",IFERROR(INDEX('CAT_ACTIVIDADES'!$B$4:$B$11,MATCH($H969,'CAT_ACTIVIDADES'!$A$4:$A$11,0)),"(sin catálogo)"))</f>
        <v/>
      </c>
      <c r="AC969" s="20">
        <f>IF($J969="","",TODAY()-$J969)</f>
        <v/>
      </c>
      <c r="AD969" s="20">
        <f>IF($J969="","",IF($J969&lt;=TODAY(),COUNTIFS(cal_fechas,"&gt;="&amp;$J969,cal_fechas,"&lt;"&amp;TODAY(),cal_habil,"sí"),-COUNTIFS(cal_fechas,"&gt;="&amp;TODAY(),cal_fechas,"&lt;"&amp;$J969,cal_habil,"sí")))</f>
        <v/>
      </c>
      <c r="AE969" s="5">
        <f>IF($AD969="","",IF($AD969&lt;0,"FUTURO",IF($AD969&gt;p_dias_backlog_max,"BACKLOG","MES CORRIENTE")))</f>
        <v/>
      </c>
      <c r="AF969" s="5">
        <f>IF($AD969="",FALSE,AND($AD969&gt;p_dias_backlog_min,$AD969&lt;=p_dias_backlog_max))</f>
        <v/>
      </c>
      <c r="AG969" s="4" t="n"/>
      <c r="AH969" s="5">
        <f>IF($AG969="","",IF((IFERROR(INDEX('ASIGNACIONES'!$J$4:$J$451,MATCH($O969&amp;"|"&amp;$S969&amp;"|"&amp;$AG969,'ASIGNACIONES'!$N$4:$N$451,0)),""))=0,"",IFERROR(INDEX('ASIGNACIONES'!$J$4:$J$451,MATCH($O969&amp;"|"&amp;$S969&amp;"|"&amp;$AG969,'ASIGNACIONES'!$N$4:$N$451,0)),"")))</f>
        <v/>
      </c>
      <c r="AI969" s="25">
        <f>IF($AG969="","",SUMIFS('ORDENES'!$M$4:$M$1203,'ORDENES'!$AG$4:$AG$1203,$AG969,'ORDENES'!$O$4:$O$1203,$O969,'ORDENES'!$S$4:$S$1203,$S969))</f>
        <v/>
      </c>
      <c r="AJ969" s="25">
        <f>IF($AI969="","",p_factor_productividad*IFERROR(INDEX('ASIGNACIONES'!$M$4:$M$451,MATCH($O969&amp;"|"&amp;$S969&amp;"|"&amp;$AG969,'ASIGNACIONES'!$N$4:$N$451,0)),0)-$AI969)</f>
        <v/>
      </c>
      <c r="AK969" s="18">
        <f>IF($A969="","",IFERROR(INDEX('2_IMPORTAR_EJECUCION'!$F$9:$F$1208,MATCH($AT969,'2_IMPORTAR_EJECUCION'!$J$9:$J$1208,0)),0))</f>
        <v/>
      </c>
      <c r="AL969" s="18">
        <f>IF($A969="","",MAX(0,IFERROR(INDEX('2_IMPORTAR_EJECUCION'!$H$9:$H$1208,MATCH($AT969,'2_IMPORTAR_EJECUCION'!$J$9:$J$1208,0)),0)-$AK969))</f>
        <v/>
      </c>
      <c r="AM969" s="18">
        <f>IF($A969="","",$AK969+$AL969)</f>
        <v/>
      </c>
      <c r="AN969" s="5">
        <f>IF($A969="","",IF(OR((IFERROR(INDEX('CAT_ACTIVIDADES'!$D$4:$D$11,MATCH($H969,'CAT_ACTIVIDADES'!$A$4:$A$11,0)),""))=0,(IFERROR(INDEX('CAT_ACTIVIDADES'!$D$4:$D$11,MATCH($H969,'CAT_ACTIVIDADES'!$A$4:$A$11,0)),""))=""),"SIN CLASIFICAR",IFERROR(INDEX('CAT_ACTIVIDADES'!$D$4:$D$11,MATCH($H969,'CAT_ACTIVIDADES'!$A$4:$A$11,0)),"")))</f>
        <v/>
      </c>
      <c r="AO969" s="4" t="n"/>
      <c r="AP969" s="4" t="n"/>
      <c r="AQ969" s="4" t="n"/>
      <c r="AR969" s="5">
        <f>IF($AQ969="","",HYPERLINK(p_ruta_base_checklists&amp;$AQ969,"abrir"))</f>
        <v/>
      </c>
      <c r="AS969" s="4" t="n"/>
      <c r="AT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2" t="n"/>
      <c r="K970" s="5" t="n"/>
      <c r="L970" s="18" t="n"/>
      <c r="M970" s="5">
        <f>IF($A970="","",IFERROR(INDEX('AJUSTES'!$B$4:$B$303,MATCH($AT970,'AJUSTES'!$A$4:$A$303,0)),IF($K970="","",$K970)))</f>
        <v/>
      </c>
      <c r="N970" s="5">
        <f>IF($A970="","",IFERROR(INDEX('CAT_ESTADOS_ERP'!$B$4:$B$7,MATCH(IFERROR(INDEX('2_IMPORTAR_EJECUCION'!$C$9:$C$1208,MATCH($AT970,'2_IMPORTAR_EJECUCION'!$J$9:$J$1208,0)),""),'CAT_ESTADOS_ERP'!$A$4:$A$7,0)),"Pendiente"))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IF($J970="","",$P970&amp;"-"&amp;TEXT($Q970,"00"))</f>
        <v/>
      </c>
      <c r="S970" s="5">
        <f>IF($J970="","",INDEX(lista_dias,WEEKDAY($J970,2)))</f>
        <v/>
      </c>
      <c r="T970" s="5">
        <f>IF($J970="","",IFERROR(INDEX('CALENDARIO'!$C$15:$C$214,MATCH(TEXT($J970,"yyyy-mm-dd")&amp;"|"&amp;$X970&amp;"|"&amp;$Y970,'CALENDARIO'!$G$15:$G$214,0)),IFERROR(INDEX('CALENDARIO'!$C$15:$C$214,MATCH(TEXT($J970,"yyyy-mm-dd")&amp;"|"&amp;$X970&amp;"|",'CALENDARIO'!$G$15:$G$214,0)),IFERROR(INDEX('CALENDARIO'!$C$15:$C$214,MATCH(TEXT($J970,"yyyy-mm-dd")&amp;"||",'CALENDARIO'!$G$15:$G$214,0)),INDEX(patronHabil,WEEKDAY($J970,2))))))</f>
        <v/>
      </c>
      <c r="U970" s="5">
        <f>IF($I970="","",IFERROR(INDEX('CAT_TIPOS_OT'!$C$4:$C$8,MATCH($I970,'CAT_TIPOS_OT'!$A$4:$A$8,0)),"sin_clasificar"))</f>
        <v/>
      </c>
      <c r="V970" s="5">
        <f>IF($I970="","",IF(IFERROR(INDEX('CAT_TIPOS_OT'!$D$4:$D$8,MATCH($I970,'CAT_TIPOS_OT'!$A$4:$A$8,0)),"SIN CLASIFICAR")="","SIN CLASIFICAR",IFERROR(INDEX('CAT_TIPOS_OT'!$D$4:$D$8,MATCH($I970,'CAT_TIPOS_OT'!$A$4:$A$8,0)),"SIN CLASIFICAR")))</f>
        <v/>
      </c>
      <c r="W970" s="5">
        <f>IF($F970="","",IFERROR(INDEX('CAT_CENTROS_COSTO'!$F$4:$F$13,MATCH($F970,'CAT_CENTROS_COSTO'!$A$4:$A$13,0)),"(sin catálogo)"))</f>
        <v/>
      </c>
      <c r="X970" s="5">
        <f>IF($F970="","",IFERROR(INDEX('CAT_CENTROS_COSTO'!$D$4:$D$13,MATCH($F970,'CAT_CENTROS_COSTO'!$A$4:$A$13,0)),"(sin catálogo)"))</f>
        <v/>
      </c>
      <c r="Y970" s="5">
        <f>IF($F970="","",IF((IFERROR(INDEX('CAT_CENTROS_COSTO'!$E$4:$E$13,MATCH($F970,'CAT_CENTROS_COSTO'!$A$4:$A$13,0)),""))&lt;&gt;"",IFERROR(INDEX('CAT_CENTROS_COSTO'!$E$4:$E$13,MATCH($F970,'CAT_CENTROS_COSTO'!$A$4:$A$13,0)),""),$X970))</f>
        <v/>
      </c>
      <c r="Z970" s="5">
        <f>IF($F970="","",IFERROR(INDEX('CAT_CENTROS_COSTO'!$G$4:$G$13,MATCH($F970,'CAT_CENTROS_COSTO'!$A$4:$A$13,0)),"(sin catálogo)"))</f>
        <v/>
      </c>
      <c r="AA970" s="5">
        <f>IF($G970="","",IFERROR(INDEX('CAT_PUESTOS'!$B$4:$B$8,MATCH($G970,'CAT_PUESTOS'!$A$4:$A$8,0)),"(sin catálogo)"))</f>
        <v/>
      </c>
      <c r="AB970" s="5">
        <f>IF($H970="","",IFERROR(INDEX('CAT_ACTIVIDADES'!$B$4:$B$11,MATCH($H970,'CAT_ACTIVIDADES'!$A$4:$A$11,0)),"(sin catálogo)"))</f>
        <v/>
      </c>
      <c r="AC970" s="20">
        <f>IF($J970="","",TODAY()-$J970)</f>
        <v/>
      </c>
      <c r="AD970" s="20">
        <f>IF($J970="","",IF($J970&lt;=TODAY(),COUNTIFS(cal_fechas,"&gt;="&amp;$J970,cal_fechas,"&lt;"&amp;TODAY(),cal_habil,"sí"),-COUNTIFS(cal_fechas,"&gt;="&amp;TODAY(),cal_fechas,"&lt;"&amp;$J970,cal_habil,"sí")))</f>
        <v/>
      </c>
      <c r="AE970" s="5">
        <f>IF($AD970="","",IF($AD970&lt;0,"FUTURO",IF($AD970&gt;p_dias_backlog_max,"BACKLOG","MES CORRIENTE")))</f>
        <v/>
      </c>
      <c r="AF970" s="5">
        <f>IF($AD970="",FALSE,AND($AD970&gt;p_dias_backlog_min,$AD970&lt;=p_dias_backlog_max))</f>
        <v/>
      </c>
      <c r="AG970" s="4" t="n"/>
      <c r="AH970" s="5">
        <f>IF($AG970="","",IF((IFERROR(INDEX('ASIGNACIONES'!$J$4:$J$451,MATCH($O970&amp;"|"&amp;$S970&amp;"|"&amp;$AG970,'ASIGNACIONES'!$N$4:$N$451,0)),""))=0,"",IFERROR(INDEX('ASIGNACIONES'!$J$4:$J$451,MATCH($O970&amp;"|"&amp;$S970&amp;"|"&amp;$AG970,'ASIGNACIONES'!$N$4:$N$451,0)),"")))</f>
        <v/>
      </c>
      <c r="AI970" s="25">
        <f>IF($AG970="","",SUMIFS('ORDENES'!$M$4:$M$1203,'ORDENES'!$AG$4:$AG$1203,$AG970,'ORDENES'!$O$4:$O$1203,$O970,'ORDENES'!$S$4:$S$1203,$S970))</f>
        <v/>
      </c>
      <c r="AJ970" s="25">
        <f>IF($AI970="","",p_factor_productividad*IFERROR(INDEX('ASIGNACIONES'!$M$4:$M$451,MATCH($O970&amp;"|"&amp;$S970&amp;"|"&amp;$AG970,'ASIGNACIONES'!$N$4:$N$451,0)),0)-$AI970)</f>
        <v/>
      </c>
      <c r="AK970" s="18">
        <f>IF($A970="","",IFERROR(INDEX('2_IMPORTAR_EJECUCION'!$F$9:$F$1208,MATCH($AT970,'2_IMPORTAR_EJECUCION'!$J$9:$J$1208,0)),0))</f>
        <v/>
      </c>
      <c r="AL970" s="18">
        <f>IF($A970="","",MAX(0,IFERROR(INDEX('2_IMPORTAR_EJECUCION'!$H$9:$H$1208,MATCH($AT970,'2_IMPORTAR_EJECUCION'!$J$9:$J$1208,0)),0)-$AK970))</f>
        <v/>
      </c>
      <c r="AM970" s="18">
        <f>IF($A970="","",$AK970+$AL970)</f>
        <v/>
      </c>
      <c r="AN970" s="5">
        <f>IF($A970="","",IF(OR((IFERROR(INDEX('CAT_ACTIVIDADES'!$D$4:$D$11,MATCH($H970,'CAT_ACTIVIDADES'!$A$4:$A$11,0)),""))=0,(IFERROR(INDEX('CAT_ACTIVIDADES'!$D$4:$D$11,MATCH($H970,'CAT_ACTIVIDADES'!$A$4:$A$11,0)),""))=""),"SIN CLASIFICAR",IFERROR(INDEX('CAT_ACTIVIDADES'!$D$4:$D$11,MATCH($H970,'CAT_ACTIVIDADES'!$A$4:$A$11,0)),"")))</f>
        <v/>
      </c>
      <c r="AO970" s="4" t="n"/>
      <c r="AP970" s="4" t="n"/>
      <c r="AQ970" s="4" t="n"/>
      <c r="AR970" s="5">
        <f>IF($AQ970="","",HYPERLINK(p_ruta_base_checklists&amp;$AQ970,"abrir"))</f>
        <v/>
      </c>
      <c r="AS970" s="4" t="n"/>
      <c r="AT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2" t="n"/>
      <c r="K971" s="5" t="n"/>
      <c r="L971" s="18" t="n"/>
      <c r="M971" s="5">
        <f>IF($A971="","",IFERROR(INDEX('AJUSTES'!$B$4:$B$303,MATCH($AT971,'AJUSTES'!$A$4:$A$303,0)),IF($K971="","",$K971)))</f>
        <v/>
      </c>
      <c r="N971" s="5">
        <f>IF($A971="","",IFERROR(INDEX('CAT_ESTADOS_ERP'!$B$4:$B$7,MATCH(IFERROR(INDEX('2_IMPORTAR_EJECUCION'!$C$9:$C$1208,MATCH($AT971,'2_IMPORTAR_EJECUCION'!$J$9:$J$1208,0)),""),'CAT_ESTADOS_ERP'!$A$4:$A$7,0)),"Pendiente"))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IF($J971="","",$P971&amp;"-"&amp;TEXT($Q971,"00"))</f>
        <v/>
      </c>
      <c r="S971" s="5">
        <f>IF($J971="","",INDEX(lista_dias,WEEKDAY($J971,2)))</f>
        <v/>
      </c>
      <c r="T971" s="5">
        <f>IF($J971="","",IFERROR(INDEX('CALENDARIO'!$C$15:$C$214,MATCH(TEXT($J971,"yyyy-mm-dd")&amp;"|"&amp;$X971&amp;"|"&amp;$Y971,'CALENDARIO'!$G$15:$G$214,0)),IFERROR(INDEX('CALENDARIO'!$C$15:$C$214,MATCH(TEXT($J971,"yyyy-mm-dd")&amp;"|"&amp;$X971&amp;"|",'CALENDARIO'!$G$15:$G$214,0)),IFERROR(INDEX('CALENDARIO'!$C$15:$C$214,MATCH(TEXT($J971,"yyyy-mm-dd")&amp;"||",'CALENDARIO'!$G$15:$G$214,0)),INDEX(patronHabil,WEEKDAY($J971,2))))))</f>
        <v/>
      </c>
      <c r="U971" s="5">
        <f>IF($I971="","",IFERROR(INDEX('CAT_TIPOS_OT'!$C$4:$C$8,MATCH($I971,'CAT_TIPOS_OT'!$A$4:$A$8,0)),"sin_clasificar"))</f>
        <v/>
      </c>
      <c r="V971" s="5">
        <f>IF($I971="","",IF(IFERROR(INDEX('CAT_TIPOS_OT'!$D$4:$D$8,MATCH($I971,'CAT_TIPOS_OT'!$A$4:$A$8,0)),"SIN CLASIFICAR")="","SIN CLASIFICAR",IFERROR(INDEX('CAT_TIPOS_OT'!$D$4:$D$8,MATCH($I971,'CAT_TIPOS_OT'!$A$4:$A$8,0)),"SIN CLASIFICAR")))</f>
        <v/>
      </c>
      <c r="W971" s="5">
        <f>IF($F971="","",IFERROR(INDEX('CAT_CENTROS_COSTO'!$F$4:$F$13,MATCH($F971,'CAT_CENTROS_COSTO'!$A$4:$A$13,0)),"(sin catálogo)"))</f>
        <v/>
      </c>
      <c r="X971" s="5">
        <f>IF($F971="","",IFERROR(INDEX('CAT_CENTROS_COSTO'!$D$4:$D$13,MATCH($F971,'CAT_CENTROS_COSTO'!$A$4:$A$13,0)),"(sin catálogo)"))</f>
        <v/>
      </c>
      <c r="Y971" s="5">
        <f>IF($F971="","",IF((IFERROR(INDEX('CAT_CENTROS_COSTO'!$E$4:$E$13,MATCH($F971,'CAT_CENTROS_COSTO'!$A$4:$A$13,0)),""))&lt;&gt;"",IFERROR(INDEX('CAT_CENTROS_COSTO'!$E$4:$E$13,MATCH($F971,'CAT_CENTROS_COSTO'!$A$4:$A$13,0)),""),$X971))</f>
        <v/>
      </c>
      <c r="Z971" s="5">
        <f>IF($F971="","",IFERROR(INDEX('CAT_CENTROS_COSTO'!$G$4:$G$13,MATCH($F971,'CAT_CENTROS_COSTO'!$A$4:$A$13,0)),"(sin catálogo)"))</f>
        <v/>
      </c>
      <c r="AA971" s="5">
        <f>IF($G971="","",IFERROR(INDEX('CAT_PUESTOS'!$B$4:$B$8,MATCH($G971,'CAT_PUESTOS'!$A$4:$A$8,0)),"(sin catálogo)"))</f>
        <v/>
      </c>
      <c r="AB971" s="5">
        <f>IF($H971="","",IFERROR(INDEX('CAT_ACTIVIDADES'!$B$4:$B$11,MATCH($H971,'CAT_ACTIVIDADES'!$A$4:$A$11,0)),"(sin catálogo)"))</f>
        <v/>
      </c>
      <c r="AC971" s="20">
        <f>IF($J971="","",TODAY()-$J971)</f>
        <v/>
      </c>
      <c r="AD971" s="20">
        <f>IF($J971="","",IF($J971&lt;=TODAY(),COUNTIFS(cal_fechas,"&gt;="&amp;$J971,cal_fechas,"&lt;"&amp;TODAY(),cal_habil,"sí"),-COUNTIFS(cal_fechas,"&gt;="&amp;TODAY(),cal_fechas,"&lt;"&amp;$J971,cal_habil,"sí")))</f>
        <v/>
      </c>
      <c r="AE971" s="5">
        <f>IF($AD971="","",IF($AD971&lt;0,"FUTURO",IF($AD971&gt;p_dias_backlog_max,"BACKLOG","MES CORRIENTE")))</f>
        <v/>
      </c>
      <c r="AF971" s="5">
        <f>IF($AD971="",FALSE,AND($AD971&gt;p_dias_backlog_min,$AD971&lt;=p_dias_backlog_max))</f>
        <v/>
      </c>
      <c r="AG971" s="4" t="n"/>
      <c r="AH971" s="5">
        <f>IF($AG971="","",IF((IFERROR(INDEX('ASIGNACIONES'!$J$4:$J$451,MATCH($O971&amp;"|"&amp;$S971&amp;"|"&amp;$AG971,'ASIGNACIONES'!$N$4:$N$451,0)),""))=0,"",IFERROR(INDEX('ASIGNACIONES'!$J$4:$J$451,MATCH($O971&amp;"|"&amp;$S971&amp;"|"&amp;$AG971,'ASIGNACIONES'!$N$4:$N$451,0)),"")))</f>
        <v/>
      </c>
      <c r="AI971" s="25">
        <f>IF($AG971="","",SUMIFS('ORDENES'!$M$4:$M$1203,'ORDENES'!$AG$4:$AG$1203,$AG971,'ORDENES'!$O$4:$O$1203,$O971,'ORDENES'!$S$4:$S$1203,$S971))</f>
        <v/>
      </c>
      <c r="AJ971" s="25">
        <f>IF($AI971="","",p_factor_productividad*IFERROR(INDEX('ASIGNACIONES'!$M$4:$M$451,MATCH($O971&amp;"|"&amp;$S971&amp;"|"&amp;$AG971,'ASIGNACIONES'!$N$4:$N$451,0)),0)-$AI971)</f>
        <v/>
      </c>
      <c r="AK971" s="18">
        <f>IF($A971="","",IFERROR(INDEX('2_IMPORTAR_EJECUCION'!$F$9:$F$1208,MATCH($AT971,'2_IMPORTAR_EJECUCION'!$J$9:$J$1208,0)),0))</f>
        <v/>
      </c>
      <c r="AL971" s="18">
        <f>IF($A971="","",MAX(0,IFERROR(INDEX('2_IMPORTAR_EJECUCION'!$H$9:$H$1208,MATCH($AT971,'2_IMPORTAR_EJECUCION'!$J$9:$J$1208,0)),0)-$AK971))</f>
        <v/>
      </c>
      <c r="AM971" s="18">
        <f>IF($A971="","",$AK971+$AL971)</f>
        <v/>
      </c>
      <c r="AN971" s="5">
        <f>IF($A971="","",IF(OR((IFERROR(INDEX('CAT_ACTIVIDADES'!$D$4:$D$11,MATCH($H971,'CAT_ACTIVIDADES'!$A$4:$A$11,0)),""))=0,(IFERROR(INDEX('CAT_ACTIVIDADES'!$D$4:$D$11,MATCH($H971,'CAT_ACTIVIDADES'!$A$4:$A$11,0)),""))=""),"SIN CLASIFICAR",IFERROR(INDEX('CAT_ACTIVIDADES'!$D$4:$D$11,MATCH($H971,'CAT_ACTIVIDADES'!$A$4:$A$11,0)),"")))</f>
        <v/>
      </c>
      <c r="AO971" s="4" t="n"/>
      <c r="AP971" s="4" t="n"/>
      <c r="AQ971" s="4" t="n"/>
      <c r="AR971" s="5">
        <f>IF($AQ971="","",HYPERLINK(p_ruta_base_checklists&amp;$AQ971,"abrir"))</f>
        <v/>
      </c>
      <c r="AS971" s="4" t="n"/>
      <c r="AT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2" t="n"/>
      <c r="K972" s="5" t="n"/>
      <c r="L972" s="18" t="n"/>
      <c r="M972" s="5">
        <f>IF($A972="","",IFERROR(INDEX('AJUSTES'!$B$4:$B$303,MATCH($AT972,'AJUSTES'!$A$4:$A$303,0)),IF($K972="","",$K972)))</f>
        <v/>
      </c>
      <c r="N972" s="5">
        <f>IF($A972="","",IFERROR(INDEX('CAT_ESTADOS_ERP'!$B$4:$B$7,MATCH(IFERROR(INDEX('2_IMPORTAR_EJECUCION'!$C$9:$C$1208,MATCH($AT972,'2_IMPORTAR_EJECUCION'!$J$9:$J$1208,0)),""),'CAT_ESTADOS_ERP'!$A$4:$A$7,0)),"Pendiente"))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IF($J972="","",$P972&amp;"-"&amp;TEXT($Q972,"00"))</f>
        <v/>
      </c>
      <c r="S972" s="5">
        <f>IF($J972="","",INDEX(lista_dias,WEEKDAY($J972,2)))</f>
        <v/>
      </c>
      <c r="T972" s="5">
        <f>IF($J972="","",IFERROR(INDEX('CALENDARIO'!$C$15:$C$214,MATCH(TEXT($J972,"yyyy-mm-dd")&amp;"|"&amp;$X972&amp;"|"&amp;$Y972,'CALENDARIO'!$G$15:$G$214,0)),IFERROR(INDEX('CALENDARIO'!$C$15:$C$214,MATCH(TEXT($J972,"yyyy-mm-dd")&amp;"|"&amp;$X972&amp;"|",'CALENDARIO'!$G$15:$G$214,0)),IFERROR(INDEX('CALENDARIO'!$C$15:$C$214,MATCH(TEXT($J972,"yyyy-mm-dd")&amp;"||",'CALENDARIO'!$G$15:$G$214,0)),INDEX(patronHabil,WEEKDAY($J972,2))))))</f>
        <v/>
      </c>
      <c r="U972" s="5">
        <f>IF($I972="","",IFERROR(INDEX('CAT_TIPOS_OT'!$C$4:$C$8,MATCH($I972,'CAT_TIPOS_OT'!$A$4:$A$8,0)),"sin_clasificar"))</f>
        <v/>
      </c>
      <c r="V972" s="5">
        <f>IF($I972="","",IF(IFERROR(INDEX('CAT_TIPOS_OT'!$D$4:$D$8,MATCH($I972,'CAT_TIPOS_OT'!$A$4:$A$8,0)),"SIN CLASIFICAR")="","SIN CLASIFICAR",IFERROR(INDEX('CAT_TIPOS_OT'!$D$4:$D$8,MATCH($I972,'CAT_TIPOS_OT'!$A$4:$A$8,0)),"SIN CLASIFICAR")))</f>
        <v/>
      </c>
      <c r="W972" s="5">
        <f>IF($F972="","",IFERROR(INDEX('CAT_CENTROS_COSTO'!$F$4:$F$13,MATCH($F972,'CAT_CENTROS_COSTO'!$A$4:$A$13,0)),"(sin catálogo)"))</f>
        <v/>
      </c>
      <c r="X972" s="5">
        <f>IF($F972="","",IFERROR(INDEX('CAT_CENTROS_COSTO'!$D$4:$D$13,MATCH($F972,'CAT_CENTROS_COSTO'!$A$4:$A$13,0)),"(sin catálogo)"))</f>
        <v/>
      </c>
      <c r="Y972" s="5">
        <f>IF($F972="","",IF((IFERROR(INDEX('CAT_CENTROS_COSTO'!$E$4:$E$13,MATCH($F972,'CAT_CENTROS_COSTO'!$A$4:$A$13,0)),""))&lt;&gt;"",IFERROR(INDEX('CAT_CENTROS_COSTO'!$E$4:$E$13,MATCH($F972,'CAT_CENTROS_COSTO'!$A$4:$A$13,0)),""),$X972))</f>
        <v/>
      </c>
      <c r="Z972" s="5">
        <f>IF($F972="","",IFERROR(INDEX('CAT_CENTROS_COSTO'!$G$4:$G$13,MATCH($F972,'CAT_CENTROS_COSTO'!$A$4:$A$13,0)),"(sin catálogo)"))</f>
        <v/>
      </c>
      <c r="AA972" s="5">
        <f>IF($G972="","",IFERROR(INDEX('CAT_PUESTOS'!$B$4:$B$8,MATCH($G972,'CAT_PUESTOS'!$A$4:$A$8,0)),"(sin catálogo)"))</f>
        <v/>
      </c>
      <c r="AB972" s="5">
        <f>IF($H972="","",IFERROR(INDEX('CAT_ACTIVIDADES'!$B$4:$B$11,MATCH($H972,'CAT_ACTIVIDADES'!$A$4:$A$11,0)),"(sin catálogo)"))</f>
        <v/>
      </c>
      <c r="AC972" s="20">
        <f>IF($J972="","",TODAY()-$J972)</f>
        <v/>
      </c>
      <c r="AD972" s="20">
        <f>IF($J972="","",IF($J972&lt;=TODAY(),COUNTIFS(cal_fechas,"&gt;="&amp;$J972,cal_fechas,"&lt;"&amp;TODAY(),cal_habil,"sí"),-COUNTIFS(cal_fechas,"&gt;="&amp;TODAY(),cal_fechas,"&lt;"&amp;$J972,cal_habil,"sí")))</f>
        <v/>
      </c>
      <c r="AE972" s="5">
        <f>IF($AD972="","",IF($AD972&lt;0,"FUTURO",IF($AD972&gt;p_dias_backlog_max,"BACKLOG","MES CORRIENTE")))</f>
        <v/>
      </c>
      <c r="AF972" s="5">
        <f>IF($AD972="",FALSE,AND($AD972&gt;p_dias_backlog_min,$AD972&lt;=p_dias_backlog_max))</f>
        <v/>
      </c>
      <c r="AG972" s="4" t="n"/>
      <c r="AH972" s="5">
        <f>IF($AG972="","",IF((IFERROR(INDEX('ASIGNACIONES'!$J$4:$J$451,MATCH($O972&amp;"|"&amp;$S972&amp;"|"&amp;$AG972,'ASIGNACIONES'!$N$4:$N$451,0)),""))=0,"",IFERROR(INDEX('ASIGNACIONES'!$J$4:$J$451,MATCH($O972&amp;"|"&amp;$S972&amp;"|"&amp;$AG972,'ASIGNACIONES'!$N$4:$N$451,0)),"")))</f>
        <v/>
      </c>
      <c r="AI972" s="25">
        <f>IF($AG972="","",SUMIFS('ORDENES'!$M$4:$M$1203,'ORDENES'!$AG$4:$AG$1203,$AG972,'ORDENES'!$O$4:$O$1203,$O972,'ORDENES'!$S$4:$S$1203,$S972))</f>
        <v/>
      </c>
      <c r="AJ972" s="25">
        <f>IF($AI972="","",p_factor_productividad*IFERROR(INDEX('ASIGNACIONES'!$M$4:$M$451,MATCH($O972&amp;"|"&amp;$S972&amp;"|"&amp;$AG972,'ASIGNACIONES'!$N$4:$N$451,0)),0)-$AI972)</f>
        <v/>
      </c>
      <c r="AK972" s="18">
        <f>IF($A972="","",IFERROR(INDEX('2_IMPORTAR_EJECUCION'!$F$9:$F$1208,MATCH($AT972,'2_IMPORTAR_EJECUCION'!$J$9:$J$1208,0)),0))</f>
        <v/>
      </c>
      <c r="AL972" s="18">
        <f>IF($A972="","",MAX(0,IFERROR(INDEX('2_IMPORTAR_EJECUCION'!$H$9:$H$1208,MATCH($AT972,'2_IMPORTAR_EJECUCION'!$J$9:$J$1208,0)),0)-$AK972))</f>
        <v/>
      </c>
      <c r="AM972" s="18">
        <f>IF($A972="","",$AK972+$AL972)</f>
        <v/>
      </c>
      <c r="AN972" s="5">
        <f>IF($A972="","",IF(OR((IFERROR(INDEX('CAT_ACTIVIDADES'!$D$4:$D$11,MATCH($H972,'CAT_ACTIVIDADES'!$A$4:$A$11,0)),""))=0,(IFERROR(INDEX('CAT_ACTIVIDADES'!$D$4:$D$11,MATCH($H972,'CAT_ACTIVIDADES'!$A$4:$A$11,0)),""))=""),"SIN CLASIFICAR",IFERROR(INDEX('CAT_ACTIVIDADES'!$D$4:$D$11,MATCH($H972,'CAT_ACTIVIDADES'!$A$4:$A$11,0)),"")))</f>
        <v/>
      </c>
      <c r="AO972" s="4" t="n"/>
      <c r="AP972" s="4" t="n"/>
      <c r="AQ972" s="4" t="n"/>
      <c r="AR972" s="5">
        <f>IF($AQ972="","",HYPERLINK(p_ruta_base_checklists&amp;$AQ972,"abrir"))</f>
        <v/>
      </c>
      <c r="AS972" s="4" t="n"/>
      <c r="AT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2" t="n"/>
      <c r="K973" s="5" t="n"/>
      <c r="L973" s="18" t="n"/>
      <c r="M973" s="5">
        <f>IF($A973="","",IFERROR(INDEX('AJUSTES'!$B$4:$B$303,MATCH($AT973,'AJUSTES'!$A$4:$A$303,0)),IF($K973="","",$K973)))</f>
        <v/>
      </c>
      <c r="N973" s="5">
        <f>IF($A973="","",IFERROR(INDEX('CAT_ESTADOS_ERP'!$B$4:$B$7,MATCH(IFERROR(INDEX('2_IMPORTAR_EJECUCION'!$C$9:$C$1208,MATCH($AT973,'2_IMPORTAR_EJECUCION'!$J$9:$J$1208,0)),""),'CAT_ESTADOS_ERP'!$A$4:$A$7,0)),"Pendiente"))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IF($J973="","",$P973&amp;"-"&amp;TEXT($Q973,"00"))</f>
        <v/>
      </c>
      <c r="S973" s="5">
        <f>IF($J973="","",INDEX(lista_dias,WEEKDAY($J973,2)))</f>
        <v/>
      </c>
      <c r="T973" s="5">
        <f>IF($J973="","",IFERROR(INDEX('CALENDARIO'!$C$15:$C$214,MATCH(TEXT($J973,"yyyy-mm-dd")&amp;"|"&amp;$X973&amp;"|"&amp;$Y973,'CALENDARIO'!$G$15:$G$214,0)),IFERROR(INDEX('CALENDARIO'!$C$15:$C$214,MATCH(TEXT($J973,"yyyy-mm-dd")&amp;"|"&amp;$X973&amp;"|",'CALENDARIO'!$G$15:$G$214,0)),IFERROR(INDEX('CALENDARIO'!$C$15:$C$214,MATCH(TEXT($J973,"yyyy-mm-dd")&amp;"||",'CALENDARIO'!$G$15:$G$214,0)),INDEX(patronHabil,WEEKDAY($J973,2))))))</f>
        <v/>
      </c>
      <c r="U973" s="5">
        <f>IF($I973="","",IFERROR(INDEX('CAT_TIPOS_OT'!$C$4:$C$8,MATCH($I973,'CAT_TIPOS_OT'!$A$4:$A$8,0)),"sin_clasificar"))</f>
        <v/>
      </c>
      <c r="V973" s="5">
        <f>IF($I973="","",IF(IFERROR(INDEX('CAT_TIPOS_OT'!$D$4:$D$8,MATCH($I973,'CAT_TIPOS_OT'!$A$4:$A$8,0)),"SIN CLASIFICAR")="","SIN CLASIFICAR",IFERROR(INDEX('CAT_TIPOS_OT'!$D$4:$D$8,MATCH($I973,'CAT_TIPOS_OT'!$A$4:$A$8,0)),"SIN CLASIFICAR")))</f>
        <v/>
      </c>
      <c r="W973" s="5">
        <f>IF($F973="","",IFERROR(INDEX('CAT_CENTROS_COSTO'!$F$4:$F$13,MATCH($F973,'CAT_CENTROS_COSTO'!$A$4:$A$13,0)),"(sin catálogo)"))</f>
        <v/>
      </c>
      <c r="X973" s="5">
        <f>IF($F973="","",IFERROR(INDEX('CAT_CENTROS_COSTO'!$D$4:$D$13,MATCH($F973,'CAT_CENTROS_COSTO'!$A$4:$A$13,0)),"(sin catálogo)"))</f>
        <v/>
      </c>
      <c r="Y973" s="5">
        <f>IF($F973="","",IF((IFERROR(INDEX('CAT_CENTROS_COSTO'!$E$4:$E$13,MATCH($F973,'CAT_CENTROS_COSTO'!$A$4:$A$13,0)),""))&lt;&gt;"",IFERROR(INDEX('CAT_CENTROS_COSTO'!$E$4:$E$13,MATCH($F973,'CAT_CENTROS_COSTO'!$A$4:$A$13,0)),""),$X973))</f>
        <v/>
      </c>
      <c r="Z973" s="5">
        <f>IF($F973="","",IFERROR(INDEX('CAT_CENTROS_COSTO'!$G$4:$G$13,MATCH($F973,'CAT_CENTROS_COSTO'!$A$4:$A$13,0)),"(sin catálogo)"))</f>
        <v/>
      </c>
      <c r="AA973" s="5">
        <f>IF($G973="","",IFERROR(INDEX('CAT_PUESTOS'!$B$4:$B$8,MATCH($G973,'CAT_PUESTOS'!$A$4:$A$8,0)),"(sin catálogo)"))</f>
        <v/>
      </c>
      <c r="AB973" s="5">
        <f>IF($H973="","",IFERROR(INDEX('CAT_ACTIVIDADES'!$B$4:$B$11,MATCH($H973,'CAT_ACTIVIDADES'!$A$4:$A$11,0)),"(sin catálogo)"))</f>
        <v/>
      </c>
      <c r="AC973" s="20">
        <f>IF($J973="","",TODAY()-$J973)</f>
        <v/>
      </c>
      <c r="AD973" s="20">
        <f>IF($J973="","",IF($J973&lt;=TODAY(),COUNTIFS(cal_fechas,"&gt;="&amp;$J973,cal_fechas,"&lt;"&amp;TODAY(),cal_habil,"sí"),-COUNTIFS(cal_fechas,"&gt;="&amp;TODAY(),cal_fechas,"&lt;"&amp;$J973,cal_habil,"sí")))</f>
        <v/>
      </c>
      <c r="AE973" s="5">
        <f>IF($AD973="","",IF($AD973&lt;0,"FUTURO",IF($AD973&gt;p_dias_backlog_max,"BACKLOG","MES CORRIENTE")))</f>
        <v/>
      </c>
      <c r="AF973" s="5">
        <f>IF($AD973="",FALSE,AND($AD973&gt;p_dias_backlog_min,$AD973&lt;=p_dias_backlog_max))</f>
        <v/>
      </c>
      <c r="AG973" s="4" t="n"/>
      <c r="AH973" s="5">
        <f>IF($AG973="","",IF((IFERROR(INDEX('ASIGNACIONES'!$J$4:$J$451,MATCH($O973&amp;"|"&amp;$S973&amp;"|"&amp;$AG973,'ASIGNACIONES'!$N$4:$N$451,0)),""))=0,"",IFERROR(INDEX('ASIGNACIONES'!$J$4:$J$451,MATCH($O973&amp;"|"&amp;$S973&amp;"|"&amp;$AG973,'ASIGNACIONES'!$N$4:$N$451,0)),"")))</f>
        <v/>
      </c>
      <c r="AI973" s="25">
        <f>IF($AG973="","",SUMIFS('ORDENES'!$M$4:$M$1203,'ORDENES'!$AG$4:$AG$1203,$AG973,'ORDENES'!$O$4:$O$1203,$O973,'ORDENES'!$S$4:$S$1203,$S973))</f>
        <v/>
      </c>
      <c r="AJ973" s="25">
        <f>IF($AI973="","",p_factor_productividad*IFERROR(INDEX('ASIGNACIONES'!$M$4:$M$451,MATCH($O973&amp;"|"&amp;$S973&amp;"|"&amp;$AG973,'ASIGNACIONES'!$N$4:$N$451,0)),0)-$AI973)</f>
        <v/>
      </c>
      <c r="AK973" s="18">
        <f>IF($A973="","",IFERROR(INDEX('2_IMPORTAR_EJECUCION'!$F$9:$F$1208,MATCH($AT973,'2_IMPORTAR_EJECUCION'!$J$9:$J$1208,0)),0))</f>
        <v/>
      </c>
      <c r="AL973" s="18">
        <f>IF($A973="","",MAX(0,IFERROR(INDEX('2_IMPORTAR_EJECUCION'!$H$9:$H$1208,MATCH($AT973,'2_IMPORTAR_EJECUCION'!$J$9:$J$1208,0)),0)-$AK973))</f>
        <v/>
      </c>
      <c r="AM973" s="18">
        <f>IF($A973="","",$AK973+$AL973)</f>
        <v/>
      </c>
      <c r="AN973" s="5">
        <f>IF($A973="","",IF(OR((IFERROR(INDEX('CAT_ACTIVIDADES'!$D$4:$D$11,MATCH($H973,'CAT_ACTIVIDADES'!$A$4:$A$11,0)),""))=0,(IFERROR(INDEX('CAT_ACTIVIDADES'!$D$4:$D$11,MATCH($H973,'CAT_ACTIVIDADES'!$A$4:$A$11,0)),""))=""),"SIN CLASIFICAR",IFERROR(INDEX('CAT_ACTIVIDADES'!$D$4:$D$11,MATCH($H973,'CAT_ACTIVIDADES'!$A$4:$A$11,0)),"")))</f>
        <v/>
      </c>
      <c r="AO973" s="4" t="n"/>
      <c r="AP973" s="4" t="n"/>
      <c r="AQ973" s="4" t="n"/>
      <c r="AR973" s="5">
        <f>IF($AQ973="","",HYPERLINK(p_ruta_base_checklists&amp;$AQ973,"abrir"))</f>
        <v/>
      </c>
      <c r="AS973" s="4" t="n"/>
      <c r="AT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2" t="n"/>
      <c r="K974" s="5" t="n"/>
      <c r="L974" s="18" t="n"/>
      <c r="M974" s="5">
        <f>IF($A974="","",IFERROR(INDEX('AJUSTES'!$B$4:$B$303,MATCH($AT974,'AJUSTES'!$A$4:$A$303,0)),IF($K974="","",$K974)))</f>
        <v/>
      </c>
      <c r="N974" s="5">
        <f>IF($A974="","",IFERROR(INDEX('CAT_ESTADOS_ERP'!$B$4:$B$7,MATCH(IFERROR(INDEX('2_IMPORTAR_EJECUCION'!$C$9:$C$1208,MATCH($AT974,'2_IMPORTAR_EJECUCION'!$J$9:$J$1208,0)),""),'CAT_ESTADOS_ERP'!$A$4:$A$7,0)),"Pendiente"))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IF($J974="","",$P974&amp;"-"&amp;TEXT($Q974,"00"))</f>
        <v/>
      </c>
      <c r="S974" s="5">
        <f>IF($J974="","",INDEX(lista_dias,WEEKDAY($J974,2)))</f>
        <v/>
      </c>
      <c r="T974" s="5">
        <f>IF($J974="","",IFERROR(INDEX('CALENDARIO'!$C$15:$C$214,MATCH(TEXT($J974,"yyyy-mm-dd")&amp;"|"&amp;$X974&amp;"|"&amp;$Y974,'CALENDARIO'!$G$15:$G$214,0)),IFERROR(INDEX('CALENDARIO'!$C$15:$C$214,MATCH(TEXT($J974,"yyyy-mm-dd")&amp;"|"&amp;$X974&amp;"|",'CALENDARIO'!$G$15:$G$214,0)),IFERROR(INDEX('CALENDARIO'!$C$15:$C$214,MATCH(TEXT($J974,"yyyy-mm-dd")&amp;"||",'CALENDARIO'!$G$15:$G$214,0)),INDEX(patronHabil,WEEKDAY($J974,2))))))</f>
        <v/>
      </c>
      <c r="U974" s="5">
        <f>IF($I974="","",IFERROR(INDEX('CAT_TIPOS_OT'!$C$4:$C$8,MATCH($I974,'CAT_TIPOS_OT'!$A$4:$A$8,0)),"sin_clasificar"))</f>
        <v/>
      </c>
      <c r="V974" s="5">
        <f>IF($I974="","",IF(IFERROR(INDEX('CAT_TIPOS_OT'!$D$4:$D$8,MATCH($I974,'CAT_TIPOS_OT'!$A$4:$A$8,0)),"SIN CLASIFICAR")="","SIN CLASIFICAR",IFERROR(INDEX('CAT_TIPOS_OT'!$D$4:$D$8,MATCH($I974,'CAT_TIPOS_OT'!$A$4:$A$8,0)),"SIN CLASIFICAR")))</f>
        <v/>
      </c>
      <c r="W974" s="5">
        <f>IF($F974="","",IFERROR(INDEX('CAT_CENTROS_COSTO'!$F$4:$F$13,MATCH($F974,'CAT_CENTROS_COSTO'!$A$4:$A$13,0)),"(sin catálogo)"))</f>
        <v/>
      </c>
      <c r="X974" s="5">
        <f>IF($F974="","",IFERROR(INDEX('CAT_CENTROS_COSTO'!$D$4:$D$13,MATCH($F974,'CAT_CENTROS_COSTO'!$A$4:$A$13,0)),"(sin catálogo)"))</f>
        <v/>
      </c>
      <c r="Y974" s="5">
        <f>IF($F974="","",IF((IFERROR(INDEX('CAT_CENTROS_COSTO'!$E$4:$E$13,MATCH($F974,'CAT_CENTROS_COSTO'!$A$4:$A$13,0)),""))&lt;&gt;"",IFERROR(INDEX('CAT_CENTROS_COSTO'!$E$4:$E$13,MATCH($F974,'CAT_CENTROS_COSTO'!$A$4:$A$13,0)),""),$X974))</f>
        <v/>
      </c>
      <c r="Z974" s="5">
        <f>IF($F974="","",IFERROR(INDEX('CAT_CENTROS_COSTO'!$G$4:$G$13,MATCH($F974,'CAT_CENTROS_COSTO'!$A$4:$A$13,0)),"(sin catálogo)"))</f>
        <v/>
      </c>
      <c r="AA974" s="5">
        <f>IF($G974="","",IFERROR(INDEX('CAT_PUESTOS'!$B$4:$B$8,MATCH($G974,'CAT_PUESTOS'!$A$4:$A$8,0)),"(sin catálogo)"))</f>
        <v/>
      </c>
      <c r="AB974" s="5">
        <f>IF($H974="","",IFERROR(INDEX('CAT_ACTIVIDADES'!$B$4:$B$11,MATCH($H974,'CAT_ACTIVIDADES'!$A$4:$A$11,0)),"(sin catálogo)"))</f>
        <v/>
      </c>
      <c r="AC974" s="20">
        <f>IF($J974="","",TODAY()-$J974)</f>
        <v/>
      </c>
      <c r="AD974" s="20">
        <f>IF($J974="","",IF($J974&lt;=TODAY(),COUNTIFS(cal_fechas,"&gt;="&amp;$J974,cal_fechas,"&lt;"&amp;TODAY(),cal_habil,"sí"),-COUNTIFS(cal_fechas,"&gt;="&amp;TODAY(),cal_fechas,"&lt;"&amp;$J974,cal_habil,"sí")))</f>
        <v/>
      </c>
      <c r="AE974" s="5">
        <f>IF($AD974="","",IF($AD974&lt;0,"FUTURO",IF($AD974&gt;p_dias_backlog_max,"BACKLOG","MES CORRIENTE")))</f>
        <v/>
      </c>
      <c r="AF974" s="5">
        <f>IF($AD974="",FALSE,AND($AD974&gt;p_dias_backlog_min,$AD974&lt;=p_dias_backlog_max))</f>
        <v/>
      </c>
      <c r="AG974" s="4" t="n"/>
      <c r="AH974" s="5">
        <f>IF($AG974="","",IF((IFERROR(INDEX('ASIGNACIONES'!$J$4:$J$451,MATCH($O974&amp;"|"&amp;$S974&amp;"|"&amp;$AG974,'ASIGNACIONES'!$N$4:$N$451,0)),""))=0,"",IFERROR(INDEX('ASIGNACIONES'!$J$4:$J$451,MATCH($O974&amp;"|"&amp;$S974&amp;"|"&amp;$AG974,'ASIGNACIONES'!$N$4:$N$451,0)),"")))</f>
        <v/>
      </c>
      <c r="AI974" s="25">
        <f>IF($AG974="","",SUMIFS('ORDENES'!$M$4:$M$1203,'ORDENES'!$AG$4:$AG$1203,$AG974,'ORDENES'!$O$4:$O$1203,$O974,'ORDENES'!$S$4:$S$1203,$S974))</f>
        <v/>
      </c>
      <c r="AJ974" s="25">
        <f>IF($AI974="","",p_factor_productividad*IFERROR(INDEX('ASIGNACIONES'!$M$4:$M$451,MATCH($O974&amp;"|"&amp;$S974&amp;"|"&amp;$AG974,'ASIGNACIONES'!$N$4:$N$451,0)),0)-$AI974)</f>
        <v/>
      </c>
      <c r="AK974" s="18">
        <f>IF($A974="","",IFERROR(INDEX('2_IMPORTAR_EJECUCION'!$F$9:$F$1208,MATCH($AT974,'2_IMPORTAR_EJECUCION'!$J$9:$J$1208,0)),0))</f>
        <v/>
      </c>
      <c r="AL974" s="18">
        <f>IF($A974="","",MAX(0,IFERROR(INDEX('2_IMPORTAR_EJECUCION'!$H$9:$H$1208,MATCH($AT974,'2_IMPORTAR_EJECUCION'!$J$9:$J$1208,0)),0)-$AK974))</f>
        <v/>
      </c>
      <c r="AM974" s="18">
        <f>IF($A974="","",$AK974+$AL974)</f>
        <v/>
      </c>
      <c r="AN974" s="5">
        <f>IF($A974="","",IF(OR((IFERROR(INDEX('CAT_ACTIVIDADES'!$D$4:$D$11,MATCH($H974,'CAT_ACTIVIDADES'!$A$4:$A$11,0)),""))=0,(IFERROR(INDEX('CAT_ACTIVIDADES'!$D$4:$D$11,MATCH($H974,'CAT_ACTIVIDADES'!$A$4:$A$11,0)),""))=""),"SIN CLASIFICAR",IFERROR(INDEX('CAT_ACTIVIDADES'!$D$4:$D$11,MATCH($H974,'CAT_ACTIVIDADES'!$A$4:$A$11,0)),"")))</f>
        <v/>
      </c>
      <c r="AO974" s="4" t="n"/>
      <c r="AP974" s="4" t="n"/>
      <c r="AQ974" s="4" t="n"/>
      <c r="AR974" s="5">
        <f>IF($AQ974="","",HYPERLINK(p_ruta_base_checklists&amp;$AQ974,"abrir"))</f>
        <v/>
      </c>
      <c r="AS974" s="4" t="n"/>
      <c r="AT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2" t="n"/>
      <c r="K975" s="5" t="n"/>
      <c r="L975" s="18" t="n"/>
      <c r="M975" s="5">
        <f>IF($A975="","",IFERROR(INDEX('AJUSTES'!$B$4:$B$303,MATCH($AT975,'AJUSTES'!$A$4:$A$303,0)),IF($K975="","",$K975)))</f>
        <v/>
      </c>
      <c r="N975" s="5">
        <f>IF($A975="","",IFERROR(INDEX('CAT_ESTADOS_ERP'!$B$4:$B$7,MATCH(IFERROR(INDEX('2_IMPORTAR_EJECUCION'!$C$9:$C$1208,MATCH($AT975,'2_IMPORTAR_EJECUCION'!$J$9:$J$1208,0)),""),'CAT_ESTADOS_ERP'!$A$4:$A$7,0)),"Pendiente"))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IF($J975="","",$P975&amp;"-"&amp;TEXT($Q975,"00"))</f>
        <v/>
      </c>
      <c r="S975" s="5">
        <f>IF($J975="","",INDEX(lista_dias,WEEKDAY($J975,2)))</f>
        <v/>
      </c>
      <c r="T975" s="5">
        <f>IF($J975="","",IFERROR(INDEX('CALENDARIO'!$C$15:$C$214,MATCH(TEXT($J975,"yyyy-mm-dd")&amp;"|"&amp;$X975&amp;"|"&amp;$Y975,'CALENDARIO'!$G$15:$G$214,0)),IFERROR(INDEX('CALENDARIO'!$C$15:$C$214,MATCH(TEXT($J975,"yyyy-mm-dd")&amp;"|"&amp;$X975&amp;"|",'CALENDARIO'!$G$15:$G$214,0)),IFERROR(INDEX('CALENDARIO'!$C$15:$C$214,MATCH(TEXT($J975,"yyyy-mm-dd")&amp;"||",'CALENDARIO'!$G$15:$G$214,0)),INDEX(patronHabil,WEEKDAY($J975,2))))))</f>
        <v/>
      </c>
      <c r="U975" s="5">
        <f>IF($I975="","",IFERROR(INDEX('CAT_TIPOS_OT'!$C$4:$C$8,MATCH($I975,'CAT_TIPOS_OT'!$A$4:$A$8,0)),"sin_clasificar"))</f>
        <v/>
      </c>
      <c r="V975" s="5">
        <f>IF($I975="","",IF(IFERROR(INDEX('CAT_TIPOS_OT'!$D$4:$D$8,MATCH($I975,'CAT_TIPOS_OT'!$A$4:$A$8,0)),"SIN CLASIFICAR")="","SIN CLASIFICAR",IFERROR(INDEX('CAT_TIPOS_OT'!$D$4:$D$8,MATCH($I975,'CAT_TIPOS_OT'!$A$4:$A$8,0)),"SIN CLASIFICAR")))</f>
        <v/>
      </c>
      <c r="W975" s="5">
        <f>IF($F975="","",IFERROR(INDEX('CAT_CENTROS_COSTO'!$F$4:$F$13,MATCH($F975,'CAT_CENTROS_COSTO'!$A$4:$A$13,0)),"(sin catálogo)"))</f>
        <v/>
      </c>
      <c r="X975" s="5">
        <f>IF($F975="","",IFERROR(INDEX('CAT_CENTROS_COSTO'!$D$4:$D$13,MATCH($F975,'CAT_CENTROS_COSTO'!$A$4:$A$13,0)),"(sin catálogo)"))</f>
        <v/>
      </c>
      <c r="Y975" s="5">
        <f>IF($F975="","",IF((IFERROR(INDEX('CAT_CENTROS_COSTO'!$E$4:$E$13,MATCH($F975,'CAT_CENTROS_COSTO'!$A$4:$A$13,0)),""))&lt;&gt;"",IFERROR(INDEX('CAT_CENTROS_COSTO'!$E$4:$E$13,MATCH($F975,'CAT_CENTROS_COSTO'!$A$4:$A$13,0)),""),$X975))</f>
        <v/>
      </c>
      <c r="Z975" s="5">
        <f>IF($F975="","",IFERROR(INDEX('CAT_CENTROS_COSTO'!$G$4:$G$13,MATCH($F975,'CAT_CENTROS_COSTO'!$A$4:$A$13,0)),"(sin catálogo)"))</f>
        <v/>
      </c>
      <c r="AA975" s="5">
        <f>IF($G975="","",IFERROR(INDEX('CAT_PUESTOS'!$B$4:$B$8,MATCH($G975,'CAT_PUESTOS'!$A$4:$A$8,0)),"(sin catálogo)"))</f>
        <v/>
      </c>
      <c r="AB975" s="5">
        <f>IF($H975="","",IFERROR(INDEX('CAT_ACTIVIDADES'!$B$4:$B$11,MATCH($H975,'CAT_ACTIVIDADES'!$A$4:$A$11,0)),"(sin catálogo)"))</f>
        <v/>
      </c>
      <c r="AC975" s="20">
        <f>IF($J975="","",TODAY()-$J975)</f>
        <v/>
      </c>
      <c r="AD975" s="20">
        <f>IF($J975="","",IF($J975&lt;=TODAY(),COUNTIFS(cal_fechas,"&gt;="&amp;$J975,cal_fechas,"&lt;"&amp;TODAY(),cal_habil,"sí"),-COUNTIFS(cal_fechas,"&gt;="&amp;TODAY(),cal_fechas,"&lt;"&amp;$J975,cal_habil,"sí")))</f>
        <v/>
      </c>
      <c r="AE975" s="5">
        <f>IF($AD975="","",IF($AD975&lt;0,"FUTURO",IF($AD975&gt;p_dias_backlog_max,"BACKLOG","MES CORRIENTE")))</f>
        <v/>
      </c>
      <c r="AF975" s="5">
        <f>IF($AD975="",FALSE,AND($AD975&gt;p_dias_backlog_min,$AD975&lt;=p_dias_backlog_max))</f>
        <v/>
      </c>
      <c r="AG975" s="4" t="n"/>
      <c r="AH975" s="5">
        <f>IF($AG975="","",IF((IFERROR(INDEX('ASIGNACIONES'!$J$4:$J$451,MATCH($O975&amp;"|"&amp;$S975&amp;"|"&amp;$AG975,'ASIGNACIONES'!$N$4:$N$451,0)),""))=0,"",IFERROR(INDEX('ASIGNACIONES'!$J$4:$J$451,MATCH($O975&amp;"|"&amp;$S975&amp;"|"&amp;$AG975,'ASIGNACIONES'!$N$4:$N$451,0)),"")))</f>
        <v/>
      </c>
      <c r="AI975" s="25">
        <f>IF($AG975="","",SUMIFS('ORDENES'!$M$4:$M$1203,'ORDENES'!$AG$4:$AG$1203,$AG975,'ORDENES'!$O$4:$O$1203,$O975,'ORDENES'!$S$4:$S$1203,$S975))</f>
        <v/>
      </c>
      <c r="AJ975" s="25">
        <f>IF($AI975="","",p_factor_productividad*IFERROR(INDEX('ASIGNACIONES'!$M$4:$M$451,MATCH($O975&amp;"|"&amp;$S975&amp;"|"&amp;$AG975,'ASIGNACIONES'!$N$4:$N$451,0)),0)-$AI975)</f>
        <v/>
      </c>
      <c r="AK975" s="18">
        <f>IF($A975="","",IFERROR(INDEX('2_IMPORTAR_EJECUCION'!$F$9:$F$1208,MATCH($AT975,'2_IMPORTAR_EJECUCION'!$J$9:$J$1208,0)),0))</f>
        <v/>
      </c>
      <c r="AL975" s="18">
        <f>IF($A975="","",MAX(0,IFERROR(INDEX('2_IMPORTAR_EJECUCION'!$H$9:$H$1208,MATCH($AT975,'2_IMPORTAR_EJECUCION'!$J$9:$J$1208,0)),0)-$AK975))</f>
        <v/>
      </c>
      <c r="AM975" s="18">
        <f>IF($A975="","",$AK975+$AL975)</f>
        <v/>
      </c>
      <c r="AN975" s="5">
        <f>IF($A975="","",IF(OR((IFERROR(INDEX('CAT_ACTIVIDADES'!$D$4:$D$11,MATCH($H975,'CAT_ACTIVIDADES'!$A$4:$A$11,0)),""))=0,(IFERROR(INDEX('CAT_ACTIVIDADES'!$D$4:$D$11,MATCH($H975,'CAT_ACTIVIDADES'!$A$4:$A$11,0)),""))=""),"SIN CLASIFICAR",IFERROR(INDEX('CAT_ACTIVIDADES'!$D$4:$D$11,MATCH($H975,'CAT_ACTIVIDADES'!$A$4:$A$11,0)),"")))</f>
        <v/>
      </c>
      <c r="AO975" s="4" t="n"/>
      <c r="AP975" s="4" t="n"/>
      <c r="AQ975" s="4" t="n"/>
      <c r="AR975" s="5">
        <f>IF($AQ975="","",HYPERLINK(p_ruta_base_checklists&amp;$AQ975,"abrir"))</f>
        <v/>
      </c>
      <c r="AS975" s="4" t="n"/>
      <c r="AT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2" t="n"/>
      <c r="K976" s="5" t="n"/>
      <c r="L976" s="18" t="n"/>
      <c r="M976" s="5">
        <f>IF($A976="","",IFERROR(INDEX('AJUSTES'!$B$4:$B$303,MATCH($AT976,'AJUSTES'!$A$4:$A$303,0)),IF($K976="","",$K976)))</f>
        <v/>
      </c>
      <c r="N976" s="5">
        <f>IF($A976="","",IFERROR(INDEX('CAT_ESTADOS_ERP'!$B$4:$B$7,MATCH(IFERROR(INDEX('2_IMPORTAR_EJECUCION'!$C$9:$C$1208,MATCH($AT976,'2_IMPORTAR_EJECUCION'!$J$9:$J$1208,0)),""),'CAT_ESTADOS_ERP'!$A$4:$A$7,0)),"Pendiente"))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IF($J976="","",$P976&amp;"-"&amp;TEXT($Q976,"00"))</f>
        <v/>
      </c>
      <c r="S976" s="5">
        <f>IF($J976="","",INDEX(lista_dias,WEEKDAY($J976,2)))</f>
        <v/>
      </c>
      <c r="T976" s="5">
        <f>IF($J976="","",IFERROR(INDEX('CALENDARIO'!$C$15:$C$214,MATCH(TEXT($J976,"yyyy-mm-dd")&amp;"|"&amp;$X976&amp;"|"&amp;$Y976,'CALENDARIO'!$G$15:$G$214,0)),IFERROR(INDEX('CALENDARIO'!$C$15:$C$214,MATCH(TEXT($J976,"yyyy-mm-dd")&amp;"|"&amp;$X976&amp;"|",'CALENDARIO'!$G$15:$G$214,0)),IFERROR(INDEX('CALENDARIO'!$C$15:$C$214,MATCH(TEXT($J976,"yyyy-mm-dd")&amp;"||",'CALENDARIO'!$G$15:$G$214,0)),INDEX(patronHabil,WEEKDAY($J976,2))))))</f>
        <v/>
      </c>
      <c r="U976" s="5">
        <f>IF($I976="","",IFERROR(INDEX('CAT_TIPOS_OT'!$C$4:$C$8,MATCH($I976,'CAT_TIPOS_OT'!$A$4:$A$8,0)),"sin_clasificar"))</f>
        <v/>
      </c>
      <c r="V976" s="5">
        <f>IF($I976="","",IF(IFERROR(INDEX('CAT_TIPOS_OT'!$D$4:$D$8,MATCH($I976,'CAT_TIPOS_OT'!$A$4:$A$8,0)),"SIN CLASIFICAR")="","SIN CLASIFICAR",IFERROR(INDEX('CAT_TIPOS_OT'!$D$4:$D$8,MATCH($I976,'CAT_TIPOS_OT'!$A$4:$A$8,0)),"SIN CLASIFICAR")))</f>
        <v/>
      </c>
      <c r="W976" s="5">
        <f>IF($F976="","",IFERROR(INDEX('CAT_CENTROS_COSTO'!$F$4:$F$13,MATCH($F976,'CAT_CENTROS_COSTO'!$A$4:$A$13,0)),"(sin catálogo)"))</f>
        <v/>
      </c>
      <c r="X976" s="5">
        <f>IF($F976="","",IFERROR(INDEX('CAT_CENTROS_COSTO'!$D$4:$D$13,MATCH($F976,'CAT_CENTROS_COSTO'!$A$4:$A$13,0)),"(sin catálogo)"))</f>
        <v/>
      </c>
      <c r="Y976" s="5">
        <f>IF($F976="","",IF((IFERROR(INDEX('CAT_CENTROS_COSTO'!$E$4:$E$13,MATCH($F976,'CAT_CENTROS_COSTO'!$A$4:$A$13,0)),""))&lt;&gt;"",IFERROR(INDEX('CAT_CENTROS_COSTO'!$E$4:$E$13,MATCH($F976,'CAT_CENTROS_COSTO'!$A$4:$A$13,0)),""),$X976))</f>
        <v/>
      </c>
      <c r="Z976" s="5">
        <f>IF($F976="","",IFERROR(INDEX('CAT_CENTROS_COSTO'!$G$4:$G$13,MATCH($F976,'CAT_CENTROS_COSTO'!$A$4:$A$13,0)),"(sin catálogo)"))</f>
        <v/>
      </c>
      <c r="AA976" s="5">
        <f>IF($G976="","",IFERROR(INDEX('CAT_PUESTOS'!$B$4:$B$8,MATCH($G976,'CAT_PUESTOS'!$A$4:$A$8,0)),"(sin catálogo)"))</f>
        <v/>
      </c>
      <c r="AB976" s="5">
        <f>IF($H976="","",IFERROR(INDEX('CAT_ACTIVIDADES'!$B$4:$B$11,MATCH($H976,'CAT_ACTIVIDADES'!$A$4:$A$11,0)),"(sin catálogo)"))</f>
        <v/>
      </c>
      <c r="AC976" s="20">
        <f>IF($J976="","",TODAY()-$J976)</f>
        <v/>
      </c>
      <c r="AD976" s="20">
        <f>IF($J976="","",IF($J976&lt;=TODAY(),COUNTIFS(cal_fechas,"&gt;="&amp;$J976,cal_fechas,"&lt;"&amp;TODAY(),cal_habil,"sí"),-COUNTIFS(cal_fechas,"&gt;="&amp;TODAY(),cal_fechas,"&lt;"&amp;$J976,cal_habil,"sí")))</f>
        <v/>
      </c>
      <c r="AE976" s="5">
        <f>IF($AD976="","",IF($AD976&lt;0,"FUTURO",IF($AD976&gt;p_dias_backlog_max,"BACKLOG","MES CORRIENTE")))</f>
        <v/>
      </c>
      <c r="AF976" s="5">
        <f>IF($AD976="",FALSE,AND($AD976&gt;p_dias_backlog_min,$AD976&lt;=p_dias_backlog_max))</f>
        <v/>
      </c>
      <c r="AG976" s="4" t="n"/>
      <c r="AH976" s="5">
        <f>IF($AG976="","",IF((IFERROR(INDEX('ASIGNACIONES'!$J$4:$J$451,MATCH($O976&amp;"|"&amp;$S976&amp;"|"&amp;$AG976,'ASIGNACIONES'!$N$4:$N$451,0)),""))=0,"",IFERROR(INDEX('ASIGNACIONES'!$J$4:$J$451,MATCH($O976&amp;"|"&amp;$S976&amp;"|"&amp;$AG976,'ASIGNACIONES'!$N$4:$N$451,0)),"")))</f>
        <v/>
      </c>
      <c r="AI976" s="25">
        <f>IF($AG976="","",SUMIFS('ORDENES'!$M$4:$M$1203,'ORDENES'!$AG$4:$AG$1203,$AG976,'ORDENES'!$O$4:$O$1203,$O976,'ORDENES'!$S$4:$S$1203,$S976))</f>
        <v/>
      </c>
      <c r="AJ976" s="25">
        <f>IF($AI976="","",p_factor_productividad*IFERROR(INDEX('ASIGNACIONES'!$M$4:$M$451,MATCH($O976&amp;"|"&amp;$S976&amp;"|"&amp;$AG976,'ASIGNACIONES'!$N$4:$N$451,0)),0)-$AI976)</f>
        <v/>
      </c>
      <c r="AK976" s="18">
        <f>IF($A976="","",IFERROR(INDEX('2_IMPORTAR_EJECUCION'!$F$9:$F$1208,MATCH($AT976,'2_IMPORTAR_EJECUCION'!$J$9:$J$1208,0)),0))</f>
        <v/>
      </c>
      <c r="AL976" s="18">
        <f>IF($A976="","",MAX(0,IFERROR(INDEX('2_IMPORTAR_EJECUCION'!$H$9:$H$1208,MATCH($AT976,'2_IMPORTAR_EJECUCION'!$J$9:$J$1208,0)),0)-$AK976))</f>
        <v/>
      </c>
      <c r="AM976" s="18">
        <f>IF($A976="","",$AK976+$AL976)</f>
        <v/>
      </c>
      <c r="AN976" s="5">
        <f>IF($A976="","",IF(OR((IFERROR(INDEX('CAT_ACTIVIDADES'!$D$4:$D$11,MATCH($H976,'CAT_ACTIVIDADES'!$A$4:$A$11,0)),""))=0,(IFERROR(INDEX('CAT_ACTIVIDADES'!$D$4:$D$11,MATCH($H976,'CAT_ACTIVIDADES'!$A$4:$A$11,0)),""))=""),"SIN CLASIFICAR",IFERROR(INDEX('CAT_ACTIVIDADES'!$D$4:$D$11,MATCH($H976,'CAT_ACTIVIDADES'!$A$4:$A$11,0)),"")))</f>
        <v/>
      </c>
      <c r="AO976" s="4" t="n"/>
      <c r="AP976" s="4" t="n"/>
      <c r="AQ976" s="4" t="n"/>
      <c r="AR976" s="5">
        <f>IF($AQ976="","",HYPERLINK(p_ruta_base_checklists&amp;$AQ976,"abrir"))</f>
        <v/>
      </c>
      <c r="AS976" s="4" t="n"/>
      <c r="AT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2" t="n"/>
      <c r="K977" s="5" t="n"/>
      <c r="L977" s="18" t="n"/>
      <c r="M977" s="5">
        <f>IF($A977="","",IFERROR(INDEX('AJUSTES'!$B$4:$B$303,MATCH($AT977,'AJUSTES'!$A$4:$A$303,0)),IF($K977="","",$K977)))</f>
        <v/>
      </c>
      <c r="N977" s="5">
        <f>IF($A977="","",IFERROR(INDEX('CAT_ESTADOS_ERP'!$B$4:$B$7,MATCH(IFERROR(INDEX('2_IMPORTAR_EJECUCION'!$C$9:$C$1208,MATCH($AT977,'2_IMPORTAR_EJECUCION'!$J$9:$J$1208,0)),""),'CAT_ESTADOS_ERP'!$A$4:$A$7,0)),"Pendiente"))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IF($J977="","",$P977&amp;"-"&amp;TEXT($Q977,"00"))</f>
        <v/>
      </c>
      <c r="S977" s="5">
        <f>IF($J977="","",INDEX(lista_dias,WEEKDAY($J977,2)))</f>
        <v/>
      </c>
      <c r="T977" s="5">
        <f>IF($J977="","",IFERROR(INDEX('CALENDARIO'!$C$15:$C$214,MATCH(TEXT($J977,"yyyy-mm-dd")&amp;"|"&amp;$X977&amp;"|"&amp;$Y977,'CALENDARIO'!$G$15:$G$214,0)),IFERROR(INDEX('CALENDARIO'!$C$15:$C$214,MATCH(TEXT($J977,"yyyy-mm-dd")&amp;"|"&amp;$X977&amp;"|",'CALENDARIO'!$G$15:$G$214,0)),IFERROR(INDEX('CALENDARIO'!$C$15:$C$214,MATCH(TEXT($J977,"yyyy-mm-dd")&amp;"||",'CALENDARIO'!$G$15:$G$214,0)),INDEX(patronHabil,WEEKDAY($J977,2))))))</f>
        <v/>
      </c>
      <c r="U977" s="5">
        <f>IF($I977="","",IFERROR(INDEX('CAT_TIPOS_OT'!$C$4:$C$8,MATCH($I977,'CAT_TIPOS_OT'!$A$4:$A$8,0)),"sin_clasificar"))</f>
        <v/>
      </c>
      <c r="V977" s="5">
        <f>IF($I977="","",IF(IFERROR(INDEX('CAT_TIPOS_OT'!$D$4:$D$8,MATCH($I977,'CAT_TIPOS_OT'!$A$4:$A$8,0)),"SIN CLASIFICAR")="","SIN CLASIFICAR",IFERROR(INDEX('CAT_TIPOS_OT'!$D$4:$D$8,MATCH($I977,'CAT_TIPOS_OT'!$A$4:$A$8,0)),"SIN CLASIFICAR")))</f>
        <v/>
      </c>
      <c r="W977" s="5">
        <f>IF($F977="","",IFERROR(INDEX('CAT_CENTROS_COSTO'!$F$4:$F$13,MATCH($F977,'CAT_CENTROS_COSTO'!$A$4:$A$13,0)),"(sin catálogo)"))</f>
        <v/>
      </c>
      <c r="X977" s="5">
        <f>IF($F977="","",IFERROR(INDEX('CAT_CENTROS_COSTO'!$D$4:$D$13,MATCH($F977,'CAT_CENTROS_COSTO'!$A$4:$A$13,0)),"(sin catálogo)"))</f>
        <v/>
      </c>
      <c r="Y977" s="5">
        <f>IF($F977="","",IF((IFERROR(INDEX('CAT_CENTROS_COSTO'!$E$4:$E$13,MATCH($F977,'CAT_CENTROS_COSTO'!$A$4:$A$13,0)),""))&lt;&gt;"",IFERROR(INDEX('CAT_CENTROS_COSTO'!$E$4:$E$13,MATCH($F977,'CAT_CENTROS_COSTO'!$A$4:$A$13,0)),""),$X977))</f>
        <v/>
      </c>
      <c r="Z977" s="5">
        <f>IF($F977="","",IFERROR(INDEX('CAT_CENTROS_COSTO'!$G$4:$G$13,MATCH($F977,'CAT_CENTROS_COSTO'!$A$4:$A$13,0)),"(sin catálogo)"))</f>
        <v/>
      </c>
      <c r="AA977" s="5">
        <f>IF($G977="","",IFERROR(INDEX('CAT_PUESTOS'!$B$4:$B$8,MATCH($G977,'CAT_PUESTOS'!$A$4:$A$8,0)),"(sin catálogo)"))</f>
        <v/>
      </c>
      <c r="AB977" s="5">
        <f>IF($H977="","",IFERROR(INDEX('CAT_ACTIVIDADES'!$B$4:$B$11,MATCH($H977,'CAT_ACTIVIDADES'!$A$4:$A$11,0)),"(sin catálogo)"))</f>
        <v/>
      </c>
      <c r="AC977" s="20">
        <f>IF($J977="","",TODAY()-$J977)</f>
        <v/>
      </c>
      <c r="AD977" s="20">
        <f>IF($J977="","",IF($J977&lt;=TODAY(),COUNTIFS(cal_fechas,"&gt;="&amp;$J977,cal_fechas,"&lt;"&amp;TODAY(),cal_habil,"sí"),-COUNTIFS(cal_fechas,"&gt;="&amp;TODAY(),cal_fechas,"&lt;"&amp;$J977,cal_habil,"sí")))</f>
        <v/>
      </c>
      <c r="AE977" s="5">
        <f>IF($AD977="","",IF($AD977&lt;0,"FUTURO",IF($AD977&gt;p_dias_backlog_max,"BACKLOG","MES CORRIENTE")))</f>
        <v/>
      </c>
      <c r="AF977" s="5">
        <f>IF($AD977="",FALSE,AND($AD977&gt;p_dias_backlog_min,$AD977&lt;=p_dias_backlog_max))</f>
        <v/>
      </c>
      <c r="AG977" s="4" t="n"/>
      <c r="AH977" s="5">
        <f>IF($AG977="","",IF((IFERROR(INDEX('ASIGNACIONES'!$J$4:$J$451,MATCH($O977&amp;"|"&amp;$S977&amp;"|"&amp;$AG977,'ASIGNACIONES'!$N$4:$N$451,0)),""))=0,"",IFERROR(INDEX('ASIGNACIONES'!$J$4:$J$451,MATCH($O977&amp;"|"&amp;$S977&amp;"|"&amp;$AG977,'ASIGNACIONES'!$N$4:$N$451,0)),"")))</f>
        <v/>
      </c>
      <c r="AI977" s="25">
        <f>IF($AG977="","",SUMIFS('ORDENES'!$M$4:$M$1203,'ORDENES'!$AG$4:$AG$1203,$AG977,'ORDENES'!$O$4:$O$1203,$O977,'ORDENES'!$S$4:$S$1203,$S977))</f>
        <v/>
      </c>
      <c r="AJ977" s="25">
        <f>IF($AI977="","",p_factor_productividad*IFERROR(INDEX('ASIGNACIONES'!$M$4:$M$451,MATCH($O977&amp;"|"&amp;$S977&amp;"|"&amp;$AG977,'ASIGNACIONES'!$N$4:$N$451,0)),0)-$AI977)</f>
        <v/>
      </c>
      <c r="AK977" s="18">
        <f>IF($A977="","",IFERROR(INDEX('2_IMPORTAR_EJECUCION'!$F$9:$F$1208,MATCH($AT977,'2_IMPORTAR_EJECUCION'!$J$9:$J$1208,0)),0))</f>
        <v/>
      </c>
      <c r="AL977" s="18">
        <f>IF($A977="","",MAX(0,IFERROR(INDEX('2_IMPORTAR_EJECUCION'!$H$9:$H$1208,MATCH($AT977,'2_IMPORTAR_EJECUCION'!$J$9:$J$1208,0)),0)-$AK977))</f>
        <v/>
      </c>
      <c r="AM977" s="18">
        <f>IF($A977="","",$AK977+$AL977)</f>
        <v/>
      </c>
      <c r="AN977" s="5">
        <f>IF($A977="","",IF(OR((IFERROR(INDEX('CAT_ACTIVIDADES'!$D$4:$D$11,MATCH($H977,'CAT_ACTIVIDADES'!$A$4:$A$11,0)),""))=0,(IFERROR(INDEX('CAT_ACTIVIDADES'!$D$4:$D$11,MATCH($H977,'CAT_ACTIVIDADES'!$A$4:$A$11,0)),""))=""),"SIN CLASIFICAR",IFERROR(INDEX('CAT_ACTIVIDADES'!$D$4:$D$11,MATCH($H977,'CAT_ACTIVIDADES'!$A$4:$A$11,0)),"")))</f>
        <v/>
      </c>
      <c r="AO977" s="4" t="n"/>
      <c r="AP977" s="4" t="n"/>
      <c r="AQ977" s="4" t="n"/>
      <c r="AR977" s="5">
        <f>IF($AQ977="","",HYPERLINK(p_ruta_base_checklists&amp;$AQ977,"abrir"))</f>
        <v/>
      </c>
      <c r="AS977" s="4" t="n"/>
      <c r="AT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2" t="n"/>
      <c r="K978" s="5" t="n"/>
      <c r="L978" s="18" t="n"/>
      <c r="M978" s="5">
        <f>IF($A978="","",IFERROR(INDEX('AJUSTES'!$B$4:$B$303,MATCH($AT978,'AJUSTES'!$A$4:$A$303,0)),IF($K978="","",$K978)))</f>
        <v/>
      </c>
      <c r="N978" s="5">
        <f>IF($A978="","",IFERROR(INDEX('CAT_ESTADOS_ERP'!$B$4:$B$7,MATCH(IFERROR(INDEX('2_IMPORTAR_EJECUCION'!$C$9:$C$1208,MATCH($AT978,'2_IMPORTAR_EJECUCION'!$J$9:$J$1208,0)),""),'CAT_ESTADOS_ERP'!$A$4:$A$7,0)),"Pendiente"))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IF($J978="","",$P978&amp;"-"&amp;TEXT($Q978,"00"))</f>
        <v/>
      </c>
      <c r="S978" s="5">
        <f>IF($J978="","",INDEX(lista_dias,WEEKDAY($J978,2)))</f>
        <v/>
      </c>
      <c r="T978" s="5">
        <f>IF($J978="","",IFERROR(INDEX('CALENDARIO'!$C$15:$C$214,MATCH(TEXT($J978,"yyyy-mm-dd")&amp;"|"&amp;$X978&amp;"|"&amp;$Y978,'CALENDARIO'!$G$15:$G$214,0)),IFERROR(INDEX('CALENDARIO'!$C$15:$C$214,MATCH(TEXT($J978,"yyyy-mm-dd")&amp;"|"&amp;$X978&amp;"|",'CALENDARIO'!$G$15:$G$214,0)),IFERROR(INDEX('CALENDARIO'!$C$15:$C$214,MATCH(TEXT($J978,"yyyy-mm-dd")&amp;"||",'CALENDARIO'!$G$15:$G$214,0)),INDEX(patronHabil,WEEKDAY($J978,2))))))</f>
        <v/>
      </c>
      <c r="U978" s="5">
        <f>IF($I978="","",IFERROR(INDEX('CAT_TIPOS_OT'!$C$4:$C$8,MATCH($I978,'CAT_TIPOS_OT'!$A$4:$A$8,0)),"sin_clasificar"))</f>
        <v/>
      </c>
      <c r="V978" s="5">
        <f>IF($I978="","",IF(IFERROR(INDEX('CAT_TIPOS_OT'!$D$4:$D$8,MATCH($I978,'CAT_TIPOS_OT'!$A$4:$A$8,0)),"SIN CLASIFICAR")="","SIN CLASIFICAR",IFERROR(INDEX('CAT_TIPOS_OT'!$D$4:$D$8,MATCH($I978,'CAT_TIPOS_OT'!$A$4:$A$8,0)),"SIN CLASIFICAR")))</f>
        <v/>
      </c>
      <c r="W978" s="5">
        <f>IF($F978="","",IFERROR(INDEX('CAT_CENTROS_COSTO'!$F$4:$F$13,MATCH($F978,'CAT_CENTROS_COSTO'!$A$4:$A$13,0)),"(sin catálogo)"))</f>
        <v/>
      </c>
      <c r="X978" s="5">
        <f>IF($F978="","",IFERROR(INDEX('CAT_CENTROS_COSTO'!$D$4:$D$13,MATCH($F978,'CAT_CENTROS_COSTO'!$A$4:$A$13,0)),"(sin catálogo)"))</f>
        <v/>
      </c>
      <c r="Y978" s="5">
        <f>IF($F978="","",IF((IFERROR(INDEX('CAT_CENTROS_COSTO'!$E$4:$E$13,MATCH($F978,'CAT_CENTROS_COSTO'!$A$4:$A$13,0)),""))&lt;&gt;"",IFERROR(INDEX('CAT_CENTROS_COSTO'!$E$4:$E$13,MATCH($F978,'CAT_CENTROS_COSTO'!$A$4:$A$13,0)),""),$X978))</f>
        <v/>
      </c>
      <c r="Z978" s="5">
        <f>IF($F978="","",IFERROR(INDEX('CAT_CENTROS_COSTO'!$G$4:$G$13,MATCH($F978,'CAT_CENTROS_COSTO'!$A$4:$A$13,0)),"(sin catálogo)"))</f>
        <v/>
      </c>
      <c r="AA978" s="5">
        <f>IF($G978="","",IFERROR(INDEX('CAT_PUESTOS'!$B$4:$B$8,MATCH($G978,'CAT_PUESTOS'!$A$4:$A$8,0)),"(sin catálogo)"))</f>
        <v/>
      </c>
      <c r="AB978" s="5">
        <f>IF($H978="","",IFERROR(INDEX('CAT_ACTIVIDADES'!$B$4:$B$11,MATCH($H978,'CAT_ACTIVIDADES'!$A$4:$A$11,0)),"(sin catálogo)"))</f>
        <v/>
      </c>
      <c r="AC978" s="20">
        <f>IF($J978="","",TODAY()-$J978)</f>
        <v/>
      </c>
      <c r="AD978" s="20">
        <f>IF($J978="","",IF($J978&lt;=TODAY(),COUNTIFS(cal_fechas,"&gt;="&amp;$J978,cal_fechas,"&lt;"&amp;TODAY(),cal_habil,"sí"),-COUNTIFS(cal_fechas,"&gt;="&amp;TODAY(),cal_fechas,"&lt;"&amp;$J978,cal_habil,"sí")))</f>
        <v/>
      </c>
      <c r="AE978" s="5">
        <f>IF($AD978="","",IF($AD978&lt;0,"FUTURO",IF($AD978&gt;p_dias_backlog_max,"BACKLOG","MES CORRIENTE")))</f>
        <v/>
      </c>
      <c r="AF978" s="5">
        <f>IF($AD978="",FALSE,AND($AD978&gt;p_dias_backlog_min,$AD978&lt;=p_dias_backlog_max))</f>
        <v/>
      </c>
      <c r="AG978" s="4" t="n"/>
      <c r="AH978" s="5">
        <f>IF($AG978="","",IF((IFERROR(INDEX('ASIGNACIONES'!$J$4:$J$451,MATCH($O978&amp;"|"&amp;$S978&amp;"|"&amp;$AG978,'ASIGNACIONES'!$N$4:$N$451,0)),""))=0,"",IFERROR(INDEX('ASIGNACIONES'!$J$4:$J$451,MATCH($O978&amp;"|"&amp;$S978&amp;"|"&amp;$AG978,'ASIGNACIONES'!$N$4:$N$451,0)),"")))</f>
        <v/>
      </c>
      <c r="AI978" s="25">
        <f>IF($AG978="","",SUMIFS('ORDENES'!$M$4:$M$1203,'ORDENES'!$AG$4:$AG$1203,$AG978,'ORDENES'!$O$4:$O$1203,$O978,'ORDENES'!$S$4:$S$1203,$S978))</f>
        <v/>
      </c>
      <c r="AJ978" s="25">
        <f>IF($AI978="","",p_factor_productividad*IFERROR(INDEX('ASIGNACIONES'!$M$4:$M$451,MATCH($O978&amp;"|"&amp;$S978&amp;"|"&amp;$AG978,'ASIGNACIONES'!$N$4:$N$451,0)),0)-$AI978)</f>
        <v/>
      </c>
      <c r="AK978" s="18">
        <f>IF($A978="","",IFERROR(INDEX('2_IMPORTAR_EJECUCION'!$F$9:$F$1208,MATCH($AT978,'2_IMPORTAR_EJECUCION'!$J$9:$J$1208,0)),0))</f>
        <v/>
      </c>
      <c r="AL978" s="18">
        <f>IF($A978="","",MAX(0,IFERROR(INDEX('2_IMPORTAR_EJECUCION'!$H$9:$H$1208,MATCH($AT978,'2_IMPORTAR_EJECUCION'!$J$9:$J$1208,0)),0)-$AK978))</f>
        <v/>
      </c>
      <c r="AM978" s="18">
        <f>IF($A978="","",$AK978+$AL978)</f>
        <v/>
      </c>
      <c r="AN978" s="5">
        <f>IF($A978="","",IF(OR((IFERROR(INDEX('CAT_ACTIVIDADES'!$D$4:$D$11,MATCH($H978,'CAT_ACTIVIDADES'!$A$4:$A$11,0)),""))=0,(IFERROR(INDEX('CAT_ACTIVIDADES'!$D$4:$D$11,MATCH($H978,'CAT_ACTIVIDADES'!$A$4:$A$11,0)),""))=""),"SIN CLASIFICAR",IFERROR(INDEX('CAT_ACTIVIDADES'!$D$4:$D$11,MATCH($H978,'CAT_ACTIVIDADES'!$A$4:$A$11,0)),"")))</f>
        <v/>
      </c>
      <c r="AO978" s="4" t="n"/>
      <c r="AP978" s="4" t="n"/>
      <c r="AQ978" s="4" t="n"/>
      <c r="AR978" s="5">
        <f>IF($AQ978="","",HYPERLINK(p_ruta_base_checklists&amp;$AQ978,"abrir"))</f>
        <v/>
      </c>
      <c r="AS978" s="4" t="n"/>
      <c r="AT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2" t="n"/>
      <c r="K979" s="5" t="n"/>
      <c r="L979" s="18" t="n"/>
      <c r="M979" s="5">
        <f>IF($A979="","",IFERROR(INDEX('AJUSTES'!$B$4:$B$303,MATCH($AT979,'AJUSTES'!$A$4:$A$303,0)),IF($K979="","",$K979)))</f>
        <v/>
      </c>
      <c r="N979" s="5">
        <f>IF($A979="","",IFERROR(INDEX('CAT_ESTADOS_ERP'!$B$4:$B$7,MATCH(IFERROR(INDEX('2_IMPORTAR_EJECUCION'!$C$9:$C$1208,MATCH($AT979,'2_IMPORTAR_EJECUCION'!$J$9:$J$1208,0)),""),'CAT_ESTADOS_ERP'!$A$4:$A$7,0)),"Pendiente"))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IF($J979="","",$P979&amp;"-"&amp;TEXT($Q979,"00"))</f>
        <v/>
      </c>
      <c r="S979" s="5">
        <f>IF($J979="","",INDEX(lista_dias,WEEKDAY($J979,2)))</f>
        <v/>
      </c>
      <c r="T979" s="5">
        <f>IF($J979="","",IFERROR(INDEX('CALENDARIO'!$C$15:$C$214,MATCH(TEXT($J979,"yyyy-mm-dd")&amp;"|"&amp;$X979&amp;"|"&amp;$Y979,'CALENDARIO'!$G$15:$G$214,0)),IFERROR(INDEX('CALENDARIO'!$C$15:$C$214,MATCH(TEXT($J979,"yyyy-mm-dd")&amp;"|"&amp;$X979&amp;"|",'CALENDARIO'!$G$15:$G$214,0)),IFERROR(INDEX('CALENDARIO'!$C$15:$C$214,MATCH(TEXT($J979,"yyyy-mm-dd")&amp;"||",'CALENDARIO'!$G$15:$G$214,0)),INDEX(patronHabil,WEEKDAY($J979,2))))))</f>
        <v/>
      </c>
      <c r="U979" s="5">
        <f>IF($I979="","",IFERROR(INDEX('CAT_TIPOS_OT'!$C$4:$C$8,MATCH($I979,'CAT_TIPOS_OT'!$A$4:$A$8,0)),"sin_clasificar"))</f>
        <v/>
      </c>
      <c r="V979" s="5">
        <f>IF($I979="","",IF(IFERROR(INDEX('CAT_TIPOS_OT'!$D$4:$D$8,MATCH($I979,'CAT_TIPOS_OT'!$A$4:$A$8,0)),"SIN CLASIFICAR")="","SIN CLASIFICAR",IFERROR(INDEX('CAT_TIPOS_OT'!$D$4:$D$8,MATCH($I979,'CAT_TIPOS_OT'!$A$4:$A$8,0)),"SIN CLASIFICAR")))</f>
        <v/>
      </c>
      <c r="W979" s="5">
        <f>IF($F979="","",IFERROR(INDEX('CAT_CENTROS_COSTO'!$F$4:$F$13,MATCH($F979,'CAT_CENTROS_COSTO'!$A$4:$A$13,0)),"(sin catálogo)"))</f>
        <v/>
      </c>
      <c r="X979" s="5">
        <f>IF($F979="","",IFERROR(INDEX('CAT_CENTROS_COSTO'!$D$4:$D$13,MATCH($F979,'CAT_CENTROS_COSTO'!$A$4:$A$13,0)),"(sin catálogo)"))</f>
        <v/>
      </c>
      <c r="Y979" s="5">
        <f>IF($F979="","",IF((IFERROR(INDEX('CAT_CENTROS_COSTO'!$E$4:$E$13,MATCH($F979,'CAT_CENTROS_COSTO'!$A$4:$A$13,0)),""))&lt;&gt;"",IFERROR(INDEX('CAT_CENTROS_COSTO'!$E$4:$E$13,MATCH($F979,'CAT_CENTROS_COSTO'!$A$4:$A$13,0)),""),$X979))</f>
        <v/>
      </c>
      <c r="Z979" s="5">
        <f>IF($F979="","",IFERROR(INDEX('CAT_CENTROS_COSTO'!$G$4:$G$13,MATCH($F979,'CAT_CENTROS_COSTO'!$A$4:$A$13,0)),"(sin catálogo)"))</f>
        <v/>
      </c>
      <c r="AA979" s="5">
        <f>IF($G979="","",IFERROR(INDEX('CAT_PUESTOS'!$B$4:$B$8,MATCH($G979,'CAT_PUESTOS'!$A$4:$A$8,0)),"(sin catálogo)"))</f>
        <v/>
      </c>
      <c r="AB979" s="5">
        <f>IF($H979="","",IFERROR(INDEX('CAT_ACTIVIDADES'!$B$4:$B$11,MATCH($H979,'CAT_ACTIVIDADES'!$A$4:$A$11,0)),"(sin catálogo)"))</f>
        <v/>
      </c>
      <c r="AC979" s="20">
        <f>IF($J979="","",TODAY()-$J979)</f>
        <v/>
      </c>
      <c r="AD979" s="20">
        <f>IF($J979="","",IF($J979&lt;=TODAY(),COUNTIFS(cal_fechas,"&gt;="&amp;$J979,cal_fechas,"&lt;"&amp;TODAY(),cal_habil,"sí"),-COUNTIFS(cal_fechas,"&gt;="&amp;TODAY(),cal_fechas,"&lt;"&amp;$J979,cal_habil,"sí")))</f>
        <v/>
      </c>
      <c r="AE979" s="5">
        <f>IF($AD979="","",IF($AD979&lt;0,"FUTURO",IF($AD979&gt;p_dias_backlog_max,"BACKLOG","MES CORRIENTE")))</f>
        <v/>
      </c>
      <c r="AF979" s="5">
        <f>IF($AD979="",FALSE,AND($AD979&gt;p_dias_backlog_min,$AD979&lt;=p_dias_backlog_max))</f>
        <v/>
      </c>
      <c r="AG979" s="4" t="n"/>
      <c r="AH979" s="5">
        <f>IF($AG979="","",IF((IFERROR(INDEX('ASIGNACIONES'!$J$4:$J$451,MATCH($O979&amp;"|"&amp;$S979&amp;"|"&amp;$AG979,'ASIGNACIONES'!$N$4:$N$451,0)),""))=0,"",IFERROR(INDEX('ASIGNACIONES'!$J$4:$J$451,MATCH($O979&amp;"|"&amp;$S979&amp;"|"&amp;$AG979,'ASIGNACIONES'!$N$4:$N$451,0)),"")))</f>
        <v/>
      </c>
      <c r="AI979" s="25">
        <f>IF($AG979="","",SUMIFS('ORDENES'!$M$4:$M$1203,'ORDENES'!$AG$4:$AG$1203,$AG979,'ORDENES'!$O$4:$O$1203,$O979,'ORDENES'!$S$4:$S$1203,$S979))</f>
        <v/>
      </c>
      <c r="AJ979" s="25">
        <f>IF($AI979="","",p_factor_productividad*IFERROR(INDEX('ASIGNACIONES'!$M$4:$M$451,MATCH($O979&amp;"|"&amp;$S979&amp;"|"&amp;$AG979,'ASIGNACIONES'!$N$4:$N$451,0)),0)-$AI979)</f>
        <v/>
      </c>
      <c r="AK979" s="18">
        <f>IF($A979="","",IFERROR(INDEX('2_IMPORTAR_EJECUCION'!$F$9:$F$1208,MATCH($AT979,'2_IMPORTAR_EJECUCION'!$J$9:$J$1208,0)),0))</f>
        <v/>
      </c>
      <c r="AL979" s="18">
        <f>IF($A979="","",MAX(0,IFERROR(INDEX('2_IMPORTAR_EJECUCION'!$H$9:$H$1208,MATCH($AT979,'2_IMPORTAR_EJECUCION'!$J$9:$J$1208,0)),0)-$AK979))</f>
        <v/>
      </c>
      <c r="AM979" s="18">
        <f>IF($A979="","",$AK979+$AL979)</f>
        <v/>
      </c>
      <c r="AN979" s="5">
        <f>IF($A979="","",IF(OR((IFERROR(INDEX('CAT_ACTIVIDADES'!$D$4:$D$11,MATCH($H979,'CAT_ACTIVIDADES'!$A$4:$A$11,0)),""))=0,(IFERROR(INDEX('CAT_ACTIVIDADES'!$D$4:$D$11,MATCH($H979,'CAT_ACTIVIDADES'!$A$4:$A$11,0)),""))=""),"SIN CLASIFICAR",IFERROR(INDEX('CAT_ACTIVIDADES'!$D$4:$D$11,MATCH($H979,'CAT_ACTIVIDADES'!$A$4:$A$11,0)),"")))</f>
        <v/>
      </c>
      <c r="AO979" s="4" t="n"/>
      <c r="AP979" s="4" t="n"/>
      <c r="AQ979" s="4" t="n"/>
      <c r="AR979" s="5">
        <f>IF($AQ979="","",HYPERLINK(p_ruta_base_checklists&amp;$AQ979,"abrir"))</f>
        <v/>
      </c>
      <c r="AS979" s="4" t="n"/>
      <c r="AT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2" t="n"/>
      <c r="K980" s="5" t="n"/>
      <c r="L980" s="18" t="n"/>
      <c r="M980" s="5">
        <f>IF($A980="","",IFERROR(INDEX('AJUSTES'!$B$4:$B$303,MATCH($AT980,'AJUSTES'!$A$4:$A$303,0)),IF($K980="","",$K980)))</f>
        <v/>
      </c>
      <c r="N980" s="5">
        <f>IF($A980="","",IFERROR(INDEX('CAT_ESTADOS_ERP'!$B$4:$B$7,MATCH(IFERROR(INDEX('2_IMPORTAR_EJECUCION'!$C$9:$C$1208,MATCH($AT980,'2_IMPORTAR_EJECUCION'!$J$9:$J$1208,0)),""),'CAT_ESTADOS_ERP'!$A$4:$A$7,0)),"Pendiente"))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IF($J980="","",$P980&amp;"-"&amp;TEXT($Q980,"00"))</f>
        <v/>
      </c>
      <c r="S980" s="5">
        <f>IF($J980="","",INDEX(lista_dias,WEEKDAY($J980,2)))</f>
        <v/>
      </c>
      <c r="T980" s="5">
        <f>IF($J980="","",IFERROR(INDEX('CALENDARIO'!$C$15:$C$214,MATCH(TEXT($J980,"yyyy-mm-dd")&amp;"|"&amp;$X980&amp;"|"&amp;$Y980,'CALENDARIO'!$G$15:$G$214,0)),IFERROR(INDEX('CALENDARIO'!$C$15:$C$214,MATCH(TEXT($J980,"yyyy-mm-dd")&amp;"|"&amp;$X980&amp;"|",'CALENDARIO'!$G$15:$G$214,0)),IFERROR(INDEX('CALENDARIO'!$C$15:$C$214,MATCH(TEXT($J980,"yyyy-mm-dd")&amp;"||",'CALENDARIO'!$G$15:$G$214,0)),INDEX(patronHabil,WEEKDAY($J980,2))))))</f>
        <v/>
      </c>
      <c r="U980" s="5">
        <f>IF($I980="","",IFERROR(INDEX('CAT_TIPOS_OT'!$C$4:$C$8,MATCH($I980,'CAT_TIPOS_OT'!$A$4:$A$8,0)),"sin_clasificar"))</f>
        <v/>
      </c>
      <c r="V980" s="5">
        <f>IF($I980="","",IF(IFERROR(INDEX('CAT_TIPOS_OT'!$D$4:$D$8,MATCH($I980,'CAT_TIPOS_OT'!$A$4:$A$8,0)),"SIN CLASIFICAR")="","SIN CLASIFICAR",IFERROR(INDEX('CAT_TIPOS_OT'!$D$4:$D$8,MATCH($I980,'CAT_TIPOS_OT'!$A$4:$A$8,0)),"SIN CLASIFICAR")))</f>
        <v/>
      </c>
      <c r="W980" s="5">
        <f>IF($F980="","",IFERROR(INDEX('CAT_CENTROS_COSTO'!$F$4:$F$13,MATCH($F980,'CAT_CENTROS_COSTO'!$A$4:$A$13,0)),"(sin catálogo)"))</f>
        <v/>
      </c>
      <c r="X980" s="5">
        <f>IF($F980="","",IFERROR(INDEX('CAT_CENTROS_COSTO'!$D$4:$D$13,MATCH($F980,'CAT_CENTROS_COSTO'!$A$4:$A$13,0)),"(sin catálogo)"))</f>
        <v/>
      </c>
      <c r="Y980" s="5">
        <f>IF($F980="","",IF((IFERROR(INDEX('CAT_CENTROS_COSTO'!$E$4:$E$13,MATCH($F980,'CAT_CENTROS_COSTO'!$A$4:$A$13,0)),""))&lt;&gt;"",IFERROR(INDEX('CAT_CENTROS_COSTO'!$E$4:$E$13,MATCH($F980,'CAT_CENTROS_COSTO'!$A$4:$A$13,0)),""),$X980))</f>
        <v/>
      </c>
      <c r="Z980" s="5">
        <f>IF($F980="","",IFERROR(INDEX('CAT_CENTROS_COSTO'!$G$4:$G$13,MATCH($F980,'CAT_CENTROS_COSTO'!$A$4:$A$13,0)),"(sin catálogo)"))</f>
        <v/>
      </c>
      <c r="AA980" s="5">
        <f>IF($G980="","",IFERROR(INDEX('CAT_PUESTOS'!$B$4:$B$8,MATCH($G980,'CAT_PUESTOS'!$A$4:$A$8,0)),"(sin catálogo)"))</f>
        <v/>
      </c>
      <c r="AB980" s="5">
        <f>IF($H980="","",IFERROR(INDEX('CAT_ACTIVIDADES'!$B$4:$B$11,MATCH($H980,'CAT_ACTIVIDADES'!$A$4:$A$11,0)),"(sin catálogo)"))</f>
        <v/>
      </c>
      <c r="AC980" s="20">
        <f>IF($J980="","",TODAY()-$J980)</f>
        <v/>
      </c>
      <c r="AD980" s="20">
        <f>IF($J980="","",IF($J980&lt;=TODAY(),COUNTIFS(cal_fechas,"&gt;="&amp;$J980,cal_fechas,"&lt;"&amp;TODAY(),cal_habil,"sí"),-COUNTIFS(cal_fechas,"&gt;="&amp;TODAY(),cal_fechas,"&lt;"&amp;$J980,cal_habil,"sí")))</f>
        <v/>
      </c>
      <c r="AE980" s="5">
        <f>IF($AD980="","",IF($AD980&lt;0,"FUTURO",IF($AD980&gt;p_dias_backlog_max,"BACKLOG","MES CORRIENTE")))</f>
        <v/>
      </c>
      <c r="AF980" s="5">
        <f>IF($AD980="",FALSE,AND($AD980&gt;p_dias_backlog_min,$AD980&lt;=p_dias_backlog_max))</f>
        <v/>
      </c>
      <c r="AG980" s="4" t="n"/>
      <c r="AH980" s="5">
        <f>IF($AG980="","",IF((IFERROR(INDEX('ASIGNACIONES'!$J$4:$J$451,MATCH($O980&amp;"|"&amp;$S980&amp;"|"&amp;$AG980,'ASIGNACIONES'!$N$4:$N$451,0)),""))=0,"",IFERROR(INDEX('ASIGNACIONES'!$J$4:$J$451,MATCH($O980&amp;"|"&amp;$S980&amp;"|"&amp;$AG980,'ASIGNACIONES'!$N$4:$N$451,0)),"")))</f>
        <v/>
      </c>
      <c r="AI980" s="25">
        <f>IF($AG980="","",SUMIFS('ORDENES'!$M$4:$M$1203,'ORDENES'!$AG$4:$AG$1203,$AG980,'ORDENES'!$O$4:$O$1203,$O980,'ORDENES'!$S$4:$S$1203,$S980))</f>
        <v/>
      </c>
      <c r="AJ980" s="25">
        <f>IF($AI980="","",p_factor_productividad*IFERROR(INDEX('ASIGNACIONES'!$M$4:$M$451,MATCH($O980&amp;"|"&amp;$S980&amp;"|"&amp;$AG980,'ASIGNACIONES'!$N$4:$N$451,0)),0)-$AI980)</f>
        <v/>
      </c>
      <c r="AK980" s="18">
        <f>IF($A980="","",IFERROR(INDEX('2_IMPORTAR_EJECUCION'!$F$9:$F$1208,MATCH($AT980,'2_IMPORTAR_EJECUCION'!$J$9:$J$1208,0)),0))</f>
        <v/>
      </c>
      <c r="AL980" s="18">
        <f>IF($A980="","",MAX(0,IFERROR(INDEX('2_IMPORTAR_EJECUCION'!$H$9:$H$1208,MATCH($AT980,'2_IMPORTAR_EJECUCION'!$J$9:$J$1208,0)),0)-$AK980))</f>
        <v/>
      </c>
      <c r="AM980" s="18">
        <f>IF($A980="","",$AK980+$AL980)</f>
        <v/>
      </c>
      <c r="AN980" s="5">
        <f>IF($A980="","",IF(OR((IFERROR(INDEX('CAT_ACTIVIDADES'!$D$4:$D$11,MATCH($H980,'CAT_ACTIVIDADES'!$A$4:$A$11,0)),""))=0,(IFERROR(INDEX('CAT_ACTIVIDADES'!$D$4:$D$11,MATCH($H980,'CAT_ACTIVIDADES'!$A$4:$A$11,0)),""))=""),"SIN CLASIFICAR",IFERROR(INDEX('CAT_ACTIVIDADES'!$D$4:$D$11,MATCH($H980,'CAT_ACTIVIDADES'!$A$4:$A$11,0)),"")))</f>
        <v/>
      </c>
      <c r="AO980" s="4" t="n"/>
      <c r="AP980" s="4" t="n"/>
      <c r="AQ980" s="4" t="n"/>
      <c r="AR980" s="5">
        <f>IF($AQ980="","",HYPERLINK(p_ruta_base_checklists&amp;$AQ980,"abrir"))</f>
        <v/>
      </c>
      <c r="AS980" s="4" t="n"/>
      <c r="AT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2" t="n"/>
      <c r="K981" s="5" t="n"/>
      <c r="L981" s="18" t="n"/>
      <c r="M981" s="5">
        <f>IF($A981="","",IFERROR(INDEX('AJUSTES'!$B$4:$B$303,MATCH($AT981,'AJUSTES'!$A$4:$A$303,0)),IF($K981="","",$K981)))</f>
        <v/>
      </c>
      <c r="N981" s="5">
        <f>IF($A981="","",IFERROR(INDEX('CAT_ESTADOS_ERP'!$B$4:$B$7,MATCH(IFERROR(INDEX('2_IMPORTAR_EJECUCION'!$C$9:$C$1208,MATCH($AT981,'2_IMPORTAR_EJECUCION'!$J$9:$J$1208,0)),""),'CAT_ESTADOS_ERP'!$A$4:$A$7,0)),"Pendiente"))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IF($J981="","",$P981&amp;"-"&amp;TEXT($Q981,"00"))</f>
        <v/>
      </c>
      <c r="S981" s="5">
        <f>IF($J981="","",INDEX(lista_dias,WEEKDAY($J981,2)))</f>
        <v/>
      </c>
      <c r="T981" s="5">
        <f>IF($J981="","",IFERROR(INDEX('CALENDARIO'!$C$15:$C$214,MATCH(TEXT($J981,"yyyy-mm-dd")&amp;"|"&amp;$X981&amp;"|"&amp;$Y981,'CALENDARIO'!$G$15:$G$214,0)),IFERROR(INDEX('CALENDARIO'!$C$15:$C$214,MATCH(TEXT($J981,"yyyy-mm-dd")&amp;"|"&amp;$X981&amp;"|",'CALENDARIO'!$G$15:$G$214,0)),IFERROR(INDEX('CALENDARIO'!$C$15:$C$214,MATCH(TEXT($J981,"yyyy-mm-dd")&amp;"||",'CALENDARIO'!$G$15:$G$214,0)),INDEX(patronHabil,WEEKDAY($J981,2))))))</f>
        <v/>
      </c>
      <c r="U981" s="5">
        <f>IF($I981="","",IFERROR(INDEX('CAT_TIPOS_OT'!$C$4:$C$8,MATCH($I981,'CAT_TIPOS_OT'!$A$4:$A$8,0)),"sin_clasificar"))</f>
        <v/>
      </c>
      <c r="V981" s="5">
        <f>IF($I981="","",IF(IFERROR(INDEX('CAT_TIPOS_OT'!$D$4:$D$8,MATCH($I981,'CAT_TIPOS_OT'!$A$4:$A$8,0)),"SIN CLASIFICAR")="","SIN CLASIFICAR",IFERROR(INDEX('CAT_TIPOS_OT'!$D$4:$D$8,MATCH($I981,'CAT_TIPOS_OT'!$A$4:$A$8,0)),"SIN CLASIFICAR")))</f>
        <v/>
      </c>
      <c r="W981" s="5">
        <f>IF($F981="","",IFERROR(INDEX('CAT_CENTROS_COSTO'!$F$4:$F$13,MATCH($F981,'CAT_CENTROS_COSTO'!$A$4:$A$13,0)),"(sin catálogo)"))</f>
        <v/>
      </c>
      <c r="X981" s="5">
        <f>IF($F981="","",IFERROR(INDEX('CAT_CENTROS_COSTO'!$D$4:$D$13,MATCH($F981,'CAT_CENTROS_COSTO'!$A$4:$A$13,0)),"(sin catálogo)"))</f>
        <v/>
      </c>
      <c r="Y981" s="5">
        <f>IF($F981="","",IF((IFERROR(INDEX('CAT_CENTROS_COSTO'!$E$4:$E$13,MATCH($F981,'CAT_CENTROS_COSTO'!$A$4:$A$13,0)),""))&lt;&gt;"",IFERROR(INDEX('CAT_CENTROS_COSTO'!$E$4:$E$13,MATCH($F981,'CAT_CENTROS_COSTO'!$A$4:$A$13,0)),""),$X981))</f>
        <v/>
      </c>
      <c r="Z981" s="5">
        <f>IF($F981="","",IFERROR(INDEX('CAT_CENTROS_COSTO'!$G$4:$G$13,MATCH($F981,'CAT_CENTROS_COSTO'!$A$4:$A$13,0)),"(sin catálogo)"))</f>
        <v/>
      </c>
      <c r="AA981" s="5">
        <f>IF($G981="","",IFERROR(INDEX('CAT_PUESTOS'!$B$4:$B$8,MATCH($G981,'CAT_PUESTOS'!$A$4:$A$8,0)),"(sin catálogo)"))</f>
        <v/>
      </c>
      <c r="AB981" s="5">
        <f>IF($H981="","",IFERROR(INDEX('CAT_ACTIVIDADES'!$B$4:$B$11,MATCH($H981,'CAT_ACTIVIDADES'!$A$4:$A$11,0)),"(sin catálogo)"))</f>
        <v/>
      </c>
      <c r="AC981" s="20">
        <f>IF($J981="","",TODAY()-$J981)</f>
        <v/>
      </c>
      <c r="AD981" s="20">
        <f>IF($J981="","",IF($J981&lt;=TODAY(),COUNTIFS(cal_fechas,"&gt;="&amp;$J981,cal_fechas,"&lt;"&amp;TODAY(),cal_habil,"sí"),-COUNTIFS(cal_fechas,"&gt;="&amp;TODAY(),cal_fechas,"&lt;"&amp;$J981,cal_habil,"sí")))</f>
        <v/>
      </c>
      <c r="AE981" s="5">
        <f>IF($AD981="","",IF($AD981&lt;0,"FUTURO",IF($AD981&gt;p_dias_backlog_max,"BACKLOG","MES CORRIENTE")))</f>
        <v/>
      </c>
      <c r="AF981" s="5">
        <f>IF($AD981="",FALSE,AND($AD981&gt;p_dias_backlog_min,$AD981&lt;=p_dias_backlog_max))</f>
        <v/>
      </c>
      <c r="AG981" s="4" t="n"/>
      <c r="AH981" s="5">
        <f>IF($AG981="","",IF((IFERROR(INDEX('ASIGNACIONES'!$J$4:$J$451,MATCH($O981&amp;"|"&amp;$S981&amp;"|"&amp;$AG981,'ASIGNACIONES'!$N$4:$N$451,0)),""))=0,"",IFERROR(INDEX('ASIGNACIONES'!$J$4:$J$451,MATCH($O981&amp;"|"&amp;$S981&amp;"|"&amp;$AG981,'ASIGNACIONES'!$N$4:$N$451,0)),"")))</f>
        <v/>
      </c>
      <c r="AI981" s="25">
        <f>IF($AG981="","",SUMIFS('ORDENES'!$M$4:$M$1203,'ORDENES'!$AG$4:$AG$1203,$AG981,'ORDENES'!$O$4:$O$1203,$O981,'ORDENES'!$S$4:$S$1203,$S981))</f>
        <v/>
      </c>
      <c r="AJ981" s="25">
        <f>IF($AI981="","",p_factor_productividad*IFERROR(INDEX('ASIGNACIONES'!$M$4:$M$451,MATCH($O981&amp;"|"&amp;$S981&amp;"|"&amp;$AG981,'ASIGNACIONES'!$N$4:$N$451,0)),0)-$AI981)</f>
        <v/>
      </c>
      <c r="AK981" s="18">
        <f>IF($A981="","",IFERROR(INDEX('2_IMPORTAR_EJECUCION'!$F$9:$F$1208,MATCH($AT981,'2_IMPORTAR_EJECUCION'!$J$9:$J$1208,0)),0))</f>
        <v/>
      </c>
      <c r="AL981" s="18">
        <f>IF($A981="","",MAX(0,IFERROR(INDEX('2_IMPORTAR_EJECUCION'!$H$9:$H$1208,MATCH($AT981,'2_IMPORTAR_EJECUCION'!$J$9:$J$1208,0)),0)-$AK981))</f>
        <v/>
      </c>
      <c r="AM981" s="18">
        <f>IF($A981="","",$AK981+$AL981)</f>
        <v/>
      </c>
      <c r="AN981" s="5">
        <f>IF($A981="","",IF(OR((IFERROR(INDEX('CAT_ACTIVIDADES'!$D$4:$D$11,MATCH($H981,'CAT_ACTIVIDADES'!$A$4:$A$11,0)),""))=0,(IFERROR(INDEX('CAT_ACTIVIDADES'!$D$4:$D$11,MATCH($H981,'CAT_ACTIVIDADES'!$A$4:$A$11,0)),""))=""),"SIN CLASIFICAR",IFERROR(INDEX('CAT_ACTIVIDADES'!$D$4:$D$11,MATCH($H981,'CAT_ACTIVIDADES'!$A$4:$A$11,0)),"")))</f>
        <v/>
      </c>
      <c r="AO981" s="4" t="n"/>
      <c r="AP981" s="4" t="n"/>
      <c r="AQ981" s="4" t="n"/>
      <c r="AR981" s="5">
        <f>IF($AQ981="","",HYPERLINK(p_ruta_base_checklists&amp;$AQ981,"abrir"))</f>
        <v/>
      </c>
      <c r="AS981" s="4" t="n"/>
      <c r="AT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2" t="n"/>
      <c r="K982" s="5" t="n"/>
      <c r="L982" s="18" t="n"/>
      <c r="M982" s="5">
        <f>IF($A982="","",IFERROR(INDEX('AJUSTES'!$B$4:$B$303,MATCH($AT982,'AJUSTES'!$A$4:$A$303,0)),IF($K982="","",$K982)))</f>
        <v/>
      </c>
      <c r="N982" s="5">
        <f>IF($A982="","",IFERROR(INDEX('CAT_ESTADOS_ERP'!$B$4:$B$7,MATCH(IFERROR(INDEX('2_IMPORTAR_EJECUCION'!$C$9:$C$1208,MATCH($AT982,'2_IMPORTAR_EJECUCION'!$J$9:$J$1208,0)),""),'CAT_ESTADOS_ERP'!$A$4:$A$7,0)),"Pendiente"))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IF($J982="","",$P982&amp;"-"&amp;TEXT($Q982,"00"))</f>
        <v/>
      </c>
      <c r="S982" s="5">
        <f>IF($J982="","",INDEX(lista_dias,WEEKDAY($J982,2)))</f>
        <v/>
      </c>
      <c r="T982" s="5">
        <f>IF($J982="","",IFERROR(INDEX('CALENDARIO'!$C$15:$C$214,MATCH(TEXT($J982,"yyyy-mm-dd")&amp;"|"&amp;$X982&amp;"|"&amp;$Y982,'CALENDARIO'!$G$15:$G$214,0)),IFERROR(INDEX('CALENDARIO'!$C$15:$C$214,MATCH(TEXT($J982,"yyyy-mm-dd")&amp;"|"&amp;$X982&amp;"|",'CALENDARIO'!$G$15:$G$214,0)),IFERROR(INDEX('CALENDARIO'!$C$15:$C$214,MATCH(TEXT($J982,"yyyy-mm-dd")&amp;"||",'CALENDARIO'!$G$15:$G$214,0)),INDEX(patronHabil,WEEKDAY($J982,2))))))</f>
        <v/>
      </c>
      <c r="U982" s="5">
        <f>IF($I982="","",IFERROR(INDEX('CAT_TIPOS_OT'!$C$4:$C$8,MATCH($I982,'CAT_TIPOS_OT'!$A$4:$A$8,0)),"sin_clasificar"))</f>
        <v/>
      </c>
      <c r="V982" s="5">
        <f>IF($I982="","",IF(IFERROR(INDEX('CAT_TIPOS_OT'!$D$4:$D$8,MATCH($I982,'CAT_TIPOS_OT'!$A$4:$A$8,0)),"SIN CLASIFICAR")="","SIN CLASIFICAR",IFERROR(INDEX('CAT_TIPOS_OT'!$D$4:$D$8,MATCH($I982,'CAT_TIPOS_OT'!$A$4:$A$8,0)),"SIN CLASIFICAR")))</f>
        <v/>
      </c>
      <c r="W982" s="5">
        <f>IF($F982="","",IFERROR(INDEX('CAT_CENTROS_COSTO'!$F$4:$F$13,MATCH($F982,'CAT_CENTROS_COSTO'!$A$4:$A$13,0)),"(sin catálogo)"))</f>
        <v/>
      </c>
      <c r="X982" s="5">
        <f>IF($F982="","",IFERROR(INDEX('CAT_CENTROS_COSTO'!$D$4:$D$13,MATCH($F982,'CAT_CENTROS_COSTO'!$A$4:$A$13,0)),"(sin catálogo)"))</f>
        <v/>
      </c>
      <c r="Y982" s="5">
        <f>IF($F982="","",IF((IFERROR(INDEX('CAT_CENTROS_COSTO'!$E$4:$E$13,MATCH($F982,'CAT_CENTROS_COSTO'!$A$4:$A$13,0)),""))&lt;&gt;"",IFERROR(INDEX('CAT_CENTROS_COSTO'!$E$4:$E$13,MATCH($F982,'CAT_CENTROS_COSTO'!$A$4:$A$13,0)),""),$X982))</f>
        <v/>
      </c>
      <c r="Z982" s="5">
        <f>IF($F982="","",IFERROR(INDEX('CAT_CENTROS_COSTO'!$G$4:$G$13,MATCH($F982,'CAT_CENTROS_COSTO'!$A$4:$A$13,0)),"(sin catálogo)"))</f>
        <v/>
      </c>
      <c r="AA982" s="5">
        <f>IF($G982="","",IFERROR(INDEX('CAT_PUESTOS'!$B$4:$B$8,MATCH($G982,'CAT_PUESTOS'!$A$4:$A$8,0)),"(sin catálogo)"))</f>
        <v/>
      </c>
      <c r="AB982" s="5">
        <f>IF($H982="","",IFERROR(INDEX('CAT_ACTIVIDADES'!$B$4:$B$11,MATCH($H982,'CAT_ACTIVIDADES'!$A$4:$A$11,0)),"(sin catálogo)"))</f>
        <v/>
      </c>
      <c r="AC982" s="20">
        <f>IF($J982="","",TODAY()-$J982)</f>
        <v/>
      </c>
      <c r="AD982" s="20">
        <f>IF($J982="","",IF($J982&lt;=TODAY(),COUNTIFS(cal_fechas,"&gt;="&amp;$J982,cal_fechas,"&lt;"&amp;TODAY(),cal_habil,"sí"),-COUNTIFS(cal_fechas,"&gt;="&amp;TODAY(),cal_fechas,"&lt;"&amp;$J982,cal_habil,"sí")))</f>
        <v/>
      </c>
      <c r="AE982" s="5">
        <f>IF($AD982="","",IF($AD982&lt;0,"FUTURO",IF($AD982&gt;p_dias_backlog_max,"BACKLOG","MES CORRIENTE")))</f>
        <v/>
      </c>
      <c r="AF982" s="5">
        <f>IF($AD982="",FALSE,AND($AD982&gt;p_dias_backlog_min,$AD982&lt;=p_dias_backlog_max))</f>
        <v/>
      </c>
      <c r="AG982" s="4" t="n"/>
      <c r="AH982" s="5">
        <f>IF($AG982="","",IF((IFERROR(INDEX('ASIGNACIONES'!$J$4:$J$451,MATCH($O982&amp;"|"&amp;$S982&amp;"|"&amp;$AG982,'ASIGNACIONES'!$N$4:$N$451,0)),""))=0,"",IFERROR(INDEX('ASIGNACIONES'!$J$4:$J$451,MATCH($O982&amp;"|"&amp;$S982&amp;"|"&amp;$AG982,'ASIGNACIONES'!$N$4:$N$451,0)),"")))</f>
        <v/>
      </c>
      <c r="AI982" s="25">
        <f>IF($AG982="","",SUMIFS('ORDENES'!$M$4:$M$1203,'ORDENES'!$AG$4:$AG$1203,$AG982,'ORDENES'!$O$4:$O$1203,$O982,'ORDENES'!$S$4:$S$1203,$S982))</f>
        <v/>
      </c>
      <c r="AJ982" s="25">
        <f>IF($AI982="","",p_factor_productividad*IFERROR(INDEX('ASIGNACIONES'!$M$4:$M$451,MATCH($O982&amp;"|"&amp;$S982&amp;"|"&amp;$AG982,'ASIGNACIONES'!$N$4:$N$451,0)),0)-$AI982)</f>
        <v/>
      </c>
      <c r="AK982" s="18">
        <f>IF($A982="","",IFERROR(INDEX('2_IMPORTAR_EJECUCION'!$F$9:$F$1208,MATCH($AT982,'2_IMPORTAR_EJECUCION'!$J$9:$J$1208,0)),0))</f>
        <v/>
      </c>
      <c r="AL982" s="18">
        <f>IF($A982="","",MAX(0,IFERROR(INDEX('2_IMPORTAR_EJECUCION'!$H$9:$H$1208,MATCH($AT982,'2_IMPORTAR_EJECUCION'!$J$9:$J$1208,0)),0)-$AK982))</f>
        <v/>
      </c>
      <c r="AM982" s="18">
        <f>IF($A982="","",$AK982+$AL982)</f>
        <v/>
      </c>
      <c r="AN982" s="5">
        <f>IF($A982="","",IF(OR((IFERROR(INDEX('CAT_ACTIVIDADES'!$D$4:$D$11,MATCH($H982,'CAT_ACTIVIDADES'!$A$4:$A$11,0)),""))=0,(IFERROR(INDEX('CAT_ACTIVIDADES'!$D$4:$D$11,MATCH($H982,'CAT_ACTIVIDADES'!$A$4:$A$11,0)),""))=""),"SIN CLASIFICAR",IFERROR(INDEX('CAT_ACTIVIDADES'!$D$4:$D$11,MATCH($H982,'CAT_ACTIVIDADES'!$A$4:$A$11,0)),"")))</f>
        <v/>
      </c>
      <c r="AO982" s="4" t="n"/>
      <c r="AP982" s="4" t="n"/>
      <c r="AQ982" s="4" t="n"/>
      <c r="AR982" s="5">
        <f>IF($AQ982="","",HYPERLINK(p_ruta_base_checklists&amp;$AQ982,"abrir"))</f>
        <v/>
      </c>
      <c r="AS982" s="4" t="n"/>
      <c r="AT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2" t="n"/>
      <c r="K983" s="5" t="n"/>
      <c r="L983" s="18" t="n"/>
      <c r="M983" s="5">
        <f>IF($A983="","",IFERROR(INDEX('AJUSTES'!$B$4:$B$303,MATCH($AT983,'AJUSTES'!$A$4:$A$303,0)),IF($K983="","",$K983)))</f>
        <v/>
      </c>
      <c r="N983" s="5">
        <f>IF($A983="","",IFERROR(INDEX('CAT_ESTADOS_ERP'!$B$4:$B$7,MATCH(IFERROR(INDEX('2_IMPORTAR_EJECUCION'!$C$9:$C$1208,MATCH($AT983,'2_IMPORTAR_EJECUCION'!$J$9:$J$1208,0)),""),'CAT_ESTADOS_ERP'!$A$4:$A$7,0)),"Pendiente"))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IF($J983="","",$P983&amp;"-"&amp;TEXT($Q983,"00"))</f>
        <v/>
      </c>
      <c r="S983" s="5">
        <f>IF($J983="","",INDEX(lista_dias,WEEKDAY($J983,2)))</f>
        <v/>
      </c>
      <c r="T983" s="5">
        <f>IF($J983="","",IFERROR(INDEX('CALENDARIO'!$C$15:$C$214,MATCH(TEXT($J983,"yyyy-mm-dd")&amp;"|"&amp;$X983&amp;"|"&amp;$Y983,'CALENDARIO'!$G$15:$G$214,0)),IFERROR(INDEX('CALENDARIO'!$C$15:$C$214,MATCH(TEXT($J983,"yyyy-mm-dd")&amp;"|"&amp;$X983&amp;"|",'CALENDARIO'!$G$15:$G$214,0)),IFERROR(INDEX('CALENDARIO'!$C$15:$C$214,MATCH(TEXT($J983,"yyyy-mm-dd")&amp;"||",'CALENDARIO'!$G$15:$G$214,0)),INDEX(patronHabil,WEEKDAY($J983,2))))))</f>
        <v/>
      </c>
      <c r="U983" s="5">
        <f>IF($I983="","",IFERROR(INDEX('CAT_TIPOS_OT'!$C$4:$C$8,MATCH($I983,'CAT_TIPOS_OT'!$A$4:$A$8,0)),"sin_clasificar"))</f>
        <v/>
      </c>
      <c r="V983" s="5">
        <f>IF($I983="","",IF(IFERROR(INDEX('CAT_TIPOS_OT'!$D$4:$D$8,MATCH($I983,'CAT_TIPOS_OT'!$A$4:$A$8,0)),"SIN CLASIFICAR")="","SIN CLASIFICAR",IFERROR(INDEX('CAT_TIPOS_OT'!$D$4:$D$8,MATCH($I983,'CAT_TIPOS_OT'!$A$4:$A$8,0)),"SIN CLASIFICAR")))</f>
        <v/>
      </c>
      <c r="W983" s="5">
        <f>IF($F983="","",IFERROR(INDEX('CAT_CENTROS_COSTO'!$F$4:$F$13,MATCH($F983,'CAT_CENTROS_COSTO'!$A$4:$A$13,0)),"(sin catálogo)"))</f>
        <v/>
      </c>
      <c r="X983" s="5">
        <f>IF($F983="","",IFERROR(INDEX('CAT_CENTROS_COSTO'!$D$4:$D$13,MATCH($F983,'CAT_CENTROS_COSTO'!$A$4:$A$13,0)),"(sin catálogo)"))</f>
        <v/>
      </c>
      <c r="Y983" s="5">
        <f>IF($F983="","",IF((IFERROR(INDEX('CAT_CENTROS_COSTO'!$E$4:$E$13,MATCH($F983,'CAT_CENTROS_COSTO'!$A$4:$A$13,0)),""))&lt;&gt;"",IFERROR(INDEX('CAT_CENTROS_COSTO'!$E$4:$E$13,MATCH($F983,'CAT_CENTROS_COSTO'!$A$4:$A$13,0)),""),$X983))</f>
        <v/>
      </c>
      <c r="Z983" s="5">
        <f>IF($F983="","",IFERROR(INDEX('CAT_CENTROS_COSTO'!$G$4:$G$13,MATCH($F983,'CAT_CENTROS_COSTO'!$A$4:$A$13,0)),"(sin catálogo)"))</f>
        <v/>
      </c>
      <c r="AA983" s="5">
        <f>IF($G983="","",IFERROR(INDEX('CAT_PUESTOS'!$B$4:$B$8,MATCH($G983,'CAT_PUESTOS'!$A$4:$A$8,0)),"(sin catálogo)"))</f>
        <v/>
      </c>
      <c r="AB983" s="5">
        <f>IF($H983="","",IFERROR(INDEX('CAT_ACTIVIDADES'!$B$4:$B$11,MATCH($H983,'CAT_ACTIVIDADES'!$A$4:$A$11,0)),"(sin catálogo)"))</f>
        <v/>
      </c>
      <c r="AC983" s="20">
        <f>IF($J983="","",TODAY()-$J983)</f>
        <v/>
      </c>
      <c r="AD983" s="20">
        <f>IF($J983="","",IF($J983&lt;=TODAY(),COUNTIFS(cal_fechas,"&gt;="&amp;$J983,cal_fechas,"&lt;"&amp;TODAY(),cal_habil,"sí"),-COUNTIFS(cal_fechas,"&gt;="&amp;TODAY(),cal_fechas,"&lt;"&amp;$J983,cal_habil,"sí")))</f>
        <v/>
      </c>
      <c r="AE983" s="5">
        <f>IF($AD983="","",IF($AD983&lt;0,"FUTURO",IF($AD983&gt;p_dias_backlog_max,"BACKLOG","MES CORRIENTE")))</f>
        <v/>
      </c>
      <c r="AF983" s="5">
        <f>IF($AD983="",FALSE,AND($AD983&gt;p_dias_backlog_min,$AD983&lt;=p_dias_backlog_max))</f>
        <v/>
      </c>
      <c r="AG983" s="4" t="n"/>
      <c r="AH983" s="5">
        <f>IF($AG983="","",IF((IFERROR(INDEX('ASIGNACIONES'!$J$4:$J$451,MATCH($O983&amp;"|"&amp;$S983&amp;"|"&amp;$AG983,'ASIGNACIONES'!$N$4:$N$451,0)),""))=0,"",IFERROR(INDEX('ASIGNACIONES'!$J$4:$J$451,MATCH($O983&amp;"|"&amp;$S983&amp;"|"&amp;$AG983,'ASIGNACIONES'!$N$4:$N$451,0)),"")))</f>
        <v/>
      </c>
      <c r="AI983" s="25">
        <f>IF($AG983="","",SUMIFS('ORDENES'!$M$4:$M$1203,'ORDENES'!$AG$4:$AG$1203,$AG983,'ORDENES'!$O$4:$O$1203,$O983,'ORDENES'!$S$4:$S$1203,$S983))</f>
        <v/>
      </c>
      <c r="AJ983" s="25">
        <f>IF($AI983="","",p_factor_productividad*IFERROR(INDEX('ASIGNACIONES'!$M$4:$M$451,MATCH($O983&amp;"|"&amp;$S983&amp;"|"&amp;$AG983,'ASIGNACIONES'!$N$4:$N$451,0)),0)-$AI983)</f>
        <v/>
      </c>
      <c r="AK983" s="18">
        <f>IF($A983="","",IFERROR(INDEX('2_IMPORTAR_EJECUCION'!$F$9:$F$1208,MATCH($AT983,'2_IMPORTAR_EJECUCION'!$J$9:$J$1208,0)),0))</f>
        <v/>
      </c>
      <c r="AL983" s="18">
        <f>IF($A983="","",MAX(0,IFERROR(INDEX('2_IMPORTAR_EJECUCION'!$H$9:$H$1208,MATCH($AT983,'2_IMPORTAR_EJECUCION'!$J$9:$J$1208,0)),0)-$AK983))</f>
        <v/>
      </c>
      <c r="AM983" s="18">
        <f>IF($A983="","",$AK983+$AL983)</f>
        <v/>
      </c>
      <c r="AN983" s="5">
        <f>IF($A983="","",IF(OR((IFERROR(INDEX('CAT_ACTIVIDADES'!$D$4:$D$11,MATCH($H983,'CAT_ACTIVIDADES'!$A$4:$A$11,0)),""))=0,(IFERROR(INDEX('CAT_ACTIVIDADES'!$D$4:$D$11,MATCH($H983,'CAT_ACTIVIDADES'!$A$4:$A$11,0)),""))=""),"SIN CLASIFICAR",IFERROR(INDEX('CAT_ACTIVIDADES'!$D$4:$D$11,MATCH($H983,'CAT_ACTIVIDADES'!$A$4:$A$11,0)),"")))</f>
        <v/>
      </c>
      <c r="AO983" s="4" t="n"/>
      <c r="AP983" s="4" t="n"/>
      <c r="AQ983" s="4" t="n"/>
      <c r="AR983" s="5">
        <f>IF($AQ983="","",HYPERLINK(p_ruta_base_checklists&amp;$AQ983,"abrir"))</f>
        <v/>
      </c>
      <c r="AS983" s="4" t="n"/>
      <c r="AT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2" t="n"/>
      <c r="K984" s="5" t="n"/>
      <c r="L984" s="18" t="n"/>
      <c r="M984" s="5">
        <f>IF($A984="","",IFERROR(INDEX('AJUSTES'!$B$4:$B$303,MATCH($AT984,'AJUSTES'!$A$4:$A$303,0)),IF($K984="","",$K984)))</f>
        <v/>
      </c>
      <c r="N984" s="5">
        <f>IF($A984="","",IFERROR(INDEX('CAT_ESTADOS_ERP'!$B$4:$B$7,MATCH(IFERROR(INDEX('2_IMPORTAR_EJECUCION'!$C$9:$C$1208,MATCH($AT984,'2_IMPORTAR_EJECUCION'!$J$9:$J$1208,0)),""),'CAT_ESTADOS_ERP'!$A$4:$A$7,0)),"Pendiente"))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IF($J984="","",$P984&amp;"-"&amp;TEXT($Q984,"00"))</f>
        <v/>
      </c>
      <c r="S984" s="5">
        <f>IF($J984="","",INDEX(lista_dias,WEEKDAY($J984,2)))</f>
        <v/>
      </c>
      <c r="T984" s="5">
        <f>IF($J984="","",IFERROR(INDEX('CALENDARIO'!$C$15:$C$214,MATCH(TEXT($J984,"yyyy-mm-dd")&amp;"|"&amp;$X984&amp;"|"&amp;$Y984,'CALENDARIO'!$G$15:$G$214,0)),IFERROR(INDEX('CALENDARIO'!$C$15:$C$214,MATCH(TEXT($J984,"yyyy-mm-dd")&amp;"|"&amp;$X984&amp;"|",'CALENDARIO'!$G$15:$G$214,0)),IFERROR(INDEX('CALENDARIO'!$C$15:$C$214,MATCH(TEXT($J984,"yyyy-mm-dd")&amp;"||",'CALENDARIO'!$G$15:$G$214,0)),INDEX(patronHabil,WEEKDAY($J984,2))))))</f>
        <v/>
      </c>
      <c r="U984" s="5">
        <f>IF($I984="","",IFERROR(INDEX('CAT_TIPOS_OT'!$C$4:$C$8,MATCH($I984,'CAT_TIPOS_OT'!$A$4:$A$8,0)),"sin_clasificar"))</f>
        <v/>
      </c>
      <c r="V984" s="5">
        <f>IF($I984="","",IF(IFERROR(INDEX('CAT_TIPOS_OT'!$D$4:$D$8,MATCH($I984,'CAT_TIPOS_OT'!$A$4:$A$8,0)),"SIN CLASIFICAR")="","SIN CLASIFICAR",IFERROR(INDEX('CAT_TIPOS_OT'!$D$4:$D$8,MATCH($I984,'CAT_TIPOS_OT'!$A$4:$A$8,0)),"SIN CLASIFICAR")))</f>
        <v/>
      </c>
      <c r="W984" s="5">
        <f>IF($F984="","",IFERROR(INDEX('CAT_CENTROS_COSTO'!$F$4:$F$13,MATCH($F984,'CAT_CENTROS_COSTO'!$A$4:$A$13,0)),"(sin catálogo)"))</f>
        <v/>
      </c>
      <c r="X984" s="5">
        <f>IF($F984="","",IFERROR(INDEX('CAT_CENTROS_COSTO'!$D$4:$D$13,MATCH($F984,'CAT_CENTROS_COSTO'!$A$4:$A$13,0)),"(sin catálogo)"))</f>
        <v/>
      </c>
      <c r="Y984" s="5">
        <f>IF($F984="","",IF((IFERROR(INDEX('CAT_CENTROS_COSTO'!$E$4:$E$13,MATCH($F984,'CAT_CENTROS_COSTO'!$A$4:$A$13,0)),""))&lt;&gt;"",IFERROR(INDEX('CAT_CENTROS_COSTO'!$E$4:$E$13,MATCH($F984,'CAT_CENTROS_COSTO'!$A$4:$A$13,0)),""),$X984))</f>
        <v/>
      </c>
      <c r="Z984" s="5">
        <f>IF($F984="","",IFERROR(INDEX('CAT_CENTROS_COSTO'!$G$4:$G$13,MATCH($F984,'CAT_CENTROS_COSTO'!$A$4:$A$13,0)),"(sin catálogo)"))</f>
        <v/>
      </c>
      <c r="AA984" s="5">
        <f>IF($G984="","",IFERROR(INDEX('CAT_PUESTOS'!$B$4:$B$8,MATCH($G984,'CAT_PUESTOS'!$A$4:$A$8,0)),"(sin catálogo)"))</f>
        <v/>
      </c>
      <c r="AB984" s="5">
        <f>IF($H984="","",IFERROR(INDEX('CAT_ACTIVIDADES'!$B$4:$B$11,MATCH($H984,'CAT_ACTIVIDADES'!$A$4:$A$11,0)),"(sin catálogo)"))</f>
        <v/>
      </c>
      <c r="AC984" s="20">
        <f>IF($J984="","",TODAY()-$J984)</f>
        <v/>
      </c>
      <c r="AD984" s="20">
        <f>IF($J984="","",IF($J984&lt;=TODAY(),COUNTIFS(cal_fechas,"&gt;="&amp;$J984,cal_fechas,"&lt;"&amp;TODAY(),cal_habil,"sí"),-COUNTIFS(cal_fechas,"&gt;="&amp;TODAY(),cal_fechas,"&lt;"&amp;$J984,cal_habil,"sí")))</f>
        <v/>
      </c>
      <c r="AE984" s="5">
        <f>IF($AD984="","",IF($AD984&lt;0,"FUTURO",IF($AD984&gt;p_dias_backlog_max,"BACKLOG","MES CORRIENTE")))</f>
        <v/>
      </c>
      <c r="AF984" s="5">
        <f>IF($AD984="",FALSE,AND($AD984&gt;p_dias_backlog_min,$AD984&lt;=p_dias_backlog_max))</f>
        <v/>
      </c>
      <c r="AG984" s="4" t="n"/>
      <c r="AH984" s="5">
        <f>IF($AG984="","",IF((IFERROR(INDEX('ASIGNACIONES'!$J$4:$J$451,MATCH($O984&amp;"|"&amp;$S984&amp;"|"&amp;$AG984,'ASIGNACIONES'!$N$4:$N$451,0)),""))=0,"",IFERROR(INDEX('ASIGNACIONES'!$J$4:$J$451,MATCH($O984&amp;"|"&amp;$S984&amp;"|"&amp;$AG984,'ASIGNACIONES'!$N$4:$N$451,0)),"")))</f>
        <v/>
      </c>
      <c r="AI984" s="25">
        <f>IF($AG984="","",SUMIFS('ORDENES'!$M$4:$M$1203,'ORDENES'!$AG$4:$AG$1203,$AG984,'ORDENES'!$O$4:$O$1203,$O984,'ORDENES'!$S$4:$S$1203,$S984))</f>
        <v/>
      </c>
      <c r="AJ984" s="25">
        <f>IF($AI984="","",p_factor_productividad*IFERROR(INDEX('ASIGNACIONES'!$M$4:$M$451,MATCH($O984&amp;"|"&amp;$S984&amp;"|"&amp;$AG984,'ASIGNACIONES'!$N$4:$N$451,0)),0)-$AI984)</f>
        <v/>
      </c>
      <c r="AK984" s="18">
        <f>IF($A984="","",IFERROR(INDEX('2_IMPORTAR_EJECUCION'!$F$9:$F$1208,MATCH($AT984,'2_IMPORTAR_EJECUCION'!$J$9:$J$1208,0)),0))</f>
        <v/>
      </c>
      <c r="AL984" s="18">
        <f>IF($A984="","",MAX(0,IFERROR(INDEX('2_IMPORTAR_EJECUCION'!$H$9:$H$1208,MATCH($AT984,'2_IMPORTAR_EJECUCION'!$J$9:$J$1208,0)),0)-$AK984))</f>
        <v/>
      </c>
      <c r="AM984" s="18">
        <f>IF($A984="","",$AK984+$AL984)</f>
        <v/>
      </c>
      <c r="AN984" s="5">
        <f>IF($A984="","",IF(OR((IFERROR(INDEX('CAT_ACTIVIDADES'!$D$4:$D$11,MATCH($H984,'CAT_ACTIVIDADES'!$A$4:$A$11,0)),""))=0,(IFERROR(INDEX('CAT_ACTIVIDADES'!$D$4:$D$11,MATCH($H984,'CAT_ACTIVIDADES'!$A$4:$A$11,0)),""))=""),"SIN CLASIFICAR",IFERROR(INDEX('CAT_ACTIVIDADES'!$D$4:$D$11,MATCH($H984,'CAT_ACTIVIDADES'!$A$4:$A$11,0)),"")))</f>
        <v/>
      </c>
      <c r="AO984" s="4" t="n"/>
      <c r="AP984" s="4" t="n"/>
      <c r="AQ984" s="4" t="n"/>
      <c r="AR984" s="5">
        <f>IF($AQ984="","",HYPERLINK(p_ruta_base_checklists&amp;$AQ984,"abrir"))</f>
        <v/>
      </c>
      <c r="AS984" s="4" t="n"/>
      <c r="AT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2" t="n"/>
      <c r="K985" s="5" t="n"/>
      <c r="L985" s="18" t="n"/>
      <c r="M985" s="5">
        <f>IF($A985="","",IFERROR(INDEX('AJUSTES'!$B$4:$B$303,MATCH($AT985,'AJUSTES'!$A$4:$A$303,0)),IF($K985="","",$K985)))</f>
        <v/>
      </c>
      <c r="N985" s="5">
        <f>IF($A985="","",IFERROR(INDEX('CAT_ESTADOS_ERP'!$B$4:$B$7,MATCH(IFERROR(INDEX('2_IMPORTAR_EJECUCION'!$C$9:$C$1208,MATCH($AT985,'2_IMPORTAR_EJECUCION'!$J$9:$J$1208,0)),""),'CAT_ESTADOS_ERP'!$A$4:$A$7,0)),"Pendiente"))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IF($J985="","",$P985&amp;"-"&amp;TEXT($Q985,"00"))</f>
        <v/>
      </c>
      <c r="S985" s="5">
        <f>IF($J985="","",INDEX(lista_dias,WEEKDAY($J985,2)))</f>
        <v/>
      </c>
      <c r="T985" s="5">
        <f>IF($J985="","",IFERROR(INDEX('CALENDARIO'!$C$15:$C$214,MATCH(TEXT($J985,"yyyy-mm-dd")&amp;"|"&amp;$X985&amp;"|"&amp;$Y985,'CALENDARIO'!$G$15:$G$214,0)),IFERROR(INDEX('CALENDARIO'!$C$15:$C$214,MATCH(TEXT($J985,"yyyy-mm-dd")&amp;"|"&amp;$X985&amp;"|",'CALENDARIO'!$G$15:$G$214,0)),IFERROR(INDEX('CALENDARIO'!$C$15:$C$214,MATCH(TEXT($J985,"yyyy-mm-dd")&amp;"||",'CALENDARIO'!$G$15:$G$214,0)),INDEX(patronHabil,WEEKDAY($J985,2))))))</f>
        <v/>
      </c>
      <c r="U985" s="5">
        <f>IF($I985="","",IFERROR(INDEX('CAT_TIPOS_OT'!$C$4:$C$8,MATCH($I985,'CAT_TIPOS_OT'!$A$4:$A$8,0)),"sin_clasificar"))</f>
        <v/>
      </c>
      <c r="V985" s="5">
        <f>IF($I985="","",IF(IFERROR(INDEX('CAT_TIPOS_OT'!$D$4:$D$8,MATCH($I985,'CAT_TIPOS_OT'!$A$4:$A$8,0)),"SIN CLASIFICAR")="","SIN CLASIFICAR",IFERROR(INDEX('CAT_TIPOS_OT'!$D$4:$D$8,MATCH($I985,'CAT_TIPOS_OT'!$A$4:$A$8,0)),"SIN CLASIFICAR")))</f>
        <v/>
      </c>
      <c r="W985" s="5">
        <f>IF($F985="","",IFERROR(INDEX('CAT_CENTROS_COSTO'!$F$4:$F$13,MATCH($F985,'CAT_CENTROS_COSTO'!$A$4:$A$13,0)),"(sin catálogo)"))</f>
        <v/>
      </c>
      <c r="X985" s="5">
        <f>IF($F985="","",IFERROR(INDEX('CAT_CENTROS_COSTO'!$D$4:$D$13,MATCH($F985,'CAT_CENTROS_COSTO'!$A$4:$A$13,0)),"(sin catálogo)"))</f>
        <v/>
      </c>
      <c r="Y985" s="5">
        <f>IF($F985="","",IF((IFERROR(INDEX('CAT_CENTROS_COSTO'!$E$4:$E$13,MATCH($F985,'CAT_CENTROS_COSTO'!$A$4:$A$13,0)),""))&lt;&gt;"",IFERROR(INDEX('CAT_CENTROS_COSTO'!$E$4:$E$13,MATCH($F985,'CAT_CENTROS_COSTO'!$A$4:$A$13,0)),""),$X985))</f>
        <v/>
      </c>
      <c r="Z985" s="5">
        <f>IF($F985="","",IFERROR(INDEX('CAT_CENTROS_COSTO'!$G$4:$G$13,MATCH($F985,'CAT_CENTROS_COSTO'!$A$4:$A$13,0)),"(sin catálogo)"))</f>
        <v/>
      </c>
      <c r="AA985" s="5">
        <f>IF($G985="","",IFERROR(INDEX('CAT_PUESTOS'!$B$4:$B$8,MATCH($G985,'CAT_PUESTOS'!$A$4:$A$8,0)),"(sin catálogo)"))</f>
        <v/>
      </c>
      <c r="AB985" s="5">
        <f>IF($H985="","",IFERROR(INDEX('CAT_ACTIVIDADES'!$B$4:$B$11,MATCH($H985,'CAT_ACTIVIDADES'!$A$4:$A$11,0)),"(sin catálogo)"))</f>
        <v/>
      </c>
      <c r="AC985" s="20">
        <f>IF($J985="","",TODAY()-$J985)</f>
        <v/>
      </c>
      <c r="AD985" s="20">
        <f>IF($J985="","",IF($J985&lt;=TODAY(),COUNTIFS(cal_fechas,"&gt;="&amp;$J985,cal_fechas,"&lt;"&amp;TODAY(),cal_habil,"sí"),-COUNTIFS(cal_fechas,"&gt;="&amp;TODAY(),cal_fechas,"&lt;"&amp;$J985,cal_habil,"sí")))</f>
        <v/>
      </c>
      <c r="AE985" s="5">
        <f>IF($AD985="","",IF($AD985&lt;0,"FUTURO",IF($AD985&gt;p_dias_backlog_max,"BACKLOG","MES CORRIENTE")))</f>
        <v/>
      </c>
      <c r="AF985" s="5">
        <f>IF($AD985="",FALSE,AND($AD985&gt;p_dias_backlog_min,$AD985&lt;=p_dias_backlog_max))</f>
        <v/>
      </c>
      <c r="AG985" s="4" t="n"/>
      <c r="AH985" s="5">
        <f>IF($AG985="","",IF((IFERROR(INDEX('ASIGNACIONES'!$J$4:$J$451,MATCH($O985&amp;"|"&amp;$S985&amp;"|"&amp;$AG985,'ASIGNACIONES'!$N$4:$N$451,0)),""))=0,"",IFERROR(INDEX('ASIGNACIONES'!$J$4:$J$451,MATCH($O985&amp;"|"&amp;$S985&amp;"|"&amp;$AG985,'ASIGNACIONES'!$N$4:$N$451,0)),"")))</f>
        <v/>
      </c>
      <c r="AI985" s="25">
        <f>IF($AG985="","",SUMIFS('ORDENES'!$M$4:$M$1203,'ORDENES'!$AG$4:$AG$1203,$AG985,'ORDENES'!$O$4:$O$1203,$O985,'ORDENES'!$S$4:$S$1203,$S985))</f>
        <v/>
      </c>
      <c r="AJ985" s="25">
        <f>IF($AI985="","",p_factor_productividad*IFERROR(INDEX('ASIGNACIONES'!$M$4:$M$451,MATCH($O985&amp;"|"&amp;$S985&amp;"|"&amp;$AG985,'ASIGNACIONES'!$N$4:$N$451,0)),0)-$AI985)</f>
        <v/>
      </c>
      <c r="AK985" s="18">
        <f>IF($A985="","",IFERROR(INDEX('2_IMPORTAR_EJECUCION'!$F$9:$F$1208,MATCH($AT985,'2_IMPORTAR_EJECUCION'!$J$9:$J$1208,0)),0))</f>
        <v/>
      </c>
      <c r="AL985" s="18">
        <f>IF($A985="","",MAX(0,IFERROR(INDEX('2_IMPORTAR_EJECUCION'!$H$9:$H$1208,MATCH($AT985,'2_IMPORTAR_EJECUCION'!$J$9:$J$1208,0)),0)-$AK985))</f>
        <v/>
      </c>
      <c r="AM985" s="18">
        <f>IF($A985="","",$AK985+$AL985)</f>
        <v/>
      </c>
      <c r="AN985" s="5">
        <f>IF($A985="","",IF(OR((IFERROR(INDEX('CAT_ACTIVIDADES'!$D$4:$D$11,MATCH($H985,'CAT_ACTIVIDADES'!$A$4:$A$11,0)),""))=0,(IFERROR(INDEX('CAT_ACTIVIDADES'!$D$4:$D$11,MATCH($H985,'CAT_ACTIVIDADES'!$A$4:$A$11,0)),""))=""),"SIN CLASIFICAR",IFERROR(INDEX('CAT_ACTIVIDADES'!$D$4:$D$11,MATCH($H985,'CAT_ACTIVIDADES'!$A$4:$A$11,0)),"")))</f>
        <v/>
      </c>
      <c r="AO985" s="4" t="n"/>
      <c r="AP985" s="4" t="n"/>
      <c r="AQ985" s="4" t="n"/>
      <c r="AR985" s="5">
        <f>IF($AQ985="","",HYPERLINK(p_ruta_base_checklists&amp;$AQ985,"abrir"))</f>
        <v/>
      </c>
      <c r="AS985" s="4" t="n"/>
      <c r="AT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2" t="n"/>
      <c r="K986" s="5" t="n"/>
      <c r="L986" s="18" t="n"/>
      <c r="M986" s="5">
        <f>IF($A986="","",IFERROR(INDEX('AJUSTES'!$B$4:$B$303,MATCH($AT986,'AJUSTES'!$A$4:$A$303,0)),IF($K986="","",$K986)))</f>
        <v/>
      </c>
      <c r="N986" s="5">
        <f>IF($A986="","",IFERROR(INDEX('CAT_ESTADOS_ERP'!$B$4:$B$7,MATCH(IFERROR(INDEX('2_IMPORTAR_EJECUCION'!$C$9:$C$1208,MATCH($AT986,'2_IMPORTAR_EJECUCION'!$J$9:$J$1208,0)),""),'CAT_ESTADOS_ERP'!$A$4:$A$7,0)),"Pendiente"))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IF($J986="","",$P986&amp;"-"&amp;TEXT($Q986,"00"))</f>
        <v/>
      </c>
      <c r="S986" s="5">
        <f>IF($J986="","",INDEX(lista_dias,WEEKDAY($J986,2)))</f>
        <v/>
      </c>
      <c r="T986" s="5">
        <f>IF($J986="","",IFERROR(INDEX('CALENDARIO'!$C$15:$C$214,MATCH(TEXT($J986,"yyyy-mm-dd")&amp;"|"&amp;$X986&amp;"|"&amp;$Y986,'CALENDARIO'!$G$15:$G$214,0)),IFERROR(INDEX('CALENDARIO'!$C$15:$C$214,MATCH(TEXT($J986,"yyyy-mm-dd")&amp;"|"&amp;$X986&amp;"|",'CALENDARIO'!$G$15:$G$214,0)),IFERROR(INDEX('CALENDARIO'!$C$15:$C$214,MATCH(TEXT($J986,"yyyy-mm-dd")&amp;"||",'CALENDARIO'!$G$15:$G$214,0)),INDEX(patronHabil,WEEKDAY($J986,2))))))</f>
        <v/>
      </c>
      <c r="U986" s="5">
        <f>IF($I986="","",IFERROR(INDEX('CAT_TIPOS_OT'!$C$4:$C$8,MATCH($I986,'CAT_TIPOS_OT'!$A$4:$A$8,0)),"sin_clasificar"))</f>
        <v/>
      </c>
      <c r="V986" s="5">
        <f>IF($I986="","",IF(IFERROR(INDEX('CAT_TIPOS_OT'!$D$4:$D$8,MATCH($I986,'CAT_TIPOS_OT'!$A$4:$A$8,0)),"SIN CLASIFICAR")="","SIN CLASIFICAR",IFERROR(INDEX('CAT_TIPOS_OT'!$D$4:$D$8,MATCH($I986,'CAT_TIPOS_OT'!$A$4:$A$8,0)),"SIN CLASIFICAR")))</f>
        <v/>
      </c>
      <c r="W986" s="5">
        <f>IF($F986="","",IFERROR(INDEX('CAT_CENTROS_COSTO'!$F$4:$F$13,MATCH($F986,'CAT_CENTROS_COSTO'!$A$4:$A$13,0)),"(sin catálogo)"))</f>
        <v/>
      </c>
      <c r="X986" s="5">
        <f>IF($F986="","",IFERROR(INDEX('CAT_CENTROS_COSTO'!$D$4:$D$13,MATCH($F986,'CAT_CENTROS_COSTO'!$A$4:$A$13,0)),"(sin catálogo)"))</f>
        <v/>
      </c>
      <c r="Y986" s="5">
        <f>IF($F986="","",IF((IFERROR(INDEX('CAT_CENTROS_COSTO'!$E$4:$E$13,MATCH($F986,'CAT_CENTROS_COSTO'!$A$4:$A$13,0)),""))&lt;&gt;"",IFERROR(INDEX('CAT_CENTROS_COSTO'!$E$4:$E$13,MATCH($F986,'CAT_CENTROS_COSTO'!$A$4:$A$13,0)),""),$X986))</f>
        <v/>
      </c>
      <c r="Z986" s="5">
        <f>IF($F986="","",IFERROR(INDEX('CAT_CENTROS_COSTO'!$G$4:$G$13,MATCH($F986,'CAT_CENTROS_COSTO'!$A$4:$A$13,0)),"(sin catálogo)"))</f>
        <v/>
      </c>
      <c r="AA986" s="5">
        <f>IF($G986="","",IFERROR(INDEX('CAT_PUESTOS'!$B$4:$B$8,MATCH($G986,'CAT_PUESTOS'!$A$4:$A$8,0)),"(sin catálogo)"))</f>
        <v/>
      </c>
      <c r="AB986" s="5">
        <f>IF($H986="","",IFERROR(INDEX('CAT_ACTIVIDADES'!$B$4:$B$11,MATCH($H986,'CAT_ACTIVIDADES'!$A$4:$A$11,0)),"(sin catálogo)"))</f>
        <v/>
      </c>
      <c r="AC986" s="20">
        <f>IF($J986="","",TODAY()-$J986)</f>
        <v/>
      </c>
      <c r="AD986" s="20">
        <f>IF($J986="","",IF($J986&lt;=TODAY(),COUNTIFS(cal_fechas,"&gt;="&amp;$J986,cal_fechas,"&lt;"&amp;TODAY(),cal_habil,"sí"),-COUNTIFS(cal_fechas,"&gt;="&amp;TODAY(),cal_fechas,"&lt;"&amp;$J986,cal_habil,"sí")))</f>
        <v/>
      </c>
      <c r="AE986" s="5">
        <f>IF($AD986="","",IF($AD986&lt;0,"FUTURO",IF($AD986&gt;p_dias_backlog_max,"BACKLOG","MES CORRIENTE")))</f>
        <v/>
      </c>
      <c r="AF986" s="5">
        <f>IF($AD986="",FALSE,AND($AD986&gt;p_dias_backlog_min,$AD986&lt;=p_dias_backlog_max))</f>
        <v/>
      </c>
      <c r="AG986" s="4" t="n"/>
      <c r="AH986" s="5">
        <f>IF($AG986="","",IF((IFERROR(INDEX('ASIGNACIONES'!$J$4:$J$451,MATCH($O986&amp;"|"&amp;$S986&amp;"|"&amp;$AG986,'ASIGNACIONES'!$N$4:$N$451,0)),""))=0,"",IFERROR(INDEX('ASIGNACIONES'!$J$4:$J$451,MATCH($O986&amp;"|"&amp;$S986&amp;"|"&amp;$AG986,'ASIGNACIONES'!$N$4:$N$451,0)),"")))</f>
        <v/>
      </c>
      <c r="AI986" s="25">
        <f>IF($AG986="","",SUMIFS('ORDENES'!$M$4:$M$1203,'ORDENES'!$AG$4:$AG$1203,$AG986,'ORDENES'!$O$4:$O$1203,$O986,'ORDENES'!$S$4:$S$1203,$S986))</f>
        <v/>
      </c>
      <c r="AJ986" s="25">
        <f>IF($AI986="","",p_factor_productividad*IFERROR(INDEX('ASIGNACIONES'!$M$4:$M$451,MATCH($O986&amp;"|"&amp;$S986&amp;"|"&amp;$AG986,'ASIGNACIONES'!$N$4:$N$451,0)),0)-$AI986)</f>
        <v/>
      </c>
      <c r="AK986" s="18">
        <f>IF($A986="","",IFERROR(INDEX('2_IMPORTAR_EJECUCION'!$F$9:$F$1208,MATCH($AT986,'2_IMPORTAR_EJECUCION'!$J$9:$J$1208,0)),0))</f>
        <v/>
      </c>
      <c r="AL986" s="18">
        <f>IF($A986="","",MAX(0,IFERROR(INDEX('2_IMPORTAR_EJECUCION'!$H$9:$H$1208,MATCH($AT986,'2_IMPORTAR_EJECUCION'!$J$9:$J$1208,0)),0)-$AK986))</f>
        <v/>
      </c>
      <c r="AM986" s="18">
        <f>IF($A986="","",$AK986+$AL986)</f>
        <v/>
      </c>
      <c r="AN986" s="5">
        <f>IF($A986="","",IF(OR((IFERROR(INDEX('CAT_ACTIVIDADES'!$D$4:$D$11,MATCH($H986,'CAT_ACTIVIDADES'!$A$4:$A$11,0)),""))=0,(IFERROR(INDEX('CAT_ACTIVIDADES'!$D$4:$D$11,MATCH($H986,'CAT_ACTIVIDADES'!$A$4:$A$11,0)),""))=""),"SIN CLASIFICAR",IFERROR(INDEX('CAT_ACTIVIDADES'!$D$4:$D$11,MATCH($H986,'CAT_ACTIVIDADES'!$A$4:$A$11,0)),"")))</f>
        <v/>
      </c>
      <c r="AO986" s="4" t="n"/>
      <c r="AP986" s="4" t="n"/>
      <c r="AQ986" s="4" t="n"/>
      <c r="AR986" s="5">
        <f>IF($AQ986="","",HYPERLINK(p_ruta_base_checklists&amp;$AQ986,"abrir"))</f>
        <v/>
      </c>
      <c r="AS986" s="4" t="n"/>
      <c r="AT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2" t="n"/>
      <c r="K987" s="5" t="n"/>
      <c r="L987" s="18" t="n"/>
      <c r="M987" s="5">
        <f>IF($A987="","",IFERROR(INDEX('AJUSTES'!$B$4:$B$303,MATCH($AT987,'AJUSTES'!$A$4:$A$303,0)),IF($K987="","",$K987)))</f>
        <v/>
      </c>
      <c r="N987" s="5">
        <f>IF($A987="","",IFERROR(INDEX('CAT_ESTADOS_ERP'!$B$4:$B$7,MATCH(IFERROR(INDEX('2_IMPORTAR_EJECUCION'!$C$9:$C$1208,MATCH($AT987,'2_IMPORTAR_EJECUCION'!$J$9:$J$1208,0)),""),'CAT_ESTADOS_ERP'!$A$4:$A$7,0)),"Pendiente"))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IF($J987="","",$P987&amp;"-"&amp;TEXT($Q987,"00"))</f>
        <v/>
      </c>
      <c r="S987" s="5">
        <f>IF($J987="","",INDEX(lista_dias,WEEKDAY($J987,2)))</f>
        <v/>
      </c>
      <c r="T987" s="5">
        <f>IF($J987="","",IFERROR(INDEX('CALENDARIO'!$C$15:$C$214,MATCH(TEXT($J987,"yyyy-mm-dd")&amp;"|"&amp;$X987&amp;"|"&amp;$Y987,'CALENDARIO'!$G$15:$G$214,0)),IFERROR(INDEX('CALENDARIO'!$C$15:$C$214,MATCH(TEXT($J987,"yyyy-mm-dd")&amp;"|"&amp;$X987&amp;"|",'CALENDARIO'!$G$15:$G$214,0)),IFERROR(INDEX('CALENDARIO'!$C$15:$C$214,MATCH(TEXT($J987,"yyyy-mm-dd")&amp;"||",'CALENDARIO'!$G$15:$G$214,0)),INDEX(patronHabil,WEEKDAY($J987,2))))))</f>
        <v/>
      </c>
      <c r="U987" s="5">
        <f>IF($I987="","",IFERROR(INDEX('CAT_TIPOS_OT'!$C$4:$C$8,MATCH($I987,'CAT_TIPOS_OT'!$A$4:$A$8,0)),"sin_clasificar"))</f>
        <v/>
      </c>
      <c r="V987" s="5">
        <f>IF($I987="","",IF(IFERROR(INDEX('CAT_TIPOS_OT'!$D$4:$D$8,MATCH($I987,'CAT_TIPOS_OT'!$A$4:$A$8,0)),"SIN CLASIFICAR")="","SIN CLASIFICAR",IFERROR(INDEX('CAT_TIPOS_OT'!$D$4:$D$8,MATCH($I987,'CAT_TIPOS_OT'!$A$4:$A$8,0)),"SIN CLASIFICAR")))</f>
        <v/>
      </c>
      <c r="W987" s="5">
        <f>IF($F987="","",IFERROR(INDEX('CAT_CENTROS_COSTO'!$F$4:$F$13,MATCH($F987,'CAT_CENTROS_COSTO'!$A$4:$A$13,0)),"(sin catálogo)"))</f>
        <v/>
      </c>
      <c r="X987" s="5">
        <f>IF($F987="","",IFERROR(INDEX('CAT_CENTROS_COSTO'!$D$4:$D$13,MATCH($F987,'CAT_CENTROS_COSTO'!$A$4:$A$13,0)),"(sin catálogo)"))</f>
        <v/>
      </c>
      <c r="Y987" s="5">
        <f>IF($F987="","",IF((IFERROR(INDEX('CAT_CENTROS_COSTO'!$E$4:$E$13,MATCH($F987,'CAT_CENTROS_COSTO'!$A$4:$A$13,0)),""))&lt;&gt;"",IFERROR(INDEX('CAT_CENTROS_COSTO'!$E$4:$E$13,MATCH($F987,'CAT_CENTROS_COSTO'!$A$4:$A$13,0)),""),$X987))</f>
        <v/>
      </c>
      <c r="Z987" s="5">
        <f>IF($F987="","",IFERROR(INDEX('CAT_CENTROS_COSTO'!$G$4:$G$13,MATCH($F987,'CAT_CENTROS_COSTO'!$A$4:$A$13,0)),"(sin catálogo)"))</f>
        <v/>
      </c>
      <c r="AA987" s="5">
        <f>IF($G987="","",IFERROR(INDEX('CAT_PUESTOS'!$B$4:$B$8,MATCH($G987,'CAT_PUESTOS'!$A$4:$A$8,0)),"(sin catálogo)"))</f>
        <v/>
      </c>
      <c r="AB987" s="5">
        <f>IF($H987="","",IFERROR(INDEX('CAT_ACTIVIDADES'!$B$4:$B$11,MATCH($H987,'CAT_ACTIVIDADES'!$A$4:$A$11,0)),"(sin catálogo)"))</f>
        <v/>
      </c>
      <c r="AC987" s="20">
        <f>IF($J987="","",TODAY()-$J987)</f>
        <v/>
      </c>
      <c r="AD987" s="20">
        <f>IF($J987="","",IF($J987&lt;=TODAY(),COUNTIFS(cal_fechas,"&gt;="&amp;$J987,cal_fechas,"&lt;"&amp;TODAY(),cal_habil,"sí"),-COUNTIFS(cal_fechas,"&gt;="&amp;TODAY(),cal_fechas,"&lt;"&amp;$J987,cal_habil,"sí")))</f>
        <v/>
      </c>
      <c r="AE987" s="5">
        <f>IF($AD987="","",IF($AD987&lt;0,"FUTURO",IF($AD987&gt;p_dias_backlog_max,"BACKLOG","MES CORRIENTE")))</f>
        <v/>
      </c>
      <c r="AF987" s="5">
        <f>IF($AD987="",FALSE,AND($AD987&gt;p_dias_backlog_min,$AD987&lt;=p_dias_backlog_max))</f>
        <v/>
      </c>
      <c r="AG987" s="4" t="n"/>
      <c r="AH987" s="5">
        <f>IF($AG987="","",IF((IFERROR(INDEX('ASIGNACIONES'!$J$4:$J$451,MATCH($O987&amp;"|"&amp;$S987&amp;"|"&amp;$AG987,'ASIGNACIONES'!$N$4:$N$451,0)),""))=0,"",IFERROR(INDEX('ASIGNACIONES'!$J$4:$J$451,MATCH($O987&amp;"|"&amp;$S987&amp;"|"&amp;$AG987,'ASIGNACIONES'!$N$4:$N$451,0)),"")))</f>
        <v/>
      </c>
      <c r="AI987" s="25">
        <f>IF($AG987="","",SUMIFS('ORDENES'!$M$4:$M$1203,'ORDENES'!$AG$4:$AG$1203,$AG987,'ORDENES'!$O$4:$O$1203,$O987,'ORDENES'!$S$4:$S$1203,$S987))</f>
        <v/>
      </c>
      <c r="AJ987" s="25">
        <f>IF($AI987="","",p_factor_productividad*IFERROR(INDEX('ASIGNACIONES'!$M$4:$M$451,MATCH($O987&amp;"|"&amp;$S987&amp;"|"&amp;$AG987,'ASIGNACIONES'!$N$4:$N$451,0)),0)-$AI987)</f>
        <v/>
      </c>
      <c r="AK987" s="18">
        <f>IF($A987="","",IFERROR(INDEX('2_IMPORTAR_EJECUCION'!$F$9:$F$1208,MATCH($AT987,'2_IMPORTAR_EJECUCION'!$J$9:$J$1208,0)),0))</f>
        <v/>
      </c>
      <c r="AL987" s="18">
        <f>IF($A987="","",MAX(0,IFERROR(INDEX('2_IMPORTAR_EJECUCION'!$H$9:$H$1208,MATCH($AT987,'2_IMPORTAR_EJECUCION'!$J$9:$J$1208,0)),0)-$AK987))</f>
        <v/>
      </c>
      <c r="AM987" s="18">
        <f>IF($A987="","",$AK987+$AL987)</f>
        <v/>
      </c>
      <c r="AN987" s="5">
        <f>IF($A987="","",IF(OR((IFERROR(INDEX('CAT_ACTIVIDADES'!$D$4:$D$11,MATCH($H987,'CAT_ACTIVIDADES'!$A$4:$A$11,0)),""))=0,(IFERROR(INDEX('CAT_ACTIVIDADES'!$D$4:$D$11,MATCH($H987,'CAT_ACTIVIDADES'!$A$4:$A$11,0)),""))=""),"SIN CLASIFICAR",IFERROR(INDEX('CAT_ACTIVIDADES'!$D$4:$D$11,MATCH($H987,'CAT_ACTIVIDADES'!$A$4:$A$11,0)),"")))</f>
        <v/>
      </c>
      <c r="AO987" s="4" t="n"/>
      <c r="AP987" s="4" t="n"/>
      <c r="AQ987" s="4" t="n"/>
      <c r="AR987" s="5">
        <f>IF($AQ987="","",HYPERLINK(p_ruta_base_checklists&amp;$AQ987,"abrir"))</f>
        <v/>
      </c>
      <c r="AS987" s="4" t="n"/>
      <c r="AT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2" t="n"/>
      <c r="K988" s="5" t="n"/>
      <c r="L988" s="18" t="n"/>
      <c r="M988" s="5">
        <f>IF($A988="","",IFERROR(INDEX('AJUSTES'!$B$4:$B$303,MATCH($AT988,'AJUSTES'!$A$4:$A$303,0)),IF($K988="","",$K988)))</f>
        <v/>
      </c>
      <c r="N988" s="5">
        <f>IF($A988="","",IFERROR(INDEX('CAT_ESTADOS_ERP'!$B$4:$B$7,MATCH(IFERROR(INDEX('2_IMPORTAR_EJECUCION'!$C$9:$C$1208,MATCH($AT988,'2_IMPORTAR_EJECUCION'!$J$9:$J$1208,0)),""),'CAT_ESTADOS_ERP'!$A$4:$A$7,0)),"Pendiente"))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IF($J988="","",$P988&amp;"-"&amp;TEXT($Q988,"00"))</f>
        <v/>
      </c>
      <c r="S988" s="5">
        <f>IF($J988="","",INDEX(lista_dias,WEEKDAY($J988,2)))</f>
        <v/>
      </c>
      <c r="T988" s="5">
        <f>IF($J988="","",IFERROR(INDEX('CALENDARIO'!$C$15:$C$214,MATCH(TEXT($J988,"yyyy-mm-dd")&amp;"|"&amp;$X988&amp;"|"&amp;$Y988,'CALENDARIO'!$G$15:$G$214,0)),IFERROR(INDEX('CALENDARIO'!$C$15:$C$214,MATCH(TEXT($J988,"yyyy-mm-dd")&amp;"|"&amp;$X988&amp;"|",'CALENDARIO'!$G$15:$G$214,0)),IFERROR(INDEX('CALENDARIO'!$C$15:$C$214,MATCH(TEXT($J988,"yyyy-mm-dd")&amp;"||",'CALENDARIO'!$G$15:$G$214,0)),INDEX(patronHabil,WEEKDAY($J988,2))))))</f>
        <v/>
      </c>
      <c r="U988" s="5">
        <f>IF($I988="","",IFERROR(INDEX('CAT_TIPOS_OT'!$C$4:$C$8,MATCH($I988,'CAT_TIPOS_OT'!$A$4:$A$8,0)),"sin_clasificar"))</f>
        <v/>
      </c>
      <c r="V988" s="5">
        <f>IF($I988="","",IF(IFERROR(INDEX('CAT_TIPOS_OT'!$D$4:$D$8,MATCH($I988,'CAT_TIPOS_OT'!$A$4:$A$8,0)),"SIN CLASIFICAR")="","SIN CLASIFICAR",IFERROR(INDEX('CAT_TIPOS_OT'!$D$4:$D$8,MATCH($I988,'CAT_TIPOS_OT'!$A$4:$A$8,0)),"SIN CLASIFICAR")))</f>
        <v/>
      </c>
      <c r="W988" s="5">
        <f>IF($F988="","",IFERROR(INDEX('CAT_CENTROS_COSTO'!$F$4:$F$13,MATCH($F988,'CAT_CENTROS_COSTO'!$A$4:$A$13,0)),"(sin catálogo)"))</f>
        <v/>
      </c>
      <c r="X988" s="5">
        <f>IF($F988="","",IFERROR(INDEX('CAT_CENTROS_COSTO'!$D$4:$D$13,MATCH($F988,'CAT_CENTROS_COSTO'!$A$4:$A$13,0)),"(sin catálogo)"))</f>
        <v/>
      </c>
      <c r="Y988" s="5">
        <f>IF($F988="","",IF((IFERROR(INDEX('CAT_CENTROS_COSTO'!$E$4:$E$13,MATCH($F988,'CAT_CENTROS_COSTO'!$A$4:$A$13,0)),""))&lt;&gt;"",IFERROR(INDEX('CAT_CENTROS_COSTO'!$E$4:$E$13,MATCH($F988,'CAT_CENTROS_COSTO'!$A$4:$A$13,0)),""),$X988))</f>
        <v/>
      </c>
      <c r="Z988" s="5">
        <f>IF($F988="","",IFERROR(INDEX('CAT_CENTROS_COSTO'!$G$4:$G$13,MATCH($F988,'CAT_CENTROS_COSTO'!$A$4:$A$13,0)),"(sin catálogo)"))</f>
        <v/>
      </c>
      <c r="AA988" s="5">
        <f>IF($G988="","",IFERROR(INDEX('CAT_PUESTOS'!$B$4:$B$8,MATCH($G988,'CAT_PUESTOS'!$A$4:$A$8,0)),"(sin catálogo)"))</f>
        <v/>
      </c>
      <c r="AB988" s="5">
        <f>IF($H988="","",IFERROR(INDEX('CAT_ACTIVIDADES'!$B$4:$B$11,MATCH($H988,'CAT_ACTIVIDADES'!$A$4:$A$11,0)),"(sin catálogo)"))</f>
        <v/>
      </c>
      <c r="AC988" s="20">
        <f>IF($J988="","",TODAY()-$J988)</f>
        <v/>
      </c>
      <c r="AD988" s="20">
        <f>IF($J988="","",IF($J988&lt;=TODAY(),COUNTIFS(cal_fechas,"&gt;="&amp;$J988,cal_fechas,"&lt;"&amp;TODAY(),cal_habil,"sí"),-COUNTIFS(cal_fechas,"&gt;="&amp;TODAY(),cal_fechas,"&lt;"&amp;$J988,cal_habil,"sí")))</f>
        <v/>
      </c>
      <c r="AE988" s="5">
        <f>IF($AD988="","",IF($AD988&lt;0,"FUTURO",IF($AD988&gt;p_dias_backlog_max,"BACKLOG","MES CORRIENTE")))</f>
        <v/>
      </c>
      <c r="AF988" s="5">
        <f>IF($AD988="",FALSE,AND($AD988&gt;p_dias_backlog_min,$AD988&lt;=p_dias_backlog_max))</f>
        <v/>
      </c>
      <c r="AG988" s="4" t="n"/>
      <c r="AH988" s="5">
        <f>IF($AG988="","",IF((IFERROR(INDEX('ASIGNACIONES'!$J$4:$J$451,MATCH($O988&amp;"|"&amp;$S988&amp;"|"&amp;$AG988,'ASIGNACIONES'!$N$4:$N$451,0)),""))=0,"",IFERROR(INDEX('ASIGNACIONES'!$J$4:$J$451,MATCH($O988&amp;"|"&amp;$S988&amp;"|"&amp;$AG988,'ASIGNACIONES'!$N$4:$N$451,0)),"")))</f>
        <v/>
      </c>
      <c r="AI988" s="25">
        <f>IF($AG988="","",SUMIFS('ORDENES'!$M$4:$M$1203,'ORDENES'!$AG$4:$AG$1203,$AG988,'ORDENES'!$O$4:$O$1203,$O988,'ORDENES'!$S$4:$S$1203,$S988))</f>
        <v/>
      </c>
      <c r="AJ988" s="25">
        <f>IF($AI988="","",p_factor_productividad*IFERROR(INDEX('ASIGNACIONES'!$M$4:$M$451,MATCH($O988&amp;"|"&amp;$S988&amp;"|"&amp;$AG988,'ASIGNACIONES'!$N$4:$N$451,0)),0)-$AI988)</f>
        <v/>
      </c>
      <c r="AK988" s="18">
        <f>IF($A988="","",IFERROR(INDEX('2_IMPORTAR_EJECUCION'!$F$9:$F$1208,MATCH($AT988,'2_IMPORTAR_EJECUCION'!$J$9:$J$1208,0)),0))</f>
        <v/>
      </c>
      <c r="AL988" s="18">
        <f>IF($A988="","",MAX(0,IFERROR(INDEX('2_IMPORTAR_EJECUCION'!$H$9:$H$1208,MATCH($AT988,'2_IMPORTAR_EJECUCION'!$J$9:$J$1208,0)),0)-$AK988))</f>
        <v/>
      </c>
      <c r="AM988" s="18">
        <f>IF($A988="","",$AK988+$AL988)</f>
        <v/>
      </c>
      <c r="AN988" s="5">
        <f>IF($A988="","",IF(OR((IFERROR(INDEX('CAT_ACTIVIDADES'!$D$4:$D$11,MATCH($H988,'CAT_ACTIVIDADES'!$A$4:$A$11,0)),""))=0,(IFERROR(INDEX('CAT_ACTIVIDADES'!$D$4:$D$11,MATCH($H988,'CAT_ACTIVIDADES'!$A$4:$A$11,0)),""))=""),"SIN CLASIFICAR",IFERROR(INDEX('CAT_ACTIVIDADES'!$D$4:$D$11,MATCH($H988,'CAT_ACTIVIDADES'!$A$4:$A$11,0)),"")))</f>
        <v/>
      </c>
      <c r="AO988" s="4" t="n"/>
      <c r="AP988" s="4" t="n"/>
      <c r="AQ988" s="4" t="n"/>
      <c r="AR988" s="5">
        <f>IF($AQ988="","",HYPERLINK(p_ruta_base_checklists&amp;$AQ988,"abrir"))</f>
        <v/>
      </c>
      <c r="AS988" s="4" t="n"/>
      <c r="AT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2" t="n"/>
      <c r="K989" s="5" t="n"/>
      <c r="L989" s="18" t="n"/>
      <c r="M989" s="5">
        <f>IF($A989="","",IFERROR(INDEX('AJUSTES'!$B$4:$B$303,MATCH($AT989,'AJUSTES'!$A$4:$A$303,0)),IF($K989="","",$K989)))</f>
        <v/>
      </c>
      <c r="N989" s="5">
        <f>IF($A989="","",IFERROR(INDEX('CAT_ESTADOS_ERP'!$B$4:$B$7,MATCH(IFERROR(INDEX('2_IMPORTAR_EJECUCION'!$C$9:$C$1208,MATCH($AT989,'2_IMPORTAR_EJECUCION'!$J$9:$J$1208,0)),""),'CAT_ESTADOS_ERP'!$A$4:$A$7,0)),"Pendiente"))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IF($J989="","",$P989&amp;"-"&amp;TEXT($Q989,"00"))</f>
        <v/>
      </c>
      <c r="S989" s="5">
        <f>IF($J989="","",INDEX(lista_dias,WEEKDAY($J989,2)))</f>
        <v/>
      </c>
      <c r="T989" s="5">
        <f>IF($J989="","",IFERROR(INDEX('CALENDARIO'!$C$15:$C$214,MATCH(TEXT($J989,"yyyy-mm-dd")&amp;"|"&amp;$X989&amp;"|"&amp;$Y989,'CALENDARIO'!$G$15:$G$214,0)),IFERROR(INDEX('CALENDARIO'!$C$15:$C$214,MATCH(TEXT($J989,"yyyy-mm-dd")&amp;"|"&amp;$X989&amp;"|",'CALENDARIO'!$G$15:$G$214,0)),IFERROR(INDEX('CALENDARIO'!$C$15:$C$214,MATCH(TEXT($J989,"yyyy-mm-dd")&amp;"||",'CALENDARIO'!$G$15:$G$214,0)),INDEX(patronHabil,WEEKDAY($J989,2))))))</f>
        <v/>
      </c>
      <c r="U989" s="5">
        <f>IF($I989="","",IFERROR(INDEX('CAT_TIPOS_OT'!$C$4:$C$8,MATCH($I989,'CAT_TIPOS_OT'!$A$4:$A$8,0)),"sin_clasificar"))</f>
        <v/>
      </c>
      <c r="V989" s="5">
        <f>IF($I989="","",IF(IFERROR(INDEX('CAT_TIPOS_OT'!$D$4:$D$8,MATCH($I989,'CAT_TIPOS_OT'!$A$4:$A$8,0)),"SIN CLASIFICAR")="","SIN CLASIFICAR",IFERROR(INDEX('CAT_TIPOS_OT'!$D$4:$D$8,MATCH($I989,'CAT_TIPOS_OT'!$A$4:$A$8,0)),"SIN CLASIFICAR")))</f>
        <v/>
      </c>
      <c r="W989" s="5">
        <f>IF($F989="","",IFERROR(INDEX('CAT_CENTROS_COSTO'!$F$4:$F$13,MATCH($F989,'CAT_CENTROS_COSTO'!$A$4:$A$13,0)),"(sin catálogo)"))</f>
        <v/>
      </c>
      <c r="X989" s="5">
        <f>IF($F989="","",IFERROR(INDEX('CAT_CENTROS_COSTO'!$D$4:$D$13,MATCH($F989,'CAT_CENTROS_COSTO'!$A$4:$A$13,0)),"(sin catálogo)"))</f>
        <v/>
      </c>
      <c r="Y989" s="5">
        <f>IF($F989="","",IF((IFERROR(INDEX('CAT_CENTROS_COSTO'!$E$4:$E$13,MATCH($F989,'CAT_CENTROS_COSTO'!$A$4:$A$13,0)),""))&lt;&gt;"",IFERROR(INDEX('CAT_CENTROS_COSTO'!$E$4:$E$13,MATCH($F989,'CAT_CENTROS_COSTO'!$A$4:$A$13,0)),""),$X989))</f>
        <v/>
      </c>
      <c r="Z989" s="5">
        <f>IF($F989="","",IFERROR(INDEX('CAT_CENTROS_COSTO'!$G$4:$G$13,MATCH($F989,'CAT_CENTROS_COSTO'!$A$4:$A$13,0)),"(sin catálogo)"))</f>
        <v/>
      </c>
      <c r="AA989" s="5">
        <f>IF($G989="","",IFERROR(INDEX('CAT_PUESTOS'!$B$4:$B$8,MATCH($G989,'CAT_PUESTOS'!$A$4:$A$8,0)),"(sin catálogo)"))</f>
        <v/>
      </c>
      <c r="AB989" s="5">
        <f>IF($H989="","",IFERROR(INDEX('CAT_ACTIVIDADES'!$B$4:$B$11,MATCH($H989,'CAT_ACTIVIDADES'!$A$4:$A$11,0)),"(sin catálogo)"))</f>
        <v/>
      </c>
      <c r="AC989" s="20">
        <f>IF($J989="","",TODAY()-$J989)</f>
        <v/>
      </c>
      <c r="AD989" s="20">
        <f>IF($J989="","",IF($J989&lt;=TODAY(),COUNTIFS(cal_fechas,"&gt;="&amp;$J989,cal_fechas,"&lt;"&amp;TODAY(),cal_habil,"sí"),-COUNTIFS(cal_fechas,"&gt;="&amp;TODAY(),cal_fechas,"&lt;"&amp;$J989,cal_habil,"sí")))</f>
        <v/>
      </c>
      <c r="AE989" s="5">
        <f>IF($AD989="","",IF($AD989&lt;0,"FUTURO",IF($AD989&gt;p_dias_backlog_max,"BACKLOG","MES CORRIENTE")))</f>
        <v/>
      </c>
      <c r="AF989" s="5">
        <f>IF($AD989="",FALSE,AND($AD989&gt;p_dias_backlog_min,$AD989&lt;=p_dias_backlog_max))</f>
        <v/>
      </c>
      <c r="AG989" s="4" t="n"/>
      <c r="AH989" s="5">
        <f>IF($AG989="","",IF((IFERROR(INDEX('ASIGNACIONES'!$J$4:$J$451,MATCH($O989&amp;"|"&amp;$S989&amp;"|"&amp;$AG989,'ASIGNACIONES'!$N$4:$N$451,0)),""))=0,"",IFERROR(INDEX('ASIGNACIONES'!$J$4:$J$451,MATCH($O989&amp;"|"&amp;$S989&amp;"|"&amp;$AG989,'ASIGNACIONES'!$N$4:$N$451,0)),"")))</f>
        <v/>
      </c>
      <c r="AI989" s="25">
        <f>IF($AG989="","",SUMIFS('ORDENES'!$M$4:$M$1203,'ORDENES'!$AG$4:$AG$1203,$AG989,'ORDENES'!$O$4:$O$1203,$O989,'ORDENES'!$S$4:$S$1203,$S989))</f>
        <v/>
      </c>
      <c r="AJ989" s="25">
        <f>IF($AI989="","",p_factor_productividad*IFERROR(INDEX('ASIGNACIONES'!$M$4:$M$451,MATCH($O989&amp;"|"&amp;$S989&amp;"|"&amp;$AG989,'ASIGNACIONES'!$N$4:$N$451,0)),0)-$AI989)</f>
        <v/>
      </c>
      <c r="AK989" s="18">
        <f>IF($A989="","",IFERROR(INDEX('2_IMPORTAR_EJECUCION'!$F$9:$F$1208,MATCH($AT989,'2_IMPORTAR_EJECUCION'!$J$9:$J$1208,0)),0))</f>
        <v/>
      </c>
      <c r="AL989" s="18">
        <f>IF($A989="","",MAX(0,IFERROR(INDEX('2_IMPORTAR_EJECUCION'!$H$9:$H$1208,MATCH($AT989,'2_IMPORTAR_EJECUCION'!$J$9:$J$1208,0)),0)-$AK989))</f>
        <v/>
      </c>
      <c r="AM989" s="18">
        <f>IF($A989="","",$AK989+$AL989)</f>
        <v/>
      </c>
      <c r="AN989" s="5">
        <f>IF($A989="","",IF(OR((IFERROR(INDEX('CAT_ACTIVIDADES'!$D$4:$D$11,MATCH($H989,'CAT_ACTIVIDADES'!$A$4:$A$11,0)),""))=0,(IFERROR(INDEX('CAT_ACTIVIDADES'!$D$4:$D$11,MATCH($H989,'CAT_ACTIVIDADES'!$A$4:$A$11,0)),""))=""),"SIN CLASIFICAR",IFERROR(INDEX('CAT_ACTIVIDADES'!$D$4:$D$11,MATCH($H989,'CAT_ACTIVIDADES'!$A$4:$A$11,0)),"")))</f>
        <v/>
      </c>
      <c r="AO989" s="4" t="n"/>
      <c r="AP989" s="4" t="n"/>
      <c r="AQ989" s="4" t="n"/>
      <c r="AR989" s="5">
        <f>IF($AQ989="","",HYPERLINK(p_ruta_base_checklists&amp;$AQ989,"abrir"))</f>
        <v/>
      </c>
      <c r="AS989" s="4" t="n"/>
      <c r="AT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2" t="n"/>
      <c r="K990" s="5" t="n"/>
      <c r="L990" s="18" t="n"/>
      <c r="M990" s="5">
        <f>IF($A990="","",IFERROR(INDEX('AJUSTES'!$B$4:$B$303,MATCH($AT990,'AJUSTES'!$A$4:$A$303,0)),IF($K990="","",$K990)))</f>
        <v/>
      </c>
      <c r="N990" s="5">
        <f>IF($A990="","",IFERROR(INDEX('CAT_ESTADOS_ERP'!$B$4:$B$7,MATCH(IFERROR(INDEX('2_IMPORTAR_EJECUCION'!$C$9:$C$1208,MATCH($AT990,'2_IMPORTAR_EJECUCION'!$J$9:$J$1208,0)),""),'CAT_ESTADOS_ERP'!$A$4:$A$7,0)),"Pendiente"))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IF($J990="","",$P990&amp;"-"&amp;TEXT($Q990,"00"))</f>
        <v/>
      </c>
      <c r="S990" s="5">
        <f>IF($J990="","",INDEX(lista_dias,WEEKDAY($J990,2)))</f>
        <v/>
      </c>
      <c r="T990" s="5">
        <f>IF($J990="","",IFERROR(INDEX('CALENDARIO'!$C$15:$C$214,MATCH(TEXT($J990,"yyyy-mm-dd")&amp;"|"&amp;$X990&amp;"|"&amp;$Y990,'CALENDARIO'!$G$15:$G$214,0)),IFERROR(INDEX('CALENDARIO'!$C$15:$C$214,MATCH(TEXT($J990,"yyyy-mm-dd")&amp;"|"&amp;$X990&amp;"|",'CALENDARIO'!$G$15:$G$214,0)),IFERROR(INDEX('CALENDARIO'!$C$15:$C$214,MATCH(TEXT($J990,"yyyy-mm-dd")&amp;"||",'CALENDARIO'!$G$15:$G$214,0)),INDEX(patronHabil,WEEKDAY($J990,2))))))</f>
        <v/>
      </c>
      <c r="U990" s="5">
        <f>IF($I990="","",IFERROR(INDEX('CAT_TIPOS_OT'!$C$4:$C$8,MATCH($I990,'CAT_TIPOS_OT'!$A$4:$A$8,0)),"sin_clasificar"))</f>
        <v/>
      </c>
      <c r="V990" s="5">
        <f>IF($I990="","",IF(IFERROR(INDEX('CAT_TIPOS_OT'!$D$4:$D$8,MATCH($I990,'CAT_TIPOS_OT'!$A$4:$A$8,0)),"SIN CLASIFICAR")="","SIN CLASIFICAR",IFERROR(INDEX('CAT_TIPOS_OT'!$D$4:$D$8,MATCH($I990,'CAT_TIPOS_OT'!$A$4:$A$8,0)),"SIN CLASIFICAR")))</f>
        <v/>
      </c>
      <c r="W990" s="5">
        <f>IF($F990="","",IFERROR(INDEX('CAT_CENTROS_COSTO'!$F$4:$F$13,MATCH($F990,'CAT_CENTROS_COSTO'!$A$4:$A$13,0)),"(sin catálogo)"))</f>
        <v/>
      </c>
      <c r="X990" s="5">
        <f>IF($F990="","",IFERROR(INDEX('CAT_CENTROS_COSTO'!$D$4:$D$13,MATCH($F990,'CAT_CENTROS_COSTO'!$A$4:$A$13,0)),"(sin catálogo)"))</f>
        <v/>
      </c>
      <c r="Y990" s="5">
        <f>IF($F990="","",IF((IFERROR(INDEX('CAT_CENTROS_COSTO'!$E$4:$E$13,MATCH($F990,'CAT_CENTROS_COSTO'!$A$4:$A$13,0)),""))&lt;&gt;"",IFERROR(INDEX('CAT_CENTROS_COSTO'!$E$4:$E$13,MATCH($F990,'CAT_CENTROS_COSTO'!$A$4:$A$13,0)),""),$X990))</f>
        <v/>
      </c>
      <c r="Z990" s="5">
        <f>IF($F990="","",IFERROR(INDEX('CAT_CENTROS_COSTO'!$G$4:$G$13,MATCH($F990,'CAT_CENTROS_COSTO'!$A$4:$A$13,0)),"(sin catálogo)"))</f>
        <v/>
      </c>
      <c r="AA990" s="5">
        <f>IF($G990="","",IFERROR(INDEX('CAT_PUESTOS'!$B$4:$B$8,MATCH($G990,'CAT_PUESTOS'!$A$4:$A$8,0)),"(sin catálogo)"))</f>
        <v/>
      </c>
      <c r="AB990" s="5">
        <f>IF($H990="","",IFERROR(INDEX('CAT_ACTIVIDADES'!$B$4:$B$11,MATCH($H990,'CAT_ACTIVIDADES'!$A$4:$A$11,0)),"(sin catálogo)"))</f>
        <v/>
      </c>
      <c r="AC990" s="20">
        <f>IF($J990="","",TODAY()-$J990)</f>
        <v/>
      </c>
      <c r="AD990" s="20">
        <f>IF($J990="","",IF($J990&lt;=TODAY(),COUNTIFS(cal_fechas,"&gt;="&amp;$J990,cal_fechas,"&lt;"&amp;TODAY(),cal_habil,"sí"),-COUNTIFS(cal_fechas,"&gt;="&amp;TODAY(),cal_fechas,"&lt;"&amp;$J990,cal_habil,"sí")))</f>
        <v/>
      </c>
      <c r="AE990" s="5">
        <f>IF($AD990="","",IF($AD990&lt;0,"FUTURO",IF($AD990&gt;p_dias_backlog_max,"BACKLOG","MES CORRIENTE")))</f>
        <v/>
      </c>
      <c r="AF990" s="5">
        <f>IF($AD990="",FALSE,AND($AD990&gt;p_dias_backlog_min,$AD990&lt;=p_dias_backlog_max))</f>
        <v/>
      </c>
      <c r="AG990" s="4" t="n"/>
      <c r="AH990" s="5">
        <f>IF($AG990="","",IF((IFERROR(INDEX('ASIGNACIONES'!$J$4:$J$451,MATCH($O990&amp;"|"&amp;$S990&amp;"|"&amp;$AG990,'ASIGNACIONES'!$N$4:$N$451,0)),""))=0,"",IFERROR(INDEX('ASIGNACIONES'!$J$4:$J$451,MATCH($O990&amp;"|"&amp;$S990&amp;"|"&amp;$AG990,'ASIGNACIONES'!$N$4:$N$451,0)),"")))</f>
        <v/>
      </c>
      <c r="AI990" s="25">
        <f>IF($AG990="","",SUMIFS('ORDENES'!$M$4:$M$1203,'ORDENES'!$AG$4:$AG$1203,$AG990,'ORDENES'!$O$4:$O$1203,$O990,'ORDENES'!$S$4:$S$1203,$S990))</f>
        <v/>
      </c>
      <c r="AJ990" s="25">
        <f>IF($AI990="","",p_factor_productividad*IFERROR(INDEX('ASIGNACIONES'!$M$4:$M$451,MATCH($O990&amp;"|"&amp;$S990&amp;"|"&amp;$AG990,'ASIGNACIONES'!$N$4:$N$451,0)),0)-$AI990)</f>
        <v/>
      </c>
      <c r="AK990" s="18">
        <f>IF($A990="","",IFERROR(INDEX('2_IMPORTAR_EJECUCION'!$F$9:$F$1208,MATCH($AT990,'2_IMPORTAR_EJECUCION'!$J$9:$J$1208,0)),0))</f>
        <v/>
      </c>
      <c r="AL990" s="18">
        <f>IF($A990="","",MAX(0,IFERROR(INDEX('2_IMPORTAR_EJECUCION'!$H$9:$H$1208,MATCH($AT990,'2_IMPORTAR_EJECUCION'!$J$9:$J$1208,0)),0)-$AK990))</f>
        <v/>
      </c>
      <c r="AM990" s="18">
        <f>IF($A990="","",$AK990+$AL990)</f>
        <v/>
      </c>
      <c r="AN990" s="5">
        <f>IF($A990="","",IF(OR((IFERROR(INDEX('CAT_ACTIVIDADES'!$D$4:$D$11,MATCH($H990,'CAT_ACTIVIDADES'!$A$4:$A$11,0)),""))=0,(IFERROR(INDEX('CAT_ACTIVIDADES'!$D$4:$D$11,MATCH($H990,'CAT_ACTIVIDADES'!$A$4:$A$11,0)),""))=""),"SIN CLASIFICAR",IFERROR(INDEX('CAT_ACTIVIDADES'!$D$4:$D$11,MATCH($H990,'CAT_ACTIVIDADES'!$A$4:$A$11,0)),"")))</f>
        <v/>
      </c>
      <c r="AO990" s="4" t="n"/>
      <c r="AP990" s="4" t="n"/>
      <c r="AQ990" s="4" t="n"/>
      <c r="AR990" s="5">
        <f>IF($AQ990="","",HYPERLINK(p_ruta_base_checklists&amp;$AQ990,"abrir"))</f>
        <v/>
      </c>
      <c r="AS990" s="4" t="n"/>
      <c r="AT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2" t="n"/>
      <c r="K991" s="5" t="n"/>
      <c r="L991" s="18" t="n"/>
      <c r="M991" s="5">
        <f>IF($A991="","",IFERROR(INDEX('AJUSTES'!$B$4:$B$303,MATCH($AT991,'AJUSTES'!$A$4:$A$303,0)),IF($K991="","",$K991)))</f>
        <v/>
      </c>
      <c r="N991" s="5">
        <f>IF($A991="","",IFERROR(INDEX('CAT_ESTADOS_ERP'!$B$4:$B$7,MATCH(IFERROR(INDEX('2_IMPORTAR_EJECUCION'!$C$9:$C$1208,MATCH($AT991,'2_IMPORTAR_EJECUCION'!$J$9:$J$1208,0)),""),'CAT_ESTADOS_ERP'!$A$4:$A$7,0)),"Pendiente"))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IF($J991="","",$P991&amp;"-"&amp;TEXT($Q991,"00"))</f>
        <v/>
      </c>
      <c r="S991" s="5">
        <f>IF($J991="","",INDEX(lista_dias,WEEKDAY($J991,2)))</f>
        <v/>
      </c>
      <c r="T991" s="5">
        <f>IF($J991="","",IFERROR(INDEX('CALENDARIO'!$C$15:$C$214,MATCH(TEXT($J991,"yyyy-mm-dd")&amp;"|"&amp;$X991&amp;"|"&amp;$Y991,'CALENDARIO'!$G$15:$G$214,0)),IFERROR(INDEX('CALENDARIO'!$C$15:$C$214,MATCH(TEXT($J991,"yyyy-mm-dd")&amp;"|"&amp;$X991&amp;"|",'CALENDARIO'!$G$15:$G$214,0)),IFERROR(INDEX('CALENDARIO'!$C$15:$C$214,MATCH(TEXT($J991,"yyyy-mm-dd")&amp;"||",'CALENDARIO'!$G$15:$G$214,0)),INDEX(patronHabil,WEEKDAY($J991,2))))))</f>
        <v/>
      </c>
      <c r="U991" s="5">
        <f>IF($I991="","",IFERROR(INDEX('CAT_TIPOS_OT'!$C$4:$C$8,MATCH($I991,'CAT_TIPOS_OT'!$A$4:$A$8,0)),"sin_clasificar"))</f>
        <v/>
      </c>
      <c r="V991" s="5">
        <f>IF($I991="","",IF(IFERROR(INDEX('CAT_TIPOS_OT'!$D$4:$D$8,MATCH($I991,'CAT_TIPOS_OT'!$A$4:$A$8,0)),"SIN CLASIFICAR")="","SIN CLASIFICAR",IFERROR(INDEX('CAT_TIPOS_OT'!$D$4:$D$8,MATCH($I991,'CAT_TIPOS_OT'!$A$4:$A$8,0)),"SIN CLASIFICAR")))</f>
        <v/>
      </c>
      <c r="W991" s="5">
        <f>IF($F991="","",IFERROR(INDEX('CAT_CENTROS_COSTO'!$F$4:$F$13,MATCH($F991,'CAT_CENTROS_COSTO'!$A$4:$A$13,0)),"(sin catálogo)"))</f>
        <v/>
      </c>
      <c r="X991" s="5">
        <f>IF($F991="","",IFERROR(INDEX('CAT_CENTROS_COSTO'!$D$4:$D$13,MATCH($F991,'CAT_CENTROS_COSTO'!$A$4:$A$13,0)),"(sin catálogo)"))</f>
        <v/>
      </c>
      <c r="Y991" s="5">
        <f>IF($F991="","",IF((IFERROR(INDEX('CAT_CENTROS_COSTO'!$E$4:$E$13,MATCH($F991,'CAT_CENTROS_COSTO'!$A$4:$A$13,0)),""))&lt;&gt;"",IFERROR(INDEX('CAT_CENTROS_COSTO'!$E$4:$E$13,MATCH($F991,'CAT_CENTROS_COSTO'!$A$4:$A$13,0)),""),$X991))</f>
        <v/>
      </c>
      <c r="Z991" s="5">
        <f>IF($F991="","",IFERROR(INDEX('CAT_CENTROS_COSTO'!$G$4:$G$13,MATCH($F991,'CAT_CENTROS_COSTO'!$A$4:$A$13,0)),"(sin catálogo)"))</f>
        <v/>
      </c>
      <c r="AA991" s="5">
        <f>IF($G991="","",IFERROR(INDEX('CAT_PUESTOS'!$B$4:$B$8,MATCH($G991,'CAT_PUESTOS'!$A$4:$A$8,0)),"(sin catálogo)"))</f>
        <v/>
      </c>
      <c r="AB991" s="5">
        <f>IF($H991="","",IFERROR(INDEX('CAT_ACTIVIDADES'!$B$4:$B$11,MATCH($H991,'CAT_ACTIVIDADES'!$A$4:$A$11,0)),"(sin catálogo)"))</f>
        <v/>
      </c>
      <c r="AC991" s="20">
        <f>IF($J991="","",TODAY()-$J991)</f>
        <v/>
      </c>
      <c r="AD991" s="20">
        <f>IF($J991="","",IF($J991&lt;=TODAY(),COUNTIFS(cal_fechas,"&gt;="&amp;$J991,cal_fechas,"&lt;"&amp;TODAY(),cal_habil,"sí"),-COUNTIFS(cal_fechas,"&gt;="&amp;TODAY(),cal_fechas,"&lt;"&amp;$J991,cal_habil,"sí")))</f>
        <v/>
      </c>
      <c r="AE991" s="5">
        <f>IF($AD991="","",IF($AD991&lt;0,"FUTURO",IF($AD991&gt;p_dias_backlog_max,"BACKLOG","MES CORRIENTE")))</f>
        <v/>
      </c>
      <c r="AF991" s="5">
        <f>IF($AD991="",FALSE,AND($AD991&gt;p_dias_backlog_min,$AD991&lt;=p_dias_backlog_max))</f>
        <v/>
      </c>
      <c r="AG991" s="4" t="n"/>
      <c r="AH991" s="5">
        <f>IF($AG991="","",IF((IFERROR(INDEX('ASIGNACIONES'!$J$4:$J$451,MATCH($O991&amp;"|"&amp;$S991&amp;"|"&amp;$AG991,'ASIGNACIONES'!$N$4:$N$451,0)),""))=0,"",IFERROR(INDEX('ASIGNACIONES'!$J$4:$J$451,MATCH($O991&amp;"|"&amp;$S991&amp;"|"&amp;$AG991,'ASIGNACIONES'!$N$4:$N$451,0)),"")))</f>
        <v/>
      </c>
      <c r="AI991" s="25">
        <f>IF($AG991="","",SUMIFS('ORDENES'!$M$4:$M$1203,'ORDENES'!$AG$4:$AG$1203,$AG991,'ORDENES'!$O$4:$O$1203,$O991,'ORDENES'!$S$4:$S$1203,$S991))</f>
        <v/>
      </c>
      <c r="AJ991" s="25">
        <f>IF($AI991="","",p_factor_productividad*IFERROR(INDEX('ASIGNACIONES'!$M$4:$M$451,MATCH($O991&amp;"|"&amp;$S991&amp;"|"&amp;$AG991,'ASIGNACIONES'!$N$4:$N$451,0)),0)-$AI991)</f>
        <v/>
      </c>
      <c r="AK991" s="18">
        <f>IF($A991="","",IFERROR(INDEX('2_IMPORTAR_EJECUCION'!$F$9:$F$1208,MATCH($AT991,'2_IMPORTAR_EJECUCION'!$J$9:$J$1208,0)),0))</f>
        <v/>
      </c>
      <c r="AL991" s="18">
        <f>IF($A991="","",MAX(0,IFERROR(INDEX('2_IMPORTAR_EJECUCION'!$H$9:$H$1208,MATCH($AT991,'2_IMPORTAR_EJECUCION'!$J$9:$J$1208,0)),0)-$AK991))</f>
        <v/>
      </c>
      <c r="AM991" s="18">
        <f>IF($A991="","",$AK991+$AL991)</f>
        <v/>
      </c>
      <c r="AN991" s="5">
        <f>IF($A991="","",IF(OR((IFERROR(INDEX('CAT_ACTIVIDADES'!$D$4:$D$11,MATCH($H991,'CAT_ACTIVIDADES'!$A$4:$A$11,0)),""))=0,(IFERROR(INDEX('CAT_ACTIVIDADES'!$D$4:$D$11,MATCH($H991,'CAT_ACTIVIDADES'!$A$4:$A$11,0)),""))=""),"SIN CLASIFICAR",IFERROR(INDEX('CAT_ACTIVIDADES'!$D$4:$D$11,MATCH($H991,'CAT_ACTIVIDADES'!$A$4:$A$11,0)),"")))</f>
        <v/>
      </c>
      <c r="AO991" s="4" t="n"/>
      <c r="AP991" s="4" t="n"/>
      <c r="AQ991" s="4" t="n"/>
      <c r="AR991" s="5">
        <f>IF($AQ991="","",HYPERLINK(p_ruta_base_checklists&amp;$AQ991,"abrir"))</f>
        <v/>
      </c>
      <c r="AS991" s="4" t="n"/>
      <c r="AT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2" t="n"/>
      <c r="K992" s="5" t="n"/>
      <c r="L992" s="18" t="n"/>
      <c r="M992" s="5">
        <f>IF($A992="","",IFERROR(INDEX('AJUSTES'!$B$4:$B$303,MATCH($AT992,'AJUSTES'!$A$4:$A$303,0)),IF($K992="","",$K992)))</f>
        <v/>
      </c>
      <c r="N992" s="5">
        <f>IF($A992="","",IFERROR(INDEX('CAT_ESTADOS_ERP'!$B$4:$B$7,MATCH(IFERROR(INDEX('2_IMPORTAR_EJECUCION'!$C$9:$C$1208,MATCH($AT992,'2_IMPORTAR_EJECUCION'!$J$9:$J$1208,0)),""),'CAT_ESTADOS_ERP'!$A$4:$A$7,0)),"Pendiente"))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IF($J992="","",$P992&amp;"-"&amp;TEXT($Q992,"00"))</f>
        <v/>
      </c>
      <c r="S992" s="5">
        <f>IF($J992="","",INDEX(lista_dias,WEEKDAY($J992,2)))</f>
        <v/>
      </c>
      <c r="T992" s="5">
        <f>IF($J992="","",IFERROR(INDEX('CALENDARIO'!$C$15:$C$214,MATCH(TEXT($J992,"yyyy-mm-dd")&amp;"|"&amp;$X992&amp;"|"&amp;$Y992,'CALENDARIO'!$G$15:$G$214,0)),IFERROR(INDEX('CALENDARIO'!$C$15:$C$214,MATCH(TEXT($J992,"yyyy-mm-dd")&amp;"|"&amp;$X992&amp;"|",'CALENDARIO'!$G$15:$G$214,0)),IFERROR(INDEX('CALENDARIO'!$C$15:$C$214,MATCH(TEXT($J992,"yyyy-mm-dd")&amp;"||",'CALENDARIO'!$G$15:$G$214,0)),INDEX(patronHabil,WEEKDAY($J992,2))))))</f>
        <v/>
      </c>
      <c r="U992" s="5">
        <f>IF($I992="","",IFERROR(INDEX('CAT_TIPOS_OT'!$C$4:$C$8,MATCH($I992,'CAT_TIPOS_OT'!$A$4:$A$8,0)),"sin_clasificar"))</f>
        <v/>
      </c>
      <c r="V992" s="5">
        <f>IF($I992="","",IF(IFERROR(INDEX('CAT_TIPOS_OT'!$D$4:$D$8,MATCH($I992,'CAT_TIPOS_OT'!$A$4:$A$8,0)),"SIN CLASIFICAR")="","SIN CLASIFICAR",IFERROR(INDEX('CAT_TIPOS_OT'!$D$4:$D$8,MATCH($I992,'CAT_TIPOS_OT'!$A$4:$A$8,0)),"SIN CLASIFICAR")))</f>
        <v/>
      </c>
      <c r="W992" s="5">
        <f>IF($F992="","",IFERROR(INDEX('CAT_CENTROS_COSTO'!$F$4:$F$13,MATCH($F992,'CAT_CENTROS_COSTO'!$A$4:$A$13,0)),"(sin catálogo)"))</f>
        <v/>
      </c>
      <c r="X992" s="5">
        <f>IF($F992="","",IFERROR(INDEX('CAT_CENTROS_COSTO'!$D$4:$D$13,MATCH($F992,'CAT_CENTROS_COSTO'!$A$4:$A$13,0)),"(sin catálogo)"))</f>
        <v/>
      </c>
      <c r="Y992" s="5">
        <f>IF($F992="","",IF((IFERROR(INDEX('CAT_CENTROS_COSTO'!$E$4:$E$13,MATCH($F992,'CAT_CENTROS_COSTO'!$A$4:$A$13,0)),""))&lt;&gt;"",IFERROR(INDEX('CAT_CENTROS_COSTO'!$E$4:$E$13,MATCH($F992,'CAT_CENTROS_COSTO'!$A$4:$A$13,0)),""),$X992))</f>
        <v/>
      </c>
      <c r="Z992" s="5">
        <f>IF($F992="","",IFERROR(INDEX('CAT_CENTROS_COSTO'!$G$4:$G$13,MATCH($F992,'CAT_CENTROS_COSTO'!$A$4:$A$13,0)),"(sin catálogo)"))</f>
        <v/>
      </c>
      <c r="AA992" s="5">
        <f>IF($G992="","",IFERROR(INDEX('CAT_PUESTOS'!$B$4:$B$8,MATCH($G992,'CAT_PUESTOS'!$A$4:$A$8,0)),"(sin catálogo)"))</f>
        <v/>
      </c>
      <c r="AB992" s="5">
        <f>IF($H992="","",IFERROR(INDEX('CAT_ACTIVIDADES'!$B$4:$B$11,MATCH($H992,'CAT_ACTIVIDADES'!$A$4:$A$11,0)),"(sin catálogo)"))</f>
        <v/>
      </c>
      <c r="AC992" s="20">
        <f>IF($J992="","",TODAY()-$J992)</f>
        <v/>
      </c>
      <c r="AD992" s="20">
        <f>IF($J992="","",IF($J992&lt;=TODAY(),COUNTIFS(cal_fechas,"&gt;="&amp;$J992,cal_fechas,"&lt;"&amp;TODAY(),cal_habil,"sí"),-COUNTIFS(cal_fechas,"&gt;="&amp;TODAY(),cal_fechas,"&lt;"&amp;$J992,cal_habil,"sí")))</f>
        <v/>
      </c>
      <c r="AE992" s="5">
        <f>IF($AD992="","",IF($AD992&lt;0,"FUTURO",IF($AD992&gt;p_dias_backlog_max,"BACKLOG","MES CORRIENTE")))</f>
        <v/>
      </c>
      <c r="AF992" s="5">
        <f>IF($AD992="",FALSE,AND($AD992&gt;p_dias_backlog_min,$AD992&lt;=p_dias_backlog_max))</f>
        <v/>
      </c>
      <c r="AG992" s="4" t="n"/>
      <c r="AH992" s="5">
        <f>IF($AG992="","",IF((IFERROR(INDEX('ASIGNACIONES'!$J$4:$J$451,MATCH($O992&amp;"|"&amp;$S992&amp;"|"&amp;$AG992,'ASIGNACIONES'!$N$4:$N$451,0)),""))=0,"",IFERROR(INDEX('ASIGNACIONES'!$J$4:$J$451,MATCH($O992&amp;"|"&amp;$S992&amp;"|"&amp;$AG992,'ASIGNACIONES'!$N$4:$N$451,0)),"")))</f>
        <v/>
      </c>
      <c r="AI992" s="25">
        <f>IF($AG992="","",SUMIFS('ORDENES'!$M$4:$M$1203,'ORDENES'!$AG$4:$AG$1203,$AG992,'ORDENES'!$O$4:$O$1203,$O992,'ORDENES'!$S$4:$S$1203,$S992))</f>
        <v/>
      </c>
      <c r="AJ992" s="25">
        <f>IF($AI992="","",p_factor_productividad*IFERROR(INDEX('ASIGNACIONES'!$M$4:$M$451,MATCH($O992&amp;"|"&amp;$S992&amp;"|"&amp;$AG992,'ASIGNACIONES'!$N$4:$N$451,0)),0)-$AI992)</f>
        <v/>
      </c>
      <c r="AK992" s="18">
        <f>IF($A992="","",IFERROR(INDEX('2_IMPORTAR_EJECUCION'!$F$9:$F$1208,MATCH($AT992,'2_IMPORTAR_EJECUCION'!$J$9:$J$1208,0)),0))</f>
        <v/>
      </c>
      <c r="AL992" s="18">
        <f>IF($A992="","",MAX(0,IFERROR(INDEX('2_IMPORTAR_EJECUCION'!$H$9:$H$1208,MATCH($AT992,'2_IMPORTAR_EJECUCION'!$J$9:$J$1208,0)),0)-$AK992))</f>
        <v/>
      </c>
      <c r="AM992" s="18">
        <f>IF($A992="","",$AK992+$AL992)</f>
        <v/>
      </c>
      <c r="AN992" s="5">
        <f>IF($A992="","",IF(OR((IFERROR(INDEX('CAT_ACTIVIDADES'!$D$4:$D$11,MATCH($H992,'CAT_ACTIVIDADES'!$A$4:$A$11,0)),""))=0,(IFERROR(INDEX('CAT_ACTIVIDADES'!$D$4:$D$11,MATCH($H992,'CAT_ACTIVIDADES'!$A$4:$A$11,0)),""))=""),"SIN CLASIFICAR",IFERROR(INDEX('CAT_ACTIVIDADES'!$D$4:$D$11,MATCH($H992,'CAT_ACTIVIDADES'!$A$4:$A$11,0)),"")))</f>
        <v/>
      </c>
      <c r="AO992" s="4" t="n"/>
      <c r="AP992" s="4" t="n"/>
      <c r="AQ992" s="4" t="n"/>
      <c r="AR992" s="5">
        <f>IF($AQ992="","",HYPERLINK(p_ruta_base_checklists&amp;$AQ992,"abrir"))</f>
        <v/>
      </c>
      <c r="AS992" s="4" t="n"/>
      <c r="AT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2" t="n"/>
      <c r="K993" s="5" t="n"/>
      <c r="L993" s="18" t="n"/>
      <c r="M993" s="5">
        <f>IF($A993="","",IFERROR(INDEX('AJUSTES'!$B$4:$B$303,MATCH($AT993,'AJUSTES'!$A$4:$A$303,0)),IF($K993="","",$K993)))</f>
        <v/>
      </c>
      <c r="N993" s="5">
        <f>IF($A993="","",IFERROR(INDEX('CAT_ESTADOS_ERP'!$B$4:$B$7,MATCH(IFERROR(INDEX('2_IMPORTAR_EJECUCION'!$C$9:$C$1208,MATCH($AT993,'2_IMPORTAR_EJECUCION'!$J$9:$J$1208,0)),""),'CAT_ESTADOS_ERP'!$A$4:$A$7,0)),"Pendiente"))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IF($J993="","",$P993&amp;"-"&amp;TEXT($Q993,"00"))</f>
        <v/>
      </c>
      <c r="S993" s="5">
        <f>IF($J993="","",INDEX(lista_dias,WEEKDAY($J993,2)))</f>
        <v/>
      </c>
      <c r="T993" s="5">
        <f>IF($J993="","",IFERROR(INDEX('CALENDARIO'!$C$15:$C$214,MATCH(TEXT($J993,"yyyy-mm-dd")&amp;"|"&amp;$X993&amp;"|"&amp;$Y993,'CALENDARIO'!$G$15:$G$214,0)),IFERROR(INDEX('CALENDARIO'!$C$15:$C$214,MATCH(TEXT($J993,"yyyy-mm-dd")&amp;"|"&amp;$X993&amp;"|",'CALENDARIO'!$G$15:$G$214,0)),IFERROR(INDEX('CALENDARIO'!$C$15:$C$214,MATCH(TEXT($J993,"yyyy-mm-dd")&amp;"||",'CALENDARIO'!$G$15:$G$214,0)),INDEX(patronHabil,WEEKDAY($J993,2))))))</f>
        <v/>
      </c>
      <c r="U993" s="5">
        <f>IF($I993="","",IFERROR(INDEX('CAT_TIPOS_OT'!$C$4:$C$8,MATCH($I993,'CAT_TIPOS_OT'!$A$4:$A$8,0)),"sin_clasificar"))</f>
        <v/>
      </c>
      <c r="V993" s="5">
        <f>IF($I993="","",IF(IFERROR(INDEX('CAT_TIPOS_OT'!$D$4:$D$8,MATCH($I993,'CAT_TIPOS_OT'!$A$4:$A$8,0)),"SIN CLASIFICAR")="","SIN CLASIFICAR",IFERROR(INDEX('CAT_TIPOS_OT'!$D$4:$D$8,MATCH($I993,'CAT_TIPOS_OT'!$A$4:$A$8,0)),"SIN CLASIFICAR")))</f>
        <v/>
      </c>
      <c r="W993" s="5">
        <f>IF($F993="","",IFERROR(INDEX('CAT_CENTROS_COSTO'!$F$4:$F$13,MATCH($F993,'CAT_CENTROS_COSTO'!$A$4:$A$13,0)),"(sin catálogo)"))</f>
        <v/>
      </c>
      <c r="X993" s="5">
        <f>IF($F993="","",IFERROR(INDEX('CAT_CENTROS_COSTO'!$D$4:$D$13,MATCH($F993,'CAT_CENTROS_COSTO'!$A$4:$A$13,0)),"(sin catálogo)"))</f>
        <v/>
      </c>
      <c r="Y993" s="5">
        <f>IF($F993="","",IF((IFERROR(INDEX('CAT_CENTROS_COSTO'!$E$4:$E$13,MATCH($F993,'CAT_CENTROS_COSTO'!$A$4:$A$13,0)),""))&lt;&gt;"",IFERROR(INDEX('CAT_CENTROS_COSTO'!$E$4:$E$13,MATCH($F993,'CAT_CENTROS_COSTO'!$A$4:$A$13,0)),""),$X993))</f>
        <v/>
      </c>
      <c r="Z993" s="5">
        <f>IF($F993="","",IFERROR(INDEX('CAT_CENTROS_COSTO'!$G$4:$G$13,MATCH($F993,'CAT_CENTROS_COSTO'!$A$4:$A$13,0)),"(sin catálogo)"))</f>
        <v/>
      </c>
      <c r="AA993" s="5">
        <f>IF($G993="","",IFERROR(INDEX('CAT_PUESTOS'!$B$4:$B$8,MATCH($G993,'CAT_PUESTOS'!$A$4:$A$8,0)),"(sin catálogo)"))</f>
        <v/>
      </c>
      <c r="AB993" s="5">
        <f>IF($H993="","",IFERROR(INDEX('CAT_ACTIVIDADES'!$B$4:$B$11,MATCH($H993,'CAT_ACTIVIDADES'!$A$4:$A$11,0)),"(sin catálogo)"))</f>
        <v/>
      </c>
      <c r="AC993" s="20">
        <f>IF($J993="","",TODAY()-$J993)</f>
        <v/>
      </c>
      <c r="AD993" s="20">
        <f>IF($J993="","",IF($J993&lt;=TODAY(),COUNTIFS(cal_fechas,"&gt;="&amp;$J993,cal_fechas,"&lt;"&amp;TODAY(),cal_habil,"sí"),-COUNTIFS(cal_fechas,"&gt;="&amp;TODAY(),cal_fechas,"&lt;"&amp;$J993,cal_habil,"sí")))</f>
        <v/>
      </c>
      <c r="AE993" s="5">
        <f>IF($AD993="","",IF($AD993&lt;0,"FUTURO",IF($AD993&gt;p_dias_backlog_max,"BACKLOG","MES CORRIENTE")))</f>
        <v/>
      </c>
      <c r="AF993" s="5">
        <f>IF($AD993="",FALSE,AND($AD993&gt;p_dias_backlog_min,$AD993&lt;=p_dias_backlog_max))</f>
        <v/>
      </c>
      <c r="AG993" s="4" t="n"/>
      <c r="AH993" s="5">
        <f>IF($AG993="","",IF((IFERROR(INDEX('ASIGNACIONES'!$J$4:$J$451,MATCH($O993&amp;"|"&amp;$S993&amp;"|"&amp;$AG993,'ASIGNACIONES'!$N$4:$N$451,0)),""))=0,"",IFERROR(INDEX('ASIGNACIONES'!$J$4:$J$451,MATCH($O993&amp;"|"&amp;$S993&amp;"|"&amp;$AG993,'ASIGNACIONES'!$N$4:$N$451,0)),"")))</f>
        <v/>
      </c>
      <c r="AI993" s="25">
        <f>IF($AG993="","",SUMIFS('ORDENES'!$M$4:$M$1203,'ORDENES'!$AG$4:$AG$1203,$AG993,'ORDENES'!$O$4:$O$1203,$O993,'ORDENES'!$S$4:$S$1203,$S993))</f>
        <v/>
      </c>
      <c r="AJ993" s="25">
        <f>IF($AI993="","",p_factor_productividad*IFERROR(INDEX('ASIGNACIONES'!$M$4:$M$451,MATCH($O993&amp;"|"&amp;$S993&amp;"|"&amp;$AG993,'ASIGNACIONES'!$N$4:$N$451,0)),0)-$AI993)</f>
        <v/>
      </c>
      <c r="AK993" s="18">
        <f>IF($A993="","",IFERROR(INDEX('2_IMPORTAR_EJECUCION'!$F$9:$F$1208,MATCH($AT993,'2_IMPORTAR_EJECUCION'!$J$9:$J$1208,0)),0))</f>
        <v/>
      </c>
      <c r="AL993" s="18">
        <f>IF($A993="","",MAX(0,IFERROR(INDEX('2_IMPORTAR_EJECUCION'!$H$9:$H$1208,MATCH($AT993,'2_IMPORTAR_EJECUCION'!$J$9:$J$1208,0)),0)-$AK993))</f>
        <v/>
      </c>
      <c r="AM993" s="18">
        <f>IF($A993="","",$AK993+$AL993)</f>
        <v/>
      </c>
      <c r="AN993" s="5">
        <f>IF($A993="","",IF(OR((IFERROR(INDEX('CAT_ACTIVIDADES'!$D$4:$D$11,MATCH($H993,'CAT_ACTIVIDADES'!$A$4:$A$11,0)),""))=0,(IFERROR(INDEX('CAT_ACTIVIDADES'!$D$4:$D$11,MATCH($H993,'CAT_ACTIVIDADES'!$A$4:$A$11,0)),""))=""),"SIN CLASIFICAR",IFERROR(INDEX('CAT_ACTIVIDADES'!$D$4:$D$11,MATCH($H993,'CAT_ACTIVIDADES'!$A$4:$A$11,0)),"")))</f>
        <v/>
      </c>
      <c r="AO993" s="4" t="n"/>
      <c r="AP993" s="4" t="n"/>
      <c r="AQ993" s="4" t="n"/>
      <c r="AR993" s="5">
        <f>IF($AQ993="","",HYPERLINK(p_ruta_base_checklists&amp;$AQ993,"abrir"))</f>
        <v/>
      </c>
      <c r="AS993" s="4" t="n"/>
      <c r="AT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2" t="n"/>
      <c r="K994" s="5" t="n"/>
      <c r="L994" s="18" t="n"/>
      <c r="M994" s="5">
        <f>IF($A994="","",IFERROR(INDEX('AJUSTES'!$B$4:$B$303,MATCH($AT994,'AJUSTES'!$A$4:$A$303,0)),IF($K994="","",$K994)))</f>
        <v/>
      </c>
      <c r="N994" s="5">
        <f>IF($A994="","",IFERROR(INDEX('CAT_ESTADOS_ERP'!$B$4:$B$7,MATCH(IFERROR(INDEX('2_IMPORTAR_EJECUCION'!$C$9:$C$1208,MATCH($AT994,'2_IMPORTAR_EJECUCION'!$J$9:$J$1208,0)),""),'CAT_ESTADOS_ERP'!$A$4:$A$7,0)),"Pendiente"))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IF($J994="","",$P994&amp;"-"&amp;TEXT($Q994,"00"))</f>
        <v/>
      </c>
      <c r="S994" s="5">
        <f>IF($J994="","",INDEX(lista_dias,WEEKDAY($J994,2)))</f>
        <v/>
      </c>
      <c r="T994" s="5">
        <f>IF($J994="","",IFERROR(INDEX('CALENDARIO'!$C$15:$C$214,MATCH(TEXT($J994,"yyyy-mm-dd")&amp;"|"&amp;$X994&amp;"|"&amp;$Y994,'CALENDARIO'!$G$15:$G$214,0)),IFERROR(INDEX('CALENDARIO'!$C$15:$C$214,MATCH(TEXT($J994,"yyyy-mm-dd")&amp;"|"&amp;$X994&amp;"|",'CALENDARIO'!$G$15:$G$214,0)),IFERROR(INDEX('CALENDARIO'!$C$15:$C$214,MATCH(TEXT($J994,"yyyy-mm-dd")&amp;"||",'CALENDARIO'!$G$15:$G$214,0)),INDEX(patronHabil,WEEKDAY($J994,2))))))</f>
        <v/>
      </c>
      <c r="U994" s="5">
        <f>IF($I994="","",IFERROR(INDEX('CAT_TIPOS_OT'!$C$4:$C$8,MATCH($I994,'CAT_TIPOS_OT'!$A$4:$A$8,0)),"sin_clasificar"))</f>
        <v/>
      </c>
      <c r="V994" s="5">
        <f>IF($I994="","",IF(IFERROR(INDEX('CAT_TIPOS_OT'!$D$4:$D$8,MATCH($I994,'CAT_TIPOS_OT'!$A$4:$A$8,0)),"SIN CLASIFICAR")="","SIN CLASIFICAR",IFERROR(INDEX('CAT_TIPOS_OT'!$D$4:$D$8,MATCH($I994,'CAT_TIPOS_OT'!$A$4:$A$8,0)),"SIN CLASIFICAR")))</f>
        <v/>
      </c>
      <c r="W994" s="5">
        <f>IF($F994="","",IFERROR(INDEX('CAT_CENTROS_COSTO'!$F$4:$F$13,MATCH($F994,'CAT_CENTROS_COSTO'!$A$4:$A$13,0)),"(sin catálogo)"))</f>
        <v/>
      </c>
      <c r="X994" s="5">
        <f>IF($F994="","",IFERROR(INDEX('CAT_CENTROS_COSTO'!$D$4:$D$13,MATCH($F994,'CAT_CENTROS_COSTO'!$A$4:$A$13,0)),"(sin catálogo)"))</f>
        <v/>
      </c>
      <c r="Y994" s="5">
        <f>IF($F994="","",IF((IFERROR(INDEX('CAT_CENTROS_COSTO'!$E$4:$E$13,MATCH($F994,'CAT_CENTROS_COSTO'!$A$4:$A$13,0)),""))&lt;&gt;"",IFERROR(INDEX('CAT_CENTROS_COSTO'!$E$4:$E$13,MATCH($F994,'CAT_CENTROS_COSTO'!$A$4:$A$13,0)),""),$X994))</f>
        <v/>
      </c>
      <c r="Z994" s="5">
        <f>IF($F994="","",IFERROR(INDEX('CAT_CENTROS_COSTO'!$G$4:$G$13,MATCH($F994,'CAT_CENTROS_COSTO'!$A$4:$A$13,0)),"(sin catálogo)"))</f>
        <v/>
      </c>
      <c r="AA994" s="5">
        <f>IF($G994="","",IFERROR(INDEX('CAT_PUESTOS'!$B$4:$B$8,MATCH($G994,'CAT_PUESTOS'!$A$4:$A$8,0)),"(sin catálogo)"))</f>
        <v/>
      </c>
      <c r="AB994" s="5">
        <f>IF($H994="","",IFERROR(INDEX('CAT_ACTIVIDADES'!$B$4:$B$11,MATCH($H994,'CAT_ACTIVIDADES'!$A$4:$A$11,0)),"(sin catálogo)"))</f>
        <v/>
      </c>
      <c r="AC994" s="20">
        <f>IF($J994="","",TODAY()-$J994)</f>
        <v/>
      </c>
      <c r="AD994" s="20">
        <f>IF($J994="","",IF($J994&lt;=TODAY(),COUNTIFS(cal_fechas,"&gt;="&amp;$J994,cal_fechas,"&lt;"&amp;TODAY(),cal_habil,"sí"),-COUNTIFS(cal_fechas,"&gt;="&amp;TODAY(),cal_fechas,"&lt;"&amp;$J994,cal_habil,"sí")))</f>
        <v/>
      </c>
      <c r="AE994" s="5">
        <f>IF($AD994="","",IF($AD994&lt;0,"FUTURO",IF($AD994&gt;p_dias_backlog_max,"BACKLOG","MES CORRIENTE")))</f>
        <v/>
      </c>
      <c r="AF994" s="5">
        <f>IF($AD994="",FALSE,AND($AD994&gt;p_dias_backlog_min,$AD994&lt;=p_dias_backlog_max))</f>
        <v/>
      </c>
      <c r="AG994" s="4" t="n"/>
      <c r="AH994" s="5">
        <f>IF($AG994="","",IF((IFERROR(INDEX('ASIGNACIONES'!$J$4:$J$451,MATCH($O994&amp;"|"&amp;$S994&amp;"|"&amp;$AG994,'ASIGNACIONES'!$N$4:$N$451,0)),""))=0,"",IFERROR(INDEX('ASIGNACIONES'!$J$4:$J$451,MATCH($O994&amp;"|"&amp;$S994&amp;"|"&amp;$AG994,'ASIGNACIONES'!$N$4:$N$451,0)),"")))</f>
        <v/>
      </c>
      <c r="AI994" s="25">
        <f>IF($AG994="","",SUMIFS('ORDENES'!$M$4:$M$1203,'ORDENES'!$AG$4:$AG$1203,$AG994,'ORDENES'!$O$4:$O$1203,$O994,'ORDENES'!$S$4:$S$1203,$S994))</f>
        <v/>
      </c>
      <c r="AJ994" s="25">
        <f>IF($AI994="","",p_factor_productividad*IFERROR(INDEX('ASIGNACIONES'!$M$4:$M$451,MATCH($O994&amp;"|"&amp;$S994&amp;"|"&amp;$AG994,'ASIGNACIONES'!$N$4:$N$451,0)),0)-$AI994)</f>
        <v/>
      </c>
      <c r="AK994" s="18">
        <f>IF($A994="","",IFERROR(INDEX('2_IMPORTAR_EJECUCION'!$F$9:$F$1208,MATCH($AT994,'2_IMPORTAR_EJECUCION'!$J$9:$J$1208,0)),0))</f>
        <v/>
      </c>
      <c r="AL994" s="18">
        <f>IF($A994="","",MAX(0,IFERROR(INDEX('2_IMPORTAR_EJECUCION'!$H$9:$H$1208,MATCH($AT994,'2_IMPORTAR_EJECUCION'!$J$9:$J$1208,0)),0)-$AK994))</f>
        <v/>
      </c>
      <c r="AM994" s="18">
        <f>IF($A994="","",$AK994+$AL994)</f>
        <v/>
      </c>
      <c r="AN994" s="5">
        <f>IF($A994="","",IF(OR((IFERROR(INDEX('CAT_ACTIVIDADES'!$D$4:$D$11,MATCH($H994,'CAT_ACTIVIDADES'!$A$4:$A$11,0)),""))=0,(IFERROR(INDEX('CAT_ACTIVIDADES'!$D$4:$D$11,MATCH($H994,'CAT_ACTIVIDADES'!$A$4:$A$11,0)),""))=""),"SIN CLASIFICAR",IFERROR(INDEX('CAT_ACTIVIDADES'!$D$4:$D$11,MATCH($H994,'CAT_ACTIVIDADES'!$A$4:$A$11,0)),"")))</f>
        <v/>
      </c>
      <c r="AO994" s="4" t="n"/>
      <c r="AP994" s="4" t="n"/>
      <c r="AQ994" s="4" t="n"/>
      <c r="AR994" s="5">
        <f>IF($AQ994="","",HYPERLINK(p_ruta_base_checklists&amp;$AQ994,"abrir"))</f>
        <v/>
      </c>
      <c r="AS994" s="4" t="n"/>
      <c r="AT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2" t="n"/>
      <c r="K995" s="5" t="n"/>
      <c r="L995" s="18" t="n"/>
      <c r="M995" s="5">
        <f>IF($A995="","",IFERROR(INDEX('AJUSTES'!$B$4:$B$303,MATCH($AT995,'AJUSTES'!$A$4:$A$303,0)),IF($K995="","",$K995)))</f>
        <v/>
      </c>
      <c r="N995" s="5">
        <f>IF($A995="","",IFERROR(INDEX('CAT_ESTADOS_ERP'!$B$4:$B$7,MATCH(IFERROR(INDEX('2_IMPORTAR_EJECUCION'!$C$9:$C$1208,MATCH($AT995,'2_IMPORTAR_EJECUCION'!$J$9:$J$1208,0)),""),'CAT_ESTADOS_ERP'!$A$4:$A$7,0)),"Pendiente"))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IF($J995="","",$P995&amp;"-"&amp;TEXT($Q995,"00"))</f>
        <v/>
      </c>
      <c r="S995" s="5">
        <f>IF($J995="","",INDEX(lista_dias,WEEKDAY($J995,2)))</f>
        <v/>
      </c>
      <c r="T995" s="5">
        <f>IF($J995="","",IFERROR(INDEX('CALENDARIO'!$C$15:$C$214,MATCH(TEXT($J995,"yyyy-mm-dd")&amp;"|"&amp;$X995&amp;"|"&amp;$Y995,'CALENDARIO'!$G$15:$G$214,0)),IFERROR(INDEX('CALENDARIO'!$C$15:$C$214,MATCH(TEXT($J995,"yyyy-mm-dd")&amp;"|"&amp;$X995&amp;"|",'CALENDARIO'!$G$15:$G$214,0)),IFERROR(INDEX('CALENDARIO'!$C$15:$C$214,MATCH(TEXT($J995,"yyyy-mm-dd")&amp;"||",'CALENDARIO'!$G$15:$G$214,0)),INDEX(patronHabil,WEEKDAY($J995,2))))))</f>
        <v/>
      </c>
      <c r="U995" s="5">
        <f>IF($I995="","",IFERROR(INDEX('CAT_TIPOS_OT'!$C$4:$C$8,MATCH($I995,'CAT_TIPOS_OT'!$A$4:$A$8,0)),"sin_clasificar"))</f>
        <v/>
      </c>
      <c r="V995" s="5">
        <f>IF($I995="","",IF(IFERROR(INDEX('CAT_TIPOS_OT'!$D$4:$D$8,MATCH($I995,'CAT_TIPOS_OT'!$A$4:$A$8,0)),"SIN CLASIFICAR")="","SIN CLASIFICAR",IFERROR(INDEX('CAT_TIPOS_OT'!$D$4:$D$8,MATCH($I995,'CAT_TIPOS_OT'!$A$4:$A$8,0)),"SIN CLASIFICAR")))</f>
        <v/>
      </c>
      <c r="W995" s="5">
        <f>IF($F995="","",IFERROR(INDEX('CAT_CENTROS_COSTO'!$F$4:$F$13,MATCH($F995,'CAT_CENTROS_COSTO'!$A$4:$A$13,0)),"(sin catálogo)"))</f>
        <v/>
      </c>
      <c r="X995" s="5">
        <f>IF($F995="","",IFERROR(INDEX('CAT_CENTROS_COSTO'!$D$4:$D$13,MATCH($F995,'CAT_CENTROS_COSTO'!$A$4:$A$13,0)),"(sin catálogo)"))</f>
        <v/>
      </c>
      <c r="Y995" s="5">
        <f>IF($F995="","",IF((IFERROR(INDEX('CAT_CENTROS_COSTO'!$E$4:$E$13,MATCH($F995,'CAT_CENTROS_COSTO'!$A$4:$A$13,0)),""))&lt;&gt;"",IFERROR(INDEX('CAT_CENTROS_COSTO'!$E$4:$E$13,MATCH($F995,'CAT_CENTROS_COSTO'!$A$4:$A$13,0)),""),$X995))</f>
        <v/>
      </c>
      <c r="Z995" s="5">
        <f>IF($F995="","",IFERROR(INDEX('CAT_CENTROS_COSTO'!$G$4:$G$13,MATCH($F995,'CAT_CENTROS_COSTO'!$A$4:$A$13,0)),"(sin catálogo)"))</f>
        <v/>
      </c>
      <c r="AA995" s="5">
        <f>IF($G995="","",IFERROR(INDEX('CAT_PUESTOS'!$B$4:$B$8,MATCH($G995,'CAT_PUESTOS'!$A$4:$A$8,0)),"(sin catálogo)"))</f>
        <v/>
      </c>
      <c r="AB995" s="5">
        <f>IF($H995="","",IFERROR(INDEX('CAT_ACTIVIDADES'!$B$4:$B$11,MATCH($H995,'CAT_ACTIVIDADES'!$A$4:$A$11,0)),"(sin catálogo)"))</f>
        <v/>
      </c>
      <c r="AC995" s="20">
        <f>IF($J995="","",TODAY()-$J995)</f>
        <v/>
      </c>
      <c r="AD995" s="20">
        <f>IF($J995="","",IF($J995&lt;=TODAY(),COUNTIFS(cal_fechas,"&gt;="&amp;$J995,cal_fechas,"&lt;"&amp;TODAY(),cal_habil,"sí"),-COUNTIFS(cal_fechas,"&gt;="&amp;TODAY(),cal_fechas,"&lt;"&amp;$J995,cal_habil,"sí")))</f>
        <v/>
      </c>
      <c r="AE995" s="5">
        <f>IF($AD995="","",IF($AD995&lt;0,"FUTURO",IF($AD995&gt;p_dias_backlog_max,"BACKLOG","MES CORRIENTE")))</f>
        <v/>
      </c>
      <c r="AF995" s="5">
        <f>IF($AD995="",FALSE,AND($AD995&gt;p_dias_backlog_min,$AD995&lt;=p_dias_backlog_max))</f>
        <v/>
      </c>
      <c r="AG995" s="4" t="n"/>
      <c r="AH995" s="5">
        <f>IF($AG995="","",IF((IFERROR(INDEX('ASIGNACIONES'!$J$4:$J$451,MATCH($O995&amp;"|"&amp;$S995&amp;"|"&amp;$AG995,'ASIGNACIONES'!$N$4:$N$451,0)),""))=0,"",IFERROR(INDEX('ASIGNACIONES'!$J$4:$J$451,MATCH($O995&amp;"|"&amp;$S995&amp;"|"&amp;$AG995,'ASIGNACIONES'!$N$4:$N$451,0)),"")))</f>
        <v/>
      </c>
      <c r="AI995" s="25">
        <f>IF($AG995="","",SUMIFS('ORDENES'!$M$4:$M$1203,'ORDENES'!$AG$4:$AG$1203,$AG995,'ORDENES'!$O$4:$O$1203,$O995,'ORDENES'!$S$4:$S$1203,$S995))</f>
        <v/>
      </c>
      <c r="AJ995" s="25">
        <f>IF($AI995="","",p_factor_productividad*IFERROR(INDEX('ASIGNACIONES'!$M$4:$M$451,MATCH($O995&amp;"|"&amp;$S995&amp;"|"&amp;$AG995,'ASIGNACIONES'!$N$4:$N$451,0)),0)-$AI995)</f>
        <v/>
      </c>
      <c r="AK995" s="18">
        <f>IF($A995="","",IFERROR(INDEX('2_IMPORTAR_EJECUCION'!$F$9:$F$1208,MATCH($AT995,'2_IMPORTAR_EJECUCION'!$J$9:$J$1208,0)),0))</f>
        <v/>
      </c>
      <c r="AL995" s="18">
        <f>IF($A995="","",MAX(0,IFERROR(INDEX('2_IMPORTAR_EJECUCION'!$H$9:$H$1208,MATCH($AT995,'2_IMPORTAR_EJECUCION'!$J$9:$J$1208,0)),0)-$AK995))</f>
        <v/>
      </c>
      <c r="AM995" s="18">
        <f>IF($A995="","",$AK995+$AL995)</f>
        <v/>
      </c>
      <c r="AN995" s="5">
        <f>IF($A995="","",IF(OR((IFERROR(INDEX('CAT_ACTIVIDADES'!$D$4:$D$11,MATCH($H995,'CAT_ACTIVIDADES'!$A$4:$A$11,0)),""))=0,(IFERROR(INDEX('CAT_ACTIVIDADES'!$D$4:$D$11,MATCH($H995,'CAT_ACTIVIDADES'!$A$4:$A$11,0)),""))=""),"SIN CLASIFICAR",IFERROR(INDEX('CAT_ACTIVIDADES'!$D$4:$D$11,MATCH($H995,'CAT_ACTIVIDADES'!$A$4:$A$11,0)),"")))</f>
        <v/>
      </c>
      <c r="AO995" s="4" t="n"/>
      <c r="AP995" s="4" t="n"/>
      <c r="AQ995" s="4" t="n"/>
      <c r="AR995" s="5">
        <f>IF($AQ995="","",HYPERLINK(p_ruta_base_checklists&amp;$AQ995,"abrir"))</f>
        <v/>
      </c>
      <c r="AS995" s="4" t="n"/>
      <c r="AT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2" t="n"/>
      <c r="K996" s="5" t="n"/>
      <c r="L996" s="18" t="n"/>
      <c r="M996" s="5">
        <f>IF($A996="","",IFERROR(INDEX('AJUSTES'!$B$4:$B$303,MATCH($AT996,'AJUSTES'!$A$4:$A$303,0)),IF($K996="","",$K996)))</f>
        <v/>
      </c>
      <c r="N996" s="5">
        <f>IF($A996="","",IFERROR(INDEX('CAT_ESTADOS_ERP'!$B$4:$B$7,MATCH(IFERROR(INDEX('2_IMPORTAR_EJECUCION'!$C$9:$C$1208,MATCH($AT996,'2_IMPORTAR_EJECUCION'!$J$9:$J$1208,0)),""),'CAT_ESTADOS_ERP'!$A$4:$A$7,0)),"Pendiente"))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IF($J996="","",$P996&amp;"-"&amp;TEXT($Q996,"00"))</f>
        <v/>
      </c>
      <c r="S996" s="5">
        <f>IF($J996="","",INDEX(lista_dias,WEEKDAY($J996,2)))</f>
        <v/>
      </c>
      <c r="T996" s="5">
        <f>IF($J996="","",IFERROR(INDEX('CALENDARIO'!$C$15:$C$214,MATCH(TEXT($J996,"yyyy-mm-dd")&amp;"|"&amp;$X996&amp;"|"&amp;$Y996,'CALENDARIO'!$G$15:$G$214,0)),IFERROR(INDEX('CALENDARIO'!$C$15:$C$214,MATCH(TEXT($J996,"yyyy-mm-dd")&amp;"|"&amp;$X996&amp;"|",'CALENDARIO'!$G$15:$G$214,0)),IFERROR(INDEX('CALENDARIO'!$C$15:$C$214,MATCH(TEXT($J996,"yyyy-mm-dd")&amp;"||",'CALENDARIO'!$G$15:$G$214,0)),INDEX(patronHabil,WEEKDAY($J996,2))))))</f>
        <v/>
      </c>
      <c r="U996" s="5">
        <f>IF($I996="","",IFERROR(INDEX('CAT_TIPOS_OT'!$C$4:$C$8,MATCH($I996,'CAT_TIPOS_OT'!$A$4:$A$8,0)),"sin_clasificar"))</f>
        <v/>
      </c>
      <c r="V996" s="5">
        <f>IF($I996="","",IF(IFERROR(INDEX('CAT_TIPOS_OT'!$D$4:$D$8,MATCH($I996,'CAT_TIPOS_OT'!$A$4:$A$8,0)),"SIN CLASIFICAR")="","SIN CLASIFICAR",IFERROR(INDEX('CAT_TIPOS_OT'!$D$4:$D$8,MATCH($I996,'CAT_TIPOS_OT'!$A$4:$A$8,0)),"SIN CLASIFICAR")))</f>
        <v/>
      </c>
      <c r="W996" s="5">
        <f>IF($F996="","",IFERROR(INDEX('CAT_CENTROS_COSTO'!$F$4:$F$13,MATCH($F996,'CAT_CENTROS_COSTO'!$A$4:$A$13,0)),"(sin catálogo)"))</f>
        <v/>
      </c>
      <c r="X996" s="5">
        <f>IF($F996="","",IFERROR(INDEX('CAT_CENTROS_COSTO'!$D$4:$D$13,MATCH($F996,'CAT_CENTROS_COSTO'!$A$4:$A$13,0)),"(sin catálogo)"))</f>
        <v/>
      </c>
      <c r="Y996" s="5">
        <f>IF($F996="","",IF((IFERROR(INDEX('CAT_CENTROS_COSTO'!$E$4:$E$13,MATCH($F996,'CAT_CENTROS_COSTO'!$A$4:$A$13,0)),""))&lt;&gt;"",IFERROR(INDEX('CAT_CENTROS_COSTO'!$E$4:$E$13,MATCH($F996,'CAT_CENTROS_COSTO'!$A$4:$A$13,0)),""),$X996))</f>
        <v/>
      </c>
      <c r="Z996" s="5">
        <f>IF($F996="","",IFERROR(INDEX('CAT_CENTROS_COSTO'!$G$4:$G$13,MATCH($F996,'CAT_CENTROS_COSTO'!$A$4:$A$13,0)),"(sin catálogo)"))</f>
        <v/>
      </c>
      <c r="AA996" s="5">
        <f>IF($G996="","",IFERROR(INDEX('CAT_PUESTOS'!$B$4:$B$8,MATCH($G996,'CAT_PUESTOS'!$A$4:$A$8,0)),"(sin catálogo)"))</f>
        <v/>
      </c>
      <c r="AB996" s="5">
        <f>IF($H996="","",IFERROR(INDEX('CAT_ACTIVIDADES'!$B$4:$B$11,MATCH($H996,'CAT_ACTIVIDADES'!$A$4:$A$11,0)),"(sin catálogo)"))</f>
        <v/>
      </c>
      <c r="AC996" s="20">
        <f>IF($J996="","",TODAY()-$J996)</f>
        <v/>
      </c>
      <c r="AD996" s="20">
        <f>IF($J996="","",IF($J996&lt;=TODAY(),COUNTIFS(cal_fechas,"&gt;="&amp;$J996,cal_fechas,"&lt;"&amp;TODAY(),cal_habil,"sí"),-COUNTIFS(cal_fechas,"&gt;="&amp;TODAY(),cal_fechas,"&lt;"&amp;$J996,cal_habil,"sí")))</f>
        <v/>
      </c>
      <c r="AE996" s="5">
        <f>IF($AD996="","",IF($AD996&lt;0,"FUTURO",IF($AD996&gt;p_dias_backlog_max,"BACKLOG","MES CORRIENTE")))</f>
        <v/>
      </c>
      <c r="AF996" s="5">
        <f>IF($AD996="",FALSE,AND($AD996&gt;p_dias_backlog_min,$AD996&lt;=p_dias_backlog_max))</f>
        <v/>
      </c>
      <c r="AG996" s="4" t="n"/>
      <c r="AH996" s="5">
        <f>IF($AG996="","",IF((IFERROR(INDEX('ASIGNACIONES'!$J$4:$J$451,MATCH($O996&amp;"|"&amp;$S996&amp;"|"&amp;$AG996,'ASIGNACIONES'!$N$4:$N$451,0)),""))=0,"",IFERROR(INDEX('ASIGNACIONES'!$J$4:$J$451,MATCH($O996&amp;"|"&amp;$S996&amp;"|"&amp;$AG996,'ASIGNACIONES'!$N$4:$N$451,0)),"")))</f>
        <v/>
      </c>
      <c r="AI996" s="25">
        <f>IF($AG996="","",SUMIFS('ORDENES'!$M$4:$M$1203,'ORDENES'!$AG$4:$AG$1203,$AG996,'ORDENES'!$O$4:$O$1203,$O996,'ORDENES'!$S$4:$S$1203,$S996))</f>
        <v/>
      </c>
      <c r="AJ996" s="25">
        <f>IF($AI996="","",p_factor_productividad*IFERROR(INDEX('ASIGNACIONES'!$M$4:$M$451,MATCH($O996&amp;"|"&amp;$S996&amp;"|"&amp;$AG996,'ASIGNACIONES'!$N$4:$N$451,0)),0)-$AI996)</f>
        <v/>
      </c>
      <c r="AK996" s="18">
        <f>IF($A996="","",IFERROR(INDEX('2_IMPORTAR_EJECUCION'!$F$9:$F$1208,MATCH($AT996,'2_IMPORTAR_EJECUCION'!$J$9:$J$1208,0)),0))</f>
        <v/>
      </c>
      <c r="AL996" s="18">
        <f>IF($A996="","",MAX(0,IFERROR(INDEX('2_IMPORTAR_EJECUCION'!$H$9:$H$1208,MATCH($AT996,'2_IMPORTAR_EJECUCION'!$J$9:$J$1208,0)),0)-$AK996))</f>
        <v/>
      </c>
      <c r="AM996" s="18">
        <f>IF($A996="","",$AK996+$AL996)</f>
        <v/>
      </c>
      <c r="AN996" s="5">
        <f>IF($A996="","",IF(OR((IFERROR(INDEX('CAT_ACTIVIDADES'!$D$4:$D$11,MATCH($H996,'CAT_ACTIVIDADES'!$A$4:$A$11,0)),""))=0,(IFERROR(INDEX('CAT_ACTIVIDADES'!$D$4:$D$11,MATCH($H996,'CAT_ACTIVIDADES'!$A$4:$A$11,0)),""))=""),"SIN CLASIFICAR",IFERROR(INDEX('CAT_ACTIVIDADES'!$D$4:$D$11,MATCH($H996,'CAT_ACTIVIDADES'!$A$4:$A$11,0)),"")))</f>
        <v/>
      </c>
      <c r="AO996" s="4" t="n"/>
      <c r="AP996" s="4" t="n"/>
      <c r="AQ996" s="4" t="n"/>
      <c r="AR996" s="5">
        <f>IF($AQ996="","",HYPERLINK(p_ruta_base_checklists&amp;$AQ996,"abrir"))</f>
        <v/>
      </c>
      <c r="AS996" s="4" t="n"/>
      <c r="AT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2" t="n"/>
      <c r="K997" s="5" t="n"/>
      <c r="L997" s="18" t="n"/>
      <c r="M997" s="5">
        <f>IF($A997="","",IFERROR(INDEX('AJUSTES'!$B$4:$B$303,MATCH($AT997,'AJUSTES'!$A$4:$A$303,0)),IF($K997="","",$K997)))</f>
        <v/>
      </c>
      <c r="N997" s="5">
        <f>IF($A997="","",IFERROR(INDEX('CAT_ESTADOS_ERP'!$B$4:$B$7,MATCH(IFERROR(INDEX('2_IMPORTAR_EJECUCION'!$C$9:$C$1208,MATCH($AT997,'2_IMPORTAR_EJECUCION'!$J$9:$J$1208,0)),""),'CAT_ESTADOS_ERP'!$A$4:$A$7,0)),"Pendiente"))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IF($J997="","",$P997&amp;"-"&amp;TEXT($Q997,"00"))</f>
        <v/>
      </c>
      <c r="S997" s="5">
        <f>IF($J997="","",INDEX(lista_dias,WEEKDAY($J997,2)))</f>
        <v/>
      </c>
      <c r="T997" s="5">
        <f>IF($J997="","",IFERROR(INDEX('CALENDARIO'!$C$15:$C$214,MATCH(TEXT($J997,"yyyy-mm-dd")&amp;"|"&amp;$X997&amp;"|"&amp;$Y997,'CALENDARIO'!$G$15:$G$214,0)),IFERROR(INDEX('CALENDARIO'!$C$15:$C$214,MATCH(TEXT($J997,"yyyy-mm-dd")&amp;"|"&amp;$X997&amp;"|",'CALENDARIO'!$G$15:$G$214,0)),IFERROR(INDEX('CALENDARIO'!$C$15:$C$214,MATCH(TEXT($J997,"yyyy-mm-dd")&amp;"||",'CALENDARIO'!$G$15:$G$214,0)),INDEX(patronHabil,WEEKDAY($J997,2))))))</f>
        <v/>
      </c>
      <c r="U997" s="5">
        <f>IF($I997="","",IFERROR(INDEX('CAT_TIPOS_OT'!$C$4:$C$8,MATCH($I997,'CAT_TIPOS_OT'!$A$4:$A$8,0)),"sin_clasificar"))</f>
        <v/>
      </c>
      <c r="V997" s="5">
        <f>IF($I997="","",IF(IFERROR(INDEX('CAT_TIPOS_OT'!$D$4:$D$8,MATCH($I997,'CAT_TIPOS_OT'!$A$4:$A$8,0)),"SIN CLASIFICAR")="","SIN CLASIFICAR",IFERROR(INDEX('CAT_TIPOS_OT'!$D$4:$D$8,MATCH($I997,'CAT_TIPOS_OT'!$A$4:$A$8,0)),"SIN CLASIFICAR")))</f>
        <v/>
      </c>
      <c r="W997" s="5">
        <f>IF($F997="","",IFERROR(INDEX('CAT_CENTROS_COSTO'!$F$4:$F$13,MATCH($F997,'CAT_CENTROS_COSTO'!$A$4:$A$13,0)),"(sin catálogo)"))</f>
        <v/>
      </c>
      <c r="X997" s="5">
        <f>IF($F997="","",IFERROR(INDEX('CAT_CENTROS_COSTO'!$D$4:$D$13,MATCH($F997,'CAT_CENTROS_COSTO'!$A$4:$A$13,0)),"(sin catálogo)"))</f>
        <v/>
      </c>
      <c r="Y997" s="5">
        <f>IF($F997="","",IF((IFERROR(INDEX('CAT_CENTROS_COSTO'!$E$4:$E$13,MATCH($F997,'CAT_CENTROS_COSTO'!$A$4:$A$13,0)),""))&lt;&gt;"",IFERROR(INDEX('CAT_CENTROS_COSTO'!$E$4:$E$13,MATCH($F997,'CAT_CENTROS_COSTO'!$A$4:$A$13,0)),""),$X997))</f>
        <v/>
      </c>
      <c r="Z997" s="5">
        <f>IF($F997="","",IFERROR(INDEX('CAT_CENTROS_COSTO'!$G$4:$G$13,MATCH($F997,'CAT_CENTROS_COSTO'!$A$4:$A$13,0)),"(sin catálogo)"))</f>
        <v/>
      </c>
      <c r="AA997" s="5">
        <f>IF($G997="","",IFERROR(INDEX('CAT_PUESTOS'!$B$4:$B$8,MATCH($G997,'CAT_PUESTOS'!$A$4:$A$8,0)),"(sin catálogo)"))</f>
        <v/>
      </c>
      <c r="AB997" s="5">
        <f>IF($H997="","",IFERROR(INDEX('CAT_ACTIVIDADES'!$B$4:$B$11,MATCH($H997,'CAT_ACTIVIDADES'!$A$4:$A$11,0)),"(sin catálogo)"))</f>
        <v/>
      </c>
      <c r="AC997" s="20">
        <f>IF($J997="","",TODAY()-$J997)</f>
        <v/>
      </c>
      <c r="AD997" s="20">
        <f>IF($J997="","",IF($J997&lt;=TODAY(),COUNTIFS(cal_fechas,"&gt;="&amp;$J997,cal_fechas,"&lt;"&amp;TODAY(),cal_habil,"sí"),-COUNTIFS(cal_fechas,"&gt;="&amp;TODAY(),cal_fechas,"&lt;"&amp;$J997,cal_habil,"sí")))</f>
        <v/>
      </c>
      <c r="AE997" s="5">
        <f>IF($AD997="","",IF($AD997&lt;0,"FUTURO",IF($AD997&gt;p_dias_backlog_max,"BACKLOG","MES CORRIENTE")))</f>
        <v/>
      </c>
      <c r="AF997" s="5">
        <f>IF($AD997="",FALSE,AND($AD997&gt;p_dias_backlog_min,$AD997&lt;=p_dias_backlog_max))</f>
        <v/>
      </c>
      <c r="AG997" s="4" t="n"/>
      <c r="AH997" s="5">
        <f>IF($AG997="","",IF((IFERROR(INDEX('ASIGNACIONES'!$J$4:$J$451,MATCH($O997&amp;"|"&amp;$S997&amp;"|"&amp;$AG997,'ASIGNACIONES'!$N$4:$N$451,0)),""))=0,"",IFERROR(INDEX('ASIGNACIONES'!$J$4:$J$451,MATCH($O997&amp;"|"&amp;$S997&amp;"|"&amp;$AG997,'ASIGNACIONES'!$N$4:$N$451,0)),"")))</f>
        <v/>
      </c>
      <c r="AI997" s="25">
        <f>IF($AG997="","",SUMIFS('ORDENES'!$M$4:$M$1203,'ORDENES'!$AG$4:$AG$1203,$AG997,'ORDENES'!$O$4:$O$1203,$O997,'ORDENES'!$S$4:$S$1203,$S997))</f>
        <v/>
      </c>
      <c r="AJ997" s="25">
        <f>IF($AI997="","",p_factor_productividad*IFERROR(INDEX('ASIGNACIONES'!$M$4:$M$451,MATCH($O997&amp;"|"&amp;$S997&amp;"|"&amp;$AG997,'ASIGNACIONES'!$N$4:$N$451,0)),0)-$AI997)</f>
        <v/>
      </c>
      <c r="AK997" s="18">
        <f>IF($A997="","",IFERROR(INDEX('2_IMPORTAR_EJECUCION'!$F$9:$F$1208,MATCH($AT997,'2_IMPORTAR_EJECUCION'!$J$9:$J$1208,0)),0))</f>
        <v/>
      </c>
      <c r="AL997" s="18">
        <f>IF($A997="","",MAX(0,IFERROR(INDEX('2_IMPORTAR_EJECUCION'!$H$9:$H$1208,MATCH($AT997,'2_IMPORTAR_EJECUCION'!$J$9:$J$1208,0)),0)-$AK997))</f>
        <v/>
      </c>
      <c r="AM997" s="18">
        <f>IF($A997="","",$AK997+$AL997)</f>
        <v/>
      </c>
      <c r="AN997" s="5">
        <f>IF($A997="","",IF(OR((IFERROR(INDEX('CAT_ACTIVIDADES'!$D$4:$D$11,MATCH($H997,'CAT_ACTIVIDADES'!$A$4:$A$11,0)),""))=0,(IFERROR(INDEX('CAT_ACTIVIDADES'!$D$4:$D$11,MATCH($H997,'CAT_ACTIVIDADES'!$A$4:$A$11,0)),""))=""),"SIN CLASIFICAR",IFERROR(INDEX('CAT_ACTIVIDADES'!$D$4:$D$11,MATCH($H997,'CAT_ACTIVIDADES'!$A$4:$A$11,0)),"")))</f>
        <v/>
      </c>
      <c r="AO997" s="4" t="n"/>
      <c r="AP997" s="4" t="n"/>
      <c r="AQ997" s="4" t="n"/>
      <c r="AR997" s="5">
        <f>IF($AQ997="","",HYPERLINK(p_ruta_base_checklists&amp;$AQ997,"abrir"))</f>
        <v/>
      </c>
      <c r="AS997" s="4" t="n"/>
      <c r="AT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2" t="n"/>
      <c r="K998" s="5" t="n"/>
      <c r="L998" s="18" t="n"/>
      <c r="M998" s="5">
        <f>IF($A998="","",IFERROR(INDEX('AJUSTES'!$B$4:$B$303,MATCH($AT998,'AJUSTES'!$A$4:$A$303,0)),IF($K998="","",$K998)))</f>
        <v/>
      </c>
      <c r="N998" s="5">
        <f>IF($A998="","",IFERROR(INDEX('CAT_ESTADOS_ERP'!$B$4:$B$7,MATCH(IFERROR(INDEX('2_IMPORTAR_EJECUCION'!$C$9:$C$1208,MATCH($AT998,'2_IMPORTAR_EJECUCION'!$J$9:$J$1208,0)),""),'CAT_ESTADOS_ERP'!$A$4:$A$7,0)),"Pendiente"))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IF($J998="","",$P998&amp;"-"&amp;TEXT($Q998,"00"))</f>
        <v/>
      </c>
      <c r="S998" s="5">
        <f>IF($J998="","",INDEX(lista_dias,WEEKDAY($J998,2)))</f>
        <v/>
      </c>
      <c r="T998" s="5">
        <f>IF($J998="","",IFERROR(INDEX('CALENDARIO'!$C$15:$C$214,MATCH(TEXT($J998,"yyyy-mm-dd")&amp;"|"&amp;$X998&amp;"|"&amp;$Y998,'CALENDARIO'!$G$15:$G$214,0)),IFERROR(INDEX('CALENDARIO'!$C$15:$C$214,MATCH(TEXT($J998,"yyyy-mm-dd")&amp;"|"&amp;$X998&amp;"|",'CALENDARIO'!$G$15:$G$214,0)),IFERROR(INDEX('CALENDARIO'!$C$15:$C$214,MATCH(TEXT($J998,"yyyy-mm-dd")&amp;"||",'CALENDARIO'!$G$15:$G$214,0)),INDEX(patronHabil,WEEKDAY($J998,2))))))</f>
        <v/>
      </c>
      <c r="U998" s="5">
        <f>IF($I998="","",IFERROR(INDEX('CAT_TIPOS_OT'!$C$4:$C$8,MATCH($I998,'CAT_TIPOS_OT'!$A$4:$A$8,0)),"sin_clasificar"))</f>
        <v/>
      </c>
      <c r="V998" s="5">
        <f>IF($I998="","",IF(IFERROR(INDEX('CAT_TIPOS_OT'!$D$4:$D$8,MATCH($I998,'CAT_TIPOS_OT'!$A$4:$A$8,0)),"SIN CLASIFICAR")="","SIN CLASIFICAR",IFERROR(INDEX('CAT_TIPOS_OT'!$D$4:$D$8,MATCH($I998,'CAT_TIPOS_OT'!$A$4:$A$8,0)),"SIN CLASIFICAR")))</f>
        <v/>
      </c>
      <c r="W998" s="5">
        <f>IF($F998="","",IFERROR(INDEX('CAT_CENTROS_COSTO'!$F$4:$F$13,MATCH($F998,'CAT_CENTROS_COSTO'!$A$4:$A$13,0)),"(sin catálogo)"))</f>
        <v/>
      </c>
      <c r="X998" s="5">
        <f>IF($F998="","",IFERROR(INDEX('CAT_CENTROS_COSTO'!$D$4:$D$13,MATCH($F998,'CAT_CENTROS_COSTO'!$A$4:$A$13,0)),"(sin catálogo)"))</f>
        <v/>
      </c>
      <c r="Y998" s="5">
        <f>IF($F998="","",IF((IFERROR(INDEX('CAT_CENTROS_COSTO'!$E$4:$E$13,MATCH($F998,'CAT_CENTROS_COSTO'!$A$4:$A$13,0)),""))&lt;&gt;"",IFERROR(INDEX('CAT_CENTROS_COSTO'!$E$4:$E$13,MATCH($F998,'CAT_CENTROS_COSTO'!$A$4:$A$13,0)),""),$X998))</f>
        <v/>
      </c>
      <c r="Z998" s="5">
        <f>IF($F998="","",IFERROR(INDEX('CAT_CENTROS_COSTO'!$G$4:$G$13,MATCH($F998,'CAT_CENTROS_COSTO'!$A$4:$A$13,0)),"(sin catálogo)"))</f>
        <v/>
      </c>
      <c r="AA998" s="5">
        <f>IF($G998="","",IFERROR(INDEX('CAT_PUESTOS'!$B$4:$B$8,MATCH($G998,'CAT_PUESTOS'!$A$4:$A$8,0)),"(sin catálogo)"))</f>
        <v/>
      </c>
      <c r="AB998" s="5">
        <f>IF($H998="","",IFERROR(INDEX('CAT_ACTIVIDADES'!$B$4:$B$11,MATCH($H998,'CAT_ACTIVIDADES'!$A$4:$A$11,0)),"(sin catálogo)"))</f>
        <v/>
      </c>
      <c r="AC998" s="20">
        <f>IF($J998="","",TODAY()-$J998)</f>
        <v/>
      </c>
      <c r="AD998" s="20">
        <f>IF($J998="","",IF($J998&lt;=TODAY(),COUNTIFS(cal_fechas,"&gt;="&amp;$J998,cal_fechas,"&lt;"&amp;TODAY(),cal_habil,"sí"),-COUNTIFS(cal_fechas,"&gt;="&amp;TODAY(),cal_fechas,"&lt;"&amp;$J998,cal_habil,"sí")))</f>
        <v/>
      </c>
      <c r="AE998" s="5">
        <f>IF($AD998="","",IF($AD998&lt;0,"FUTURO",IF($AD998&gt;p_dias_backlog_max,"BACKLOG","MES CORRIENTE")))</f>
        <v/>
      </c>
      <c r="AF998" s="5">
        <f>IF($AD998="",FALSE,AND($AD998&gt;p_dias_backlog_min,$AD998&lt;=p_dias_backlog_max))</f>
        <v/>
      </c>
      <c r="AG998" s="4" t="n"/>
      <c r="AH998" s="5">
        <f>IF($AG998="","",IF((IFERROR(INDEX('ASIGNACIONES'!$J$4:$J$451,MATCH($O998&amp;"|"&amp;$S998&amp;"|"&amp;$AG998,'ASIGNACIONES'!$N$4:$N$451,0)),""))=0,"",IFERROR(INDEX('ASIGNACIONES'!$J$4:$J$451,MATCH($O998&amp;"|"&amp;$S998&amp;"|"&amp;$AG998,'ASIGNACIONES'!$N$4:$N$451,0)),"")))</f>
        <v/>
      </c>
      <c r="AI998" s="25">
        <f>IF($AG998="","",SUMIFS('ORDENES'!$M$4:$M$1203,'ORDENES'!$AG$4:$AG$1203,$AG998,'ORDENES'!$O$4:$O$1203,$O998,'ORDENES'!$S$4:$S$1203,$S998))</f>
        <v/>
      </c>
      <c r="AJ998" s="25">
        <f>IF($AI998="","",p_factor_productividad*IFERROR(INDEX('ASIGNACIONES'!$M$4:$M$451,MATCH($O998&amp;"|"&amp;$S998&amp;"|"&amp;$AG998,'ASIGNACIONES'!$N$4:$N$451,0)),0)-$AI998)</f>
        <v/>
      </c>
      <c r="AK998" s="18">
        <f>IF($A998="","",IFERROR(INDEX('2_IMPORTAR_EJECUCION'!$F$9:$F$1208,MATCH($AT998,'2_IMPORTAR_EJECUCION'!$J$9:$J$1208,0)),0))</f>
        <v/>
      </c>
      <c r="AL998" s="18">
        <f>IF($A998="","",MAX(0,IFERROR(INDEX('2_IMPORTAR_EJECUCION'!$H$9:$H$1208,MATCH($AT998,'2_IMPORTAR_EJECUCION'!$J$9:$J$1208,0)),0)-$AK998))</f>
        <v/>
      </c>
      <c r="AM998" s="18">
        <f>IF($A998="","",$AK998+$AL998)</f>
        <v/>
      </c>
      <c r="AN998" s="5">
        <f>IF($A998="","",IF(OR((IFERROR(INDEX('CAT_ACTIVIDADES'!$D$4:$D$11,MATCH($H998,'CAT_ACTIVIDADES'!$A$4:$A$11,0)),""))=0,(IFERROR(INDEX('CAT_ACTIVIDADES'!$D$4:$D$11,MATCH($H998,'CAT_ACTIVIDADES'!$A$4:$A$11,0)),""))=""),"SIN CLASIFICAR",IFERROR(INDEX('CAT_ACTIVIDADES'!$D$4:$D$11,MATCH($H998,'CAT_ACTIVIDADES'!$A$4:$A$11,0)),"")))</f>
        <v/>
      </c>
      <c r="AO998" s="4" t="n"/>
      <c r="AP998" s="4" t="n"/>
      <c r="AQ998" s="4" t="n"/>
      <c r="AR998" s="5">
        <f>IF($AQ998="","",HYPERLINK(p_ruta_base_checklists&amp;$AQ998,"abrir"))</f>
        <v/>
      </c>
      <c r="AS998" s="4" t="n"/>
      <c r="AT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2" t="n"/>
      <c r="K999" s="5" t="n"/>
      <c r="L999" s="18" t="n"/>
      <c r="M999" s="5">
        <f>IF($A999="","",IFERROR(INDEX('AJUSTES'!$B$4:$B$303,MATCH($AT999,'AJUSTES'!$A$4:$A$303,0)),IF($K999="","",$K999)))</f>
        <v/>
      </c>
      <c r="N999" s="5">
        <f>IF($A999="","",IFERROR(INDEX('CAT_ESTADOS_ERP'!$B$4:$B$7,MATCH(IFERROR(INDEX('2_IMPORTAR_EJECUCION'!$C$9:$C$1208,MATCH($AT999,'2_IMPORTAR_EJECUCION'!$J$9:$J$1208,0)),""),'CAT_ESTADOS_ERP'!$A$4:$A$7,0)),"Pendiente"))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IF($J999="","",$P999&amp;"-"&amp;TEXT($Q999,"00"))</f>
        <v/>
      </c>
      <c r="S999" s="5">
        <f>IF($J999="","",INDEX(lista_dias,WEEKDAY($J999,2)))</f>
        <v/>
      </c>
      <c r="T999" s="5">
        <f>IF($J999="","",IFERROR(INDEX('CALENDARIO'!$C$15:$C$214,MATCH(TEXT($J999,"yyyy-mm-dd")&amp;"|"&amp;$X999&amp;"|"&amp;$Y999,'CALENDARIO'!$G$15:$G$214,0)),IFERROR(INDEX('CALENDARIO'!$C$15:$C$214,MATCH(TEXT($J999,"yyyy-mm-dd")&amp;"|"&amp;$X999&amp;"|",'CALENDARIO'!$G$15:$G$214,0)),IFERROR(INDEX('CALENDARIO'!$C$15:$C$214,MATCH(TEXT($J999,"yyyy-mm-dd")&amp;"||",'CALENDARIO'!$G$15:$G$214,0)),INDEX(patronHabil,WEEKDAY($J999,2))))))</f>
        <v/>
      </c>
      <c r="U999" s="5">
        <f>IF($I999="","",IFERROR(INDEX('CAT_TIPOS_OT'!$C$4:$C$8,MATCH($I999,'CAT_TIPOS_OT'!$A$4:$A$8,0)),"sin_clasificar"))</f>
        <v/>
      </c>
      <c r="V999" s="5">
        <f>IF($I999="","",IF(IFERROR(INDEX('CAT_TIPOS_OT'!$D$4:$D$8,MATCH($I999,'CAT_TIPOS_OT'!$A$4:$A$8,0)),"SIN CLASIFICAR")="","SIN CLASIFICAR",IFERROR(INDEX('CAT_TIPOS_OT'!$D$4:$D$8,MATCH($I999,'CAT_TIPOS_OT'!$A$4:$A$8,0)),"SIN CLASIFICAR")))</f>
        <v/>
      </c>
      <c r="W999" s="5">
        <f>IF($F999="","",IFERROR(INDEX('CAT_CENTROS_COSTO'!$F$4:$F$13,MATCH($F999,'CAT_CENTROS_COSTO'!$A$4:$A$13,0)),"(sin catálogo)"))</f>
        <v/>
      </c>
      <c r="X999" s="5">
        <f>IF($F999="","",IFERROR(INDEX('CAT_CENTROS_COSTO'!$D$4:$D$13,MATCH($F999,'CAT_CENTROS_COSTO'!$A$4:$A$13,0)),"(sin catálogo)"))</f>
        <v/>
      </c>
      <c r="Y999" s="5">
        <f>IF($F999="","",IF((IFERROR(INDEX('CAT_CENTROS_COSTO'!$E$4:$E$13,MATCH($F999,'CAT_CENTROS_COSTO'!$A$4:$A$13,0)),""))&lt;&gt;"",IFERROR(INDEX('CAT_CENTROS_COSTO'!$E$4:$E$13,MATCH($F999,'CAT_CENTROS_COSTO'!$A$4:$A$13,0)),""),$X999))</f>
        <v/>
      </c>
      <c r="Z999" s="5">
        <f>IF($F999="","",IFERROR(INDEX('CAT_CENTROS_COSTO'!$G$4:$G$13,MATCH($F999,'CAT_CENTROS_COSTO'!$A$4:$A$13,0)),"(sin catálogo)"))</f>
        <v/>
      </c>
      <c r="AA999" s="5">
        <f>IF($G999="","",IFERROR(INDEX('CAT_PUESTOS'!$B$4:$B$8,MATCH($G999,'CAT_PUESTOS'!$A$4:$A$8,0)),"(sin catálogo)"))</f>
        <v/>
      </c>
      <c r="AB999" s="5">
        <f>IF($H999="","",IFERROR(INDEX('CAT_ACTIVIDADES'!$B$4:$B$11,MATCH($H999,'CAT_ACTIVIDADES'!$A$4:$A$11,0)),"(sin catálogo)"))</f>
        <v/>
      </c>
      <c r="AC999" s="20">
        <f>IF($J999="","",TODAY()-$J999)</f>
        <v/>
      </c>
      <c r="AD999" s="20">
        <f>IF($J999="","",IF($J999&lt;=TODAY(),COUNTIFS(cal_fechas,"&gt;="&amp;$J999,cal_fechas,"&lt;"&amp;TODAY(),cal_habil,"sí"),-COUNTIFS(cal_fechas,"&gt;="&amp;TODAY(),cal_fechas,"&lt;"&amp;$J999,cal_habil,"sí")))</f>
        <v/>
      </c>
      <c r="AE999" s="5">
        <f>IF($AD999="","",IF($AD999&lt;0,"FUTURO",IF($AD999&gt;p_dias_backlog_max,"BACKLOG","MES CORRIENTE")))</f>
        <v/>
      </c>
      <c r="AF999" s="5">
        <f>IF($AD999="",FALSE,AND($AD999&gt;p_dias_backlog_min,$AD999&lt;=p_dias_backlog_max))</f>
        <v/>
      </c>
      <c r="AG999" s="4" t="n"/>
      <c r="AH999" s="5">
        <f>IF($AG999="","",IF((IFERROR(INDEX('ASIGNACIONES'!$J$4:$J$451,MATCH($O999&amp;"|"&amp;$S999&amp;"|"&amp;$AG999,'ASIGNACIONES'!$N$4:$N$451,0)),""))=0,"",IFERROR(INDEX('ASIGNACIONES'!$J$4:$J$451,MATCH($O999&amp;"|"&amp;$S999&amp;"|"&amp;$AG999,'ASIGNACIONES'!$N$4:$N$451,0)),"")))</f>
        <v/>
      </c>
      <c r="AI999" s="25">
        <f>IF($AG999="","",SUMIFS('ORDENES'!$M$4:$M$1203,'ORDENES'!$AG$4:$AG$1203,$AG999,'ORDENES'!$O$4:$O$1203,$O999,'ORDENES'!$S$4:$S$1203,$S999))</f>
        <v/>
      </c>
      <c r="AJ999" s="25">
        <f>IF($AI999="","",p_factor_productividad*IFERROR(INDEX('ASIGNACIONES'!$M$4:$M$451,MATCH($O999&amp;"|"&amp;$S999&amp;"|"&amp;$AG999,'ASIGNACIONES'!$N$4:$N$451,0)),0)-$AI999)</f>
        <v/>
      </c>
      <c r="AK999" s="18">
        <f>IF($A999="","",IFERROR(INDEX('2_IMPORTAR_EJECUCION'!$F$9:$F$1208,MATCH($AT999,'2_IMPORTAR_EJECUCION'!$J$9:$J$1208,0)),0))</f>
        <v/>
      </c>
      <c r="AL999" s="18">
        <f>IF($A999="","",MAX(0,IFERROR(INDEX('2_IMPORTAR_EJECUCION'!$H$9:$H$1208,MATCH($AT999,'2_IMPORTAR_EJECUCION'!$J$9:$J$1208,0)),0)-$AK999))</f>
        <v/>
      </c>
      <c r="AM999" s="18">
        <f>IF($A999="","",$AK999+$AL999)</f>
        <v/>
      </c>
      <c r="AN999" s="5">
        <f>IF($A999="","",IF(OR((IFERROR(INDEX('CAT_ACTIVIDADES'!$D$4:$D$11,MATCH($H999,'CAT_ACTIVIDADES'!$A$4:$A$11,0)),""))=0,(IFERROR(INDEX('CAT_ACTIVIDADES'!$D$4:$D$11,MATCH($H999,'CAT_ACTIVIDADES'!$A$4:$A$11,0)),""))=""),"SIN CLASIFICAR",IFERROR(INDEX('CAT_ACTIVIDADES'!$D$4:$D$11,MATCH($H999,'CAT_ACTIVIDADES'!$A$4:$A$11,0)),"")))</f>
        <v/>
      </c>
      <c r="AO999" s="4" t="n"/>
      <c r="AP999" s="4" t="n"/>
      <c r="AQ999" s="4" t="n"/>
      <c r="AR999" s="5">
        <f>IF($AQ999="","",HYPERLINK(p_ruta_base_checklists&amp;$AQ999,"abrir"))</f>
        <v/>
      </c>
      <c r="AS999" s="4" t="n"/>
      <c r="AT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2" t="n"/>
      <c r="K1000" s="5" t="n"/>
      <c r="L1000" s="18" t="n"/>
      <c r="M1000" s="5">
        <f>IF($A1000="","",IFERROR(INDEX('AJUSTES'!$B$4:$B$303,MATCH($AT1000,'AJUSTES'!$A$4:$A$303,0)),IF($K1000="","",$K1000)))</f>
        <v/>
      </c>
      <c r="N1000" s="5">
        <f>IF($A1000="","",IFERROR(INDEX('CAT_ESTADOS_ERP'!$B$4:$B$7,MATCH(IFERROR(INDEX('2_IMPORTAR_EJECUCION'!$C$9:$C$1208,MATCH($AT1000,'2_IMPORTAR_EJECUCION'!$J$9:$J$1208,0)),""),'CAT_ESTADOS_ERP'!$A$4:$A$7,0)),"Pendiente"))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IF($J1000="","",$P1000&amp;"-"&amp;TEXT($Q1000,"00"))</f>
        <v/>
      </c>
      <c r="S1000" s="5">
        <f>IF($J1000="","",INDEX(lista_dias,WEEKDAY($J1000,2)))</f>
        <v/>
      </c>
      <c r="T1000" s="5">
        <f>IF($J1000="","",IFERROR(INDEX('CALENDARIO'!$C$15:$C$214,MATCH(TEXT($J1000,"yyyy-mm-dd")&amp;"|"&amp;$X1000&amp;"|"&amp;$Y1000,'CALENDARIO'!$G$15:$G$214,0)),IFERROR(INDEX('CALENDARIO'!$C$15:$C$214,MATCH(TEXT($J1000,"yyyy-mm-dd")&amp;"|"&amp;$X1000&amp;"|",'CALENDARIO'!$G$15:$G$214,0)),IFERROR(INDEX('CALENDARIO'!$C$15:$C$214,MATCH(TEXT($J1000,"yyyy-mm-dd")&amp;"||",'CALENDARIO'!$G$15:$G$214,0)),INDEX(patronHabil,WEEKDAY($J1000,2))))))</f>
        <v/>
      </c>
      <c r="U1000" s="5">
        <f>IF($I1000="","",IFERROR(INDEX('CAT_TIPOS_OT'!$C$4:$C$8,MATCH($I1000,'CAT_TIPOS_OT'!$A$4:$A$8,0)),"sin_clasificar"))</f>
        <v/>
      </c>
      <c r="V1000" s="5">
        <f>IF($I1000="","",IF(IFERROR(INDEX('CAT_TIPOS_OT'!$D$4:$D$8,MATCH($I1000,'CAT_TIPOS_OT'!$A$4:$A$8,0)),"SIN CLASIFICAR")="","SIN CLASIFICAR",IFERROR(INDEX('CAT_TIPOS_OT'!$D$4:$D$8,MATCH($I1000,'CAT_TIPOS_OT'!$A$4:$A$8,0)),"SIN CLASIFICAR")))</f>
        <v/>
      </c>
      <c r="W1000" s="5">
        <f>IF($F1000="","",IFERROR(INDEX('CAT_CENTROS_COSTO'!$F$4:$F$13,MATCH($F1000,'CAT_CENTROS_COSTO'!$A$4:$A$13,0)),"(sin catálogo)"))</f>
        <v/>
      </c>
      <c r="X1000" s="5">
        <f>IF($F1000="","",IFERROR(INDEX('CAT_CENTROS_COSTO'!$D$4:$D$13,MATCH($F1000,'CAT_CENTROS_COSTO'!$A$4:$A$13,0)),"(sin catálogo)"))</f>
        <v/>
      </c>
      <c r="Y1000" s="5">
        <f>IF($F1000="","",IF((IFERROR(INDEX('CAT_CENTROS_COSTO'!$E$4:$E$13,MATCH($F1000,'CAT_CENTROS_COSTO'!$A$4:$A$13,0)),""))&lt;&gt;"",IFERROR(INDEX('CAT_CENTROS_COSTO'!$E$4:$E$13,MATCH($F1000,'CAT_CENTROS_COSTO'!$A$4:$A$13,0)),""),$X1000))</f>
        <v/>
      </c>
      <c r="Z1000" s="5">
        <f>IF($F1000="","",IFERROR(INDEX('CAT_CENTROS_COSTO'!$G$4:$G$13,MATCH($F1000,'CAT_CENTROS_COSTO'!$A$4:$A$13,0)),"(sin catálogo)"))</f>
        <v/>
      </c>
      <c r="AA1000" s="5">
        <f>IF($G1000="","",IFERROR(INDEX('CAT_PUESTOS'!$B$4:$B$8,MATCH($G1000,'CAT_PUESTOS'!$A$4:$A$8,0)),"(sin catálogo)"))</f>
        <v/>
      </c>
      <c r="AB1000" s="5">
        <f>IF($H1000="","",IFERROR(INDEX('CAT_ACTIVIDADES'!$B$4:$B$11,MATCH($H1000,'CAT_ACTIVIDADES'!$A$4:$A$11,0)),"(sin catálogo)"))</f>
        <v/>
      </c>
      <c r="AC1000" s="20">
        <f>IF($J1000="","",TODAY()-$J1000)</f>
        <v/>
      </c>
      <c r="AD1000" s="20">
        <f>IF($J1000="","",IF($J1000&lt;=TODAY(),COUNTIFS(cal_fechas,"&gt;="&amp;$J1000,cal_fechas,"&lt;"&amp;TODAY(),cal_habil,"sí"),-COUNTIFS(cal_fechas,"&gt;="&amp;TODAY(),cal_fechas,"&lt;"&amp;$J1000,cal_habil,"sí")))</f>
        <v/>
      </c>
      <c r="AE1000" s="5">
        <f>IF($AD1000="","",IF($AD1000&lt;0,"FUTURO",IF($AD1000&gt;p_dias_backlog_max,"BACKLOG","MES CORRIENTE")))</f>
        <v/>
      </c>
      <c r="AF1000" s="5">
        <f>IF($AD1000="",FALSE,AND($AD1000&gt;p_dias_backlog_min,$AD1000&lt;=p_dias_backlog_max))</f>
        <v/>
      </c>
      <c r="AG1000" s="4" t="n"/>
      <c r="AH1000" s="5">
        <f>IF($AG1000="","",IF((IFERROR(INDEX('ASIGNACIONES'!$J$4:$J$451,MATCH($O1000&amp;"|"&amp;$S1000&amp;"|"&amp;$AG1000,'ASIGNACIONES'!$N$4:$N$451,0)),""))=0,"",IFERROR(INDEX('ASIGNACIONES'!$J$4:$J$451,MATCH($O1000&amp;"|"&amp;$S1000&amp;"|"&amp;$AG1000,'ASIGNACIONES'!$N$4:$N$451,0)),"")))</f>
        <v/>
      </c>
      <c r="AI1000" s="25">
        <f>IF($AG1000="","",SUMIFS('ORDENES'!$M$4:$M$1203,'ORDENES'!$AG$4:$AG$1203,$AG1000,'ORDENES'!$O$4:$O$1203,$O1000,'ORDENES'!$S$4:$S$1203,$S1000))</f>
        <v/>
      </c>
      <c r="AJ1000" s="25">
        <f>IF($AI1000="","",p_factor_productividad*IFERROR(INDEX('ASIGNACIONES'!$M$4:$M$451,MATCH($O1000&amp;"|"&amp;$S1000&amp;"|"&amp;$AG1000,'ASIGNACIONES'!$N$4:$N$451,0)),0)-$AI1000)</f>
        <v/>
      </c>
      <c r="AK1000" s="18">
        <f>IF($A1000="","",IFERROR(INDEX('2_IMPORTAR_EJECUCION'!$F$9:$F$1208,MATCH($AT1000,'2_IMPORTAR_EJECUCION'!$J$9:$J$1208,0)),0))</f>
        <v/>
      </c>
      <c r="AL1000" s="18">
        <f>IF($A1000="","",MAX(0,IFERROR(INDEX('2_IMPORTAR_EJECUCION'!$H$9:$H$1208,MATCH($AT1000,'2_IMPORTAR_EJECUCION'!$J$9:$J$1208,0)),0)-$AK1000))</f>
        <v/>
      </c>
      <c r="AM1000" s="18">
        <f>IF($A1000="","",$AK1000+$AL1000)</f>
        <v/>
      </c>
      <c r="AN1000" s="5">
        <f>IF($A1000="","",IF(OR((IFERROR(INDEX('CAT_ACTIVIDADES'!$D$4:$D$11,MATCH($H1000,'CAT_ACTIVIDADES'!$A$4:$A$11,0)),""))=0,(IFERROR(INDEX('CAT_ACTIVIDADES'!$D$4:$D$11,MATCH($H1000,'CAT_ACTIVIDADES'!$A$4:$A$11,0)),""))=""),"SIN CLASIFICAR",IFERROR(INDEX('CAT_ACTIVIDADES'!$D$4:$D$11,MATCH($H1000,'CAT_ACTIVIDADES'!$A$4:$A$11,0)),"")))</f>
        <v/>
      </c>
      <c r="AO1000" s="4" t="n"/>
      <c r="AP1000" s="4" t="n"/>
      <c r="AQ1000" s="4" t="n"/>
      <c r="AR1000" s="5">
        <f>IF($AQ1000="","",HYPERLINK(p_ruta_base_checklists&amp;$AQ1000,"abrir"))</f>
        <v/>
      </c>
      <c r="AS1000" s="4" t="n"/>
      <c r="AT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2" t="n"/>
      <c r="K1001" s="5" t="n"/>
      <c r="L1001" s="18" t="n"/>
      <c r="M1001" s="5">
        <f>IF($A1001="","",IFERROR(INDEX('AJUSTES'!$B$4:$B$303,MATCH($AT1001,'AJUSTES'!$A$4:$A$303,0)),IF($K1001="","",$K1001)))</f>
        <v/>
      </c>
      <c r="N1001" s="5">
        <f>IF($A1001="","",IFERROR(INDEX('CAT_ESTADOS_ERP'!$B$4:$B$7,MATCH(IFERROR(INDEX('2_IMPORTAR_EJECUCION'!$C$9:$C$1208,MATCH($AT1001,'2_IMPORTAR_EJECUCION'!$J$9:$J$1208,0)),""),'CAT_ESTADOS_ERP'!$A$4:$A$7,0)),"Pendiente"))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IF($J1001="","",$P1001&amp;"-"&amp;TEXT($Q1001,"00"))</f>
        <v/>
      </c>
      <c r="S1001" s="5">
        <f>IF($J1001="","",INDEX(lista_dias,WEEKDAY($J1001,2)))</f>
        <v/>
      </c>
      <c r="T1001" s="5">
        <f>IF($J1001="","",IFERROR(INDEX('CALENDARIO'!$C$15:$C$214,MATCH(TEXT($J1001,"yyyy-mm-dd")&amp;"|"&amp;$X1001&amp;"|"&amp;$Y1001,'CALENDARIO'!$G$15:$G$214,0)),IFERROR(INDEX('CALENDARIO'!$C$15:$C$214,MATCH(TEXT($J1001,"yyyy-mm-dd")&amp;"|"&amp;$X1001&amp;"|",'CALENDARIO'!$G$15:$G$214,0)),IFERROR(INDEX('CALENDARIO'!$C$15:$C$214,MATCH(TEXT($J1001,"yyyy-mm-dd")&amp;"||",'CALENDARIO'!$G$15:$G$214,0)),INDEX(patronHabil,WEEKDAY($J1001,2))))))</f>
        <v/>
      </c>
      <c r="U1001" s="5">
        <f>IF($I1001="","",IFERROR(INDEX('CAT_TIPOS_OT'!$C$4:$C$8,MATCH($I1001,'CAT_TIPOS_OT'!$A$4:$A$8,0)),"sin_clasificar"))</f>
        <v/>
      </c>
      <c r="V1001" s="5">
        <f>IF($I1001="","",IF(IFERROR(INDEX('CAT_TIPOS_OT'!$D$4:$D$8,MATCH($I1001,'CAT_TIPOS_OT'!$A$4:$A$8,0)),"SIN CLASIFICAR")="","SIN CLASIFICAR",IFERROR(INDEX('CAT_TIPOS_OT'!$D$4:$D$8,MATCH($I1001,'CAT_TIPOS_OT'!$A$4:$A$8,0)),"SIN CLASIFICAR")))</f>
        <v/>
      </c>
      <c r="W1001" s="5">
        <f>IF($F1001="","",IFERROR(INDEX('CAT_CENTROS_COSTO'!$F$4:$F$13,MATCH($F1001,'CAT_CENTROS_COSTO'!$A$4:$A$13,0)),"(sin catálogo)"))</f>
        <v/>
      </c>
      <c r="X1001" s="5">
        <f>IF($F1001="","",IFERROR(INDEX('CAT_CENTROS_COSTO'!$D$4:$D$13,MATCH($F1001,'CAT_CENTROS_COSTO'!$A$4:$A$13,0)),"(sin catálogo)"))</f>
        <v/>
      </c>
      <c r="Y1001" s="5">
        <f>IF($F1001="","",IF((IFERROR(INDEX('CAT_CENTROS_COSTO'!$E$4:$E$13,MATCH($F1001,'CAT_CENTROS_COSTO'!$A$4:$A$13,0)),""))&lt;&gt;"",IFERROR(INDEX('CAT_CENTROS_COSTO'!$E$4:$E$13,MATCH($F1001,'CAT_CENTROS_COSTO'!$A$4:$A$13,0)),""),$X1001))</f>
        <v/>
      </c>
      <c r="Z1001" s="5">
        <f>IF($F1001="","",IFERROR(INDEX('CAT_CENTROS_COSTO'!$G$4:$G$13,MATCH($F1001,'CAT_CENTROS_COSTO'!$A$4:$A$13,0)),"(sin catálogo)"))</f>
        <v/>
      </c>
      <c r="AA1001" s="5">
        <f>IF($G1001="","",IFERROR(INDEX('CAT_PUESTOS'!$B$4:$B$8,MATCH($G1001,'CAT_PUESTOS'!$A$4:$A$8,0)),"(sin catálogo)"))</f>
        <v/>
      </c>
      <c r="AB1001" s="5">
        <f>IF($H1001="","",IFERROR(INDEX('CAT_ACTIVIDADES'!$B$4:$B$11,MATCH($H1001,'CAT_ACTIVIDADES'!$A$4:$A$11,0)),"(sin catálogo)"))</f>
        <v/>
      </c>
      <c r="AC1001" s="20">
        <f>IF($J1001="","",TODAY()-$J1001)</f>
        <v/>
      </c>
      <c r="AD1001" s="20">
        <f>IF($J1001="","",IF($J1001&lt;=TODAY(),COUNTIFS(cal_fechas,"&gt;="&amp;$J1001,cal_fechas,"&lt;"&amp;TODAY(),cal_habil,"sí"),-COUNTIFS(cal_fechas,"&gt;="&amp;TODAY(),cal_fechas,"&lt;"&amp;$J1001,cal_habil,"sí")))</f>
        <v/>
      </c>
      <c r="AE1001" s="5">
        <f>IF($AD1001="","",IF($AD1001&lt;0,"FUTURO",IF($AD1001&gt;p_dias_backlog_max,"BACKLOG","MES CORRIENTE")))</f>
        <v/>
      </c>
      <c r="AF1001" s="5">
        <f>IF($AD1001="",FALSE,AND($AD1001&gt;p_dias_backlog_min,$AD1001&lt;=p_dias_backlog_max))</f>
        <v/>
      </c>
      <c r="AG1001" s="4" t="n"/>
      <c r="AH1001" s="5">
        <f>IF($AG1001="","",IF((IFERROR(INDEX('ASIGNACIONES'!$J$4:$J$451,MATCH($O1001&amp;"|"&amp;$S1001&amp;"|"&amp;$AG1001,'ASIGNACIONES'!$N$4:$N$451,0)),""))=0,"",IFERROR(INDEX('ASIGNACIONES'!$J$4:$J$451,MATCH($O1001&amp;"|"&amp;$S1001&amp;"|"&amp;$AG1001,'ASIGNACIONES'!$N$4:$N$451,0)),"")))</f>
        <v/>
      </c>
      <c r="AI1001" s="25">
        <f>IF($AG1001="","",SUMIFS('ORDENES'!$M$4:$M$1203,'ORDENES'!$AG$4:$AG$1203,$AG1001,'ORDENES'!$O$4:$O$1203,$O1001,'ORDENES'!$S$4:$S$1203,$S1001))</f>
        <v/>
      </c>
      <c r="AJ1001" s="25">
        <f>IF($AI1001="","",p_factor_productividad*IFERROR(INDEX('ASIGNACIONES'!$M$4:$M$451,MATCH($O1001&amp;"|"&amp;$S1001&amp;"|"&amp;$AG1001,'ASIGNACIONES'!$N$4:$N$451,0)),0)-$AI1001)</f>
        <v/>
      </c>
      <c r="AK1001" s="18">
        <f>IF($A1001="","",IFERROR(INDEX('2_IMPORTAR_EJECUCION'!$F$9:$F$1208,MATCH($AT1001,'2_IMPORTAR_EJECUCION'!$J$9:$J$1208,0)),0))</f>
        <v/>
      </c>
      <c r="AL1001" s="18">
        <f>IF($A1001="","",MAX(0,IFERROR(INDEX('2_IMPORTAR_EJECUCION'!$H$9:$H$1208,MATCH($AT1001,'2_IMPORTAR_EJECUCION'!$J$9:$J$1208,0)),0)-$AK1001))</f>
        <v/>
      </c>
      <c r="AM1001" s="18">
        <f>IF($A1001="","",$AK1001+$AL1001)</f>
        <v/>
      </c>
      <c r="AN1001" s="5">
        <f>IF($A1001="","",IF(OR((IFERROR(INDEX('CAT_ACTIVIDADES'!$D$4:$D$11,MATCH($H1001,'CAT_ACTIVIDADES'!$A$4:$A$11,0)),""))=0,(IFERROR(INDEX('CAT_ACTIVIDADES'!$D$4:$D$11,MATCH($H1001,'CAT_ACTIVIDADES'!$A$4:$A$11,0)),""))=""),"SIN CLASIFICAR",IFERROR(INDEX('CAT_ACTIVIDADES'!$D$4:$D$11,MATCH($H1001,'CAT_ACTIVIDADES'!$A$4:$A$11,0)),"")))</f>
        <v/>
      </c>
      <c r="AO1001" s="4" t="n"/>
      <c r="AP1001" s="4" t="n"/>
      <c r="AQ1001" s="4" t="n"/>
      <c r="AR1001" s="5">
        <f>IF($AQ1001="","",HYPERLINK(p_ruta_base_checklists&amp;$AQ1001,"abrir"))</f>
        <v/>
      </c>
      <c r="AS1001" s="4" t="n"/>
      <c r="AT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2" t="n"/>
      <c r="K1002" s="5" t="n"/>
      <c r="L1002" s="18" t="n"/>
      <c r="M1002" s="5">
        <f>IF($A1002="","",IFERROR(INDEX('AJUSTES'!$B$4:$B$303,MATCH($AT1002,'AJUSTES'!$A$4:$A$303,0)),IF($K1002="","",$K1002)))</f>
        <v/>
      </c>
      <c r="N1002" s="5">
        <f>IF($A1002="","",IFERROR(INDEX('CAT_ESTADOS_ERP'!$B$4:$B$7,MATCH(IFERROR(INDEX('2_IMPORTAR_EJECUCION'!$C$9:$C$1208,MATCH($AT1002,'2_IMPORTAR_EJECUCION'!$J$9:$J$1208,0)),""),'CAT_ESTADOS_ERP'!$A$4:$A$7,0)),"Pendiente"))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IF($J1002="","",$P1002&amp;"-"&amp;TEXT($Q1002,"00"))</f>
        <v/>
      </c>
      <c r="S1002" s="5">
        <f>IF($J1002="","",INDEX(lista_dias,WEEKDAY($J1002,2)))</f>
        <v/>
      </c>
      <c r="T1002" s="5">
        <f>IF($J1002="","",IFERROR(INDEX('CALENDARIO'!$C$15:$C$214,MATCH(TEXT($J1002,"yyyy-mm-dd")&amp;"|"&amp;$X1002&amp;"|"&amp;$Y1002,'CALENDARIO'!$G$15:$G$214,0)),IFERROR(INDEX('CALENDARIO'!$C$15:$C$214,MATCH(TEXT($J1002,"yyyy-mm-dd")&amp;"|"&amp;$X1002&amp;"|",'CALENDARIO'!$G$15:$G$214,0)),IFERROR(INDEX('CALENDARIO'!$C$15:$C$214,MATCH(TEXT($J1002,"yyyy-mm-dd")&amp;"||",'CALENDARIO'!$G$15:$G$214,0)),INDEX(patronHabil,WEEKDAY($J1002,2))))))</f>
        <v/>
      </c>
      <c r="U1002" s="5">
        <f>IF($I1002="","",IFERROR(INDEX('CAT_TIPOS_OT'!$C$4:$C$8,MATCH($I1002,'CAT_TIPOS_OT'!$A$4:$A$8,0)),"sin_clasificar"))</f>
        <v/>
      </c>
      <c r="V1002" s="5">
        <f>IF($I1002="","",IF(IFERROR(INDEX('CAT_TIPOS_OT'!$D$4:$D$8,MATCH($I1002,'CAT_TIPOS_OT'!$A$4:$A$8,0)),"SIN CLASIFICAR")="","SIN CLASIFICAR",IFERROR(INDEX('CAT_TIPOS_OT'!$D$4:$D$8,MATCH($I1002,'CAT_TIPOS_OT'!$A$4:$A$8,0)),"SIN CLASIFICAR")))</f>
        <v/>
      </c>
      <c r="W1002" s="5">
        <f>IF($F1002="","",IFERROR(INDEX('CAT_CENTROS_COSTO'!$F$4:$F$13,MATCH($F1002,'CAT_CENTROS_COSTO'!$A$4:$A$13,0)),"(sin catálogo)"))</f>
        <v/>
      </c>
      <c r="X1002" s="5">
        <f>IF($F1002="","",IFERROR(INDEX('CAT_CENTROS_COSTO'!$D$4:$D$13,MATCH($F1002,'CAT_CENTROS_COSTO'!$A$4:$A$13,0)),"(sin catálogo)"))</f>
        <v/>
      </c>
      <c r="Y1002" s="5">
        <f>IF($F1002="","",IF((IFERROR(INDEX('CAT_CENTROS_COSTO'!$E$4:$E$13,MATCH($F1002,'CAT_CENTROS_COSTO'!$A$4:$A$13,0)),""))&lt;&gt;"",IFERROR(INDEX('CAT_CENTROS_COSTO'!$E$4:$E$13,MATCH($F1002,'CAT_CENTROS_COSTO'!$A$4:$A$13,0)),""),$X1002))</f>
        <v/>
      </c>
      <c r="Z1002" s="5">
        <f>IF($F1002="","",IFERROR(INDEX('CAT_CENTROS_COSTO'!$G$4:$G$13,MATCH($F1002,'CAT_CENTROS_COSTO'!$A$4:$A$13,0)),"(sin catálogo)"))</f>
        <v/>
      </c>
      <c r="AA1002" s="5">
        <f>IF($G1002="","",IFERROR(INDEX('CAT_PUESTOS'!$B$4:$B$8,MATCH($G1002,'CAT_PUESTOS'!$A$4:$A$8,0)),"(sin catálogo)"))</f>
        <v/>
      </c>
      <c r="AB1002" s="5">
        <f>IF($H1002="","",IFERROR(INDEX('CAT_ACTIVIDADES'!$B$4:$B$11,MATCH($H1002,'CAT_ACTIVIDADES'!$A$4:$A$11,0)),"(sin catálogo)"))</f>
        <v/>
      </c>
      <c r="AC1002" s="20">
        <f>IF($J1002="","",TODAY()-$J1002)</f>
        <v/>
      </c>
      <c r="AD1002" s="20">
        <f>IF($J1002="","",IF($J1002&lt;=TODAY(),COUNTIFS(cal_fechas,"&gt;="&amp;$J1002,cal_fechas,"&lt;"&amp;TODAY(),cal_habil,"sí"),-COUNTIFS(cal_fechas,"&gt;="&amp;TODAY(),cal_fechas,"&lt;"&amp;$J1002,cal_habil,"sí")))</f>
        <v/>
      </c>
      <c r="AE1002" s="5">
        <f>IF($AD1002="","",IF($AD1002&lt;0,"FUTURO",IF($AD1002&gt;p_dias_backlog_max,"BACKLOG","MES CORRIENTE")))</f>
        <v/>
      </c>
      <c r="AF1002" s="5">
        <f>IF($AD1002="",FALSE,AND($AD1002&gt;p_dias_backlog_min,$AD1002&lt;=p_dias_backlog_max))</f>
        <v/>
      </c>
      <c r="AG1002" s="4" t="n"/>
      <c r="AH1002" s="5">
        <f>IF($AG1002="","",IF((IFERROR(INDEX('ASIGNACIONES'!$J$4:$J$451,MATCH($O1002&amp;"|"&amp;$S1002&amp;"|"&amp;$AG1002,'ASIGNACIONES'!$N$4:$N$451,0)),""))=0,"",IFERROR(INDEX('ASIGNACIONES'!$J$4:$J$451,MATCH($O1002&amp;"|"&amp;$S1002&amp;"|"&amp;$AG1002,'ASIGNACIONES'!$N$4:$N$451,0)),"")))</f>
        <v/>
      </c>
      <c r="AI1002" s="25">
        <f>IF($AG1002="","",SUMIFS('ORDENES'!$M$4:$M$1203,'ORDENES'!$AG$4:$AG$1203,$AG1002,'ORDENES'!$O$4:$O$1203,$O1002,'ORDENES'!$S$4:$S$1203,$S1002))</f>
        <v/>
      </c>
      <c r="AJ1002" s="25">
        <f>IF($AI1002="","",p_factor_productividad*IFERROR(INDEX('ASIGNACIONES'!$M$4:$M$451,MATCH($O1002&amp;"|"&amp;$S1002&amp;"|"&amp;$AG1002,'ASIGNACIONES'!$N$4:$N$451,0)),0)-$AI1002)</f>
        <v/>
      </c>
      <c r="AK1002" s="18">
        <f>IF($A1002="","",IFERROR(INDEX('2_IMPORTAR_EJECUCION'!$F$9:$F$1208,MATCH($AT1002,'2_IMPORTAR_EJECUCION'!$J$9:$J$1208,0)),0))</f>
        <v/>
      </c>
      <c r="AL1002" s="18">
        <f>IF($A1002="","",MAX(0,IFERROR(INDEX('2_IMPORTAR_EJECUCION'!$H$9:$H$1208,MATCH($AT1002,'2_IMPORTAR_EJECUCION'!$J$9:$J$1208,0)),0)-$AK1002))</f>
        <v/>
      </c>
      <c r="AM1002" s="18">
        <f>IF($A1002="","",$AK1002+$AL1002)</f>
        <v/>
      </c>
      <c r="AN1002" s="5">
        <f>IF($A1002="","",IF(OR((IFERROR(INDEX('CAT_ACTIVIDADES'!$D$4:$D$11,MATCH($H1002,'CAT_ACTIVIDADES'!$A$4:$A$11,0)),""))=0,(IFERROR(INDEX('CAT_ACTIVIDADES'!$D$4:$D$11,MATCH($H1002,'CAT_ACTIVIDADES'!$A$4:$A$11,0)),""))=""),"SIN CLASIFICAR",IFERROR(INDEX('CAT_ACTIVIDADES'!$D$4:$D$11,MATCH($H1002,'CAT_ACTIVIDADES'!$A$4:$A$11,0)),"")))</f>
        <v/>
      </c>
      <c r="AO1002" s="4" t="n"/>
      <c r="AP1002" s="4" t="n"/>
      <c r="AQ1002" s="4" t="n"/>
      <c r="AR1002" s="5">
        <f>IF($AQ1002="","",HYPERLINK(p_ruta_base_checklists&amp;$AQ1002,"abrir"))</f>
        <v/>
      </c>
      <c r="AS1002" s="4" t="n"/>
      <c r="AT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2" t="n"/>
      <c r="K1003" s="5" t="n"/>
      <c r="L1003" s="18" t="n"/>
      <c r="M1003" s="5">
        <f>IF($A1003="","",IFERROR(INDEX('AJUSTES'!$B$4:$B$303,MATCH($AT1003,'AJUSTES'!$A$4:$A$303,0)),IF($K1003="","",$K1003)))</f>
        <v/>
      </c>
      <c r="N1003" s="5">
        <f>IF($A1003="","",IFERROR(INDEX('CAT_ESTADOS_ERP'!$B$4:$B$7,MATCH(IFERROR(INDEX('2_IMPORTAR_EJECUCION'!$C$9:$C$1208,MATCH($AT1003,'2_IMPORTAR_EJECUCION'!$J$9:$J$1208,0)),""),'CAT_ESTADOS_ERP'!$A$4:$A$7,0)),"Pendiente"))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IF($J1003="","",$P1003&amp;"-"&amp;TEXT($Q1003,"00"))</f>
        <v/>
      </c>
      <c r="S1003" s="5">
        <f>IF($J1003="","",INDEX(lista_dias,WEEKDAY($J1003,2)))</f>
        <v/>
      </c>
      <c r="T1003" s="5">
        <f>IF($J1003="","",IFERROR(INDEX('CALENDARIO'!$C$15:$C$214,MATCH(TEXT($J1003,"yyyy-mm-dd")&amp;"|"&amp;$X1003&amp;"|"&amp;$Y1003,'CALENDARIO'!$G$15:$G$214,0)),IFERROR(INDEX('CALENDARIO'!$C$15:$C$214,MATCH(TEXT($J1003,"yyyy-mm-dd")&amp;"|"&amp;$X1003&amp;"|",'CALENDARIO'!$G$15:$G$214,0)),IFERROR(INDEX('CALENDARIO'!$C$15:$C$214,MATCH(TEXT($J1003,"yyyy-mm-dd")&amp;"||",'CALENDARIO'!$G$15:$G$214,0)),INDEX(patronHabil,WEEKDAY($J1003,2))))))</f>
        <v/>
      </c>
      <c r="U1003" s="5">
        <f>IF($I1003="","",IFERROR(INDEX('CAT_TIPOS_OT'!$C$4:$C$8,MATCH($I1003,'CAT_TIPOS_OT'!$A$4:$A$8,0)),"sin_clasificar"))</f>
        <v/>
      </c>
      <c r="V1003" s="5">
        <f>IF($I1003="","",IF(IFERROR(INDEX('CAT_TIPOS_OT'!$D$4:$D$8,MATCH($I1003,'CAT_TIPOS_OT'!$A$4:$A$8,0)),"SIN CLASIFICAR")="","SIN CLASIFICAR",IFERROR(INDEX('CAT_TIPOS_OT'!$D$4:$D$8,MATCH($I1003,'CAT_TIPOS_OT'!$A$4:$A$8,0)),"SIN CLASIFICAR")))</f>
        <v/>
      </c>
      <c r="W1003" s="5">
        <f>IF($F1003="","",IFERROR(INDEX('CAT_CENTROS_COSTO'!$F$4:$F$13,MATCH($F1003,'CAT_CENTROS_COSTO'!$A$4:$A$13,0)),"(sin catálogo)"))</f>
        <v/>
      </c>
      <c r="X1003" s="5">
        <f>IF($F1003="","",IFERROR(INDEX('CAT_CENTROS_COSTO'!$D$4:$D$13,MATCH($F1003,'CAT_CENTROS_COSTO'!$A$4:$A$13,0)),"(sin catálogo)"))</f>
        <v/>
      </c>
      <c r="Y1003" s="5">
        <f>IF($F1003="","",IF((IFERROR(INDEX('CAT_CENTROS_COSTO'!$E$4:$E$13,MATCH($F1003,'CAT_CENTROS_COSTO'!$A$4:$A$13,0)),""))&lt;&gt;"",IFERROR(INDEX('CAT_CENTROS_COSTO'!$E$4:$E$13,MATCH($F1003,'CAT_CENTROS_COSTO'!$A$4:$A$13,0)),""),$X1003))</f>
        <v/>
      </c>
      <c r="Z1003" s="5">
        <f>IF($F1003="","",IFERROR(INDEX('CAT_CENTROS_COSTO'!$G$4:$G$13,MATCH($F1003,'CAT_CENTROS_COSTO'!$A$4:$A$13,0)),"(sin catálogo)"))</f>
        <v/>
      </c>
      <c r="AA1003" s="5">
        <f>IF($G1003="","",IFERROR(INDEX('CAT_PUESTOS'!$B$4:$B$8,MATCH($G1003,'CAT_PUESTOS'!$A$4:$A$8,0)),"(sin catálogo)"))</f>
        <v/>
      </c>
      <c r="AB1003" s="5">
        <f>IF($H1003="","",IFERROR(INDEX('CAT_ACTIVIDADES'!$B$4:$B$11,MATCH($H1003,'CAT_ACTIVIDADES'!$A$4:$A$11,0)),"(sin catálogo)"))</f>
        <v/>
      </c>
      <c r="AC1003" s="20">
        <f>IF($J1003="","",TODAY()-$J1003)</f>
        <v/>
      </c>
      <c r="AD1003" s="20">
        <f>IF($J1003="","",IF($J1003&lt;=TODAY(),COUNTIFS(cal_fechas,"&gt;="&amp;$J1003,cal_fechas,"&lt;"&amp;TODAY(),cal_habil,"sí"),-COUNTIFS(cal_fechas,"&gt;="&amp;TODAY(),cal_fechas,"&lt;"&amp;$J1003,cal_habil,"sí")))</f>
        <v/>
      </c>
      <c r="AE1003" s="5">
        <f>IF($AD1003="","",IF($AD1003&lt;0,"FUTURO",IF($AD1003&gt;p_dias_backlog_max,"BACKLOG","MES CORRIENTE")))</f>
        <v/>
      </c>
      <c r="AF1003" s="5">
        <f>IF($AD1003="",FALSE,AND($AD1003&gt;p_dias_backlog_min,$AD1003&lt;=p_dias_backlog_max))</f>
        <v/>
      </c>
      <c r="AG1003" s="4" t="n"/>
      <c r="AH1003" s="5">
        <f>IF($AG1003="","",IF((IFERROR(INDEX('ASIGNACIONES'!$J$4:$J$451,MATCH($O1003&amp;"|"&amp;$S1003&amp;"|"&amp;$AG1003,'ASIGNACIONES'!$N$4:$N$451,0)),""))=0,"",IFERROR(INDEX('ASIGNACIONES'!$J$4:$J$451,MATCH($O1003&amp;"|"&amp;$S1003&amp;"|"&amp;$AG1003,'ASIGNACIONES'!$N$4:$N$451,0)),"")))</f>
        <v/>
      </c>
      <c r="AI1003" s="25">
        <f>IF($AG1003="","",SUMIFS('ORDENES'!$M$4:$M$1203,'ORDENES'!$AG$4:$AG$1203,$AG1003,'ORDENES'!$O$4:$O$1203,$O1003,'ORDENES'!$S$4:$S$1203,$S1003))</f>
        <v/>
      </c>
      <c r="AJ1003" s="25">
        <f>IF($AI1003="","",p_factor_productividad*IFERROR(INDEX('ASIGNACIONES'!$M$4:$M$451,MATCH($O1003&amp;"|"&amp;$S1003&amp;"|"&amp;$AG1003,'ASIGNACIONES'!$N$4:$N$451,0)),0)-$AI1003)</f>
        <v/>
      </c>
      <c r="AK1003" s="18">
        <f>IF($A1003="","",IFERROR(INDEX('2_IMPORTAR_EJECUCION'!$F$9:$F$1208,MATCH($AT1003,'2_IMPORTAR_EJECUCION'!$J$9:$J$1208,0)),0))</f>
        <v/>
      </c>
      <c r="AL1003" s="18">
        <f>IF($A1003="","",MAX(0,IFERROR(INDEX('2_IMPORTAR_EJECUCION'!$H$9:$H$1208,MATCH($AT1003,'2_IMPORTAR_EJECUCION'!$J$9:$J$1208,0)),0)-$AK1003))</f>
        <v/>
      </c>
      <c r="AM1003" s="18">
        <f>IF($A1003="","",$AK1003+$AL1003)</f>
        <v/>
      </c>
      <c r="AN1003" s="5">
        <f>IF($A1003="","",IF(OR((IFERROR(INDEX('CAT_ACTIVIDADES'!$D$4:$D$11,MATCH($H1003,'CAT_ACTIVIDADES'!$A$4:$A$11,0)),""))=0,(IFERROR(INDEX('CAT_ACTIVIDADES'!$D$4:$D$11,MATCH($H1003,'CAT_ACTIVIDADES'!$A$4:$A$11,0)),""))=""),"SIN CLASIFICAR",IFERROR(INDEX('CAT_ACTIVIDADES'!$D$4:$D$11,MATCH($H1003,'CAT_ACTIVIDADES'!$A$4:$A$11,0)),"")))</f>
        <v/>
      </c>
      <c r="AO1003" s="4" t="n"/>
      <c r="AP1003" s="4" t="n"/>
      <c r="AQ1003" s="4" t="n"/>
      <c r="AR1003" s="5">
        <f>IF($AQ1003="","",HYPERLINK(p_ruta_base_checklists&amp;$AQ1003,"abrir"))</f>
        <v/>
      </c>
      <c r="AS1003" s="4" t="n"/>
      <c r="AT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2" t="n"/>
      <c r="K1004" s="5" t="n"/>
      <c r="L1004" s="18" t="n"/>
      <c r="M1004" s="5">
        <f>IF($A1004="","",IFERROR(INDEX('AJUSTES'!$B$4:$B$303,MATCH($AT1004,'AJUSTES'!$A$4:$A$303,0)),IF($K1004="","",$K1004)))</f>
        <v/>
      </c>
      <c r="N1004" s="5">
        <f>IF($A1004="","",IFERROR(INDEX('CAT_ESTADOS_ERP'!$B$4:$B$7,MATCH(IFERROR(INDEX('2_IMPORTAR_EJECUCION'!$C$9:$C$1208,MATCH($AT1004,'2_IMPORTAR_EJECUCION'!$J$9:$J$1208,0)),""),'CAT_ESTADOS_ERP'!$A$4:$A$7,0)),"Pendiente"))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IF($J1004="","",$P1004&amp;"-"&amp;TEXT($Q1004,"00"))</f>
        <v/>
      </c>
      <c r="S1004" s="5">
        <f>IF($J1004="","",INDEX(lista_dias,WEEKDAY($J1004,2)))</f>
        <v/>
      </c>
      <c r="T1004" s="5">
        <f>IF($J1004="","",IFERROR(INDEX('CALENDARIO'!$C$15:$C$214,MATCH(TEXT($J1004,"yyyy-mm-dd")&amp;"|"&amp;$X1004&amp;"|"&amp;$Y1004,'CALENDARIO'!$G$15:$G$214,0)),IFERROR(INDEX('CALENDARIO'!$C$15:$C$214,MATCH(TEXT($J1004,"yyyy-mm-dd")&amp;"|"&amp;$X1004&amp;"|",'CALENDARIO'!$G$15:$G$214,0)),IFERROR(INDEX('CALENDARIO'!$C$15:$C$214,MATCH(TEXT($J1004,"yyyy-mm-dd")&amp;"||",'CALENDARIO'!$G$15:$G$214,0)),INDEX(patronHabil,WEEKDAY($J1004,2))))))</f>
        <v/>
      </c>
      <c r="U1004" s="5">
        <f>IF($I1004="","",IFERROR(INDEX('CAT_TIPOS_OT'!$C$4:$C$8,MATCH($I1004,'CAT_TIPOS_OT'!$A$4:$A$8,0)),"sin_clasificar"))</f>
        <v/>
      </c>
      <c r="V1004" s="5">
        <f>IF($I1004="","",IF(IFERROR(INDEX('CAT_TIPOS_OT'!$D$4:$D$8,MATCH($I1004,'CAT_TIPOS_OT'!$A$4:$A$8,0)),"SIN CLASIFICAR")="","SIN CLASIFICAR",IFERROR(INDEX('CAT_TIPOS_OT'!$D$4:$D$8,MATCH($I1004,'CAT_TIPOS_OT'!$A$4:$A$8,0)),"SIN CLASIFICAR")))</f>
        <v/>
      </c>
      <c r="W1004" s="5">
        <f>IF($F1004="","",IFERROR(INDEX('CAT_CENTROS_COSTO'!$F$4:$F$13,MATCH($F1004,'CAT_CENTROS_COSTO'!$A$4:$A$13,0)),"(sin catálogo)"))</f>
        <v/>
      </c>
      <c r="X1004" s="5">
        <f>IF($F1004="","",IFERROR(INDEX('CAT_CENTROS_COSTO'!$D$4:$D$13,MATCH($F1004,'CAT_CENTROS_COSTO'!$A$4:$A$13,0)),"(sin catálogo)"))</f>
        <v/>
      </c>
      <c r="Y1004" s="5">
        <f>IF($F1004="","",IF((IFERROR(INDEX('CAT_CENTROS_COSTO'!$E$4:$E$13,MATCH($F1004,'CAT_CENTROS_COSTO'!$A$4:$A$13,0)),""))&lt;&gt;"",IFERROR(INDEX('CAT_CENTROS_COSTO'!$E$4:$E$13,MATCH($F1004,'CAT_CENTROS_COSTO'!$A$4:$A$13,0)),""),$X1004))</f>
        <v/>
      </c>
      <c r="Z1004" s="5">
        <f>IF($F1004="","",IFERROR(INDEX('CAT_CENTROS_COSTO'!$G$4:$G$13,MATCH($F1004,'CAT_CENTROS_COSTO'!$A$4:$A$13,0)),"(sin catálogo)"))</f>
        <v/>
      </c>
      <c r="AA1004" s="5">
        <f>IF($G1004="","",IFERROR(INDEX('CAT_PUESTOS'!$B$4:$B$8,MATCH($G1004,'CAT_PUESTOS'!$A$4:$A$8,0)),"(sin catálogo)"))</f>
        <v/>
      </c>
      <c r="AB1004" s="5">
        <f>IF($H1004="","",IFERROR(INDEX('CAT_ACTIVIDADES'!$B$4:$B$11,MATCH($H1004,'CAT_ACTIVIDADES'!$A$4:$A$11,0)),"(sin catálogo)"))</f>
        <v/>
      </c>
      <c r="AC1004" s="20">
        <f>IF($J1004="","",TODAY()-$J1004)</f>
        <v/>
      </c>
      <c r="AD1004" s="20">
        <f>IF($J1004="","",IF($J1004&lt;=TODAY(),COUNTIFS(cal_fechas,"&gt;="&amp;$J1004,cal_fechas,"&lt;"&amp;TODAY(),cal_habil,"sí"),-COUNTIFS(cal_fechas,"&gt;="&amp;TODAY(),cal_fechas,"&lt;"&amp;$J1004,cal_habil,"sí")))</f>
        <v/>
      </c>
      <c r="AE1004" s="5">
        <f>IF($AD1004="","",IF($AD1004&lt;0,"FUTURO",IF($AD1004&gt;p_dias_backlog_max,"BACKLOG","MES CORRIENTE")))</f>
        <v/>
      </c>
      <c r="AF1004" s="5">
        <f>IF($AD1004="",FALSE,AND($AD1004&gt;p_dias_backlog_min,$AD1004&lt;=p_dias_backlog_max))</f>
        <v/>
      </c>
      <c r="AG1004" s="4" t="n"/>
      <c r="AH1004" s="5">
        <f>IF($AG1004="","",IF((IFERROR(INDEX('ASIGNACIONES'!$J$4:$J$451,MATCH($O1004&amp;"|"&amp;$S1004&amp;"|"&amp;$AG1004,'ASIGNACIONES'!$N$4:$N$451,0)),""))=0,"",IFERROR(INDEX('ASIGNACIONES'!$J$4:$J$451,MATCH($O1004&amp;"|"&amp;$S1004&amp;"|"&amp;$AG1004,'ASIGNACIONES'!$N$4:$N$451,0)),"")))</f>
        <v/>
      </c>
      <c r="AI1004" s="25">
        <f>IF($AG1004="","",SUMIFS('ORDENES'!$M$4:$M$1203,'ORDENES'!$AG$4:$AG$1203,$AG1004,'ORDENES'!$O$4:$O$1203,$O1004,'ORDENES'!$S$4:$S$1203,$S1004))</f>
        <v/>
      </c>
      <c r="AJ1004" s="25">
        <f>IF($AI1004="","",p_factor_productividad*IFERROR(INDEX('ASIGNACIONES'!$M$4:$M$451,MATCH($O1004&amp;"|"&amp;$S1004&amp;"|"&amp;$AG1004,'ASIGNACIONES'!$N$4:$N$451,0)),0)-$AI1004)</f>
        <v/>
      </c>
      <c r="AK1004" s="18">
        <f>IF($A1004="","",IFERROR(INDEX('2_IMPORTAR_EJECUCION'!$F$9:$F$1208,MATCH($AT1004,'2_IMPORTAR_EJECUCION'!$J$9:$J$1208,0)),0))</f>
        <v/>
      </c>
      <c r="AL1004" s="18">
        <f>IF($A1004="","",MAX(0,IFERROR(INDEX('2_IMPORTAR_EJECUCION'!$H$9:$H$1208,MATCH($AT1004,'2_IMPORTAR_EJECUCION'!$J$9:$J$1208,0)),0)-$AK1004))</f>
        <v/>
      </c>
      <c r="AM1004" s="18">
        <f>IF($A1004="","",$AK1004+$AL1004)</f>
        <v/>
      </c>
      <c r="AN1004" s="5">
        <f>IF($A1004="","",IF(OR((IFERROR(INDEX('CAT_ACTIVIDADES'!$D$4:$D$11,MATCH($H1004,'CAT_ACTIVIDADES'!$A$4:$A$11,0)),""))=0,(IFERROR(INDEX('CAT_ACTIVIDADES'!$D$4:$D$11,MATCH($H1004,'CAT_ACTIVIDADES'!$A$4:$A$11,0)),""))=""),"SIN CLASIFICAR",IFERROR(INDEX('CAT_ACTIVIDADES'!$D$4:$D$11,MATCH($H1004,'CAT_ACTIVIDADES'!$A$4:$A$11,0)),"")))</f>
        <v/>
      </c>
      <c r="AO1004" s="4" t="n"/>
      <c r="AP1004" s="4" t="n"/>
      <c r="AQ1004" s="4" t="n"/>
      <c r="AR1004" s="5">
        <f>IF($AQ1004="","",HYPERLINK(p_ruta_base_checklists&amp;$AQ1004,"abrir"))</f>
        <v/>
      </c>
      <c r="AS1004" s="4" t="n"/>
      <c r="AT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2" t="n"/>
      <c r="K1005" s="5" t="n"/>
      <c r="L1005" s="18" t="n"/>
      <c r="M1005" s="5">
        <f>IF($A1005="","",IFERROR(INDEX('AJUSTES'!$B$4:$B$303,MATCH($AT1005,'AJUSTES'!$A$4:$A$303,0)),IF($K1005="","",$K1005)))</f>
        <v/>
      </c>
      <c r="N1005" s="5">
        <f>IF($A1005="","",IFERROR(INDEX('CAT_ESTADOS_ERP'!$B$4:$B$7,MATCH(IFERROR(INDEX('2_IMPORTAR_EJECUCION'!$C$9:$C$1208,MATCH($AT1005,'2_IMPORTAR_EJECUCION'!$J$9:$J$1208,0)),""),'CAT_ESTADOS_ERP'!$A$4:$A$7,0)),"Pendiente"))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IF($J1005="","",$P1005&amp;"-"&amp;TEXT($Q1005,"00"))</f>
        <v/>
      </c>
      <c r="S1005" s="5">
        <f>IF($J1005="","",INDEX(lista_dias,WEEKDAY($J1005,2)))</f>
        <v/>
      </c>
      <c r="T1005" s="5">
        <f>IF($J1005="","",IFERROR(INDEX('CALENDARIO'!$C$15:$C$214,MATCH(TEXT($J1005,"yyyy-mm-dd")&amp;"|"&amp;$X1005&amp;"|"&amp;$Y1005,'CALENDARIO'!$G$15:$G$214,0)),IFERROR(INDEX('CALENDARIO'!$C$15:$C$214,MATCH(TEXT($J1005,"yyyy-mm-dd")&amp;"|"&amp;$X1005&amp;"|",'CALENDARIO'!$G$15:$G$214,0)),IFERROR(INDEX('CALENDARIO'!$C$15:$C$214,MATCH(TEXT($J1005,"yyyy-mm-dd")&amp;"||",'CALENDARIO'!$G$15:$G$214,0)),INDEX(patronHabil,WEEKDAY($J1005,2))))))</f>
        <v/>
      </c>
      <c r="U1005" s="5">
        <f>IF($I1005="","",IFERROR(INDEX('CAT_TIPOS_OT'!$C$4:$C$8,MATCH($I1005,'CAT_TIPOS_OT'!$A$4:$A$8,0)),"sin_clasificar"))</f>
        <v/>
      </c>
      <c r="V1005" s="5">
        <f>IF($I1005="","",IF(IFERROR(INDEX('CAT_TIPOS_OT'!$D$4:$D$8,MATCH($I1005,'CAT_TIPOS_OT'!$A$4:$A$8,0)),"SIN CLASIFICAR")="","SIN CLASIFICAR",IFERROR(INDEX('CAT_TIPOS_OT'!$D$4:$D$8,MATCH($I1005,'CAT_TIPOS_OT'!$A$4:$A$8,0)),"SIN CLASIFICAR")))</f>
        <v/>
      </c>
      <c r="W1005" s="5">
        <f>IF($F1005="","",IFERROR(INDEX('CAT_CENTROS_COSTO'!$F$4:$F$13,MATCH($F1005,'CAT_CENTROS_COSTO'!$A$4:$A$13,0)),"(sin catálogo)"))</f>
        <v/>
      </c>
      <c r="X1005" s="5">
        <f>IF($F1005="","",IFERROR(INDEX('CAT_CENTROS_COSTO'!$D$4:$D$13,MATCH($F1005,'CAT_CENTROS_COSTO'!$A$4:$A$13,0)),"(sin catálogo)"))</f>
        <v/>
      </c>
      <c r="Y1005" s="5">
        <f>IF($F1005="","",IF((IFERROR(INDEX('CAT_CENTROS_COSTO'!$E$4:$E$13,MATCH($F1005,'CAT_CENTROS_COSTO'!$A$4:$A$13,0)),""))&lt;&gt;"",IFERROR(INDEX('CAT_CENTROS_COSTO'!$E$4:$E$13,MATCH($F1005,'CAT_CENTROS_COSTO'!$A$4:$A$13,0)),""),$X1005))</f>
        <v/>
      </c>
      <c r="Z1005" s="5">
        <f>IF($F1005="","",IFERROR(INDEX('CAT_CENTROS_COSTO'!$G$4:$G$13,MATCH($F1005,'CAT_CENTROS_COSTO'!$A$4:$A$13,0)),"(sin catálogo)"))</f>
        <v/>
      </c>
      <c r="AA1005" s="5">
        <f>IF($G1005="","",IFERROR(INDEX('CAT_PUESTOS'!$B$4:$B$8,MATCH($G1005,'CAT_PUESTOS'!$A$4:$A$8,0)),"(sin catálogo)"))</f>
        <v/>
      </c>
      <c r="AB1005" s="5">
        <f>IF($H1005="","",IFERROR(INDEX('CAT_ACTIVIDADES'!$B$4:$B$11,MATCH($H1005,'CAT_ACTIVIDADES'!$A$4:$A$11,0)),"(sin catálogo)"))</f>
        <v/>
      </c>
      <c r="AC1005" s="20">
        <f>IF($J1005="","",TODAY()-$J1005)</f>
        <v/>
      </c>
      <c r="AD1005" s="20">
        <f>IF($J1005="","",IF($J1005&lt;=TODAY(),COUNTIFS(cal_fechas,"&gt;="&amp;$J1005,cal_fechas,"&lt;"&amp;TODAY(),cal_habil,"sí"),-COUNTIFS(cal_fechas,"&gt;="&amp;TODAY(),cal_fechas,"&lt;"&amp;$J1005,cal_habil,"sí")))</f>
        <v/>
      </c>
      <c r="AE1005" s="5">
        <f>IF($AD1005="","",IF($AD1005&lt;0,"FUTURO",IF($AD1005&gt;p_dias_backlog_max,"BACKLOG","MES CORRIENTE")))</f>
        <v/>
      </c>
      <c r="AF1005" s="5">
        <f>IF($AD1005="",FALSE,AND($AD1005&gt;p_dias_backlog_min,$AD1005&lt;=p_dias_backlog_max))</f>
        <v/>
      </c>
      <c r="AG1005" s="4" t="n"/>
      <c r="AH1005" s="5">
        <f>IF($AG1005="","",IF((IFERROR(INDEX('ASIGNACIONES'!$J$4:$J$451,MATCH($O1005&amp;"|"&amp;$S1005&amp;"|"&amp;$AG1005,'ASIGNACIONES'!$N$4:$N$451,0)),""))=0,"",IFERROR(INDEX('ASIGNACIONES'!$J$4:$J$451,MATCH($O1005&amp;"|"&amp;$S1005&amp;"|"&amp;$AG1005,'ASIGNACIONES'!$N$4:$N$451,0)),"")))</f>
        <v/>
      </c>
      <c r="AI1005" s="25">
        <f>IF($AG1005="","",SUMIFS('ORDENES'!$M$4:$M$1203,'ORDENES'!$AG$4:$AG$1203,$AG1005,'ORDENES'!$O$4:$O$1203,$O1005,'ORDENES'!$S$4:$S$1203,$S1005))</f>
        <v/>
      </c>
      <c r="AJ1005" s="25">
        <f>IF($AI1005="","",p_factor_productividad*IFERROR(INDEX('ASIGNACIONES'!$M$4:$M$451,MATCH($O1005&amp;"|"&amp;$S1005&amp;"|"&amp;$AG1005,'ASIGNACIONES'!$N$4:$N$451,0)),0)-$AI1005)</f>
        <v/>
      </c>
      <c r="AK1005" s="18">
        <f>IF($A1005="","",IFERROR(INDEX('2_IMPORTAR_EJECUCION'!$F$9:$F$1208,MATCH($AT1005,'2_IMPORTAR_EJECUCION'!$J$9:$J$1208,0)),0))</f>
        <v/>
      </c>
      <c r="AL1005" s="18">
        <f>IF($A1005="","",MAX(0,IFERROR(INDEX('2_IMPORTAR_EJECUCION'!$H$9:$H$1208,MATCH($AT1005,'2_IMPORTAR_EJECUCION'!$J$9:$J$1208,0)),0)-$AK1005))</f>
        <v/>
      </c>
      <c r="AM1005" s="18">
        <f>IF($A1005="","",$AK1005+$AL1005)</f>
        <v/>
      </c>
      <c r="AN1005" s="5">
        <f>IF($A1005="","",IF(OR((IFERROR(INDEX('CAT_ACTIVIDADES'!$D$4:$D$11,MATCH($H1005,'CAT_ACTIVIDADES'!$A$4:$A$11,0)),""))=0,(IFERROR(INDEX('CAT_ACTIVIDADES'!$D$4:$D$11,MATCH($H1005,'CAT_ACTIVIDADES'!$A$4:$A$11,0)),""))=""),"SIN CLASIFICAR",IFERROR(INDEX('CAT_ACTIVIDADES'!$D$4:$D$11,MATCH($H1005,'CAT_ACTIVIDADES'!$A$4:$A$11,0)),"")))</f>
        <v/>
      </c>
      <c r="AO1005" s="4" t="n"/>
      <c r="AP1005" s="4" t="n"/>
      <c r="AQ1005" s="4" t="n"/>
      <c r="AR1005" s="5">
        <f>IF($AQ1005="","",HYPERLINK(p_ruta_base_checklists&amp;$AQ1005,"abrir"))</f>
        <v/>
      </c>
      <c r="AS1005" s="4" t="n"/>
      <c r="AT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2" t="n"/>
      <c r="K1006" s="5" t="n"/>
      <c r="L1006" s="18" t="n"/>
      <c r="M1006" s="5">
        <f>IF($A1006="","",IFERROR(INDEX('AJUSTES'!$B$4:$B$303,MATCH($AT1006,'AJUSTES'!$A$4:$A$303,0)),IF($K1006="","",$K1006)))</f>
        <v/>
      </c>
      <c r="N1006" s="5">
        <f>IF($A1006="","",IFERROR(INDEX('CAT_ESTADOS_ERP'!$B$4:$B$7,MATCH(IFERROR(INDEX('2_IMPORTAR_EJECUCION'!$C$9:$C$1208,MATCH($AT1006,'2_IMPORTAR_EJECUCION'!$J$9:$J$1208,0)),""),'CAT_ESTADOS_ERP'!$A$4:$A$7,0)),"Pendiente"))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IF($J1006="","",$P1006&amp;"-"&amp;TEXT($Q1006,"00"))</f>
        <v/>
      </c>
      <c r="S1006" s="5">
        <f>IF($J1006="","",INDEX(lista_dias,WEEKDAY($J1006,2)))</f>
        <v/>
      </c>
      <c r="T1006" s="5">
        <f>IF($J1006="","",IFERROR(INDEX('CALENDARIO'!$C$15:$C$214,MATCH(TEXT($J1006,"yyyy-mm-dd")&amp;"|"&amp;$X1006&amp;"|"&amp;$Y1006,'CALENDARIO'!$G$15:$G$214,0)),IFERROR(INDEX('CALENDARIO'!$C$15:$C$214,MATCH(TEXT($J1006,"yyyy-mm-dd")&amp;"|"&amp;$X1006&amp;"|",'CALENDARIO'!$G$15:$G$214,0)),IFERROR(INDEX('CALENDARIO'!$C$15:$C$214,MATCH(TEXT($J1006,"yyyy-mm-dd")&amp;"||",'CALENDARIO'!$G$15:$G$214,0)),INDEX(patronHabil,WEEKDAY($J1006,2))))))</f>
        <v/>
      </c>
      <c r="U1006" s="5">
        <f>IF($I1006="","",IFERROR(INDEX('CAT_TIPOS_OT'!$C$4:$C$8,MATCH($I1006,'CAT_TIPOS_OT'!$A$4:$A$8,0)),"sin_clasificar"))</f>
        <v/>
      </c>
      <c r="V1006" s="5">
        <f>IF($I1006="","",IF(IFERROR(INDEX('CAT_TIPOS_OT'!$D$4:$D$8,MATCH($I1006,'CAT_TIPOS_OT'!$A$4:$A$8,0)),"SIN CLASIFICAR")="","SIN CLASIFICAR",IFERROR(INDEX('CAT_TIPOS_OT'!$D$4:$D$8,MATCH($I1006,'CAT_TIPOS_OT'!$A$4:$A$8,0)),"SIN CLASIFICAR")))</f>
        <v/>
      </c>
      <c r="W1006" s="5">
        <f>IF($F1006="","",IFERROR(INDEX('CAT_CENTROS_COSTO'!$F$4:$F$13,MATCH($F1006,'CAT_CENTROS_COSTO'!$A$4:$A$13,0)),"(sin catálogo)"))</f>
        <v/>
      </c>
      <c r="X1006" s="5">
        <f>IF($F1006="","",IFERROR(INDEX('CAT_CENTROS_COSTO'!$D$4:$D$13,MATCH($F1006,'CAT_CENTROS_COSTO'!$A$4:$A$13,0)),"(sin catálogo)"))</f>
        <v/>
      </c>
      <c r="Y1006" s="5">
        <f>IF($F1006="","",IF((IFERROR(INDEX('CAT_CENTROS_COSTO'!$E$4:$E$13,MATCH($F1006,'CAT_CENTROS_COSTO'!$A$4:$A$13,0)),""))&lt;&gt;"",IFERROR(INDEX('CAT_CENTROS_COSTO'!$E$4:$E$13,MATCH($F1006,'CAT_CENTROS_COSTO'!$A$4:$A$13,0)),""),$X1006))</f>
        <v/>
      </c>
      <c r="Z1006" s="5">
        <f>IF($F1006="","",IFERROR(INDEX('CAT_CENTROS_COSTO'!$G$4:$G$13,MATCH($F1006,'CAT_CENTROS_COSTO'!$A$4:$A$13,0)),"(sin catálogo)"))</f>
        <v/>
      </c>
      <c r="AA1006" s="5">
        <f>IF($G1006="","",IFERROR(INDEX('CAT_PUESTOS'!$B$4:$B$8,MATCH($G1006,'CAT_PUESTOS'!$A$4:$A$8,0)),"(sin catálogo)"))</f>
        <v/>
      </c>
      <c r="AB1006" s="5">
        <f>IF($H1006="","",IFERROR(INDEX('CAT_ACTIVIDADES'!$B$4:$B$11,MATCH($H1006,'CAT_ACTIVIDADES'!$A$4:$A$11,0)),"(sin catálogo)"))</f>
        <v/>
      </c>
      <c r="AC1006" s="20">
        <f>IF($J1006="","",TODAY()-$J1006)</f>
        <v/>
      </c>
      <c r="AD1006" s="20">
        <f>IF($J1006="","",IF($J1006&lt;=TODAY(),COUNTIFS(cal_fechas,"&gt;="&amp;$J1006,cal_fechas,"&lt;"&amp;TODAY(),cal_habil,"sí"),-COUNTIFS(cal_fechas,"&gt;="&amp;TODAY(),cal_fechas,"&lt;"&amp;$J1006,cal_habil,"sí")))</f>
        <v/>
      </c>
      <c r="AE1006" s="5">
        <f>IF($AD1006="","",IF($AD1006&lt;0,"FUTURO",IF($AD1006&gt;p_dias_backlog_max,"BACKLOG","MES CORRIENTE")))</f>
        <v/>
      </c>
      <c r="AF1006" s="5">
        <f>IF($AD1006="",FALSE,AND($AD1006&gt;p_dias_backlog_min,$AD1006&lt;=p_dias_backlog_max))</f>
        <v/>
      </c>
      <c r="AG1006" s="4" t="n"/>
      <c r="AH1006" s="5">
        <f>IF($AG1006="","",IF((IFERROR(INDEX('ASIGNACIONES'!$J$4:$J$451,MATCH($O1006&amp;"|"&amp;$S1006&amp;"|"&amp;$AG1006,'ASIGNACIONES'!$N$4:$N$451,0)),""))=0,"",IFERROR(INDEX('ASIGNACIONES'!$J$4:$J$451,MATCH($O1006&amp;"|"&amp;$S1006&amp;"|"&amp;$AG1006,'ASIGNACIONES'!$N$4:$N$451,0)),"")))</f>
        <v/>
      </c>
      <c r="AI1006" s="25">
        <f>IF($AG1006="","",SUMIFS('ORDENES'!$M$4:$M$1203,'ORDENES'!$AG$4:$AG$1203,$AG1006,'ORDENES'!$O$4:$O$1203,$O1006,'ORDENES'!$S$4:$S$1203,$S1006))</f>
        <v/>
      </c>
      <c r="AJ1006" s="25">
        <f>IF($AI1006="","",p_factor_productividad*IFERROR(INDEX('ASIGNACIONES'!$M$4:$M$451,MATCH($O1006&amp;"|"&amp;$S1006&amp;"|"&amp;$AG1006,'ASIGNACIONES'!$N$4:$N$451,0)),0)-$AI1006)</f>
        <v/>
      </c>
      <c r="AK1006" s="18">
        <f>IF($A1006="","",IFERROR(INDEX('2_IMPORTAR_EJECUCION'!$F$9:$F$1208,MATCH($AT1006,'2_IMPORTAR_EJECUCION'!$J$9:$J$1208,0)),0))</f>
        <v/>
      </c>
      <c r="AL1006" s="18">
        <f>IF($A1006="","",MAX(0,IFERROR(INDEX('2_IMPORTAR_EJECUCION'!$H$9:$H$1208,MATCH($AT1006,'2_IMPORTAR_EJECUCION'!$J$9:$J$1208,0)),0)-$AK1006))</f>
        <v/>
      </c>
      <c r="AM1006" s="18">
        <f>IF($A1006="","",$AK1006+$AL1006)</f>
        <v/>
      </c>
      <c r="AN1006" s="5">
        <f>IF($A1006="","",IF(OR((IFERROR(INDEX('CAT_ACTIVIDADES'!$D$4:$D$11,MATCH($H1006,'CAT_ACTIVIDADES'!$A$4:$A$11,0)),""))=0,(IFERROR(INDEX('CAT_ACTIVIDADES'!$D$4:$D$11,MATCH($H1006,'CAT_ACTIVIDADES'!$A$4:$A$11,0)),""))=""),"SIN CLASIFICAR",IFERROR(INDEX('CAT_ACTIVIDADES'!$D$4:$D$11,MATCH($H1006,'CAT_ACTIVIDADES'!$A$4:$A$11,0)),"")))</f>
        <v/>
      </c>
      <c r="AO1006" s="4" t="n"/>
      <c r="AP1006" s="4" t="n"/>
      <c r="AQ1006" s="4" t="n"/>
      <c r="AR1006" s="5">
        <f>IF($AQ1006="","",HYPERLINK(p_ruta_base_checklists&amp;$AQ1006,"abrir"))</f>
        <v/>
      </c>
      <c r="AS1006" s="4" t="n"/>
      <c r="AT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2" t="n"/>
      <c r="K1007" s="5" t="n"/>
      <c r="L1007" s="18" t="n"/>
      <c r="M1007" s="5">
        <f>IF($A1007="","",IFERROR(INDEX('AJUSTES'!$B$4:$B$303,MATCH($AT1007,'AJUSTES'!$A$4:$A$303,0)),IF($K1007="","",$K1007)))</f>
        <v/>
      </c>
      <c r="N1007" s="5">
        <f>IF($A1007="","",IFERROR(INDEX('CAT_ESTADOS_ERP'!$B$4:$B$7,MATCH(IFERROR(INDEX('2_IMPORTAR_EJECUCION'!$C$9:$C$1208,MATCH($AT1007,'2_IMPORTAR_EJECUCION'!$J$9:$J$1208,0)),""),'CAT_ESTADOS_ERP'!$A$4:$A$7,0)),"Pendiente"))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IF($J1007="","",$P1007&amp;"-"&amp;TEXT($Q1007,"00"))</f>
        <v/>
      </c>
      <c r="S1007" s="5">
        <f>IF($J1007="","",INDEX(lista_dias,WEEKDAY($J1007,2)))</f>
        <v/>
      </c>
      <c r="T1007" s="5">
        <f>IF($J1007="","",IFERROR(INDEX('CALENDARIO'!$C$15:$C$214,MATCH(TEXT($J1007,"yyyy-mm-dd")&amp;"|"&amp;$X1007&amp;"|"&amp;$Y1007,'CALENDARIO'!$G$15:$G$214,0)),IFERROR(INDEX('CALENDARIO'!$C$15:$C$214,MATCH(TEXT($J1007,"yyyy-mm-dd")&amp;"|"&amp;$X1007&amp;"|",'CALENDARIO'!$G$15:$G$214,0)),IFERROR(INDEX('CALENDARIO'!$C$15:$C$214,MATCH(TEXT($J1007,"yyyy-mm-dd")&amp;"||",'CALENDARIO'!$G$15:$G$214,0)),INDEX(patronHabil,WEEKDAY($J1007,2))))))</f>
        <v/>
      </c>
      <c r="U1007" s="5">
        <f>IF($I1007="","",IFERROR(INDEX('CAT_TIPOS_OT'!$C$4:$C$8,MATCH($I1007,'CAT_TIPOS_OT'!$A$4:$A$8,0)),"sin_clasificar"))</f>
        <v/>
      </c>
      <c r="V1007" s="5">
        <f>IF($I1007="","",IF(IFERROR(INDEX('CAT_TIPOS_OT'!$D$4:$D$8,MATCH($I1007,'CAT_TIPOS_OT'!$A$4:$A$8,0)),"SIN CLASIFICAR")="","SIN CLASIFICAR",IFERROR(INDEX('CAT_TIPOS_OT'!$D$4:$D$8,MATCH($I1007,'CAT_TIPOS_OT'!$A$4:$A$8,0)),"SIN CLASIFICAR")))</f>
        <v/>
      </c>
      <c r="W1007" s="5">
        <f>IF($F1007="","",IFERROR(INDEX('CAT_CENTROS_COSTO'!$F$4:$F$13,MATCH($F1007,'CAT_CENTROS_COSTO'!$A$4:$A$13,0)),"(sin catálogo)"))</f>
        <v/>
      </c>
      <c r="X1007" s="5">
        <f>IF($F1007="","",IFERROR(INDEX('CAT_CENTROS_COSTO'!$D$4:$D$13,MATCH($F1007,'CAT_CENTROS_COSTO'!$A$4:$A$13,0)),"(sin catálogo)"))</f>
        <v/>
      </c>
      <c r="Y1007" s="5">
        <f>IF($F1007="","",IF((IFERROR(INDEX('CAT_CENTROS_COSTO'!$E$4:$E$13,MATCH($F1007,'CAT_CENTROS_COSTO'!$A$4:$A$13,0)),""))&lt;&gt;"",IFERROR(INDEX('CAT_CENTROS_COSTO'!$E$4:$E$13,MATCH($F1007,'CAT_CENTROS_COSTO'!$A$4:$A$13,0)),""),$X1007))</f>
        <v/>
      </c>
      <c r="Z1007" s="5">
        <f>IF($F1007="","",IFERROR(INDEX('CAT_CENTROS_COSTO'!$G$4:$G$13,MATCH($F1007,'CAT_CENTROS_COSTO'!$A$4:$A$13,0)),"(sin catálogo)"))</f>
        <v/>
      </c>
      <c r="AA1007" s="5">
        <f>IF($G1007="","",IFERROR(INDEX('CAT_PUESTOS'!$B$4:$B$8,MATCH($G1007,'CAT_PUESTOS'!$A$4:$A$8,0)),"(sin catálogo)"))</f>
        <v/>
      </c>
      <c r="AB1007" s="5">
        <f>IF($H1007="","",IFERROR(INDEX('CAT_ACTIVIDADES'!$B$4:$B$11,MATCH($H1007,'CAT_ACTIVIDADES'!$A$4:$A$11,0)),"(sin catálogo)"))</f>
        <v/>
      </c>
      <c r="AC1007" s="20">
        <f>IF($J1007="","",TODAY()-$J1007)</f>
        <v/>
      </c>
      <c r="AD1007" s="20">
        <f>IF($J1007="","",IF($J1007&lt;=TODAY(),COUNTIFS(cal_fechas,"&gt;="&amp;$J1007,cal_fechas,"&lt;"&amp;TODAY(),cal_habil,"sí"),-COUNTIFS(cal_fechas,"&gt;="&amp;TODAY(),cal_fechas,"&lt;"&amp;$J1007,cal_habil,"sí")))</f>
        <v/>
      </c>
      <c r="AE1007" s="5">
        <f>IF($AD1007="","",IF($AD1007&lt;0,"FUTURO",IF($AD1007&gt;p_dias_backlog_max,"BACKLOG","MES CORRIENTE")))</f>
        <v/>
      </c>
      <c r="AF1007" s="5">
        <f>IF($AD1007="",FALSE,AND($AD1007&gt;p_dias_backlog_min,$AD1007&lt;=p_dias_backlog_max))</f>
        <v/>
      </c>
      <c r="AG1007" s="4" t="n"/>
      <c r="AH1007" s="5">
        <f>IF($AG1007="","",IF((IFERROR(INDEX('ASIGNACIONES'!$J$4:$J$451,MATCH($O1007&amp;"|"&amp;$S1007&amp;"|"&amp;$AG1007,'ASIGNACIONES'!$N$4:$N$451,0)),""))=0,"",IFERROR(INDEX('ASIGNACIONES'!$J$4:$J$451,MATCH($O1007&amp;"|"&amp;$S1007&amp;"|"&amp;$AG1007,'ASIGNACIONES'!$N$4:$N$451,0)),"")))</f>
        <v/>
      </c>
      <c r="AI1007" s="25">
        <f>IF($AG1007="","",SUMIFS('ORDENES'!$M$4:$M$1203,'ORDENES'!$AG$4:$AG$1203,$AG1007,'ORDENES'!$O$4:$O$1203,$O1007,'ORDENES'!$S$4:$S$1203,$S1007))</f>
        <v/>
      </c>
      <c r="AJ1007" s="25">
        <f>IF($AI1007="","",p_factor_productividad*IFERROR(INDEX('ASIGNACIONES'!$M$4:$M$451,MATCH($O1007&amp;"|"&amp;$S1007&amp;"|"&amp;$AG1007,'ASIGNACIONES'!$N$4:$N$451,0)),0)-$AI1007)</f>
        <v/>
      </c>
      <c r="AK1007" s="18">
        <f>IF($A1007="","",IFERROR(INDEX('2_IMPORTAR_EJECUCION'!$F$9:$F$1208,MATCH($AT1007,'2_IMPORTAR_EJECUCION'!$J$9:$J$1208,0)),0))</f>
        <v/>
      </c>
      <c r="AL1007" s="18">
        <f>IF($A1007="","",MAX(0,IFERROR(INDEX('2_IMPORTAR_EJECUCION'!$H$9:$H$1208,MATCH($AT1007,'2_IMPORTAR_EJECUCION'!$J$9:$J$1208,0)),0)-$AK1007))</f>
        <v/>
      </c>
      <c r="AM1007" s="18">
        <f>IF($A1007="","",$AK1007+$AL1007)</f>
        <v/>
      </c>
      <c r="AN1007" s="5">
        <f>IF($A1007="","",IF(OR((IFERROR(INDEX('CAT_ACTIVIDADES'!$D$4:$D$11,MATCH($H1007,'CAT_ACTIVIDADES'!$A$4:$A$11,0)),""))=0,(IFERROR(INDEX('CAT_ACTIVIDADES'!$D$4:$D$11,MATCH($H1007,'CAT_ACTIVIDADES'!$A$4:$A$11,0)),""))=""),"SIN CLASIFICAR",IFERROR(INDEX('CAT_ACTIVIDADES'!$D$4:$D$11,MATCH($H1007,'CAT_ACTIVIDADES'!$A$4:$A$11,0)),"")))</f>
        <v/>
      </c>
      <c r="AO1007" s="4" t="n"/>
      <c r="AP1007" s="4" t="n"/>
      <c r="AQ1007" s="4" t="n"/>
      <c r="AR1007" s="5">
        <f>IF($AQ1007="","",HYPERLINK(p_ruta_base_checklists&amp;$AQ1007,"abrir"))</f>
        <v/>
      </c>
      <c r="AS1007" s="4" t="n"/>
      <c r="AT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2" t="n"/>
      <c r="K1008" s="5" t="n"/>
      <c r="L1008" s="18" t="n"/>
      <c r="M1008" s="5">
        <f>IF($A1008="","",IFERROR(INDEX('AJUSTES'!$B$4:$B$303,MATCH($AT1008,'AJUSTES'!$A$4:$A$303,0)),IF($K1008="","",$K1008)))</f>
        <v/>
      </c>
      <c r="N1008" s="5">
        <f>IF($A1008="","",IFERROR(INDEX('CAT_ESTADOS_ERP'!$B$4:$B$7,MATCH(IFERROR(INDEX('2_IMPORTAR_EJECUCION'!$C$9:$C$1208,MATCH($AT1008,'2_IMPORTAR_EJECUCION'!$J$9:$J$1208,0)),""),'CAT_ESTADOS_ERP'!$A$4:$A$7,0)),"Pendiente"))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IF($J1008="","",$P1008&amp;"-"&amp;TEXT($Q1008,"00"))</f>
        <v/>
      </c>
      <c r="S1008" s="5">
        <f>IF($J1008="","",INDEX(lista_dias,WEEKDAY($J1008,2)))</f>
        <v/>
      </c>
      <c r="T1008" s="5">
        <f>IF($J1008="","",IFERROR(INDEX('CALENDARIO'!$C$15:$C$214,MATCH(TEXT($J1008,"yyyy-mm-dd")&amp;"|"&amp;$X1008&amp;"|"&amp;$Y1008,'CALENDARIO'!$G$15:$G$214,0)),IFERROR(INDEX('CALENDARIO'!$C$15:$C$214,MATCH(TEXT($J1008,"yyyy-mm-dd")&amp;"|"&amp;$X1008&amp;"|",'CALENDARIO'!$G$15:$G$214,0)),IFERROR(INDEX('CALENDARIO'!$C$15:$C$214,MATCH(TEXT($J1008,"yyyy-mm-dd")&amp;"||",'CALENDARIO'!$G$15:$G$214,0)),INDEX(patronHabil,WEEKDAY($J1008,2))))))</f>
        <v/>
      </c>
      <c r="U1008" s="5">
        <f>IF($I1008="","",IFERROR(INDEX('CAT_TIPOS_OT'!$C$4:$C$8,MATCH($I1008,'CAT_TIPOS_OT'!$A$4:$A$8,0)),"sin_clasificar"))</f>
        <v/>
      </c>
      <c r="V1008" s="5">
        <f>IF($I1008="","",IF(IFERROR(INDEX('CAT_TIPOS_OT'!$D$4:$D$8,MATCH($I1008,'CAT_TIPOS_OT'!$A$4:$A$8,0)),"SIN CLASIFICAR")="","SIN CLASIFICAR",IFERROR(INDEX('CAT_TIPOS_OT'!$D$4:$D$8,MATCH($I1008,'CAT_TIPOS_OT'!$A$4:$A$8,0)),"SIN CLASIFICAR")))</f>
        <v/>
      </c>
      <c r="W1008" s="5">
        <f>IF($F1008="","",IFERROR(INDEX('CAT_CENTROS_COSTO'!$F$4:$F$13,MATCH($F1008,'CAT_CENTROS_COSTO'!$A$4:$A$13,0)),"(sin catálogo)"))</f>
        <v/>
      </c>
      <c r="X1008" s="5">
        <f>IF($F1008="","",IFERROR(INDEX('CAT_CENTROS_COSTO'!$D$4:$D$13,MATCH($F1008,'CAT_CENTROS_COSTO'!$A$4:$A$13,0)),"(sin catálogo)"))</f>
        <v/>
      </c>
      <c r="Y1008" s="5">
        <f>IF($F1008="","",IF((IFERROR(INDEX('CAT_CENTROS_COSTO'!$E$4:$E$13,MATCH($F1008,'CAT_CENTROS_COSTO'!$A$4:$A$13,0)),""))&lt;&gt;"",IFERROR(INDEX('CAT_CENTROS_COSTO'!$E$4:$E$13,MATCH($F1008,'CAT_CENTROS_COSTO'!$A$4:$A$13,0)),""),$X1008))</f>
        <v/>
      </c>
      <c r="Z1008" s="5">
        <f>IF($F1008="","",IFERROR(INDEX('CAT_CENTROS_COSTO'!$G$4:$G$13,MATCH($F1008,'CAT_CENTROS_COSTO'!$A$4:$A$13,0)),"(sin catálogo)"))</f>
        <v/>
      </c>
      <c r="AA1008" s="5">
        <f>IF($G1008="","",IFERROR(INDEX('CAT_PUESTOS'!$B$4:$B$8,MATCH($G1008,'CAT_PUESTOS'!$A$4:$A$8,0)),"(sin catálogo)"))</f>
        <v/>
      </c>
      <c r="AB1008" s="5">
        <f>IF($H1008="","",IFERROR(INDEX('CAT_ACTIVIDADES'!$B$4:$B$11,MATCH($H1008,'CAT_ACTIVIDADES'!$A$4:$A$11,0)),"(sin catálogo)"))</f>
        <v/>
      </c>
      <c r="AC1008" s="20">
        <f>IF($J1008="","",TODAY()-$J1008)</f>
        <v/>
      </c>
      <c r="AD1008" s="20">
        <f>IF($J1008="","",IF($J1008&lt;=TODAY(),COUNTIFS(cal_fechas,"&gt;="&amp;$J1008,cal_fechas,"&lt;"&amp;TODAY(),cal_habil,"sí"),-COUNTIFS(cal_fechas,"&gt;="&amp;TODAY(),cal_fechas,"&lt;"&amp;$J1008,cal_habil,"sí")))</f>
        <v/>
      </c>
      <c r="AE1008" s="5">
        <f>IF($AD1008="","",IF($AD1008&lt;0,"FUTURO",IF($AD1008&gt;p_dias_backlog_max,"BACKLOG","MES CORRIENTE")))</f>
        <v/>
      </c>
      <c r="AF1008" s="5">
        <f>IF($AD1008="",FALSE,AND($AD1008&gt;p_dias_backlog_min,$AD1008&lt;=p_dias_backlog_max))</f>
        <v/>
      </c>
      <c r="AG1008" s="4" t="n"/>
      <c r="AH1008" s="5">
        <f>IF($AG1008="","",IF((IFERROR(INDEX('ASIGNACIONES'!$J$4:$J$451,MATCH($O1008&amp;"|"&amp;$S1008&amp;"|"&amp;$AG1008,'ASIGNACIONES'!$N$4:$N$451,0)),""))=0,"",IFERROR(INDEX('ASIGNACIONES'!$J$4:$J$451,MATCH($O1008&amp;"|"&amp;$S1008&amp;"|"&amp;$AG1008,'ASIGNACIONES'!$N$4:$N$451,0)),"")))</f>
        <v/>
      </c>
      <c r="AI1008" s="25">
        <f>IF($AG1008="","",SUMIFS('ORDENES'!$M$4:$M$1203,'ORDENES'!$AG$4:$AG$1203,$AG1008,'ORDENES'!$O$4:$O$1203,$O1008,'ORDENES'!$S$4:$S$1203,$S1008))</f>
        <v/>
      </c>
      <c r="AJ1008" s="25">
        <f>IF($AI1008="","",p_factor_productividad*IFERROR(INDEX('ASIGNACIONES'!$M$4:$M$451,MATCH($O1008&amp;"|"&amp;$S1008&amp;"|"&amp;$AG1008,'ASIGNACIONES'!$N$4:$N$451,0)),0)-$AI1008)</f>
        <v/>
      </c>
      <c r="AK1008" s="18">
        <f>IF($A1008="","",IFERROR(INDEX('2_IMPORTAR_EJECUCION'!$F$9:$F$1208,MATCH($AT1008,'2_IMPORTAR_EJECUCION'!$J$9:$J$1208,0)),0))</f>
        <v/>
      </c>
      <c r="AL1008" s="18">
        <f>IF($A1008="","",MAX(0,IFERROR(INDEX('2_IMPORTAR_EJECUCION'!$H$9:$H$1208,MATCH($AT1008,'2_IMPORTAR_EJECUCION'!$J$9:$J$1208,0)),0)-$AK1008))</f>
        <v/>
      </c>
      <c r="AM1008" s="18">
        <f>IF($A1008="","",$AK1008+$AL1008)</f>
        <v/>
      </c>
      <c r="AN1008" s="5">
        <f>IF($A1008="","",IF(OR((IFERROR(INDEX('CAT_ACTIVIDADES'!$D$4:$D$11,MATCH($H1008,'CAT_ACTIVIDADES'!$A$4:$A$11,0)),""))=0,(IFERROR(INDEX('CAT_ACTIVIDADES'!$D$4:$D$11,MATCH($H1008,'CAT_ACTIVIDADES'!$A$4:$A$11,0)),""))=""),"SIN CLASIFICAR",IFERROR(INDEX('CAT_ACTIVIDADES'!$D$4:$D$11,MATCH($H1008,'CAT_ACTIVIDADES'!$A$4:$A$11,0)),"")))</f>
        <v/>
      </c>
      <c r="AO1008" s="4" t="n"/>
      <c r="AP1008" s="4" t="n"/>
      <c r="AQ1008" s="4" t="n"/>
      <c r="AR1008" s="5">
        <f>IF($AQ1008="","",HYPERLINK(p_ruta_base_checklists&amp;$AQ1008,"abrir"))</f>
        <v/>
      </c>
      <c r="AS1008" s="4" t="n"/>
      <c r="AT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2" t="n"/>
      <c r="K1009" s="5" t="n"/>
      <c r="L1009" s="18" t="n"/>
      <c r="M1009" s="5">
        <f>IF($A1009="","",IFERROR(INDEX('AJUSTES'!$B$4:$B$303,MATCH($AT1009,'AJUSTES'!$A$4:$A$303,0)),IF($K1009="","",$K1009)))</f>
        <v/>
      </c>
      <c r="N1009" s="5">
        <f>IF($A1009="","",IFERROR(INDEX('CAT_ESTADOS_ERP'!$B$4:$B$7,MATCH(IFERROR(INDEX('2_IMPORTAR_EJECUCION'!$C$9:$C$1208,MATCH($AT1009,'2_IMPORTAR_EJECUCION'!$J$9:$J$1208,0)),""),'CAT_ESTADOS_ERP'!$A$4:$A$7,0)),"Pendiente"))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IF($J1009="","",$P1009&amp;"-"&amp;TEXT($Q1009,"00"))</f>
        <v/>
      </c>
      <c r="S1009" s="5">
        <f>IF($J1009="","",INDEX(lista_dias,WEEKDAY($J1009,2)))</f>
        <v/>
      </c>
      <c r="T1009" s="5">
        <f>IF($J1009="","",IFERROR(INDEX('CALENDARIO'!$C$15:$C$214,MATCH(TEXT($J1009,"yyyy-mm-dd")&amp;"|"&amp;$X1009&amp;"|"&amp;$Y1009,'CALENDARIO'!$G$15:$G$214,0)),IFERROR(INDEX('CALENDARIO'!$C$15:$C$214,MATCH(TEXT($J1009,"yyyy-mm-dd")&amp;"|"&amp;$X1009&amp;"|",'CALENDARIO'!$G$15:$G$214,0)),IFERROR(INDEX('CALENDARIO'!$C$15:$C$214,MATCH(TEXT($J1009,"yyyy-mm-dd")&amp;"||",'CALENDARIO'!$G$15:$G$214,0)),INDEX(patronHabil,WEEKDAY($J1009,2))))))</f>
        <v/>
      </c>
      <c r="U1009" s="5">
        <f>IF($I1009="","",IFERROR(INDEX('CAT_TIPOS_OT'!$C$4:$C$8,MATCH($I1009,'CAT_TIPOS_OT'!$A$4:$A$8,0)),"sin_clasificar"))</f>
        <v/>
      </c>
      <c r="V1009" s="5">
        <f>IF($I1009="","",IF(IFERROR(INDEX('CAT_TIPOS_OT'!$D$4:$D$8,MATCH($I1009,'CAT_TIPOS_OT'!$A$4:$A$8,0)),"SIN CLASIFICAR")="","SIN CLASIFICAR",IFERROR(INDEX('CAT_TIPOS_OT'!$D$4:$D$8,MATCH($I1009,'CAT_TIPOS_OT'!$A$4:$A$8,0)),"SIN CLASIFICAR")))</f>
        <v/>
      </c>
      <c r="W1009" s="5">
        <f>IF($F1009="","",IFERROR(INDEX('CAT_CENTROS_COSTO'!$F$4:$F$13,MATCH($F1009,'CAT_CENTROS_COSTO'!$A$4:$A$13,0)),"(sin catálogo)"))</f>
        <v/>
      </c>
      <c r="X1009" s="5">
        <f>IF($F1009="","",IFERROR(INDEX('CAT_CENTROS_COSTO'!$D$4:$D$13,MATCH($F1009,'CAT_CENTROS_COSTO'!$A$4:$A$13,0)),"(sin catálogo)"))</f>
        <v/>
      </c>
      <c r="Y1009" s="5">
        <f>IF($F1009="","",IF((IFERROR(INDEX('CAT_CENTROS_COSTO'!$E$4:$E$13,MATCH($F1009,'CAT_CENTROS_COSTO'!$A$4:$A$13,0)),""))&lt;&gt;"",IFERROR(INDEX('CAT_CENTROS_COSTO'!$E$4:$E$13,MATCH($F1009,'CAT_CENTROS_COSTO'!$A$4:$A$13,0)),""),$X1009))</f>
        <v/>
      </c>
      <c r="Z1009" s="5">
        <f>IF($F1009="","",IFERROR(INDEX('CAT_CENTROS_COSTO'!$G$4:$G$13,MATCH($F1009,'CAT_CENTROS_COSTO'!$A$4:$A$13,0)),"(sin catálogo)"))</f>
        <v/>
      </c>
      <c r="AA1009" s="5">
        <f>IF($G1009="","",IFERROR(INDEX('CAT_PUESTOS'!$B$4:$B$8,MATCH($G1009,'CAT_PUESTOS'!$A$4:$A$8,0)),"(sin catálogo)"))</f>
        <v/>
      </c>
      <c r="AB1009" s="5">
        <f>IF($H1009="","",IFERROR(INDEX('CAT_ACTIVIDADES'!$B$4:$B$11,MATCH($H1009,'CAT_ACTIVIDADES'!$A$4:$A$11,0)),"(sin catálogo)"))</f>
        <v/>
      </c>
      <c r="AC1009" s="20">
        <f>IF($J1009="","",TODAY()-$J1009)</f>
        <v/>
      </c>
      <c r="AD1009" s="20">
        <f>IF($J1009="","",IF($J1009&lt;=TODAY(),COUNTIFS(cal_fechas,"&gt;="&amp;$J1009,cal_fechas,"&lt;"&amp;TODAY(),cal_habil,"sí"),-COUNTIFS(cal_fechas,"&gt;="&amp;TODAY(),cal_fechas,"&lt;"&amp;$J1009,cal_habil,"sí")))</f>
        <v/>
      </c>
      <c r="AE1009" s="5">
        <f>IF($AD1009="","",IF($AD1009&lt;0,"FUTURO",IF($AD1009&gt;p_dias_backlog_max,"BACKLOG","MES CORRIENTE")))</f>
        <v/>
      </c>
      <c r="AF1009" s="5">
        <f>IF($AD1009="",FALSE,AND($AD1009&gt;p_dias_backlog_min,$AD1009&lt;=p_dias_backlog_max))</f>
        <v/>
      </c>
      <c r="AG1009" s="4" t="n"/>
      <c r="AH1009" s="5">
        <f>IF($AG1009="","",IF((IFERROR(INDEX('ASIGNACIONES'!$J$4:$J$451,MATCH($O1009&amp;"|"&amp;$S1009&amp;"|"&amp;$AG1009,'ASIGNACIONES'!$N$4:$N$451,0)),""))=0,"",IFERROR(INDEX('ASIGNACIONES'!$J$4:$J$451,MATCH($O1009&amp;"|"&amp;$S1009&amp;"|"&amp;$AG1009,'ASIGNACIONES'!$N$4:$N$451,0)),"")))</f>
        <v/>
      </c>
      <c r="AI1009" s="25">
        <f>IF($AG1009="","",SUMIFS('ORDENES'!$M$4:$M$1203,'ORDENES'!$AG$4:$AG$1203,$AG1009,'ORDENES'!$O$4:$O$1203,$O1009,'ORDENES'!$S$4:$S$1203,$S1009))</f>
        <v/>
      </c>
      <c r="AJ1009" s="25">
        <f>IF($AI1009="","",p_factor_productividad*IFERROR(INDEX('ASIGNACIONES'!$M$4:$M$451,MATCH($O1009&amp;"|"&amp;$S1009&amp;"|"&amp;$AG1009,'ASIGNACIONES'!$N$4:$N$451,0)),0)-$AI1009)</f>
        <v/>
      </c>
      <c r="AK1009" s="18">
        <f>IF($A1009="","",IFERROR(INDEX('2_IMPORTAR_EJECUCION'!$F$9:$F$1208,MATCH($AT1009,'2_IMPORTAR_EJECUCION'!$J$9:$J$1208,0)),0))</f>
        <v/>
      </c>
      <c r="AL1009" s="18">
        <f>IF($A1009="","",MAX(0,IFERROR(INDEX('2_IMPORTAR_EJECUCION'!$H$9:$H$1208,MATCH($AT1009,'2_IMPORTAR_EJECUCION'!$J$9:$J$1208,0)),0)-$AK1009))</f>
        <v/>
      </c>
      <c r="AM1009" s="18">
        <f>IF($A1009="","",$AK1009+$AL1009)</f>
        <v/>
      </c>
      <c r="AN1009" s="5">
        <f>IF($A1009="","",IF(OR((IFERROR(INDEX('CAT_ACTIVIDADES'!$D$4:$D$11,MATCH($H1009,'CAT_ACTIVIDADES'!$A$4:$A$11,0)),""))=0,(IFERROR(INDEX('CAT_ACTIVIDADES'!$D$4:$D$11,MATCH($H1009,'CAT_ACTIVIDADES'!$A$4:$A$11,0)),""))=""),"SIN CLASIFICAR",IFERROR(INDEX('CAT_ACTIVIDADES'!$D$4:$D$11,MATCH($H1009,'CAT_ACTIVIDADES'!$A$4:$A$11,0)),"")))</f>
        <v/>
      </c>
      <c r="AO1009" s="4" t="n"/>
      <c r="AP1009" s="4" t="n"/>
      <c r="AQ1009" s="4" t="n"/>
      <c r="AR1009" s="5">
        <f>IF($AQ1009="","",HYPERLINK(p_ruta_base_checklists&amp;$AQ1009,"abrir"))</f>
        <v/>
      </c>
      <c r="AS1009" s="4" t="n"/>
      <c r="AT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2" t="n"/>
      <c r="K1010" s="5" t="n"/>
      <c r="L1010" s="18" t="n"/>
      <c r="M1010" s="5">
        <f>IF($A1010="","",IFERROR(INDEX('AJUSTES'!$B$4:$B$303,MATCH($AT1010,'AJUSTES'!$A$4:$A$303,0)),IF($K1010="","",$K1010)))</f>
        <v/>
      </c>
      <c r="N1010" s="5">
        <f>IF($A1010="","",IFERROR(INDEX('CAT_ESTADOS_ERP'!$B$4:$B$7,MATCH(IFERROR(INDEX('2_IMPORTAR_EJECUCION'!$C$9:$C$1208,MATCH($AT1010,'2_IMPORTAR_EJECUCION'!$J$9:$J$1208,0)),""),'CAT_ESTADOS_ERP'!$A$4:$A$7,0)),"Pendiente"))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IF($J1010="","",$P1010&amp;"-"&amp;TEXT($Q1010,"00"))</f>
        <v/>
      </c>
      <c r="S1010" s="5">
        <f>IF($J1010="","",INDEX(lista_dias,WEEKDAY($J1010,2)))</f>
        <v/>
      </c>
      <c r="T1010" s="5">
        <f>IF($J1010="","",IFERROR(INDEX('CALENDARIO'!$C$15:$C$214,MATCH(TEXT($J1010,"yyyy-mm-dd")&amp;"|"&amp;$X1010&amp;"|"&amp;$Y1010,'CALENDARIO'!$G$15:$G$214,0)),IFERROR(INDEX('CALENDARIO'!$C$15:$C$214,MATCH(TEXT($J1010,"yyyy-mm-dd")&amp;"|"&amp;$X1010&amp;"|",'CALENDARIO'!$G$15:$G$214,0)),IFERROR(INDEX('CALENDARIO'!$C$15:$C$214,MATCH(TEXT($J1010,"yyyy-mm-dd")&amp;"||",'CALENDARIO'!$G$15:$G$214,0)),INDEX(patronHabil,WEEKDAY($J1010,2))))))</f>
        <v/>
      </c>
      <c r="U1010" s="5">
        <f>IF($I1010="","",IFERROR(INDEX('CAT_TIPOS_OT'!$C$4:$C$8,MATCH($I1010,'CAT_TIPOS_OT'!$A$4:$A$8,0)),"sin_clasificar"))</f>
        <v/>
      </c>
      <c r="V1010" s="5">
        <f>IF($I1010="","",IF(IFERROR(INDEX('CAT_TIPOS_OT'!$D$4:$D$8,MATCH($I1010,'CAT_TIPOS_OT'!$A$4:$A$8,0)),"SIN CLASIFICAR")="","SIN CLASIFICAR",IFERROR(INDEX('CAT_TIPOS_OT'!$D$4:$D$8,MATCH($I1010,'CAT_TIPOS_OT'!$A$4:$A$8,0)),"SIN CLASIFICAR")))</f>
        <v/>
      </c>
      <c r="W1010" s="5">
        <f>IF($F1010="","",IFERROR(INDEX('CAT_CENTROS_COSTO'!$F$4:$F$13,MATCH($F1010,'CAT_CENTROS_COSTO'!$A$4:$A$13,0)),"(sin catálogo)"))</f>
        <v/>
      </c>
      <c r="X1010" s="5">
        <f>IF($F1010="","",IFERROR(INDEX('CAT_CENTROS_COSTO'!$D$4:$D$13,MATCH($F1010,'CAT_CENTROS_COSTO'!$A$4:$A$13,0)),"(sin catálogo)"))</f>
        <v/>
      </c>
      <c r="Y1010" s="5">
        <f>IF($F1010="","",IF((IFERROR(INDEX('CAT_CENTROS_COSTO'!$E$4:$E$13,MATCH($F1010,'CAT_CENTROS_COSTO'!$A$4:$A$13,0)),""))&lt;&gt;"",IFERROR(INDEX('CAT_CENTROS_COSTO'!$E$4:$E$13,MATCH($F1010,'CAT_CENTROS_COSTO'!$A$4:$A$13,0)),""),$X1010))</f>
        <v/>
      </c>
      <c r="Z1010" s="5">
        <f>IF($F1010="","",IFERROR(INDEX('CAT_CENTROS_COSTO'!$G$4:$G$13,MATCH($F1010,'CAT_CENTROS_COSTO'!$A$4:$A$13,0)),"(sin catálogo)"))</f>
        <v/>
      </c>
      <c r="AA1010" s="5">
        <f>IF($G1010="","",IFERROR(INDEX('CAT_PUESTOS'!$B$4:$B$8,MATCH($G1010,'CAT_PUESTOS'!$A$4:$A$8,0)),"(sin catálogo)"))</f>
        <v/>
      </c>
      <c r="AB1010" s="5">
        <f>IF($H1010="","",IFERROR(INDEX('CAT_ACTIVIDADES'!$B$4:$B$11,MATCH($H1010,'CAT_ACTIVIDADES'!$A$4:$A$11,0)),"(sin catálogo)"))</f>
        <v/>
      </c>
      <c r="AC1010" s="20">
        <f>IF($J1010="","",TODAY()-$J1010)</f>
        <v/>
      </c>
      <c r="AD1010" s="20">
        <f>IF($J1010="","",IF($J1010&lt;=TODAY(),COUNTIFS(cal_fechas,"&gt;="&amp;$J1010,cal_fechas,"&lt;"&amp;TODAY(),cal_habil,"sí"),-COUNTIFS(cal_fechas,"&gt;="&amp;TODAY(),cal_fechas,"&lt;"&amp;$J1010,cal_habil,"sí")))</f>
        <v/>
      </c>
      <c r="AE1010" s="5">
        <f>IF($AD1010="","",IF($AD1010&lt;0,"FUTURO",IF($AD1010&gt;p_dias_backlog_max,"BACKLOG","MES CORRIENTE")))</f>
        <v/>
      </c>
      <c r="AF1010" s="5">
        <f>IF($AD1010="",FALSE,AND($AD1010&gt;p_dias_backlog_min,$AD1010&lt;=p_dias_backlog_max))</f>
        <v/>
      </c>
      <c r="AG1010" s="4" t="n"/>
      <c r="AH1010" s="5">
        <f>IF($AG1010="","",IF((IFERROR(INDEX('ASIGNACIONES'!$J$4:$J$451,MATCH($O1010&amp;"|"&amp;$S1010&amp;"|"&amp;$AG1010,'ASIGNACIONES'!$N$4:$N$451,0)),""))=0,"",IFERROR(INDEX('ASIGNACIONES'!$J$4:$J$451,MATCH($O1010&amp;"|"&amp;$S1010&amp;"|"&amp;$AG1010,'ASIGNACIONES'!$N$4:$N$451,0)),"")))</f>
        <v/>
      </c>
      <c r="AI1010" s="25">
        <f>IF($AG1010="","",SUMIFS('ORDENES'!$M$4:$M$1203,'ORDENES'!$AG$4:$AG$1203,$AG1010,'ORDENES'!$O$4:$O$1203,$O1010,'ORDENES'!$S$4:$S$1203,$S1010))</f>
        <v/>
      </c>
      <c r="AJ1010" s="25">
        <f>IF($AI1010="","",p_factor_productividad*IFERROR(INDEX('ASIGNACIONES'!$M$4:$M$451,MATCH($O1010&amp;"|"&amp;$S1010&amp;"|"&amp;$AG1010,'ASIGNACIONES'!$N$4:$N$451,0)),0)-$AI1010)</f>
        <v/>
      </c>
      <c r="AK1010" s="18">
        <f>IF($A1010="","",IFERROR(INDEX('2_IMPORTAR_EJECUCION'!$F$9:$F$1208,MATCH($AT1010,'2_IMPORTAR_EJECUCION'!$J$9:$J$1208,0)),0))</f>
        <v/>
      </c>
      <c r="AL1010" s="18">
        <f>IF($A1010="","",MAX(0,IFERROR(INDEX('2_IMPORTAR_EJECUCION'!$H$9:$H$1208,MATCH($AT1010,'2_IMPORTAR_EJECUCION'!$J$9:$J$1208,0)),0)-$AK1010))</f>
        <v/>
      </c>
      <c r="AM1010" s="18">
        <f>IF($A1010="","",$AK1010+$AL1010)</f>
        <v/>
      </c>
      <c r="AN1010" s="5">
        <f>IF($A1010="","",IF(OR((IFERROR(INDEX('CAT_ACTIVIDADES'!$D$4:$D$11,MATCH($H1010,'CAT_ACTIVIDADES'!$A$4:$A$11,0)),""))=0,(IFERROR(INDEX('CAT_ACTIVIDADES'!$D$4:$D$11,MATCH($H1010,'CAT_ACTIVIDADES'!$A$4:$A$11,0)),""))=""),"SIN CLASIFICAR",IFERROR(INDEX('CAT_ACTIVIDADES'!$D$4:$D$11,MATCH($H1010,'CAT_ACTIVIDADES'!$A$4:$A$11,0)),"")))</f>
        <v/>
      </c>
      <c r="AO1010" s="4" t="n"/>
      <c r="AP1010" s="4" t="n"/>
      <c r="AQ1010" s="4" t="n"/>
      <c r="AR1010" s="5">
        <f>IF($AQ1010="","",HYPERLINK(p_ruta_base_checklists&amp;$AQ1010,"abrir"))</f>
        <v/>
      </c>
      <c r="AS1010" s="4" t="n"/>
      <c r="AT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2" t="n"/>
      <c r="K1011" s="5" t="n"/>
      <c r="L1011" s="18" t="n"/>
      <c r="M1011" s="5">
        <f>IF($A1011="","",IFERROR(INDEX('AJUSTES'!$B$4:$B$303,MATCH($AT1011,'AJUSTES'!$A$4:$A$303,0)),IF($K1011="","",$K1011)))</f>
        <v/>
      </c>
      <c r="N1011" s="5">
        <f>IF($A1011="","",IFERROR(INDEX('CAT_ESTADOS_ERP'!$B$4:$B$7,MATCH(IFERROR(INDEX('2_IMPORTAR_EJECUCION'!$C$9:$C$1208,MATCH($AT1011,'2_IMPORTAR_EJECUCION'!$J$9:$J$1208,0)),""),'CAT_ESTADOS_ERP'!$A$4:$A$7,0)),"Pendiente"))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IF($J1011="","",$P1011&amp;"-"&amp;TEXT($Q1011,"00"))</f>
        <v/>
      </c>
      <c r="S1011" s="5">
        <f>IF($J1011="","",INDEX(lista_dias,WEEKDAY($J1011,2)))</f>
        <v/>
      </c>
      <c r="T1011" s="5">
        <f>IF($J1011="","",IFERROR(INDEX('CALENDARIO'!$C$15:$C$214,MATCH(TEXT($J1011,"yyyy-mm-dd")&amp;"|"&amp;$X1011&amp;"|"&amp;$Y1011,'CALENDARIO'!$G$15:$G$214,0)),IFERROR(INDEX('CALENDARIO'!$C$15:$C$214,MATCH(TEXT($J1011,"yyyy-mm-dd")&amp;"|"&amp;$X1011&amp;"|",'CALENDARIO'!$G$15:$G$214,0)),IFERROR(INDEX('CALENDARIO'!$C$15:$C$214,MATCH(TEXT($J1011,"yyyy-mm-dd")&amp;"||",'CALENDARIO'!$G$15:$G$214,0)),INDEX(patronHabil,WEEKDAY($J1011,2))))))</f>
        <v/>
      </c>
      <c r="U1011" s="5">
        <f>IF($I1011="","",IFERROR(INDEX('CAT_TIPOS_OT'!$C$4:$C$8,MATCH($I1011,'CAT_TIPOS_OT'!$A$4:$A$8,0)),"sin_clasificar"))</f>
        <v/>
      </c>
      <c r="V1011" s="5">
        <f>IF($I1011="","",IF(IFERROR(INDEX('CAT_TIPOS_OT'!$D$4:$D$8,MATCH($I1011,'CAT_TIPOS_OT'!$A$4:$A$8,0)),"SIN CLASIFICAR")="","SIN CLASIFICAR",IFERROR(INDEX('CAT_TIPOS_OT'!$D$4:$D$8,MATCH($I1011,'CAT_TIPOS_OT'!$A$4:$A$8,0)),"SIN CLASIFICAR")))</f>
        <v/>
      </c>
      <c r="W1011" s="5">
        <f>IF($F1011="","",IFERROR(INDEX('CAT_CENTROS_COSTO'!$F$4:$F$13,MATCH($F1011,'CAT_CENTROS_COSTO'!$A$4:$A$13,0)),"(sin catálogo)"))</f>
        <v/>
      </c>
      <c r="X1011" s="5">
        <f>IF($F1011="","",IFERROR(INDEX('CAT_CENTROS_COSTO'!$D$4:$D$13,MATCH($F1011,'CAT_CENTROS_COSTO'!$A$4:$A$13,0)),"(sin catálogo)"))</f>
        <v/>
      </c>
      <c r="Y1011" s="5">
        <f>IF($F1011="","",IF((IFERROR(INDEX('CAT_CENTROS_COSTO'!$E$4:$E$13,MATCH($F1011,'CAT_CENTROS_COSTO'!$A$4:$A$13,0)),""))&lt;&gt;"",IFERROR(INDEX('CAT_CENTROS_COSTO'!$E$4:$E$13,MATCH($F1011,'CAT_CENTROS_COSTO'!$A$4:$A$13,0)),""),$X1011))</f>
        <v/>
      </c>
      <c r="Z1011" s="5">
        <f>IF($F1011="","",IFERROR(INDEX('CAT_CENTROS_COSTO'!$G$4:$G$13,MATCH($F1011,'CAT_CENTROS_COSTO'!$A$4:$A$13,0)),"(sin catálogo)"))</f>
        <v/>
      </c>
      <c r="AA1011" s="5">
        <f>IF($G1011="","",IFERROR(INDEX('CAT_PUESTOS'!$B$4:$B$8,MATCH($G1011,'CAT_PUESTOS'!$A$4:$A$8,0)),"(sin catálogo)"))</f>
        <v/>
      </c>
      <c r="AB1011" s="5">
        <f>IF($H1011="","",IFERROR(INDEX('CAT_ACTIVIDADES'!$B$4:$B$11,MATCH($H1011,'CAT_ACTIVIDADES'!$A$4:$A$11,0)),"(sin catálogo)"))</f>
        <v/>
      </c>
      <c r="AC1011" s="20">
        <f>IF($J1011="","",TODAY()-$J1011)</f>
        <v/>
      </c>
      <c r="AD1011" s="20">
        <f>IF($J1011="","",IF($J1011&lt;=TODAY(),COUNTIFS(cal_fechas,"&gt;="&amp;$J1011,cal_fechas,"&lt;"&amp;TODAY(),cal_habil,"sí"),-COUNTIFS(cal_fechas,"&gt;="&amp;TODAY(),cal_fechas,"&lt;"&amp;$J1011,cal_habil,"sí")))</f>
        <v/>
      </c>
      <c r="AE1011" s="5">
        <f>IF($AD1011="","",IF($AD1011&lt;0,"FUTURO",IF($AD1011&gt;p_dias_backlog_max,"BACKLOG","MES CORRIENTE")))</f>
        <v/>
      </c>
      <c r="AF1011" s="5">
        <f>IF($AD1011="",FALSE,AND($AD1011&gt;p_dias_backlog_min,$AD1011&lt;=p_dias_backlog_max))</f>
        <v/>
      </c>
      <c r="AG1011" s="4" t="n"/>
      <c r="AH1011" s="5">
        <f>IF($AG1011="","",IF((IFERROR(INDEX('ASIGNACIONES'!$J$4:$J$451,MATCH($O1011&amp;"|"&amp;$S1011&amp;"|"&amp;$AG1011,'ASIGNACIONES'!$N$4:$N$451,0)),""))=0,"",IFERROR(INDEX('ASIGNACIONES'!$J$4:$J$451,MATCH($O1011&amp;"|"&amp;$S1011&amp;"|"&amp;$AG1011,'ASIGNACIONES'!$N$4:$N$451,0)),"")))</f>
        <v/>
      </c>
      <c r="AI1011" s="25">
        <f>IF($AG1011="","",SUMIFS('ORDENES'!$M$4:$M$1203,'ORDENES'!$AG$4:$AG$1203,$AG1011,'ORDENES'!$O$4:$O$1203,$O1011,'ORDENES'!$S$4:$S$1203,$S1011))</f>
        <v/>
      </c>
      <c r="AJ1011" s="25">
        <f>IF($AI1011="","",p_factor_productividad*IFERROR(INDEX('ASIGNACIONES'!$M$4:$M$451,MATCH($O1011&amp;"|"&amp;$S1011&amp;"|"&amp;$AG1011,'ASIGNACIONES'!$N$4:$N$451,0)),0)-$AI1011)</f>
        <v/>
      </c>
      <c r="AK1011" s="18">
        <f>IF($A1011="","",IFERROR(INDEX('2_IMPORTAR_EJECUCION'!$F$9:$F$1208,MATCH($AT1011,'2_IMPORTAR_EJECUCION'!$J$9:$J$1208,0)),0))</f>
        <v/>
      </c>
      <c r="AL1011" s="18">
        <f>IF($A1011="","",MAX(0,IFERROR(INDEX('2_IMPORTAR_EJECUCION'!$H$9:$H$1208,MATCH($AT1011,'2_IMPORTAR_EJECUCION'!$J$9:$J$1208,0)),0)-$AK1011))</f>
        <v/>
      </c>
      <c r="AM1011" s="18">
        <f>IF($A1011="","",$AK1011+$AL1011)</f>
        <v/>
      </c>
      <c r="AN1011" s="5">
        <f>IF($A1011="","",IF(OR((IFERROR(INDEX('CAT_ACTIVIDADES'!$D$4:$D$11,MATCH($H1011,'CAT_ACTIVIDADES'!$A$4:$A$11,0)),""))=0,(IFERROR(INDEX('CAT_ACTIVIDADES'!$D$4:$D$11,MATCH($H1011,'CAT_ACTIVIDADES'!$A$4:$A$11,0)),""))=""),"SIN CLASIFICAR",IFERROR(INDEX('CAT_ACTIVIDADES'!$D$4:$D$11,MATCH($H1011,'CAT_ACTIVIDADES'!$A$4:$A$11,0)),"")))</f>
        <v/>
      </c>
      <c r="AO1011" s="4" t="n"/>
      <c r="AP1011" s="4" t="n"/>
      <c r="AQ1011" s="4" t="n"/>
      <c r="AR1011" s="5">
        <f>IF($AQ1011="","",HYPERLINK(p_ruta_base_checklists&amp;$AQ1011,"abrir"))</f>
        <v/>
      </c>
      <c r="AS1011" s="4" t="n"/>
      <c r="AT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2" t="n"/>
      <c r="K1012" s="5" t="n"/>
      <c r="L1012" s="18" t="n"/>
      <c r="M1012" s="5">
        <f>IF($A1012="","",IFERROR(INDEX('AJUSTES'!$B$4:$B$303,MATCH($AT1012,'AJUSTES'!$A$4:$A$303,0)),IF($K1012="","",$K1012)))</f>
        <v/>
      </c>
      <c r="N1012" s="5">
        <f>IF($A1012="","",IFERROR(INDEX('CAT_ESTADOS_ERP'!$B$4:$B$7,MATCH(IFERROR(INDEX('2_IMPORTAR_EJECUCION'!$C$9:$C$1208,MATCH($AT1012,'2_IMPORTAR_EJECUCION'!$J$9:$J$1208,0)),""),'CAT_ESTADOS_ERP'!$A$4:$A$7,0)),"Pendiente"))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IF($J1012="","",$P1012&amp;"-"&amp;TEXT($Q1012,"00"))</f>
        <v/>
      </c>
      <c r="S1012" s="5">
        <f>IF($J1012="","",INDEX(lista_dias,WEEKDAY($J1012,2)))</f>
        <v/>
      </c>
      <c r="T1012" s="5">
        <f>IF($J1012="","",IFERROR(INDEX('CALENDARIO'!$C$15:$C$214,MATCH(TEXT($J1012,"yyyy-mm-dd")&amp;"|"&amp;$X1012&amp;"|"&amp;$Y1012,'CALENDARIO'!$G$15:$G$214,0)),IFERROR(INDEX('CALENDARIO'!$C$15:$C$214,MATCH(TEXT($J1012,"yyyy-mm-dd")&amp;"|"&amp;$X1012&amp;"|",'CALENDARIO'!$G$15:$G$214,0)),IFERROR(INDEX('CALENDARIO'!$C$15:$C$214,MATCH(TEXT($J1012,"yyyy-mm-dd")&amp;"||",'CALENDARIO'!$G$15:$G$214,0)),INDEX(patronHabil,WEEKDAY($J1012,2))))))</f>
        <v/>
      </c>
      <c r="U1012" s="5">
        <f>IF($I1012="","",IFERROR(INDEX('CAT_TIPOS_OT'!$C$4:$C$8,MATCH($I1012,'CAT_TIPOS_OT'!$A$4:$A$8,0)),"sin_clasificar"))</f>
        <v/>
      </c>
      <c r="V1012" s="5">
        <f>IF($I1012="","",IF(IFERROR(INDEX('CAT_TIPOS_OT'!$D$4:$D$8,MATCH($I1012,'CAT_TIPOS_OT'!$A$4:$A$8,0)),"SIN CLASIFICAR")="","SIN CLASIFICAR",IFERROR(INDEX('CAT_TIPOS_OT'!$D$4:$D$8,MATCH($I1012,'CAT_TIPOS_OT'!$A$4:$A$8,0)),"SIN CLASIFICAR")))</f>
        <v/>
      </c>
      <c r="W1012" s="5">
        <f>IF($F1012="","",IFERROR(INDEX('CAT_CENTROS_COSTO'!$F$4:$F$13,MATCH($F1012,'CAT_CENTROS_COSTO'!$A$4:$A$13,0)),"(sin catálogo)"))</f>
        <v/>
      </c>
      <c r="X1012" s="5">
        <f>IF($F1012="","",IFERROR(INDEX('CAT_CENTROS_COSTO'!$D$4:$D$13,MATCH($F1012,'CAT_CENTROS_COSTO'!$A$4:$A$13,0)),"(sin catálogo)"))</f>
        <v/>
      </c>
      <c r="Y1012" s="5">
        <f>IF($F1012="","",IF((IFERROR(INDEX('CAT_CENTROS_COSTO'!$E$4:$E$13,MATCH($F1012,'CAT_CENTROS_COSTO'!$A$4:$A$13,0)),""))&lt;&gt;"",IFERROR(INDEX('CAT_CENTROS_COSTO'!$E$4:$E$13,MATCH($F1012,'CAT_CENTROS_COSTO'!$A$4:$A$13,0)),""),$X1012))</f>
        <v/>
      </c>
      <c r="Z1012" s="5">
        <f>IF($F1012="","",IFERROR(INDEX('CAT_CENTROS_COSTO'!$G$4:$G$13,MATCH($F1012,'CAT_CENTROS_COSTO'!$A$4:$A$13,0)),"(sin catálogo)"))</f>
        <v/>
      </c>
      <c r="AA1012" s="5">
        <f>IF($G1012="","",IFERROR(INDEX('CAT_PUESTOS'!$B$4:$B$8,MATCH($G1012,'CAT_PUESTOS'!$A$4:$A$8,0)),"(sin catálogo)"))</f>
        <v/>
      </c>
      <c r="AB1012" s="5">
        <f>IF($H1012="","",IFERROR(INDEX('CAT_ACTIVIDADES'!$B$4:$B$11,MATCH($H1012,'CAT_ACTIVIDADES'!$A$4:$A$11,0)),"(sin catálogo)"))</f>
        <v/>
      </c>
      <c r="AC1012" s="20">
        <f>IF($J1012="","",TODAY()-$J1012)</f>
        <v/>
      </c>
      <c r="AD1012" s="20">
        <f>IF($J1012="","",IF($J1012&lt;=TODAY(),COUNTIFS(cal_fechas,"&gt;="&amp;$J1012,cal_fechas,"&lt;"&amp;TODAY(),cal_habil,"sí"),-COUNTIFS(cal_fechas,"&gt;="&amp;TODAY(),cal_fechas,"&lt;"&amp;$J1012,cal_habil,"sí")))</f>
        <v/>
      </c>
      <c r="AE1012" s="5">
        <f>IF($AD1012="","",IF($AD1012&lt;0,"FUTURO",IF($AD1012&gt;p_dias_backlog_max,"BACKLOG","MES CORRIENTE")))</f>
        <v/>
      </c>
      <c r="AF1012" s="5">
        <f>IF($AD1012="",FALSE,AND($AD1012&gt;p_dias_backlog_min,$AD1012&lt;=p_dias_backlog_max))</f>
        <v/>
      </c>
      <c r="AG1012" s="4" t="n"/>
      <c r="AH1012" s="5">
        <f>IF($AG1012="","",IF((IFERROR(INDEX('ASIGNACIONES'!$J$4:$J$451,MATCH($O1012&amp;"|"&amp;$S1012&amp;"|"&amp;$AG1012,'ASIGNACIONES'!$N$4:$N$451,0)),""))=0,"",IFERROR(INDEX('ASIGNACIONES'!$J$4:$J$451,MATCH($O1012&amp;"|"&amp;$S1012&amp;"|"&amp;$AG1012,'ASIGNACIONES'!$N$4:$N$451,0)),"")))</f>
        <v/>
      </c>
      <c r="AI1012" s="25">
        <f>IF($AG1012="","",SUMIFS('ORDENES'!$M$4:$M$1203,'ORDENES'!$AG$4:$AG$1203,$AG1012,'ORDENES'!$O$4:$O$1203,$O1012,'ORDENES'!$S$4:$S$1203,$S1012))</f>
        <v/>
      </c>
      <c r="AJ1012" s="25">
        <f>IF($AI1012="","",p_factor_productividad*IFERROR(INDEX('ASIGNACIONES'!$M$4:$M$451,MATCH($O1012&amp;"|"&amp;$S1012&amp;"|"&amp;$AG1012,'ASIGNACIONES'!$N$4:$N$451,0)),0)-$AI1012)</f>
        <v/>
      </c>
      <c r="AK1012" s="18">
        <f>IF($A1012="","",IFERROR(INDEX('2_IMPORTAR_EJECUCION'!$F$9:$F$1208,MATCH($AT1012,'2_IMPORTAR_EJECUCION'!$J$9:$J$1208,0)),0))</f>
        <v/>
      </c>
      <c r="AL1012" s="18">
        <f>IF($A1012="","",MAX(0,IFERROR(INDEX('2_IMPORTAR_EJECUCION'!$H$9:$H$1208,MATCH($AT1012,'2_IMPORTAR_EJECUCION'!$J$9:$J$1208,0)),0)-$AK1012))</f>
        <v/>
      </c>
      <c r="AM1012" s="18">
        <f>IF($A1012="","",$AK1012+$AL1012)</f>
        <v/>
      </c>
      <c r="AN1012" s="5">
        <f>IF($A1012="","",IF(OR((IFERROR(INDEX('CAT_ACTIVIDADES'!$D$4:$D$11,MATCH($H1012,'CAT_ACTIVIDADES'!$A$4:$A$11,0)),""))=0,(IFERROR(INDEX('CAT_ACTIVIDADES'!$D$4:$D$11,MATCH($H1012,'CAT_ACTIVIDADES'!$A$4:$A$11,0)),""))=""),"SIN CLASIFICAR",IFERROR(INDEX('CAT_ACTIVIDADES'!$D$4:$D$11,MATCH($H1012,'CAT_ACTIVIDADES'!$A$4:$A$11,0)),"")))</f>
        <v/>
      </c>
      <c r="AO1012" s="4" t="n"/>
      <c r="AP1012" s="4" t="n"/>
      <c r="AQ1012" s="4" t="n"/>
      <c r="AR1012" s="5">
        <f>IF($AQ1012="","",HYPERLINK(p_ruta_base_checklists&amp;$AQ1012,"abrir"))</f>
        <v/>
      </c>
      <c r="AS1012" s="4" t="n"/>
      <c r="AT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2" t="n"/>
      <c r="K1013" s="5" t="n"/>
      <c r="L1013" s="18" t="n"/>
      <c r="M1013" s="5">
        <f>IF($A1013="","",IFERROR(INDEX('AJUSTES'!$B$4:$B$303,MATCH($AT1013,'AJUSTES'!$A$4:$A$303,0)),IF($K1013="","",$K1013)))</f>
        <v/>
      </c>
      <c r="N1013" s="5">
        <f>IF($A1013="","",IFERROR(INDEX('CAT_ESTADOS_ERP'!$B$4:$B$7,MATCH(IFERROR(INDEX('2_IMPORTAR_EJECUCION'!$C$9:$C$1208,MATCH($AT1013,'2_IMPORTAR_EJECUCION'!$J$9:$J$1208,0)),""),'CAT_ESTADOS_ERP'!$A$4:$A$7,0)),"Pendiente"))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IF($J1013="","",$P1013&amp;"-"&amp;TEXT($Q1013,"00"))</f>
        <v/>
      </c>
      <c r="S1013" s="5">
        <f>IF($J1013="","",INDEX(lista_dias,WEEKDAY($J1013,2)))</f>
        <v/>
      </c>
      <c r="T1013" s="5">
        <f>IF($J1013="","",IFERROR(INDEX('CALENDARIO'!$C$15:$C$214,MATCH(TEXT($J1013,"yyyy-mm-dd")&amp;"|"&amp;$X1013&amp;"|"&amp;$Y1013,'CALENDARIO'!$G$15:$G$214,0)),IFERROR(INDEX('CALENDARIO'!$C$15:$C$214,MATCH(TEXT($J1013,"yyyy-mm-dd")&amp;"|"&amp;$X1013&amp;"|",'CALENDARIO'!$G$15:$G$214,0)),IFERROR(INDEX('CALENDARIO'!$C$15:$C$214,MATCH(TEXT($J1013,"yyyy-mm-dd")&amp;"||",'CALENDARIO'!$G$15:$G$214,0)),INDEX(patronHabil,WEEKDAY($J1013,2))))))</f>
        <v/>
      </c>
      <c r="U1013" s="5">
        <f>IF($I1013="","",IFERROR(INDEX('CAT_TIPOS_OT'!$C$4:$C$8,MATCH($I1013,'CAT_TIPOS_OT'!$A$4:$A$8,0)),"sin_clasificar"))</f>
        <v/>
      </c>
      <c r="V1013" s="5">
        <f>IF($I1013="","",IF(IFERROR(INDEX('CAT_TIPOS_OT'!$D$4:$D$8,MATCH($I1013,'CAT_TIPOS_OT'!$A$4:$A$8,0)),"SIN CLASIFICAR")="","SIN CLASIFICAR",IFERROR(INDEX('CAT_TIPOS_OT'!$D$4:$D$8,MATCH($I1013,'CAT_TIPOS_OT'!$A$4:$A$8,0)),"SIN CLASIFICAR")))</f>
        <v/>
      </c>
      <c r="W1013" s="5">
        <f>IF($F1013="","",IFERROR(INDEX('CAT_CENTROS_COSTO'!$F$4:$F$13,MATCH($F1013,'CAT_CENTROS_COSTO'!$A$4:$A$13,0)),"(sin catálogo)"))</f>
        <v/>
      </c>
      <c r="X1013" s="5">
        <f>IF($F1013="","",IFERROR(INDEX('CAT_CENTROS_COSTO'!$D$4:$D$13,MATCH($F1013,'CAT_CENTROS_COSTO'!$A$4:$A$13,0)),"(sin catálogo)"))</f>
        <v/>
      </c>
      <c r="Y1013" s="5">
        <f>IF($F1013="","",IF((IFERROR(INDEX('CAT_CENTROS_COSTO'!$E$4:$E$13,MATCH($F1013,'CAT_CENTROS_COSTO'!$A$4:$A$13,0)),""))&lt;&gt;"",IFERROR(INDEX('CAT_CENTROS_COSTO'!$E$4:$E$13,MATCH($F1013,'CAT_CENTROS_COSTO'!$A$4:$A$13,0)),""),$X1013))</f>
        <v/>
      </c>
      <c r="Z1013" s="5">
        <f>IF($F1013="","",IFERROR(INDEX('CAT_CENTROS_COSTO'!$G$4:$G$13,MATCH($F1013,'CAT_CENTROS_COSTO'!$A$4:$A$13,0)),"(sin catálogo)"))</f>
        <v/>
      </c>
      <c r="AA1013" s="5">
        <f>IF($G1013="","",IFERROR(INDEX('CAT_PUESTOS'!$B$4:$B$8,MATCH($G1013,'CAT_PUESTOS'!$A$4:$A$8,0)),"(sin catálogo)"))</f>
        <v/>
      </c>
      <c r="AB1013" s="5">
        <f>IF($H1013="","",IFERROR(INDEX('CAT_ACTIVIDADES'!$B$4:$B$11,MATCH($H1013,'CAT_ACTIVIDADES'!$A$4:$A$11,0)),"(sin catálogo)"))</f>
        <v/>
      </c>
      <c r="AC1013" s="20">
        <f>IF($J1013="","",TODAY()-$J1013)</f>
        <v/>
      </c>
      <c r="AD1013" s="20">
        <f>IF($J1013="","",IF($J1013&lt;=TODAY(),COUNTIFS(cal_fechas,"&gt;="&amp;$J1013,cal_fechas,"&lt;"&amp;TODAY(),cal_habil,"sí"),-COUNTIFS(cal_fechas,"&gt;="&amp;TODAY(),cal_fechas,"&lt;"&amp;$J1013,cal_habil,"sí")))</f>
        <v/>
      </c>
      <c r="AE1013" s="5">
        <f>IF($AD1013="","",IF($AD1013&lt;0,"FUTURO",IF($AD1013&gt;p_dias_backlog_max,"BACKLOG","MES CORRIENTE")))</f>
        <v/>
      </c>
      <c r="AF1013" s="5">
        <f>IF($AD1013="",FALSE,AND($AD1013&gt;p_dias_backlog_min,$AD1013&lt;=p_dias_backlog_max))</f>
        <v/>
      </c>
      <c r="AG1013" s="4" t="n"/>
      <c r="AH1013" s="5">
        <f>IF($AG1013="","",IF((IFERROR(INDEX('ASIGNACIONES'!$J$4:$J$451,MATCH($O1013&amp;"|"&amp;$S1013&amp;"|"&amp;$AG1013,'ASIGNACIONES'!$N$4:$N$451,0)),""))=0,"",IFERROR(INDEX('ASIGNACIONES'!$J$4:$J$451,MATCH($O1013&amp;"|"&amp;$S1013&amp;"|"&amp;$AG1013,'ASIGNACIONES'!$N$4:$N$451,0)),"")))</f>
        <v/>
      </c>
      <c r="AI1013" s="25">
        <f>IF($AG1013="","",SUMIFS('ORDENES'!$M$4:$M$1203,'ORDENES'!$AG$4:$AG$1203,$AG1013,'ORDENES'!$O$4:$O$1203,$O1013,'ORDENES'!$S$4:$S$1203,$S1013))</f>
        <v/>
      </c>
      <c r="AJ1013" s="25">
        <f>IF($AI1013="","",p_factor_productividad*IFERROR(INDEX('ASIGNACIONES'!$M$4:$M$451,MATCH($O1013&amp;"|"&amp;$S1013&amp;"|"&amp;$AG1013,'ASIGNACIONES'!$N$4:$N$451,0)),0)-$AI1013)</f>
        <v/>
      </c>
      <c r="AK1013" s="18">
        <f>IF($A1013="","",IFERROR(INDEX('2_IMPORTAR_EJECUCION'!$F$9:$F$1208,MATCH($AT1013,'2_IMPORTAR_EJECUCION'!$J$9:$J$1208,0)),0))</f>
        <v/>
      </c>
      <c r="AL1013" s="18">
        <f>IF($A1013="","",MAX(0,IFERROR(INDEX('2_IMPORTAR_EJECUCION'!$H$9:$H$1208,MATCH($AT1013,'2_IMPORTAR_EJECUCION'!$J$9:$J$1208,0)),0)-$AK1013))</f>
        <v/>
      </c>
      <c r="AM1013" s="18">
        <f>IF($A1013="","",$AK1013+$AL1013)</f>
        <v/>
      </c>
      <c r="AN1013" s="5">
        <f>IF($A1013="","",IF(OR((IFERROR(INDEX('CAT_ACTIVIDADES'!$D$4:$D$11,MATCH($H1013,'CAT_ACTIVIDADES'!$A$4:$A$11,0)),""))=0,(IFERROR(INDEX('CAT_ACTIVIDADES'!$D$4:$D$11,MATCH($H1013,'CAT_ACTIVIDADES'!$A$4:$A$11,0)),""))=""),"SIN CLASIFICAR",IFERROR(INDEX('CAT_ACTIVIDADES'!$D$4:$D$11,MATCH($H1013,'CAT_ACTIVIDADES'!$A$4:$A$11,0)),"")))</f>
        <v/>
      </c>
      <c r="AO1013" s="4" t="n"/>
      <c r="AP1013" s="4" t="n"/>
      <c r="AQ1013" s="4" t="n"/>
      <c r="AR1013" s="5">
        <f>IF($AQ1013="","",HYPERLINK(p_ruta_base_checklists&amp;$AQ1013,"abrir"))</f>
        <v/>
      </c>
      <c r="AS1013" s="4" t="n"/>
      <c r="AT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2" t="n"/>
      <c r="K1014" s="5" t="n"/>
      <c r="L1014" s="18" t="n"/>
      <c r="M1014" s="5">
        <f>IF($A1014="","",IFERROR(INDEX('AJUSTES'!$B$4:$B$303,MATCH($AT1014,'AJUSTES'!$A$4:$A$303,0)),IF($K1014="","",$K1014)))</f>
        <v/>
      </c>
      <c r="N1014" s="5">
        <f>IF($A1014="","",IFERROR(INDEX('CAT_ESTADOS_ERP'!$B$4:$B$7,MATCH(IFERROR(INDEX('2_IMPORTAR_EJECUCION'!$C$9:$C$1208,MATCH($AT1014,'2_IMPORTAR_EJECUCION'!$J$9:$J$1208,0)),""),'CAT_ESTADOS_ERP'!$A$4:$A$7,0)),"Pendiente"))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IF($J1014="","",$P1014&amp;"-"&amp;TEXT($Q1014,"00"))</f>
        <v/>
      </c>
      <c r="S1014" s="5">
        <f>IF($J1014="","",INDEX(lista_dias,WEEKDAY($J1014,2)))</f>
        <v/>
      </c>
      <c r="T1014" s="5">
        <f>IF($J1014="","",IFERROR(INDEX('CALENDARIO'!$C$15:$C$214,MATCH(TEXT($J1014,"yyyy-mm-dd")&amp;"|"&amp;$X1014&amp;"|"&amp;$Y1014,'CALENDARIO'!$G$15:$G$214,0)),IFERROR(INDEX('CALENDARIO'!$C$15:$C$214,MATCH(TEXT($J1014,"yyyy-mm-dd")&amp;"|"&amp;$X1014&amp;"|",'CALENDARIO'!$G$15:$G$214,0)),IFERROR(INDEX('CALENDARIO'!$C$15:$C$214,MATCH(TEXT($J1014,"yyyy-mm-dd")&amp;"||",'CALENDARIO'!$G$15:$G$214,0)),INDEX(patronHabil,WEEKDAY($J1014,2))))))</f>
        <v/>
      </c>
      <c r="U1014" s="5">
        <f>IF($I1014="","",IFERROR(INDEX('CAT_TIPOS_OT'!$C$4:$C$8,MATCH($I1014,'CAT_TIPOS_OT'!$A$4:$A$8,0)),"sin_clasificar"))</f>
        <v/>
      </c>
      <c r="V1014" s="5">
        <f>IF($I1014="","",IF(IFERROR(INDEX('CAT_TIPOS_OT'!$D$4:$D$8,MATCH($I1014,'CAT_TIPOS_OT'!$A$4:$A$8,0)),"SIN CLASIFICAR")="","SIN CLASIFICAR",IFERROR(INDEX('CAT_TIPOS_OT'!$D$4:$D$8,MATCH($I1014,'CAT_TIPOS_OT'!$A$4:$A$8,0)),"SIN CLASIFICAR")))</f>
        <v/>
      </c>
      <c r="W1014" s="5">
        <f>IF($F1014="","",IFERROR(INDEX('CAT_CENTROS_COSTO'!$F$4:$F$13,MATCH($F1014,'CAT_CENTROS_COSTO'!$A$4:$A$13,0)),"(sin catálogo)"))</f>
        <v/>
      </c>
      <c r="X1014" s="5">
        <f>IF($F1014="","",IFERROR(INDEX('CAT_CENTROS_COSTO'!$D$4:$D$13,MATCH($F1014,'CAT_CENTROS_COSTO'!$A$4:$A$13,0)),"(sin catálogo)"))</f>
        <v/>
      </c>
      <c r="Y1014" s="5">
        <f>IF($F1014="","",IF((IFERROR(INDEX('CAT_CENTROS_COSTO'!$E$4:$E$13,MATCH($F1014,'CAT_CENTROS_COSTO'!$A$4:$A$13,0)),""))&lt;&gt;"",IFERROR(INDEX('CAT_CENTROS_COSTO'!$E$4:$E$13,MATCH($F1014,'CAT_CENTROS_COSTO'!$A$4:$A$13,0)),""),$X1014))</f>
        <v/>
      </c>
      <c r="Z1014" s="5">
        <f>IF($F1014="","",IFERROR(INDEX('CAT_CENTROS_COSTO'!$G$4:$G$13,MATCH($F1014,'CAT_CENTROS_COSTO'!$A$4:$A$13,0)),"(sin catálogo)"))</f>
        <v/>
      </c>
      <c r="AA1014" s="5">
        <f>IF($G1014="","",IFERROR(INDEX('CAT_PUESTOS'!$B$4:$B$8,MATCH($G1014,'CAT_PUESTOS'!$A$4:$A$8,0)),"(sin catálogo)"))</f>
        <v/>
      </c>
      <c r="AB1014" s="5">
        <f>IF($H1014="","",IFERROR(INDEX('CAT_ACTIVIDADES'!$B$4:$B$11,MATCH($H1014,'CAT_ACTIVIDADES'!$A$4:$A$11,0)),"(sin catálogo)"))</f>
        <v/>
      </c>
      <c r="AC1014" s="20">
        <f>IF($J1014="","",TODAY()-$J1014)</f>
        <v/>
      </c>
      <c r="AD1014" s="20">
        <f>IF($J1014="","",IF($J1014&lt;=TODAY(),COUNTIFS(cal_fechas,"&gt;="&amp;$J1014,cal_fechas,"&lt;"&amp;TODAY(),cal_habil,"sí"),-COUNTIFS(cal_fechas,"&gt;="&amp;TODAY(),cal_fechas,"&lt;"&amp;$J1014,cal_habil,"sí")))</f>
        <v/>
      </c>
      <c r="AE1014" s="5">
        <f>IF($AD1014="","",IF($AD1014&lt;0,"FUTURO",IF($AD1014&gt;p_dias_backlog_max,"BACKLOG","MES CORRIENTE")))</f>
        <v/>
      </c>
      <c r="AF1014" s="5">
        <f>IF($AD1014="",FALSE,AND($AD1014&gt;p_dias_backlog_min,$AD1014&lt;=p_dias_backlog_max))</f>
        <v/>
      </c>
      <c r="AG1014" s="4" t="n"/>
      <c r="AH1014" s="5">
        <f>IF($AG1014="","",IF((IFERROR(INDEX('ASIGNACIONES'!$J$4:$J$451,MATCH($O1014&amp;"|"&amp;$S1014&amp;"|"&amp;$AG1014,'ASIGNACIONES'!$N$4:$N$451,0)),""))=0,"",IFERROR(INDEX('ASIGNACIONES'!$J$4:$J$451,MATCH($O1014&amp;"|"&amp;$S1014&amp;"|"&amp;$AG1014,'ASIGNACIONES'!$N$4:$N$451,0)),"")))</f>
        <v/>
      </c>
      <c r="AI1014" s="25">
        <f>IF($AG1014="","",SUMIFS('ORDENES'!$M$4:$M$1203,'ORDENES'!$AG$4:$AG$1203,$AG1014,'ORDENES'!$O$4:$O$1203,$O1014,'ORDENES'!$S$4:$S$1203,$S1014))</f>
        <v/>
      </c>
      <c r="AJ1014" s="25">
        <f>IF($AI1014="","",p_factor_productividad*IFERROR(INDEX('ASIGNACIONES'!$M$4:$M$451,MATCH($O1014&amp;"|"&amp;$S1014&amp;"|"&amp;$AG1014,'ASIGNACIONES'!$N$4:$N$451,0)),0)-$AI1014)</f>
        <v/>
      </c>
      <c r="AK1014" s="18">
        <f>IF($A1014="","",IFERROR(INDEX('2_IMPORTAR_EJECUCION'!$F$9:$F$1208,MATCH($AT1014,'2_IMPORTAR_EJECUCION'!$J$9:$J$1208,0)),0))</f>
        <v/>
      </c>
      <c r="AL1014" s="18">
        <f>IF($A1014="","",MAX(0,IFERROR(INDEX('2_IMPORTAR_EJECUCION'!$H$9:$H$1208,MATCH($AT1014,'2_IMPORTAR_EJECUCION'!$J$9:$J$1208,0)),0)-$AK1014))</f>
        <v/>
      </c>
      <c r="AM1014" s="18">
        <f>IF($A1014="","",$AK1014+$AL1014)</f>
        <v/>
      </c>
      <c r="AN1014" s="5">
        <f>IF($A1014="","",IF(OR((IFERROR(INDEX('CAT_ACTIVIDADES'!$D$4:$D$11,MATCH($H1014,'CAT_ACTIVIDADES'!$A$4:$A$11,0)),""))=0,(IFERROR(INDEX('CAT_ACTIVIDADES'!$D$4:$D$11,MATCH($H1014,'CAT_ACTIVIDADES'!$A$4:$A$11,0)),""))=""),"SIN CLASIFICAR",IFERROR(INDEX('CAT_ACTIVIDADES'!$D$4:$D$11,MATCH($H1014,'CAT_ACTIVIDADES'!$A$4:$A$11,0)),"")))</f>
        <v/>
      </c>
      <c r="AO1014" s="4" t="n"/>
      <c r="AP1014" s="4" t="n"/>
      <c r="AQ1014" s="4" t="n"/>
      <c r="AR1014" s="5">
        <f>IF($AQ1014="","",HYPERLINK(p_ruta_base_checklists&amp;$AQ1014,"abrir"))</f>
        <v/>
      </c>
      <c r="AS1014" s="4" t="n"/>
      <c r="AT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2" t="n"/>
      <c r="K1015" s="5" t="n"/>
      <c r="L1015" s="18" t="n"/>
      <c r="M1015" s="5">
        <f>IF($A1015="","",IFERROR(INDEX('AJUSTES'!$B$4:$B$303,MATCH($AT1015,'AJUSTES'!$A$4:$A$303,0)),IF($K1015="","",$K1015)))</f>
        <v/>
      </c>
      <c r="N1015" s="5">
        <f>IF($A1015="","",IFERROR(INDEX('CAT_ESTADOS_ERP'!$B$4:$B$7,MATCH(IFERROR(INDEX('2_IMPORTAR_EJECUCION'!$C$9:$C$1208,MATCH($AT1015,'2_IMPORTAR_EJECUCION'!$J$9:$J$1208,0)),""),'CAT_ESTADOS_ERP'!$A$4:$A$7,0)),"Pendiente"))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IF($J1015="","",$P1015&amp;"-"&amp;TEXT($Q1015,"00"))</f>
        <v/>
      </c>
      <c r="S1015" s="5">
        <f>IF($J1015="","",INDEX(lista_dias,WEEKDAY($J1015,2)))</f>
        <v/>
      </c>
      <c r="T1015" s="5">
        <f>IF($J1015="","",IFERROR(INDEX('CALENDARIO'!$C$15:$C$214,MATCH(TEXT($J1015,"yyyy-mm-dd")&amp;"|"&amp;$X1015&amp;"|"&amp;$Y1015,'CALENDARIO'!$G$15:$G$214,0)),IFERROR(INDEX('CALENDARIO'!$C$15:$C$214,MATCH(TEXT($J1015,"yyyy-mm-dd")&amp;"|"&amp;$X1015&amp;"|",'CALENDARIO'!$G$15:$G$214,0)),IFERROR(INDEX('CALENDARIO'!$C$15:$C$214,MATCH(TEXT($J1015,"yyyy-mm-dd")&amp;"||",'CALENDARIO'!$G$15:$G$214,0)),INDEX(patronHabil,WEEKDAY($J1015,2))))))</f>
        <v/>
      </c>
      <c r="U1015" s="5">
        <f>IF($I1015="","",IFERROR(INDEX('CAT_TIPOS_OT'!$C$4:$C$8,MATCH($I1015,'CAT_TIPOS_OT'!$A$4:$A$8,0)),"sin_clasificar"))</f>
        <v/>
      </c>
      <c r="V1015" s="5">
        <f>IF($I1015="","",IF(IFERROR(INDEX('CAT_TIPOS_OT'!$D$4:$D$8,MATCH($I1015,'CAT_TIPOS_OT'!$A$4:$A$8,0)),"SIN CLASIFICAR")="","SIN CLASIFICAR",IFERROR(INDEX('CAT_TIPOS_OT'!$D$4:$D$8,MATCH($I1015,'CAT_TIPOS_OT'!$A$4:$A$8,0)),"SIN CLASIFICAR")))</f>
        <v/>
      </c>
      <c r="W1015" s="5">
        <f>IF($F1015="","",IFERROR(INDEX('CAT_CENTROS_COSTO'!$F$4:$F$13,MATCH($F1015,'CAT_CENTROS_COSTO'!$A$4:$A$13,0)),"(sin catálogo)"))</f>
        <v/>
      </c>
      <c r="X1015" s="5">
        <f>IF($F1015="","",IFERROR(INDEX('CAT_CENTROS_COSTO'!$D$4:$D$13,MATCH($F1015,'CAT_CENTROS_COSTO'!$A$4:$A$13,0)),"(sin catálogo)"))</f>
        <v/>
      </c>
      <c r="Y1015" s="5">
        <f>IF($F1015="","",IF((IFERROR(INDEX('CAT_CENTROS_COSTO'!$E$4:$E$13,MATCH($F1015,'CAT_CENTROS_COSTO'!$A$4:$A$13,0)),""))&lt;&gt;"",IFERROR(INDEX('CAT_CENTROS_COSTO'!$E$4:$E$13,MATCH($F1015,'CAT_CENTROS_COSTO'!$A$4:$A$13,0)),""),$X1015))</f>
        <v/>
      </c>
      <c r="Z1015" s="5">
        <f>IF($F1015="","",IFERROR(INDEX('CAT_CENTROS_COSTO'!$G$4:$G$13,MATCH($F1015,'CAT_CENTROS_COSTO'!$A$4:$A$13,0)),"(sin catálogo)"))</f>
        <v/>
      </c>
      <c r="AA1015" s="5">
        <f>IF($G1015="","",IFERROR(INDEX('CAT_PUESTOS'!$B$4:$B$8,MATCH($G1015,'CAT_PUESTOS'!$A$4:$A$8,0)),"(sin catálogo)"))</f>
        <v/>
      </c>
      <c r="AB1015" s="5">
        <f>IF($H1015="","",IFERROR(INDEX('CAT_ACTIVIDADES'!$B$4:$B$11,MATCH($H1015,'CAT_ACTIVIDADES'!$A$4:$A$11,0)),"(sin catálogo)"))</f>
        <v/>
      </c>
      <c r="AC1015" s="20">
        <f>IF($J1015="","",TODAY()-$J1015)</f>
        <v/>
      </c>
      <c r="AD1015" s="20">
        <f>IF($J1015="","",IF($J1015&lt;=TODAY(),COUNTIFS(cal_fechas,"&gt;="&amp;$J1015,cal_fechas,"&lt;"&amp;TODAY(),cal_habil,"sí"),-COUNTIFS(cal_fechas,"&gt;="&amp;TODAY(),cal_fechas,"&lt;"&amp;$J1015,cal_habil,"sí")))</f>
        <v/>
      </c>
      <c r="AE1015" s="5">
        <f>IF($AD1015="","",IF($AD1015&lt;0,"FUTURO",IF($AD1015&gt;p_dias_backlog_max,"BACKLOG","MES CORRIENTE")))</f>
        <v/>
      </c>
      <c r="AF1015" s="5">
        <f>IF($AD1015="",FALSE,AND($AD1015&gt;p_dias_backlog_min,$AD1015&lt;=p_dias_backlog_max))</f>
        <v/>
      </c>
      <c r="AG1015" s="4" t="n"/>
      <c r="AH1015" s="5">
        <f>IF($AG1015="","",IF((IFERROR(INDEX('ASIGNACIONES'!$J$4:$J$451,MATCH($O1015&amp;"|"&amp;$S1015&amp;"|"&amp;$AG1015,'ASIGNACIONES'!$N$4:$N$451,0)),""))=0,"",IFERROR(INDEX('ASIGNACIONES'!$J$4:$J$451,MATCH($O1015&amp;"|"&amp;$S1015&amp;"|"&amp;$AG1015,'ASIGNACIONES'!$N$4:$N$451,0)),"")))</f>
        <v/>
      </c>
      <c r="AI1015" s="25">
        <f>IF($AG1015="","",SUMIFS('ORDENES'!$M$4:$M$1203,'ORDENES'!$AG$4:$AG$1203,$AG1015,'ORDENES'!$O$4:$O$1203,$O1015,'ORDENES'!$S$4:$S$1203,$S1015))</f>
        <v/>
      </c>
      <c r="AJ1015" s="25">
        <f>IF($AI1015="","",p_factor_productividad*IFERROR(INDEX('ASIGNACIONES'!$M$4:$M$451,MATCH($O1015&amp;"|"&amp;$S1015&amp;"|"&amp;$AG1015,'ASIGNACIONES'!$N$4:$N$451,0)),0)-$AI1015)</f>
        <v/>
      </c>
      <c r="AK1015" s="18">
        <f>IF($A1015="","",IFERROR(INDEX('2_IMPORTAR_EJECUCION'!$F$9:$F$1208,MATCH($AT1015,'2_IMPORTAR_EJECUCION'!$J$9:$J$1208,0)),0))</f>
        <v/>
      </c>
      <c r="AL1015" s="18">
        <f>IF($A1015="","",MAX(0,IFERROR(INDEX('2_IMPORTAR_EJECUCION'!$H$9:$H$1208,MATCH($AT1015,'2_IMPORTAR_EJECUCION'!$J$9:$J$1208,0)),0)-$AK1015))</f>
        <v/>
      </c>
      <c r="AM1015" s="18">
        <f>IF($A1015="","",$AK1015+$AL1015)</f>
        <v/>
      </c>
      <c r="AN1015" s="5">
        <f>IF($A1015="","",IF(OR((IFERROR(INDEX('CAT_ACTIVIDADES'!$D$4:$D$11,MATCH($H1015,'CAT_ACTIVIDADES'!$A$4:$A$11,0)),""))=0,(IFERROR(INDEX('CAT_ACTIVIDADES'!$D$4:$D$11,MATCH($H1015,'CAT_ACTIVIDADES'!$A$4:$A$11,0)),""))=""),"SIN CLASIFICAR",IFERROR(INDEX('CAT_ACTIVIDADES'!$D$4:$D$11,MATCH($H1015,'CAT_ACTIVIDADES'!$A$4:$A$11,0)),"")))</f>
        <v/>
      </c>
      <c r="AO1015" s="4" t="n"/>
      <c r="AP1015" s="4" t="n"/>
      <c r="AQ1015" s="4" t="n"/>
      <c r="AR1015" s="5">
        <f>IF($AQ1015="","",HYPERLINK(p_ruta_base_checklists&amp;$AQ1015,"abrir"))</f>
        <v/>
      </c>
      <c r="AS1015" s="4" t="n"/>
      <c r="AT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2" t="n"/>
      <c r="K1016" s="5" t="n"/>
      <c r="L1016" s="18" t="n"/>
      <c r="M1016" s="5">
        <f>IF($A1016="","",IFERROR(INDEX('AJUSTES'!$B$4:$B$303,MATCH($AT1016,'AJUSTES'!$A$4:$A$303,0)),IF($K1016="","",$K1016)))</f>
        <v/>
      </c>
      <c r="N1016" s="5">
        <f>IF($A1016="","",IFERROR(INDEX('CAT_ESTADOS_ERP'!$B$4:$B$7,MATCH(IFERROR(INDEX('2_IMPORTAR_EJECUCION'!$C$9:$C$1208,MATCH($AT1016,'2_IMPORTAR_EJECUCION'!$J$9:$J$1208,0)),""),'CAT_ESTADOS_ERP'!$A$4:$A$7,0)),"Pendiente"))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IF($J1016="","",$P1016&amp;"-"&amp;TEXT($Q1016,"00"))</f>
        <v/>
      </c>
      <c r="S1016" s="5">
        <f>IF($J1016="","",INDEX(lista_dias,WEEKDAY($J1016,2)))</f>
        <v/>
      </c>
      <c r="T1016" s="5">
        <f>IF($J1016="","",IFERROR(INDEX('CALENDARIO'!$C$15:$C$214,MATCH(TEXT($J1016,"yyyy-mm-dd")&amp;"|"&amp;$X1016&amp;"|"&amp;$Y1016,'CALENDARIO'!$G$15:$G$214,0)),IFERROR(INDEX('CALENDARIO'!$C$15:$C$214,MATCH(TEXT($J1016,"yyyy-mm-dd")&amp;"|"&amp;$X1016&amp;"|",'CALENDARIO'!$G$15:$G$214,0)),IFERROR(INDEX('CALENDARIO'!$C$15:$C$214,MATCH(TEXT($J1016,"yyyy-mm-dd")&amp;"||",'CALENDARIO'!$G$15:$G$214,0)),INDEX(patronHabil,WEEKDAY($J1016,2))))))</f>
        <v/>
      </c>
      <c r="U1016" s="5">
        <f>IF($I1016="","",IFERROR(INDEX('CAT_TIPOS_OT'!$C$4:$C$8,MATCH($I1016,'CAT_TIPOS_OT'!$A$4:$A$8,0)),"sin_clasificar"))</f>
        <v/>
      </c>
      <c r="V1016" s="5">
        <f>IF($I1016="","",IF(IFERROR(INDEX('CAT_TIPOS_OT'!$D$4:$D$8,MATCH($I1016,'CAT_TIPOS_OT'!$A$4:$A$8,0)),"SIN CLASIFICAR")="","SIN CLASIFICAR",IFERROR(INDEX('CAT_TIPOS_OT'!$D$4:$D$8,MATCH($I1016,'CAT_TIPOS_OT'!$A$4:$A$8,0)),"SIN CLASIFICAR")))</f>
        <v/>
      </c>
      <c r="W1016" s="5">
        <f>IF($F1016="","",IFERROR(INDEX('CAT_CENTROS_COSTO'!$F$4:$F$13,MATCH($F1016,'CAT_CENTROS_COSTO'!$A$4:$A$13,0)),"(sin catálogo)"))</f>
        <v/>
      </c>
      <c r="X1016" s="5">
        <f>IF($F1016="","",IFERROR(INDEX('CAT_CENTROS_COSTO'!$D$4:$D$13,MATCH($F1016,'CAT_CENTROS_COSTO'!$A$4:$A$13,0)),"(sin catálogo)"))</f>
        <v/>
      </c>
      <c r="Y1016" s="5">
        <f>IF($F1016="","",IF((IFERROR(INDEX('CAT_CENTROS_COSTO'!$E$4:$E$13,MATCH($F1016,'CAT_CENTROS_COSTO'!$A$4:$A$13,0)),""))&lt;&gt;"",IFERROR(INDEX('CAT_CENTROS_COSTO'!$E$4:$E$13,MATCH($F1016,'CAT_CENTROS_COSTO'!$A$4:$A$13,0)),""),$X1016))</f>
        <v/>
      </c>
      <c r="Z1016" s="5">
        <f>IF($F1016="","",IFERROR(INDEX('CAT_CENTROS_COSTO'!$G$4:$G$13,MATCH($F1016,'CAT_CENTROS_COSTO'!$A$4:$A$13,0)),"(sin catálogo)"))</f>
        <v/>
      </c>
      <c r="AA1016" s="5">
        <f>IF($G1016="","",IFERROR(INDEX('CAT_PUESTOS'!$B$4:$B$8,MATCH($G1016,'CAT_PUESTOS'!$A$4:$A$8,0)),"(sin catálogo)"))</f>
        <v/>
      </c>
      <c r="AB1016" s="5">
        <f>IF($H1016="","",IFERROR(INDEX('CAT_ACTIVIDADES'!$B$4:$B$11,MATCH($H1016,'CAT_ACTIVIDADES'!$A$4:$A$11,0)),"(sin catálogo)"))</f>
        <v/>
      </c>
      <c r="AC1016" s="20">
        <f>IF($J1016="","",TODAY()-$J1016)</f>
        <v/>
      </c>
      <c r="AD1016" s="20">
        <f>IF($J1016="","",IF($J1016&lt;=TODAY(),COUNTIFS(cal_fechas,"&gt;="&amp;$J1016,cal_fechas,"&lt;"&amp;TODAY(),cal_habil,"sí"),-COUNTIFS(cal_fechas,"&gt;="&amp;TODAY(),cal_fechas,"&lt;"&amp;$J1016,cal_habil,"sí")))</f>
        <v/>
      </c>
      <c r="AE1016" s="5">
        <f>IF($AD1016="","",IF($AD1016&lt;0,"FUTURO",IF($AD1016&gt;p_dias_backlog_max,"BACKLOG","MES CORRIENTE")))</f>
        <v/>
      </c>
      <c r="AF1016" s="5">
        <f>IF($AD1016="",FALSE,AND($AD1016&gt;p_dias_backlog_min,$AD1016&lt;=p_dias_backlog_max))</f>
        <v/>
      </c>
      <c r="AG1016" s="4" t="n"/>
      <c r="AH1016" s="5">
        <f>IF($AG1016="","",IF((IFERROR(INDEX('ASIGNACIONES'!$J$4:$J$451,MATCH($O1016&amp;"|"&amp;$S1016&amp;"|"&amp;$AG1016,'ASIGNACIONES'!$N$4:$N$451,0)),""))=0,"",IFERROR(INDEX('ASIGNACIONES'!$J$4:$J$451,MATCH($O1016&amp;"|"&amp;$S1016&amp;"|"&amp;$AG1016,'ASIGNACIONES'!$N$4:$N$451,0)),"")))</f>
        <v/>
      </c>
      <c r="AI1016" s="25">
        <f>IF($AG1016="","",SUMIFS('ORDENES'!$M$4:$M$1203,'ORDENES'!$AG$4:$AG$1203,$AG1016,'ORDENES'!$O$4:$O$1203,$O1016,'ORDENES'!$S$4:$S$1203,$S1016))</f>
        <v/>
      </c>
      <c r="AJ1016" s="25">
        <f>IF($AI1016="","",p_factor_productividad*IFERROR(INDEX('ASIGNACIONES'!$M$4:$M$451,MATCH($O1016&amp;"|"&amp;$S1016&amp;"|"&amp;$AG1016,'ASIGNACIONES'!$N$4:$N$451,0)),0)-$AI1016)</f>
        <v/>
      </c>
      <c r="AK1016" s="18">
        <f>IF($A1016="","",IFERROR(INDEX('2_IMPORTAR_EJECUCION'!$F$9:$F$1208,MATCH($AT1016,'2_IMPORTAR_EJECUCION'!$J$9:$J$1208,0)),0))</f>
        <v/>
      </c>
      <c r="AL1016" s="18">
        <f>IF($A1016="","",MAX(0,IFERROR(INDEX('2_IMPORTAR_EJECUCION'!$H$9:$H$1208,MATCH($AT1016,'2_IMPORTAR_EJECUCION'!$J$9:$J$1208,0)),0)-$AK1016))</f>
        <v/>
      </c>
      <c r="AM1016" s="18">
        <f>IF($A1016="","",$AK1016+$AL1016)</f>
        <v/>
      </c>
      <c r="AN1016" s="5">
        <f>IF($A1016="","",IF(OR((IFERROR(INDEX('CAT_ACTIVIDADES'!$D$4:$D$11,MATCH($H1016,'CAT_ACTIVIDADES'!$A$4:$A$11,0)),""))=0,(IFERROR(INDEX('CAT_ACTIVIDADES'!$D$4:$D$11,MATCH($H1016,'CAT_ACTIVIDADES'!$A$4:$A$11,0)),""))=""),"SIN CLASIFICAR",IFERROR(INDEX('CAT_ACTIVIDADES'!$D$4:$D$11,MATCH($H1016,'CAT_ACTIVIDADES'!$A$4:$A$11,0)),"")))</f>
        <v/>
      </c>
      <c r="AO1016" s="4" t="n"/>
      <c r="AP1016" s="4" t="n"/>
      <c r="AQ1016" s="4" t="n"/>
      <c r="AR1016" s="5">
        <f>IF($AQ1016="","",HYPERLINK(p_ruta_base_checklists&amp;$AQ1016,"abrir"))</f>
        <v/>
      </c>
      <c r="AS1016" s="4" t="n"/>
      <c r="AT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2" t="n"/>
      <c r="K1017" s="5" t="n"/>
      <c r="L1017" s="18" t="n"/>
      <c r="M1017" s="5">
        <f>IF($A1017="","",IFERROR(INDEX('AJUSTES'!$B$4:$B$303,MATCH($AT1017,'AJUSTES'!$A$4:$A$303,0)),IF($K1017="","",$K1017)))</f>
        <v/>
      </c>
      <c r="N1017" s="5">
        <f>IF($A1017="","",IFERROR(INDEX('CAT_ESTADOS_ERP'!$B$4:$B$7,MATCH(IFERROR(INDEX('2_IMPORTAR_EJECUCION'!$C$9:$C$1208,MATCH($AT1017,'2_IMPORTAR_EJECUCION'!$J$9:$J$1208,0)),""),'CAT_ESTADOS_ERP'!$A$4:$A$7,0)),"Pendiente"))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IF($J1017="","",$P1017&amp;"-"&amp;TEXT($Q1017,"00"))</f>
        <v/>
      </c>
      <c r="S1017" s="5">
        <f>IF($J1017="","",INDEX(lista_dias,WEEKDAY($J1017,2)))</f>
        <v/>
      </c>
      <c r="T1017" s="5">
        <f>IF($J1017="","",IFERROR(INDEX('CALENDARIO'!$C$15:$C$214,MATCH(TEXT($J1017,"yyyy-mm-dd")&amp;"|"&amp;$X1017&amp;"|"&amp;$Y1017,'CALENDARIO'!$G$15:$G$214,0)),IFERROR(INDEX('CALENDARIO'!$C$15:$C$214,MATCH(TEXT($J1017,"yyyy-mm-dd")&amp;"|"&amp;$X1017&amp;"|",'CALENDARIO'!$G$15:$G$214,0)),IFERROR(INDEX('CALENDARIO'!$C$15:$C$214,MATCH(TEXT($J1017,"yyyy-mm-dd")&amp;"||",'CALENDARIO'!$G$15:$G$214,0)),INDEX(patronHabil,WEEKDAY($J1017,2))))))</f>
        <v/>
      </c>
      <c r="U1017" s="5">
        <f>IF($I1017="","",IFERROR(INDEX('CAT_TIPOS_OT'!$C$4:$C$8,MATCH($I1017,'CAT_TIPOS_OT'!$A$4:$A$8,0)),"sin_clasificar"))</f>
        <v/>
      </c>
      <c r="V1017" s="5">
        <f>IF($I1017="","",IF(IFERROR(INDEX('CAT_TIPOS_OT'!$D$4:$D$8,MATCH($I1017,'CAT_TIPOS_OT'!$A$4:$A$8,0)),"SIN CLASIFICAR")="","SIN CLASIFICAR",IFERROR(INDEX('CAT_TIPOS_OT'!$D$4:$D$8,MATCH($I1017,'CAT_TIPOS_OT'!$A$4:$A$8,0)),"SIN CLASIFICAR")))</f>
        <v/>
      </c>
      <c r="W1017" s="5">
        <f>IF($F1017="","",IFERROR(INDEX('CAT_CENTROS_COSTO'!$F$4:$F$13,MATCH($F1017,'CAT_CENTROS_COSTO'!$A$4:$A$13,0)),"(sin catálogo)"))</f>
        <v/>
      </c>
      <c r="X1017" s="5">
        <f>IF($F1017="","",IFERROR(INDEX('CAT_CENTROS_COSTO'!$D$4:$D$13,MATCH($F1017,'CAT_CENTROS_COSTO'!$A$4:$A$13,0)),"(sin catálogo)"))</f>
        <v/>
      </c>
      <c r="Y1017" s="5">
        <f>IF($F1017="","",IF((IFERROR(INDEX('CAT_CENTROS_COSTO'!$E$4:$E$13,MATCH($F1017,'CAT_CENTROS_COSTO'!$A$4:$A$13,0)),""))&lt;&gt;"",IFERROR(INDEX('CAT_CENTROS_COSTO'!$E$4:$E$13,MATCH($F1017,'CAT_CENTROS_COSTO'!$A$4:$A$13,0)),""),$X1017))</f>
        <v/>
      </c>
      <c r="Z1017" s="5">
        <f>IF($F1017="","",IFERROR(INDEX('CAT_CENTROS_COSTO'!$G$4:$G$13,MATCH($F1017,'CAT_CENTROS_COSTO'!$A$4:$A$13,0)),"(sin catálogo)"))</f>
        <v/>
      </c>
      <c r="AA1017" s="5">
        <f>IF($G1017="","",IFERROR(INDEX('CAT_PUESTOS'!$B$4:$B$8,MATCH($G1017,'CAT_PUESTOS'!$A$4:$A$8,0)),"(sin catálogo)"))</f>
        <v/>
      </c>
      <c r="AB1017" s="5">
        <f>IF($H1017="","",IFERROR(INDEX('CAT_ACTIVIDADES'!$B$4:$B$11,MATCH($H1017,'CAT_ACTIVIDADES'!$A$4:$A$11,0)),"(sin catálogo)"))</f>
        <v/>
      </c>
      <c r="AC1017" s="20">
        <f>IF($J1017="","",TODAY()-$J1017)</f>
        <v/>
      </c>
      <c r="AD1017" s="20">
        <f>IF($J1017="","",IF($J1017&lt;=TODAY(),COUNTIFS(cal_fechas,"&gt;="&amp;$J1017,cal_fechas,"&lt;"&amp;TODAY(),cal_habil,"sí"),-COUNTIFS(cal_fechas,"&gt;="&amp;TODAY(),cal_fechas,"&lt;"&amp;$J1017,cal_habil,"sí")))</f>
        <v/>
      </c>
      <c r="AE1017" s="5">
        <f>IF($AD1017="","",IF($AD1017&lt;0,"FUTURO",IF($AD1017&gt;p_dias_backlog_max,"BACKLOG","MES CORRIENTE")))</f>
        <v/>
      </c>
      <c r="AF1017" s="5">
        <f>IF($AD1017="",FALSE,AND($AD1017&gt;p_dias_backlog_min,$AD1017&lt;=p_dias_backlog_max))</f>
        <v/>
      </c>
      <c r="AG1017" s="4" t="n"/>
      <c r="AH1017" s="5">
        <f>IF($AG1017="","",IF((IFERROR(INDEX('ASIGNACIONES'!$J$4:$J$451,MATCH($O1017&amp;"|"&amp;$S1017&amp;"|"&amp;$AG1017,'ASIGNACIONES'!$N$4:$N$451,0)),""))=0,"",IFERROR(INDEX('ASIGNACIONES'!$J$4:$J$451,MATCH($O1017&amp;"|"&amp;$S1017&amp;"|"&amp;$AG1017,'ASIGNACIONES'!$N$4:$N$451,0)),"")))</f>
        <v/>
      </c>
      <c r="AI1017" s="25">
        <f>IF($AG1017="","",SUMIFS('ORDENES'!$M$4:$M$1203,'ORDENES'!$AG$4:$AG$1203,$AG1017,'ORDENES'!$O$4:$O$1203,$O1017,'ORDENES'!$S$4:$S$1203,$S1017))</f>
        <v/>
      </c>
      <c r="AJ1017" s="25">
        <f>IF($AI1017="","",p_factor_productividad*IFERROR(INDEX('ASIGNACIONES'!$M$4:$M$451,MATCH($O1017&amp;"|"&amp;$S1017&amp;"|"&amp;$AG1017,'ASIGNACIONES'!$N$4:$N$451,0)),0)-$AI1017)</f>
        <v/>
      </c>
      <c r="AK1017" s="18">
        <f>IF($A1017="","",IFERROR(INDEX('2_IMPORTAR_EJECUCION'!$F$9:$F$1208,MATCH($AT1017,'2_IMPORTAR_EJECUCION'!$J$9:$J$1208,0)),0))</f>
        <v/>
      </c>
      <c r="AL1017" s="18">
        <f>IF($A1017="","",MAX(0,IFERROR(INDEX('2_IMPORTAR_EJECUCION'!$H$9:$H$1208,MATCH($AT1017,'2_IMPORTAR_EJECUCION'!$J$9:$J$1208,0)),0)-$AK1017))</f>
        <v/>
      </c>
      <c r="AM1017" s="18">
        <f>IF($A1017="","",$AK1017+$AL1017)</f>
        <v/>
      </c>
      <c r="AN1017" s="5">
        <f>IF($A1017="","",IF(OR((IFERROR(INDEX('CAT_ACTIVIDADES'!$D$4:$D$11,MATCH($H1017,'CAT_ACTIVIDADES'!$A$4:$A$11,0)),""))=0,(IFERROR(INDEX('CAT_ACTIVIDADES'!$D$4:$D$11,MATCH($H1017,'CAT_ACTIVIDADES'!$A$4:$A$11,0)),""))=""),"SIN CLASIFICAR",IFERROR(INDEX('CAT_ACTIVIDADES'!$D$4:$D$11,MATCH($H1017,'CAT_ACTIVIDADES'!$A$4:$A$11,0)),"")))</f>
        <v/>
      </c>
      <c r="AO1017" s="4" t="n"/>
      <c r="AP1017" s="4" t="n"/>
      <c r="AQ1017" s="4" t="n"/>
      <c r="AR1017" s="5">
        <f>IF($AQ1017="","",HYPERLINK(p_ruta_base_checklists&amp;$AQ1017,"abrir"))</f>
        <v/>
      </c>
      <c r="AS1017" s="4" t="n"/>
      <c r="AT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2" t="n"/>
      <c r="K1018" s="5" t="n"/>
      <c r="L1018" s="18" t="n"/>
      <c r="M1018" s="5">
        <f>IF($A1018="","",IFERROR(INDEX('AJUSTES'!$B$4:$B$303,MATCH($AT1018,'AJUSTES'!$A$4:$A$303,0)),IF($K1018="","",$K1018)))</f>
        <v/>
      </c>
      <c r="N1018" s="5">
        <f>IF($A1018="","",IFERROR(INDEX('CAT_ESTADOS_ERP'!$B$4:$B$7,MATCH(IFERROR(INDEX('2_IMPORTAR_EJECUCION'!$C$9:$C$1208,MATCH($AT1018,'2_IMPORTAR_EJECUCION'!$J$9:$J$1208,0)),""),'CAT_ESTADOS_ERP'!$A$4:$A$7,0)),"Pendiente"))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IF($J1018="","",$P1018&amp;"-"&amp;TEXT($Q1018,"00"))</f>
        <v/>
      </c>
      <c r="S1018" s="5">
        <f>IF($J1018="","",INDEX(lista_dias,WEEKDAY($J1018,2)))</f>
        <v/>
      </c>
      <c r="T1018" s="5">
        <f>IF($J1018="","",IFERROR(INDEX('CALENDARIO'!$C$15:$C$214,MATCH(TEXT($J1018,"yyyy-mm-dd")&amp;"|"&amp;$X1018&amp;"|"&amp;$Y1018,'CALENDARIO'!$G$15:$G$214,0)),IFERROR(INDEX('CALENDARIO'!$C$15:$C$214,MATCH(TEXT($J1018,"yyyy-mm-dd")&amp;"|"&amp;$X1018&amp;"|",'CALENDARIO'!$G$15:$G$214,0)),IFERROR(INDEX('CALENDARIO'!$C$15:$C$214,MATCH(TEXT($J1018,"yyyy-mm-dd")&amp;"||",'CALENDARIO'!$G$15:$G$214,0)),INDEX(patronHabil,WEEKDAY($J1018,2))))))</f>
        <v/>
      </c>
      <c r="U1018" s="5">
        <f>IF($I1018="","",IFERROR(INDEX('CAT_TIPOS_OT'!$C$4:$C$8,MATCH($I1018,'CAT_TIPOS_OT'!$A$4:$A$8,0)),"sin_clasificar"))</f>
        <v/>
      </c>
      <c r="V1018" s="5">
        <f>IF($I1018="","",IF(IFERROR(INDEX('CAT_TIPOS_OT'!$D$4:$D$8,MATCH($I1018,'CAT_TIPOS_OT'!$A$4:$A$8,0)),"SIN CLASIFICAR")="","SIN CLASIFICAR",IFERROR(INDEX('CAT_TIPOS_OT'!$D$4:$D$8,MATCH($I1018,'CAT_TIPOS_OT'!$A$4:$A$8,0)),"SIN CLASIFICAR")))</f>
        <v/>
      </c>
      <c r="W1018" s="5">
        <f>IF($F1018="","",IFERROR(INDEX('CAT_CENTROS_COSTO'!$F$4:$F$13,MATCH($F1018,'CAT_CENTROS_COSTO'!$A$4:$A$13,0)),"(sin catálogo)"))</f>
        <v/>
      </c>
      <c r="X1018" s="5">
        <f>IF($F1018="","",IFERROR(INDEX('CAT_CENTROS_COSTO'!$D$4:$D$13,MATCH($F1018,'CAT_CENTROS_COSTO'!$A$4:$A$13,0)),"(sin catálogo)"))</f>
        <v/>
      </c>
      <c r="Y1018" s="5">
        <f>IF($F1018="","",IF((IFERROR(INDEX('CAT_CENTROS_COSTO'!$E$4:$E$13,MATCH($F1018,'CAT_CENTROS_COSTO'!$A$4:$A$13,0)),""))&lt;&gt;"",IFERROR(INDEX('CAT_CENTROS_COSTO'!$E$4:$E$13,MATCH($F1018,'CAT_CENTROS_COSTO'!$A$4:$A$13,0)),""),$X1018))</f>
        <v/>
      </c>
      <c r="Z1018" s="5">
        <f>IF($F1018="","",IFERROR(INDEX('CAT_CENTROS_COSTO'!$G$4:$G$13,MATCH($F1018,'CAT_CENTROS_COSTO'!$A$4:$A$13,0)),"(sin catálogo)"))</f>
        <v/>
      </c>
      <c r="AA1018" s="5">
        <f>IF($G1018="","",IFERROR(INDEX('CAT_PUESTOS'!$B$4:$B$8,MATCH($G1018,'CAT_PUESTOS'!$A$4:$A$8,0)),"(sin catálogo)"))</f>
        <v/>
      </c>
      <c r="AB1018" s="5">
        <f>IF($H1018="","",IFERROR(INDEX('CAT_ACTIVIDADES'!$B$4:$B$11,MATCH($H1018,'CAT_ACTIVIDADES'!$A$4:$A$11,0)),"(sin catálogo)"))</f>
        <v/>
      </c>
      <c r="AC1018" s="20">
        <f>IF($J1018="","",TODAY()-$J1018)</f>
        <v/>
      </c>
      <c r="AD1018" s="20">
        <f>IF($J1018="","",IF($J1018&lt;=TODAY(),COUNTIFS(cal_fechas,"&gt;="&amp;$J1018,cal_fechas,"&lt;"&amp;TODAY(),cal_habil,"sí"),-COUNTIFS(cal_fechas,"&gt;="&amp;TODAY(),cal_fechas,"&lt;"&amp;$J1018,cal_habil,"sí")))</f>
        <v/>
      </c>
      <c r="AE1018" s="5">
        <f>IF($AD1018="","",IF($AD1018&lt;0,"FUTURO",IF($AD1018&gt;p_dias_backlog_max,"BACKLOG","MES CORRIENTE")))</f>
        <v/>
      </c>
      <c r="AF1018" s="5">
        <f>IF($AD1018="",FALSE,AND($AD1018&gt;p_dias_backlog_min,$AD1018&lt;=p_dias_backlog_max))</f>
        <v/>
      </c>
      <c r="AG1018" s="4" t="n"/>
      <c r="AH1018" s="5">
        <f>IF($AG1018="","",IF((IFERROR(INDEX('ASIGNACIONES'!$J$4:$J$451,MATCH($O1018&amp;"|"&amp;$S1018&amp;"|"&amp;$AG1018,'ASIGNACIONES'!$N$4:$N$451,0)),""))=0,"",IFERROR(INDEX('ASIGNACIONES'!$J$4:$J$451,MATCH($O1018&amp;"|"&amp;$S1018&amp;"|"&amp;$AG1018,'ASIGNACIONES'!$N$4:$N$451,0)),"")))</f>
        <v/>
      </c>
      <c r="AI1018" s="25">
        <f>IF($AG1018="","",SUMIFS('ORDENES'!$M$4:$M$1203,'ORDENES'!$AG$4:$AG$1203,$AG1018,'ORDENES'!$O$4:$O$1203,$O1018,'ORDENES'!$S$4:$S$1203,$S1018))</f>
        <v/>
      </c>
      <c r="AJ1018" s="25">
        <f>IF($AI1018="","",p_factor_productividad*IFERROR(INDEX('ASIGNACIONES'!$M$4:$M$451,MATCH($O1018&amp;"|"&amp;$S1018&amp;"|"&amp;$AG1018,'ASIGNACIONES'!$N$4:$N$451,0)),0)-$AI1018)</f>
        <v/>
      </c>
      <c r="AK1018" s="18">
        <f>IF($A1018="","",IFERROR(INDEX('2_IMPORTAR_EJECUCION'!$F$9:$F$1208,MATCH($AT1018,'2_IMPORTAR_EJECUCION'!$J$9:$J$1208,0)),0))</f>
        <v/>
      </c>
      <c r="AL1018" s="18">
        <f>IF($A1018="","",MAX(0,IFERROR(INDEX('2_IMPORTAR_EJECUCION'!$H$9:$H$1208,MATCH($AT1018,'2_IMPORTAR_EJECUCION'!$J$9:$J$1208,0)),0)-$AK1018))</f>
        <v/>
      </c>
      <c r="AM1018" s="18">
        <f>IF($A1018="","",$AK1018+$AL1018)</f>
        <v/>
      </c>
      <c r="AN1018" s="5">
        <f>IF($A1018="","",IF(OR((IFERROR(INDEX('CAT_ACTIVIDADES'!$D$4:$D$11,MATCH($H1018,'CAT_ACTIVIDADES'!$A$4:$A$11,0)),""))=0,(IFERROR(INDEX('CAT_ACTIVIDADES'!$D$4:$D$11,MATCH($H1018,'CAT_ACTIVIDADES'!$A$4:$A$11,0)),""))=""),"SIN CLASIFICAR",IFERROR(INDEX('CAT_ACTIVIDADES'!$D$4:$D$11,MATCH($H1018,'CAT_ACTIVIDADES'!$A$4:$A$11,0)),"")))</f>
        <v/>
      </c>
      <c r="AO1018" s="4" t="n"/>
      <c r="AP1018" s="4" t="n"/>
      <c r="AQ1018" s="4" t="n"/>
      <c r="AR1018" s="5">
        <f>IF($AQ1018="","",HYPERLINK(p_ruta_base_checklists&amp;$AQ1018,"abrir"))</f>
        <v/>
      </c>
      <c r="AS1018" s="4" t="n"/>
      <c r="AT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2" t="n"/>
      <c r="K1019" s="5" t="n"/>
      <c r="L1019" s="18" t="n"/>
      <c r="M1019" s="5">
        <f>IF($A1019="","",IFERROR(INDEX('AJUSTES'!$B$4:$B$303,MATCH($AT1019,'AJUSTES'!$A$4:$A$303,0)),IF($K1019="","",$K1019)))</f>
        <v/>
      </c>
      <c r="N1019" s="5">
        <f>IF($A1019="","",IFERROR(INDEX('CAT_ESTADOS_ERP'!$B$4:$B$7,MATCH(IFERROR(INDEX('2_IMPORTAR_EJECUCION'!$C$9:$C$1208,MATCH($AT1019,'2_IMPORTAR_EJECUCION'!$J$9:$J$1208,0)),""),'CAT_ESTADOS_ERP'!$A$4:$A$7,0)),"Pendiente"))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IF($J1019="","",$P1019&amp;"-"&amp;TEXT($Q1019,"00"))</f>
        <v/>
      </c>
      <c r="S1019" s="5">
        <f>IF($J1019="","",INDEX(lista_dias,WEEKDAY($J1019,2)))</f>
        <v/>
      </c>
      <c r="T1019" s="5">
        <f>IF($J1019="","",IFERROR(INDEX('CALENDARIO'!$C$15:$C$214,MATCH(TEXT($J1019,"yyyy-mm-dd")&amp;"|"&amp;$X1019&amp;"|"&amp;$Y1019,'CALENDARIO'!$G$15:$G$214,0)),IFERROR(INDEX('CALENDARIO'!$C$15:$C$214,MATCH(TEXT($J1019,"yyyy-mm-dd")&amp;"|"&amp;$X1019&amp;"|",'CALENDARIO'!$G$15:$G$214,0)),IFERROR(INDEX('CALENDARIO'!$C$15:$C$214,MATCH(TEXT($J1019,"yyyy-mm-dd")&amp;"||",'CALENDARIO'!$G$15:$G$214,0)),INDEX(patronHabil,WEEKDAY($J1019,2))))))</f>
        <v/>
      </c>
      <c r="U1019" s="5">
        <f>IF($I1019="","",IFERROR(INDEX('CAT_TIPOS_OT'!$C$4:$C$8,MATCH($I1019,'CAT_TIPOS_OT'!$A$4:$A$8,0)),"sin_clasificar"))</f>
        <v/>
      </c>
      <c r="V1019" s="5">
        <f>IF($I1019="","",IF(IFERROR(INDEX('CAT_TIPOS_OT'!$D$4:$D$8,MATCH($I1019,'CAT_TIPOS_OT'!$A$4:$A$8,0)),"SIN CLASIFICAR")="","SIN CLASIFICAR",IFERROR(INDEX('CAT_TIPOS_OT'!$D$4:$D$8,MATCH($I1019,'CAT_TIPOS_OT'!$A$4:$A$8,0)),"SIN CLASIFICAR")))</f>
        <v/>
      </c>
      <c r="W1019" s="5">
        <f>IF($F1019="","",IFERROR(INDEX('CAT_CENTROS_COSTO'!$F$4:$F$13,MATCH($F1019,'CAT_CENTROS_COSTO'!$A$4:$A$13,0)),"(sin catálogo)"))</f>
        <v/>
      </c>
      <c r="X1019" s="5">
        <f>IF($F1019="","",IFERROR(INDEX('CAT_CENTROS_COSTO'!$D$4:$D$13,MATCH($F1019,'CAT_CENTROS_COSTO'!$A$4:$A$13,0)),"(sin catálogo)"))</f>
        <v/>
      </c>
      <c r="Y1019" s="5">
        <f>IF($F1019="","",IF((IFERROR(INDEX('CAT_CENTROS_COSTO'!$E$4:$E$13,MATCH($F1019,'CAT_CENTROS_COSTO'!$A$4:$A$13,0)),""))&lt;&gt;"",IFERROR(INDEX('CAT_CENTROS_COSTO'!$E$4:$E$13,MATCH($F1019,'CAT_CENTROS_COSTO'!$A$4:$A$13,0)),""),$X1019))</f>
        <v/>
      </c>
      <c r="Z1019" s="5">
        <f>IF($F1019="","",IFERROR(INDEX('CAT_CENTROS_COSTO'!$G$4:$G$13,MATCH($F1019,'CAT_CENTROS_COSTO'!$A$4:$A$13,0)),"(sin catálogo)"))</f>
        <v/>
      </c>
      <c r="AA1019" s="5">
        <f>IF($G1019="","",IFERROR(INDEX('CAT_PUESTOS'!$B$4:$B$8,MATCH($G1019,'CAT_PUESTOS'!$A$4:$A$8,0)),"(sin catálogo)"))</f>
        <v/>
      </c>
      <c r="AB1019" s="5">
        <f>IF($H1019="","",IFERROR(INDEX('CAT_ACTIVIDADES'!$B$4:$B$11,MATCH($H1019,'CAT_ACTIVIDADES'!$A$4:$A$11,0)),"(sin catálogo)"))</f>
        <v/>
      </c>
      <c r="AC1019" s="20">
        <f>IF($J1019="","",TODAY()-$J1019)</f>
        <v/>
      </c>
      <c r="AD1019" s="20">
        <f>IF($J1019="","",IF($J1019&lt;=TODAY(),COUNTIFS(cal_fechas,"&gt;="&amp;$J1019,cal_fechas,"&lt;"&amp;TODAY(),cal_habil,"sí"),-COUNTIFS(cal_fechas,"&gt;="&amp;TODAY(),cal_fechas,"&lt;"&amp;$J1019,cal_habil,"sí")))</f>
        <v/>
      </c>
      <c r="AE1019" s="5">
        <f>IF($AD1019="","",IF($AD1019&lt;0,"FUTURO",IF($AD1019&gt;p_dias_backlog_max,"BACKLOG","MES CORRIENTE")))</f>
        <v/>
      </c>
      <c r="AF1019" s="5">
        <f>IF($AD1019="",FALSE,AND($AD1019&gt;p_dias_backlog_min,$AD1019&lt;=p_dias_backlog_max))</f>
        <v/>
      </c>
      <c r="AG1019" s="4" t="n"/>
      <c r="AH1019" s="5">
        <f>IF($AG1019="","",IF((IFERROR(INDEX('ASIGNACIONES'!$J$4:$J$451,MATCH($O1019&amp;"|"&amp;$S1019&amp;"|"&amp;$AG1019,'ASIGNACIONES'!$N$4:$N$451,0)),""))=0,"",IFERROR(INDEX('ASIGNACIONES'!$J$4:$J$451,MATCH($O1019&amp;"|"&amp;$S1019&amp;"|"&amp;$AG1019,'ASIGNACIONES'!$N$4:$N$451,0)),"")))</f>
        <v/>
      </c>
      <c r="AI1019" s="25">
        <f>IF($AG1019="","",SUMIFS('ORDENES'!$M$4:$M$1203,'ORDENES'!$AG$4:$AG$1203,$AG1019,'ORDENES'!$O$4:$O$1203,$O1019,'ORDENES'!$S$4:$S$1203,$S1019))</f>
        <v/>
      </c>
      <c r="AJ1019" s="25">
        <f>IF($AI1019="","",p_factor_productividad*IFERROR(INDEX('ASIGNACIONES'!$M$4:$M$451,MATCH($O1019&amp;"|"&amp;$S1019&amp;"|"&amp;$AG1019,'ASIGNACIONES'!$N$4:$N$451,0)),0)-$AI1019)</f>
        <v/>
      </c>
      <c r="AK1019" s="18">
        <f>IF($A1019="","",IFERROR(INDEX('2_IMPORTAR_EJECUCION'!$F$9:$F$1208,MATCH($AT1019,'2_IMPORTAR_EJECUCION'!$J$9:$J$1208,0)),0))</f>
        <v/>
      </c>
      <c r="AL1019" s="18">
        <f>IF($A1019="","",MAX(0,IFERROR(INDEX('2_IMPORTAR_EJECUCION'!$H$9:$H$1208,MATCH($AT1019,'2_IMPORTAR_EJECUCION'!$J$9:$J$1208,0)),0)-$AK1019))</f>
        <v/>
      </c>
      <c r="AM1019" s="18">
        <f>IF($A1019="","",$AK1019+$AL1019)</f>
        <v/>
      </c>
      <c r="AN1019" s="5">
        <f>IF($A1019="","",IF(OR((IFERROR(INDEX('CAT_ACTIVIDADES'!$D$4:$D$11,MATCH($H1019,'CAT_ACTIVIDADES'!$A$4:$A$11,0)),""))=0,(IFERROR(INDEX('CAT_ACTIVIDADES'!$D$4:$D$11,MATCH($H1019,'CAT_ACTIVIDADES'!$A$4:$A$11,0)),""))=""),"SIN CLASIFICAR",IFERROR(INDEX('CAT_ACTIVIDADES'!$D$4:$D$11,MATCH($H1019,'CAT_ACTIVIDADES'!$A$4:$A$11,0)),"")))</f>
        <v/>
      </c>
      <c r="AO1019" s="4" t="n"/>
      <c r="AP1019" s="4" t="n"/>
      <c r="AQ1019" s="4" t="n"/>
      <c r="AR1019" s="5">
        <f>IF($AQ1019="","",HYPERLINK(p_ruta_base_checklists&amp;$AQ1019,"abrir"))</f>
        <v/>
      </c>
      <c r="AS1019" s="4" t="n"/>
      <c r="AT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2" t="n"/>
      <c r="K1020" s="5" t="n"/>
      <c r="L1020" s="18" t="n"/>
      <c r="M1020" s="5">
        <f>IF($A1020="","",IFERROR(INDEX('AJUSTES'!$B$4:$B$303,MATCH($AT1020,'AJUSTES'!$A$4:$A$303,0)),IF($K1020="","",$K1020)))</f>
        <v/>
      </c>
      <c r="N1020" s="5">
        <f>IF($A1020="","",IFERROR(INDEX('CAT_ESTADOS_ERP'!$B$4:$B$7,MATCH(IFERROR(INDEX('2_IMPORTAR_EJECUCION'!$C$9:$C$1208,MATCH($AT1020,'2_IMPORTAR_EJECUCION'!$J$9:$J$1208,0)),""),'CAT_ESTADOS_ERP'!$A$4:$A$7,0)),"Pendiente"))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IF($J1020="","",$P1020&amp;"-"&amp;TEXT($Q1020,"00"))</f>
        <v/>
      </c>
      <c r="S1020" s="5">
        <f>IF($J1020="","",INDEX(lista_dias,WEEKDAY($J1020,2)))</f>
        <v/>
      </c>
      <c r="T1020" s="5">
        <f>IF($J1020="","",IFERROR(INDEX('CALENDARIO'!$C$15:$C$214,MATCH(TEXT($J1020,"yyyy-mm-dd")&amp;"|"&amp;$X1020&amp;"|"&amp;$Y1020,'CALENDARIO'!$G$15:$G$214,0)),IFERROR(INDEX('CALENDARIO'!$C$15:$C$214,MATCH(TEXT($J1020,"yyyy-mm-dd")&amp;"|"&amp;$X1020&amp;"|",'CALENDARIO'!$G$15:$G$214,0)),IFERROR(INDEX('CALENDARIO'!$C$15:$C$214,MATCH(TEXT($J1020,"yyyy-mm-dd")&amp;"||",'CALENDARIO'!$G$15:$G$214,0)),INDEX(patronHabil,WEEKDAY($J1020,2))))))</f>
        <v/>
      </c>
      <c r="U1020" s="5">
        <f>IF($I1020="","",IFERROR(INDEX('CAT_TIPOS_OT'!$C$4:$C$8,MATCH($I1020,'CAT_TIPOS_OT'!$A$4:$A$8,0)),"sin_clasificar"))</f>
        <v/>
      </c>
      <c r="V1020" s="5">
        <f>IF($I1020="","",IF(IFERROR(INDEX('CAT_TIPOS_OT'!$D$4:$D$8,MATCH($I1020,'CAT_TIPOS_OT'!$A$4:$A$8,0)),"SIN CLASIFICAR")="","SIN CLASIFICAR",IFERROR(INDEX('CAT_TIPOS_OT'!$D$4:$D$8,MATCH($I1020,'CAT_TIPOS_OT'!$A$4:$A$8,0)),"SIN CLASIFICAR")))</f>
        <v/>
      </c>
      <c r="W1020" s="5">
        <f>IF($F1020="","",IFERROR(INDEX('CAT_CENTROS_COSTO'!$F$4:$F$13,MATCH($F1020,'CAT_CENTROS_COSTO'!$A$4:$A$13,0)),"(sin catálogo)"))</f>
        <v/>
      </c>
      <c r="X1020" s="5">
        <f>IF($F1020="","",IFERROR(INDEX('CAT_CENTROS_COSTO'!$D$4:$D$13,MATCH($F1020,'CAT_CENTROS_COSTO'!$A$4:$A$13,0)),"(sin catálogo)"))</f>
        <v/>
      </c>
      <c r="Y1020" s="5">
        <f>IF($F1020="","",IF((IFERROR(INDEX('CAT_CENTROS_COSTO'!$E$4:$E$13,MATCH($F1020,'CAT_CENTROS_COSTO'!$A$4:$A$13,0)),""))&lt;&gt;"",IFERROR(INDEX('CAT_CENTROS_COSTO'!$E$4:$E$13,MATCH($F1020,'CAT_CENTROS_COSTO'!$A$4:$A$13,0)),""),$X1020))</f>
        <v/>
      </c>
      <c r="Z1020" s="5">
        <f>IF($F1020="","",IFERROR(INDEX('CAT_CENTROS_COSTO'!$G$4:$G$13,MATCH($F1020,'CAT_CENTROS_COSTO'!$A$4:$A$13,0)),"(sin catálogo)"))</f>
        <v/>
      </c>
      <c r="AA1020" s="5">
        <f>IF($G1020="","",IFERROR(INDEX('CAT_PUESTOS'!$B$4:$B$8,MATCH($G1020,'CAT_PUESTOS'!$A$4:$A$8,0)),"(sin catálogo)"))</f>
        <v/>
      </c>
      <c r="AB1020" s="5">
        <f>IF($H1020="","",IFERROR(INDEX('CAT_ACTIVIDADES'!$B$4:$B$11,MATCH($H1020,'CAT_ACTIVIDADES'!$A$4:$A$11,0)),"(sin catálogo)"))</f>
        <v/>
      </c>
      <c r="AC1020" s="20">
        <f>IF($J1020="","",TODAY()-$J1020)</f>
        <v/>
      </c>
      <c r="AD1020" s="20">
        <f>IF($J1020="","",IF($J1020&lt;=TODAY(),COUNTIFS(cal_fechas,"&gt;="&amp;$J1020,cal_fechas,"&lt;"&amp;TODAY(),cal_habil,"sí"),-COUNTIFS(cal_fechas,"&gt;="&amp;TODAY(),cal_fechas,"&lt;"&amp;$J1020,cal_habil,"sí")))</f>
        <v/>
      </c>
      <c r="AE1020" s="5">
        <f>IF($AD1020="","",IF($AD1020&lt;0,"FUTURO",IF($AD1020&gt;p_dias_backlog_max,"BACKLOG","MES CORRIENTE")))</f>
        <v/>
      </c>
      <c r="AF1020" s="5">
        <f>IF($AD1020="",FALSE,AND($AD1020&gt;p_dias_backlog_min,$AD1020&lt;=p_dias_backlog_max))</f>
        <v/>
      </c>
      <c r="AG1020" s="4" t="n"/>
      <c r="AH1020" s="5">
        <f>IF($AG1020="","",IF((IFERROR(INDEX('ASIGNACIONES'!$J$4:$J$451,MATCH($O1020&amp;"|"&amp;$S1020&amp;"|"&amp;$AG1020,'ASIGNACIONES'!$N$4:$N$451,0)),""))=0,"",IFERROR(INDEX('ASIGNACIONES'!$J$4:$J$451,MATCH($O1020&amp;"|"&amp;$S1020&amp;"|"&amp;$AG1020,'ASIGNACIONES'!$N$4:$N$451,0)),"")))</f>
        <v/>
      </c>
      <c r="AI1020" s="25">
        <f>IF($AG1020="","",SUMIFS('ORDENES'!$M$4:$M$1203,'ORDENES'!$AG$4:$AG$1203,$AG1020,'ORDENES'!$O$4:$O$1203,$O1020,'ORDENES'!$S$4:$S$1203,$S1020))</f>
        <v/>
      </c>
      <c r="AJ1020" s="25">
        <f>IF($AI1020="","",p_factor_productividad*IFERROR(INDEX('ASIGNACIONES'!$M$4:$M$451,MATCH($O1020&amp;"|"&amp;$S1020&amp;"|"&amp;$AG1020,'ASIGNACIONES'!$N$4:$N$451,0)),0)-$AI1020)</f>
        <v/>
      </c>
      <c r="AK1020" s="18">
        <f>IF($A1020="","",IFERROR(INDEX('2_IMPORTAR_EJECUCION'!$F$9:$F$1208,MATCH($AT1020,'2_IMPORTAR_EJECUCION'!$J$9:$J$1208,0)),0))</f>
        <v/>
      </c>
      <c r="AL1020" s="18">
        <f>IF($A1020="","",MAX(0,IFERROR(INDEX('2_IMPORTAR_EJECUCION'!$H$9:$H$1208,MATCH($AT1020,'2_IMPORTAR_EJECUCION'!$J$9:$J$1208,0)),0)-$AK1020))</f>
        <v/>
      </c>
      <c r="AM1020" s="18">
        <f>IF($A1020="","",$AK1020+$AL1020)</f>
        <v/>
      </c>
      <c r="AN1020" s="5">
        <f>IF($A1020="","",IF(OR((IFERROR(INDEX('CAT_ACTIVIDADES'!$D$4:$D$11,MATCH($H1020,'CAT_ACTIVIDADES'!$A$4:$A$11,0)),""))=0,(IFERROR(INDEX('CAT_ACTIVIDADES'!$D$4:$D$11,MATCH($H1020,'CAT_ACTIVIDADES'!$A$4:$A$11,0)),""))=""),"SIN CLASIFICAR",IFERROR(INDEX('CAT_ACTIVIDADES'!$D$4:$D$11,MATCH($H1020,'CAT_ACTIVIDADES'!$A$4:$A$11,0)),"")))</f>
        <v/>
      </c>
      <c r="AO1020" s="4" t="n"/>
      <c r="AP1020" s="4" t="n"/>
      <c r="AQ1020" s="4" t="n"/>
      <c r="AR1020" s="5">
        <f>IF($AQ1020="","",HYPERLINK(p_ruta_base_checklists&amp;$AQ1020,"abrir"))</f>
        <v/>
      </c>
      <c r="AS1020" s="4" t="n"/>
      <c r="AT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2" t="n"/>
      <c r="K1021" s="5" t="n"/>
      <c r="L1021" s="18" t="n"/>
      <c r="M1021" s="5">
        <f>IF($A1021="","",IFERROR(INDEX('AJUSTES'!$B$4:$B$303,MATCH($AT1021,'AJUSTES'!$A$4:$A$303,0)),IF($K1021="","",$K1021)))</f>
        <v/>
      </c>
      <c r="N1021" s="5">
        <f>IF($A1021="","",IFERROR(INDEX('CAT_ESTADOS_ERP'!$B$4:$B$7,MATCH(IFERROR(INDEX('2_IMPORTAR_EJECUCION'!$C$9:$C$1208,MATCH($AT1021,'2_IMPORTAR_EJECUCION'!$J$9:$J$1208,0)),""),'CAT_ESTADOS_ERP'!$A$4:$A$7,0)),"Pendiente"))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IF($J1021="","",$P1021&amp;"-"&amp;TEXT($Q1021,"00"))</f>
        <v/>
      </c>
      <c r="S1021" s="5">
        <f>IF($J1021="","",INDEX(lista_dias,WEEKDAY($J1021,2)))</f>
        <v/>
      </c>
      <c r="T1021" s="5">
        <f>IF($J1021="","",IFERROR(INDEX('CALENDARIO'!$C$15:$C$214,MATCH(TEXT($J1021,"yyyy-mm-dd")&amp;"|"&amp;$X1021&amp;"|"&amp;$Y1021,'CALENDARIO'!$G$15:$G$214,0)),IFERROR(INDEX('CALENDARIO'!$C$15:$C$214,MATCH(TEXT($J1021,"yyyy-mm-dd")&amp;"|"&amp;$X1021&amp;"|",'CALENDARIO'!$G$15:$G$214,0)),IFERROR(INDEX('CALENDARIO'!$C$15:$C$214,MATCH(TEXT($J1021,"yyyy-mm-dd")&amp;"||",'CALENDARIO'!$G$15:$G$214,0)),INDEX(patronHabil,WEEKDAY($J1021,2))))))</f>
        <v/>
      </c>
      <c r="U1021" s="5">
        <f>IF($I1021="","",IFERROR(INDEX('CAT_TIPOS_OT'!$C$4:$C$8,MATCH($I1021,'CAT_TIPOS_OT'!$A$4:$A$8,0)),"sin_clasificar"))</f>
        <v/>
      </c>
      <c r="V1021" s="5">
        <f>IF($I1021="","",IF(IFERROR(INDEX('CAT_TIPOS_OT'!$D$4:$D$8,MATCH($I1021,'CAT_TIPOS_OT'!$A$4:$A$8,0)),"SIN CLASIFICAR")="","SIN CLASIFICAR",IFERROR(INDEX('CAT_TIPOS_OT'!$D$4:$D$8,MATCH($I1021,'CAT_TIPOS_OT'!$A$4:$A$8,0)),"SIN CLASIFICAR")))</f>
        <v/>
      </c>
      <c r="W1021" s="5">
        <f>IF($F1021="","",IFERROR(INDEX('CAT_CENTROS_COSTO'!$F$4:$F$13,MATCH($F1021,'CAT_CENTROS_COSTO'!$A$4:$A$13,0)),"(sin catálogo)"))</f>
        <v/>
      </c>
      <c r="X1021" s="5">
        <f>IF($F1021="","",IFERROR(INDEX('CAT_CENTROS_COSTO'!$D$4:$D$13,MATCH($F1021,'CAT_CENTROS_COSTO'!$A$4:$A$13,0)),"(sin catálogo)"))</f>
        <v/>
      </c>
      <c r="Y1021" s="5">
        <f>IF($F1021="","",IF((IFERROR(INDEX('CAT_CENTROS_COSTO'!$E$4:$E$13,MATCH($F1021,'CAT_CENTROS_COSTO'!$A$4:$A$13,0)),""))&lt;&gt;"",IFERROR(INDEX('CAT_CENTROS_COSTO'!$E$4:$E$13,MATCH($F1021,'CAT_CENTROS_COSTO'!$A$4:$A$13,0)),""),$X1021))</f>
        <v/>
      </c>
      <c r="Z1021" s="5">
        <f>IF($F1021="","",IFERROR(INDEX('CAT_CENTROS_COSTO'!$G$4:$G$13,MATCH($F1021,'CAT_CENTROS_COSTO'!$A$4:$A$13,0)),"(sin catálogo)"))</f>
        <v/>
      </c>
      <c r="AA1021" s="5">
        <f>IF($G1021="","",IFERROR(INDEX('CAT_PUESTOS'!$B$4:$B$8,MATCH($G1021,'CAT_PUESTOS'!$A$4:$A$8,0)),"(sin catálogo)"))</f>
        <v/>
      </c>
      <c r="AB1021" s="5">
        <f>IF($H1021="","",IFERROR(INDEX('CAT_ACTIVIDADES'!$B$4:$B$11,MATCH($H1021,'CAT_ACTIVIDADES'!$A$4:$A$11,0)),"(sin catálogo)"))</f>
        <v/>
      </c>
      <c r="AC1021" s="20">
        <f>IF($J1021="","",TODAY()-$J1021)</f>
        <v/>
      </c>
      <c r="AD1021" s="20">
        <f>IF($J1021="","",IF($J1021&lt;=TODAY(),COUNTIFS(cal_fechas,"&gt;="&amp;$J1021,cal_fechas,"&lt;"&amp;TODAY(),cal_habil,"sí"),-COUNTIFS(cal_fechas,"&gt;="&amp;TODAY(),cal_fechas,"&lt;"&amp;$J1021,cal_habil,"sí")))</f>
        <v/>
      </c>
      <c r="AE1021" s="5">
        <f>IF($AD1021="","",IF($AD1021&lt;0,"FUTURO",IF($AD1021&gt;p_dias_backlog_max,"BACKLOG","MES CORRIENTE")))</f>
        <v/>
      </c>
      <c r="AF1021" s="5">
        <f>IF($AD1021="",FALSE,AND($AD1021&gt;p_dias_backlog_min,$AD1021&lt;=p_dias_backlog_max))</f>
        <v/>
      </c>
      <c r="AG1021" s="4" t="n"/>
      <c r="AH1021" s="5">
        <f>IF($AG1021="","",IF((IFERROR(INDEX('ASIGNACIONES'!$J$4:$J$451,MATCH($O1021&amp;"|"&amp;$S1021&amp;"|"&amp;$AG1021,'ASIGNACIONES'!$N$4:$N$451,0)),""))=0,"",IFERROR(INDEX('ASIGNACIONES'!$J$4:$J$451,MATCH($O1021&amp;"|"&amp;$S1021&amp;"|"&amp;$AG1021,'ASIGNACIONES'!$N$4:$N$451,0)),"")))</f>
        <v/>
      </c>
      <c r="AI1021" s="25">
        <f>IF($AG1021="","",SUMIFS('ORDENES'!$M$4:$M$1203,'ORDENES'!$AG$4:$AG$1203,$AG1021,'ORDENES'!$O$4:$O$1203,$O1021,'ORDENES'!$S$4:$S$1203,$S1021))</f>
        <v/>
      </c>
      <c r="AJ1021" s="25">
        <f>IF($AI1021="","",p_factor_productividad*IFERROR(INDEX('ASIGNACIONES'!$M$4:$M$451,MATCH($O1021&amp;"|"&amp;$S1021&amp;"|"&amp;$AG1021,'ASIGNACIONES'!$N$4:$N$451,0)),0)-$AI1021)</f>
        <v/>
      </c>
      <c r="AK1021" s="18">
        <f>IF($A1021="","",IFERROR(INDEX('2_IMPORTAR_EJECUCION'!$F$9:$F$1208,MATCH($AT1021,'2_IMPORTAR_EJECUCION'!$J$9:$J$1208,0)),0))</f>
        <v/>
      </c>
      <c r="AL1021" s="18">
        <f>IF($A1021="","",MAX(0,IFERROR(INDEX('2_IMPORTAR_EJECUCION'!$H$9:$H$1208,MATCH($AT1021,'2_IMPORTAR_EJECUCION'!$J$9:$J$1208,0)),0)-$AK1021))</f>
        <v/>
      </c>
      <c r="AM1021" s="18">
        <f>IF($A1021="","",$AK1021+$AL1021)</f>
        <v/>
      </c>
      <c r="AN1021" s="5">
        <f>IF($A1021="","",IF(OR((IFERROR(INDEX('CAT_ACTIVIDADES'!$D$4:$D$11,MATCH($H1021,'CAT_ACTIVIDADES'!$A$4:$A$11,0)),""))=0,(IFERROR(INDEX('CAT_ACTIVIDADES'!$D$4:$D$11,MATCH($H1021,'CAT_ACTIVIDADES'!$A$4:$A$11,0)),""))=""),"SIN CLASIFICAR",IFERROR(INDEX('CAT_ACTIVIDADES'!$D$4:$D$11,MATCH($H1021,'CAT_ACTIVIDADES'!$A$4:$A$11,0)),"")))</f>
        <v/>
      </c>
      <c r="AO1021" s="4" t="n"/>
      <c r="AP1021" s="4" t="n"/>
      <c r="AQ1021" s="4" t="n"/>
      <c r="AR1021" s="5">
        <f>IF($AQ1021="","",HYPERLINK(p_ruta_base_checklists&amp;$AQ1021,"abrir"))</f>
        <v/>
      </c>
      <c r="AS1021" s="4" t="n"/>
      <c r="AT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2" t="n"/>
      <c r="K1022" s="5" t="n"/>
      <c r="L1022" s="18" t="n"/>
      <c r="M1022" s="5">
        <f>IF($A1022="","",IFERROR(INDEX('AJUSTES'!$B$4:$B$303,MATCH($AT1022,'AJUSTES'!$A$4:$A$303,0)),IF($K1022="","",$K1022)))</f>
        <v/>
      </c>
      <c r="N1022" s="5">
        <f>IF($A1022="","",IFERROR(INDEX('CAT_ESTADOS_ERP'!$B$4:$B$7,MATCH(IFERROR(INDEX('2_IMPORTAR_EJECUCION'!$C$9:$C$1208,MATCH($AT1022,'2_IMPORTAR_EJECUCION'!$J$9:$J$1208,0)),""),'CAT_ESTADOS_ERP'!$A$4:$A$7,0)),"Pendiente"))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IF($J1022="","",$P1022&amp;"-"&amp;TEXT($Q1022,"00"))</f>
        <v/>
      </c>
      <c r="S1022" s="5">
        <f>IF($J1022="","",INDEX(lista_dias,WEEKDAY($J1022,2)))</f>
        <v/>
      </c>
      <c r="T1022" s="5">
        <f>IF($J1022="","",IFERROR(INDEX('CALENDARIO'!$C$15:$C$214,MATCH(TEXT($J1022,"yyyy-mm-dd")&amp;"|"&amp;$X1022&amp;"|"&amp;$Y1022,'CALENDARIO'!$G$15:$G$214,0)),IFERROR(INDEX('CALENDARIO'!$C$15:$C$214,MATCH(TEXT($J1022,"yyyy-mm-dd")&amp;"|"&amp;$X1022&amp;"|",'CALENDARIO'!$G$15:$G$214,0)),IFERROR(INDEX('CALENDARIO'!$C$15:$C$214,MATCH(TEXT($J1022,"yyyy-mm-dd")&amp;"||",'CALENDARIO'!$G$15:$G$214,0)),INDEX(patronHabil,WEEKDAY($J1022,2))))))</f>
        <v/>
      </c>
      <c r="U1022" s="5">
        <f>IF($I1022="","",IFERROR(INDEX('CAT_TIPOS_OT'!$C$4:$C$8,MATCH($I1022,'CAT_TIPOS_OT'!$A$4:$A$8,0)),"sin_clasificar"))</f>
        <v/>
      </c>
      <c r="V1022" s="5">
        <f>IF($I1022="","",IF(IFERROR(INDEX('CAT_TIPOS_OT'!$D$4:$D$8,MATCH($I1022,'CAT_TIPOS_OT'!$A$4:$A$8,0)),"SIN CLASIFICAR")="","SIN CLASIFICAR",IFERROR(INDEX('CAT_TIPOS_OT'!$D$4:$D$8,MATCH($I1022,'CAT_TIPOS_OT'!$A$4:$A$8,0)),"SIN CLASIFICAR")))</f>
        <v/>
      </c>
      <c r="W1022" s="5">
        <f>IF($F1022="","",IFERROR(INDEX('CAT_CENTROS_COSTO'!$F$4:$F$13,MATCH($F1022,'CAT_CENTROS_COSTO'!$A$4:$A$13,0)),"(sin catálogo)"))</f>
        <v/>
      </c>
      <c r="X1022" s="5">
        <f>IF($F1022="","",IFERROR(INDEX('CAT_CENTROS_COSTO'!$D$4:$D$13,MATCH($F1022,'CAT_CENTROS_COSTO'!$A$4:$A$13,0)),"(sin catálogo)"))</f>
        <v/>
      </c>
      <c r="Y1022" s="5">
        <f>IF($F1022="","",IF((IFERROR(INDEX('CAT_CENTROS_COSTO'!$E$4:$E$13,MATCH($F1022,'CAT_CENTROS_COSTO'!$A$4:$A$13,0)),""))&lt;&gt;"",IFERROR(INDEX('CAT_CENTROS_COSTO'!$E$4:$E$13,MATCH($F1022,'CAT_CENTROS_COSTO'!$A$4:$A$13,0)),""),$X1022))</f>
        <v/>
      </c>
      <c r="Z1022" s="5">
        <f>IF($F1022="","",IFERROR(INDEX('CAT_CENTROS_COSTO'!$G$4:$G$13,MATCH($F1022,'CAT_CENTROS_COSTO'!$A$4:$A$13,0)),"(sin catálogo)"))</f>
        <v/>
      </c>
      <c r="AA1022" s="5">
        <f>IF($G1022="","",IFERROR(INDEX('CAT_PUESTOS'!$B$4:$B$8,MATCH($G1022,'CAT_PUESTOS'!$A$4:$A$8,0)),"(sin catálogo)"))</f>
        <v/>
      </c>
      <c r="AB1022" s="5">
        <f>IF($H1022="","",IFERROR(INDEX('CAT_ACTIVIDADES'!$B$4:$B$11,MATCH($H1022,'CAT_ACTIVIDADES'!$A$4:$A$11,0)),"(sin catálogo)"))</f>
        <v/>
      </c>
      <c r="AC1022" s="20">
        <f>IF($J1022="","",TODAY()-$J1022)</f>
        <v/>
      </c>
      <c r="AD1022" s="20">
        <f>IF($J1022="","",IF($J1022&lt;=TODAY(),COUNTIFS(cal_fechas,"&gt;="&amp;$J1022,cal_fechas,"&lt;"&amp;TODAY(),cal_habil,"sí"),-COUNTIFS(cal_fechas,"&gt;="&amp;TODAY(),cal_fechas,"&lt;"&amp;$J1022,cal_habil,"sí")))</f>
        <v/>
      </c>
      <c r="AE1022" s="5">
        <f>IF($AD1022="","",IF($AD1022&lt;0,"FUTURO",IF($AD1022&gt;p_dias_backlog_max,"BACKLOG","MES CORRIENTE")))</f>
        <v/>
      </c>
      <c r="AF1022" s="5">
        <f>IF($AD1022="",FALSE,AND($AD1022&gt;p_dias_backlog_min,$AD1022&lt;=p_dias_backlog_max))</f>
        <v/>
      </c>
      <c r="AG1022" s="4" t="n"/>
      <c r="AH1022" s="5">
        <f>IF($AG1022="","",IF((IFERROR(INDEX('ASIGNACIONES'!$J$4:$J$451,MATCH($O1022&amp;"|"&amp;$S1022&amp;"|"&amp;$AG1022,'ASIGNACIONES'!$N$4:$N$451,0)),""))=0,"",IFERROR(INDEX('ASIGNACIONES'!$J$4:$J$451,MATCH($O1022&amp;"|"&amp;$S1022&amp;"|"&amp;$AG1022,'ASIGNACIONES'!$N$4:$N$451,0)),"")))</f>
        <v/>
      </c>
      <c r="AI1022" s="25">
        <f>IF($AG1022="","",SUMIFS('ORDENES'!$M$4:$M$1203,'ORDENES'!$AG$4:$AG$1203,$AG1022,'ORDENES'!$O$4:$O$1203,$O1022,'ORDENES'!$S$4:$S$1203,$S1022))</f>
        <v/>
      </c>
      <c r="AJ1022" s="25">
        <f>IF($AI1022="","",p_factor_productividad*IFERROR(INDEX('ASIGNACIONES'!$M$4:$M$451,MATCH($O1022&amp;"|"&amp;$S1022&amp;"|"&amp;$AG1022,'ASIGNACIONES'!$N$4:$N$451,0)),0)-$AI1022)</f>
        <v/>
      </c>
      <c r="AK1022" s="18">
        <f>IF($A1022="","",IFERROR(INDEX('2_IMPORTAR_EJECUCION'!$F$9:$F$1208,MATCH($AT1022,'2_IMPORTAR_EJECUCION'!$J$9:$J$1208,0)),0))</f>
        <v/>
      </c>
      <c r="AL1022" s="18">
        <f>IF($A1022="","",MAX(0,IFERROR(INDEX('2_IMPORTAR_EJECUCION'!$H$9:$H$1208,MATCH($AT1022,'2_IMPORTAR_EJECUCION'!$J$9:$J$1208,0)),0)-$AK1022))</f>
        <v/>
      </c>
      <c r="AM1022" s="18">
        <f>IF($A1022="","",$AK1022+$AL1022)</f>
        <v/>
      </c>
      <c r="AN1022" s="5">
        <f>IF($A1022="","",IF(OR((IFERROR(INDEX('CAT_ACTIVIDADES'!$D$4:$D$11,MATCH($H1022,'CAT_ACTIVIDADES'!$A$4:$A$11,0)),""))=0,(IFERROR(INDEX('CAT_ACTIVIDADES'!$D$4:$D$11,MATCH($H1022,'CAT_ACTIVIDADES'!$A$4:$A$11,0)),""))=""),"SIN CLASIFICAR",IFERROR(INDEX('CAT_ACTIVIDADES'!$D$4:$D$11,MATCH($H1022,'CAT_ACTIVIDADES'!$A$4:$A$11,0)),"")))</f>
        <v/>
      </c>
      <c r="AO1022" s="4" t="n"/>
      <c r="AP1022" s="4" t="n"/>
      <c r="AQ1022" s="4" t="n"/>
      <c r="AR1022" s="5">
        <f>IF($AQ1022="","",HYPERLINK(p_ruta_base_checklists&amp;$AQ1022,"abrir"))</f>
        <v/>
      </c>
      <c r="AS1022" s="4" t="n"/>
      <c r="AT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2" t="n"/>
      <c r="K1023" s="5" t="n"/>
      <c r="L1023" s="18" t="n"/>
      <c r="M1023" s="5">
        <f>IF($A1023="","",IFERROR(INDEX('AJUSTES'!$B$4:$B$303,MATCH($AT1023,'AJUSTES'!$A$4:$A$303,0)),IF($K1023="","",$K1023)))</f>
        <v/>
      </c>
      <c r="N1023" s="5">
        <f>IF($A1023="","",IFERROR(INDEX('CAT_ESTADOS_ERP'!$B$4:$B$7,MATCH(IFERROR(INDEX('2_IMPORTAR_EJECUCION'!$C$9:$C$1208,MATCH($AT1023,'2_IMPORTAR_EJECUCION'!$J$9:$J$1208,0)),""),'CAT_ESTADOS_ERP'!$A$4:$A$7,0)),"Pendiente"))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IF($J1023="","",$P1023&amp;"-"&amp;TEXT($Q1023,"00"))</f>
        <v/>
      </c>
      <c r="S1023" s="5">
        <f>IF($J1023="","",INDEX(lista_dias,WEEKDAY($J1023,2)))</f>
        <v/>
      </c>
      <c r="T1023" s="5">
        <f>IF($J1023="","",IFERROR(INDEX('CALENDARIO'!$C$15:$C$214,MATCH(TEXT($J1023,"yyyy-mm-dd")&amp;"|"&amp;$X1023&amp;"|"&amp;$Y1023,'CALENDARIO'!$G$15:$G$214,0)),IFERROR(INDEX('CALENDARIO'!$C$15:$C$214,MATCH(TEXT($J1023,"yyyy-mm-dd")&amp;"|"&amp;$X1023&amp;"|",'CALENDARIO'!$G$15:$G$214,0)),IFERROR(INDEX('CALENDARIO'!$C$15:$C$214,MATCH(TEXT($J1023,"yyyy-mm-dd")&amp;"||",'CALENDARIO'!$G$15:$G$214,0)),INDEX(patronHabil,WEEKDAY($J1023,2))))))</f>
        <v/>
      </c>
      <c r="U1023" s="5">
        <f>IF($I1023="","",IFERROR(INDEX('CAT_TIPOS_OT'!$C$4:$C$8,MATCH($I1023,'CAT_TIPOS_OT'!$A$4:$A$8,0)),"sin_clasificar"))</f>
        <v/>
      </c>
      <c r="V1023" s="5">
        <f>IF($I1023="","",IF(IFERROR(INDEX('CAT_TIPOS_OT'!$D$4:$D$8,MATCH($I1023,'CAT_TIPOS_OT'!$A$4:$A$8,0)),"SIN CLASIFICAR")="","SIN CLASIFICAR",IFERROR(INDEX('CAT_TIPOS_OT'!$D$4:$D$8,MATCH($I1023,'CAT_TIPOS_OT'!$A$4:$A$8,0)),"SIN CLASIFICAR")))</f>
        <v/>
      </c>
      <c r="W1023" s="5">
        <f>IF($F1023="","",IFERROR(INDEX('CAT_CENTROS_COSTO'!$F$4:$F$13,MATCH($F1023,'CAT_CENTROS_COSTO'!$A$4:$A$13,0)),"(sin catálogo)"))</f>
        <v/>
      </c>
      <c r="X1023" s="5">
        <f>IF($F1023="","",IFERROR(INDEX('CAT_CENTROS_COSTO'!$D$4:$D$13,MATCH($F1023,'CAT_CENTROS_COSTO'!$A$4:$A$13,0)),"(sin catálogo)"))</f>
        <v/>
      </c>
      <c r="Y1023" s="5">
        <f>IF($F1023="","",IF((IFERROR(INDEX('CAT_CENTROS_COSTO'!$E$4:$E$13,MATCH($F1023,'CAT_CENTROS_COSTO'!$A$4:$A$13,0)),""))&lt;&gt;"",IFERROR(INDEX('CAT_CENTROS_COSTO'!$E$4:$E$13,MATCH($F1023,'CAT_CENTROS_COSTO'!$A$4:$A$13,0)),""),$X1023))</f>
        <v/>
      </c>
      <c r="Z1023" s="5">
        <f>IF($F1023="","",IFERROR(INDEX('CAT_CENTROS_COSTO'!$G$4:$G$13,MATCH($F1023,'CAT_CENTROS_COSTO'!$A$4:$A$13,0)),"(sin catálogo)"))</f>
        <v/>
      </c>
      <c r="AA1023" s="5">
        <f>IF($G1023="","",IFERROR(INDEX('CAT_PUESTOS'!$B$4:$B$8,MATCH($G1023,'CAT_PUESTOS'!$A$4:$A$8,0)),"(sin catálogo)"))</f>
        <v/>
      </c>
      <c r="AB1023" s="5">
        <f>IF($H1023="","",IFERROR(INDEX('CAT_ACTIVIDADES'!$B$4:$B$11,MATCH($H1023,'CAT_ACTIVIDADES'!$A$4:$A$11,0)),"(sin catálogo)"))</f>
        <v/>
      </c>
      <c r="AC1023" s="20">
        <f>IF($J1023="","",TODAY()-$J1023)</f>
        <v/>
      </c>
      <c r="AD1023" s="20">
        <f>IF($J1023="","",IF($J1023&lt;=TODAY(),COUNTIFS(cal_fechas,"&gt;="&amp;$J1023,cal_fechas,"&lt;"&amp;TODAY(),cal_habil,"sí"),-COUNTIFS(cal_fechas,"&gt;="&amp;TODAY(),cal_fechas,"&lt;"&amp;$J1023,cal_habil,"sí")))</f>
        <v/>
      </c>
      <c r="AE1023" s="5">
        <f>IF($AD1023="","",IF($AD1023&lt;0,"FUTURO",IF($AD1023&gt;p_dias_backlog_max,"BACKLOG","MES CORRIENTE")))</f>
        <v/>
      </c>
      <c r="AF1023" s="5">
        <f>IF($AD1023="",FALSE,AND($AD1023&gt;p_dias_backlog_min,$AD1023&lt;=p_dias_backlog_max))</f>
        <v/>
      </c>
      <c r="AG1023" s="4" t="n"/>
      <c r="AH1023" s="5">
        <f>IF($AG1023="","",IF((IFERROR(INDEX('ASIGNACIONES'!$J$4:$J$451,MATCH($O1023&amp;"|"&amp;$S1023&amp;"|"&amp;$AG1023,'ASIGNACIONES'!$N$4:$N$451,0)),""))=0,"",IFERROR(INDEX('ASIGNACIONES'!$J$4:$J$451,MATCH($O1023&amp;"|"&amp;$S1023&amp;"|"&amp;$AG1023,'ASIGNACIONES'!$N$4:$N$451,0)),"")))</f>
        <v/>
      </c>
      <c r="AI1023" s="25">
        <f>IF($AG1023="","",SUMIFS('ORDENES'!$M$4:$M$1203,'ORDENES'!$AG$4:$AG$1203,$AG1023,'ORDENES'!$O$4:$O$1203,$O1023,'ORDENES'!$S$4:$S$1203,$S1023))</f>
        <v/>
      </c>
      <c r="AJ1023" s="25">
        <f>IF($AI1023="","",p_factor_productividad*IFERROR(INDEX('ASIGNACIONES'!$M$4:$M$451,MATCH($O1023&amp;"|"&amp;$S1023&amp;"|"&amp;$AG1023,'ASIGNACIONES'!$N$4:$N$451,0)),0)-$AI1023)</f>
        <v/>
      </c>
      <c r="AK1023" s="18">
        <f>IF($A1023="","",IFERROR(INDEX('2_IMPORTAR_EJECUCION'!$F$9:$F$1208,MATCH($AT1023,'2_IMPORTAR_EJECUCION'!$J$9:$J$1208,0)),0))</f>
        <v/>
      </c>
      <c r="AL1023" s="18">
        <f>IF($A1023="","",MAX(0,IFERROR(INDEX('2_IMPORTAR_EJECUCION'!$H$9:$H$1208,MATCH($AT1023,'2_IMPORTAR_EJECUCION'!$J$9:$J$1208,0)),0)-$AK1023))</f>
        <v/>
      </c>
      <c r="AM1023" s="18">
        <f>IF($A1023="","",$AK1023+$AL1023)</f>
        <v/>
      </c>
      <c r="AN1023" s="5">
        <f>IF($A1023="","",IF(OR((IFERROR(INDEX('CAT_ACTIVIDADES'!$D$4:$D$11,MATCH($H1023,'CAT_ACTIVIDADES'!$A$4:$A$11,0)),""))=0,(IFERROR(INDEX('CAT_ACTIVIDADES'!$D$4:$D$11,MATCH($H1023,'CAT_ACTIVIDADES'!$A$4:$A$11,0)),""))=""),"SIN CLASIFICAR",IFERROR(INDEX('CAT_ACTIVIDADES'!$D$4:$D$11,MATCH($H1023,'CAT_ACTIVIDADES'!$A$4:$A$11,0)),"")))</f>
        <v/>
      </c>
      <c r="AO1023" s="4" t="n"/>
      <c r="AP1023" s="4" t="n"/>
      <c r="AQ1023" s="4" t="n"/>
      <c r="AR1023" s="5">
        <f>IF($AQ1023="","",HYPERLINK(p_ruta_base_checklists&amp;$AQ1023,"abrir"))</f>
        <v/>
      </c>
      <c r="AS1023" s="4" t="n"/>
      <c r="AT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2" t="n"/>
      <c r="K1024" s="5" t="n"/>
      <c r="L1024" s="18" t="n"/>
      <c r="M1024" s="5">
        <f>IF($A1024="","",IFERROR(INDEX('AJUSTES'!$B$4:$B$303,MATCH($AT1024,'AJUSTES'!$A$4:$A$303,0)),IF($K1024="","",$K1024)))</f>
        <v/>
      </c>
      <c r="N1024" s="5">
        <f>IF($A1024="","",IFERROR(INDEX('CAT_ESTADOS_ERP'!$B$4:$B$7,MATCH(IFERROR(INDEX('2_IMPORTAR_EJECUCION'!$C$9:$C$1208,MATCH($AT1024,'2_IMPORTAR_EJECUCION'!$J$9:$J$1208,0)),""),'CAT_ESTADOS_ERP'!$A$4:$A$7,0)),"Pendiente"))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IF($J1024="","",$P1024&amp;"-"&amp;TEXT($Q1024,"00"))</f>
        <v/>
      </c>
      <c r="S1024" s="5">
        <f>IF($J1024="","",INDEX(lista_dias,WEEKDAY($J1024,2)))</f>
        <v/>
      </c>
      <c r="T1024" s="5">
        <f>IF($J1024="","",IFERROR(INDEX('CALENDARIO'!$C$15:$C$214,MATCH(TEXT($J1024,"yyyy-mm-dd")&amp;"|"&amp;$X1024&amp;"|"&amp;$Y1024,'CALENDARIO'!$G$15:$G$214,0)),IFERROR(INDEX('CALENDARIO'!$C$15:$C$214,MATCH(TEXT($J1024,"yyyy-mm-dd")&amp;"|"&amp;$X1024&amp;"|",'CALENDARIO'!$G$15:$G$214,0)),IFERROR(INDEX('CALENDARIO'!$C$15:$C$214,MATCH(TEXT($J1024,"yyyy-mm-dd")&amp;"||",'CALENDARIO'!$G$15:$G$214,0)),INDEX(patronHabil,WEEKDAY($J1024,2))))))</f>
        <v/>
      </c>
      <c r="U1024" s="5">
        <f>IF($I1024="","",IFERROR(INDEX('CAT_TIPOS_OT'!$C$4:$C$8,MATCH($I1024,'CAT_TIPOS_OT'!$A$4:$A$8,0)),"sin_clasificar"))</f>
        <v/>
      </c>
      <c r="V1024" s="5">
        <f>IF($I1024="","",IF(IFERROR(INDEX('CAT_TIPOS_OT'!$D$4:$D$8,MATCH($I1024,'CAT_TIPOS_OT'!$A$4:$A$8,0)),"SIN CLASIFICAR")="","SIN CLASIFICAR",IFERROR(INDEX('CAT_TIPOS_OT'!$D$4:$D$8,MATCH($I1024,'CAT_TIPOS_OT'!$A$4:$A$8,0)),"SIN CLASIFICAR")))</f>
        <v/>
      </c>
      <c r="W1024" s="5">
        <f>IF($F1024="","",IFERROR(INDEX('CAT_CENTROS_COSTO'!$F$4:$F$13,MATCH($F1024,'CAT_CENTROS_COSTO'!$A$4:$A$13,0)),"(sin catálogo)"))</f>
        <v/>
      </c>
      <c r="X1024" s="5">
        <f>IF($F1024="","",IFERROR(INDEX('CAT_CENTROS_COSTO'!$D$4:$D$13,MATCH($F1024,'CAT_CENTROS_COSTO'!$A$4:$A$13,0)),"(sin catálogo)"))</f>
        <v/>
      </c>
      <c r="Y1024" s="5">
        <f>IF($F1024="","",IF((IFERROR(INDEX('CAT_CENTROS_COSTO'!$E$4:$E$13,MATCH($F1024,'CAT_CENTROS_COSTO'!$A$4:$A$13,0)),""))&lt;&gt;"",IFERROR(INDEX('CAT_CENTROS_COSTO'!$E$4:$E$13,MATCH($F1024,'CAT_CENTROS_COSTO'!$A$4:$A$13,0)),""),$X1024))</f>
        <v/>
      </c>
      <c r="Z1024" s="5">
        <f>IF($F1024="","",IFERROR(INDEX('CAT_CENTROS_COSTO'!$G$4:$G$13,MATCH($F1024,'CAT_CENTROS_COSTO'!$A$4:$A$13,0)),"(sin catálogo)"))</f>
        <v/>
      </c>
      <c r="AA1024" s="5">
        <f>IF($G1024="","",IFERROR(INDEX('CAT_PUESTOS'!$B$4:$B$8,MATCH($G1024,'CAT_PUESTOS'!$A$4:$A$8,0)),"(sin catálogo)"))</f>
        <v/>
      </c>
      <c r="AB1024" s="5">
        <f>IF($H1024="","",IFERROR(INDEX('CAT_ACTIVIDADES'!$B$4:$B$11,MATCH($H1024,'CAT_ACTIVIDADES'!$A$4:$A$11,0)),"(sin catálogo)"))</f>
        <v/>
      </c>
      <c r="AC1024" s="20">
        <f>IF($J1024="","",TODAY()-$J1024)</f>
        <v/>
      </c>
      <c r="AD1024" s="20">
        <f>IF($J1024="","",IF($J1024&lt;=TODAY(),COUNTIFS(cal_fechas,"&gt;="&amp;$J1024,cal_fechas,"&lt;"&amp;TODAY(),cal_habil,"sí"),-COUNTIFS(cal_fechas,"&gt;="&amp;TODAY(),cal_fechas,"&lt;"&amp;$J1024,cal_habil,"sí")))</f>
        <v/>
      </c>
      <c r="AE1024" s="5">
        <f>IF($AD1024="","",IF($AD1024&lt;0,"FUTURO",IF($AD1024&gt;p_dias_backlog_max,"BACKLOG","MES CORRIENTE")))</f>
        <v/>
      </c>
      <c r="AF1024" s="5">
        <f>IF($AD1024="",FALSE,AND($AD1024&gt;p_dias_backlog_min,$AD1024&lt;=p_dias_backlog_max))</f>
        <v/>
      </c>
      <c r="AG1024" s="4" t="n"/>
      <c r="AH1024" s="5">
        <f>IF($AG1024="","",IF((IFERROR(INDEX('ASIGNACIONES'!$J$4:$J$451,MATCH($O1024&amp;"|"&amp;$S1024&amp;"|"&amp;$AG1024,'ASIGNACIONES'!$N$4:$N$451,0)),""))=0,"",IFERROR(INDEX('ASIGNACIONES'!$J$4:$J$451,MATCH($O1024&amp;"|"&amp;$S1024&amp;"|"&amp;$AG1024,'ASIGNACIONES'!$N$4:$N$451,0)),"")))</f>
        <v/>
      </c>
      <c r="AI1024" s="25">
        <f>IF($AG1024="","",SUMIFS('ORDENES'!$M$4:$M$1203,'ORDENES'!$AG$4:$AG$1203,$AG1024,'ORDENES'!$O$4:$O$1203,$O1024,'ORDENES'!$S$4:$S$1203,$S1024))</f>
        <v/>
      </c>
      <c r="AJ1024" s="25">
        <f>IF($AI1024="","",p_factor_productividad*IFERROR(INDEX('ASIGNACIONES'!$M$4:$M$451,MATCH($O1024&amp;"|"&amp;$S1024&amp;"|"&amp;$AG1024,'ASIGNACIONES'!$N$4:$N$451,0)),0)-$AI1024)</f>
        <v/>
      </c>
      <c r="AK1024" s="18">
        <f>IF($A1024="","",IFERROR(INDEX('2_IMPORTAR_EJECUCION'!$F$9:$F$1208,MATCH($AT1024,'2_IMPORTAR_EJECUCION'!$J$9:$J$1208,0)),0))</f>
        <v/>
      </c>
      <c r="AL1024" s="18">
        <f>IF($A1024="","",MAX(0,IFERROR(INDEX('2_IMPORTAR_EJECUCION'!$H$9:$H$1208,MATCH($AT1024,'2_IMPORTAR_EJECUCION'!$J$9:$J$1208,0)),0)-$AK1024))</f>
        <v/>
      </c>
      <c r="AM1024" s="18">
        <f>IF($A1024="","",$AK1024+$AL1024)</f>
        <v/>
      </c>
      <c r="AN1024" s="5">
        <f>IF($A1024="","",IF(OR((IFERROR(INDEX('CAT_ACTIVIDADES'!$D$4:$D$11,MATCH($H1024,'CAT_ACTIVIDADES'!$A$4:$A$11,0)),""))=0,(IFERROR(INDEX('CAT_ACTIVIDADES'!$D$4:$D$11,MATCH($H1024,'CAT_ACTIVIDADES'!$A$4:$A$11,0)),""))=""),"SIN CLASIFICAR",IFERROR(INDEX('CAT_ACTIVIDADES'!$D$4:$D$11,MATCH($H1024,'CAT_ACTIVIDADES'!$A$4:$A$11,0)),"")))</f>
        <v/>
      </c>
      <c r="AO1024" s="4" t="n"/>
      <c r="AP1024" s="4" t="n"/>
      <c r="AQ1024" s="4" t="n"/>
      <c r="AR1024" s="5">
        <f>IF($AQ1024="","",HYPERLINK(p_ruta_base_checklists&amp;$AQ1024,"abrir"))</f>
        <v/>
      </c>
      <c r="AS1024" s="4" t="n"/>
      <c r="AT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2" t="n"/>
      <c r="K1025" s="5" t="n"/>
      <c r="L1025" s="18" t="n"/>
      <c r="M1025" s="5">
        <f>IF($A1025="","",IFERROR(INDEX('AJUSTES'!$B$4:$B$303,MATCH($AT1025,'AJUSTES'!$A$4:$A$303,0)),IF($K1025="","",$K1025)))</f>
        <v/>
      </c>
      <c r="N1025" s="5">
        <f>IF($A1025="","",IFERROR(INDEX('CAT_ESTADOS_ERP'!$B$4:$B$7,MATCH(IFERROR(INDEX('2_IMPORTAR_EJECUCION'!$C$9:$C$1208,MATCH($AT1025,'2_IMPORTAR_EJECUCION'!$J$9:$J$1208,0)),""),'CAT_ESTADOS_ERP'!$A$4:$A$7,0)),"Pendiente"))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IF($J1025="","",$P1025&amp;"-"&amp;TEXT($Q1025,"00"))</f>
        <v/>
      </c>
      <c r="S1025" s="5">
        <f>IF($J1025="","",INDEX(lista_dias,WEEKDAY($J1025,2)))</f>
        <v/>
      </c>
      <c r="T1025" s="5">
        <f>IF($J1025="","",IFERROR(INDEX('CALENDARIO'!$C$15:$C$214,MATCH(TEXT($J1025,"yyyy-mm-dd")&amp;"|"&amp;$X1025&amp;"|"&amp;$Y1025,'CALENDARIO'!$G$15:$G$214,0)),IFERROR(INDEX('CALENDARIO'!$C$15:$C$214,MATCH(TEXT($J1025,"yyyy-mm-dd")&amp;"|"&amp;$X1025&amp;"|",'CALENDARIO'!$G$15:$G$214,0)),IFERROR(INDEX('CALENDARIO'!$C$15:$C$214,MATCH(TEXT($J1025,"yyyy-mm-dd")&amp;"||",'CALENDARIO'!$G$15:$G$214,0)),INDEX(patronHabil,WEEKDAY($J1025,2))))))</f>
        <v/>
      </c>
      <c r="U1025" s="5">
        <f>IF($I1025="","",IFERROR(INDEX('CAT_TIPOS_OT'!$C$4:$C$8,MATCH($I1025,'CAT_TIPOS_OT'!$A$4:$A$8,0)),"sin_clasificar"))</f>
        <v/>
      </c>
      <c r="V1025" s="5">
        <f>IF($I1025="","",IF(IFERROR(INDEX('CAT_TIPOS_OT'!$D$4:$D$8,MATCH($I1025,'CAT_TIPOS_OT'!$A$4:$A$8,0)),"SIN CLASIFICAR")="","SIN CLASIFICAR",IFERROR(INDEX('CAT_TIPOS_OT'!$D$4:$D$8,MATCH($I1025,'CAT_TIPOS_OT'!$A$4:$A$8,0)),"SIN CLASIFICAR")))</f>
        <v/>
      </c>
      <c r="W1025" s="5">
        <f>IF($F1025="","",IFERROR(INDEX('CAT_CENTROS_COSTO'!$F$4:$F$13,MATCH($F1025,'CAT_CENTROS_COSTO'!$A$4:$A$13,0)),"(sin catálogo)"))</f>
        <v/>
      </c>
      <c r="X1025" s="5">
        <f>IF($F1025="","",IFERROR(INDEX('CAT_CENTROS_COSTO'!$D$4:$D$13,MATCH($F1025,'CAT_CENTROS_COSTO'!$A$4:$A$13,0)),"(sin catálogo)"))</f>
        <v/>
      </c>
      <c r="Y1025" s="5">
        <f>IF($F1025="","",IF((IFERROR(INDEX('CAT_CENTROS_COSTO'!$E$4:$E$13,MATCH($F1025,'CAT_CENTROS_COSTO'!$A$4:$A$13,0)),""))&lt;&gt;"",IFERROR(INDEX('CAT_CENTROS_COSTO'!$E$4:$E$13,MATCH($F1025,'CAT_CENTROS_COSTO'!$A$4:$A$13,0)),""),$X1025))</f>
        <v/>
      </c>
      <c r="Z1025" s="5">
        <f>IF($F1025="","",IFERROR(INDEX('CAT_CENTROS_COSTO'!$G$4:$G$13,MATCH($F1025,'CAT_CENTROS_COSTO'!$A$4:$A$13,0)),"(sin catálogo)"))</f>
        <v/>
      </c>
      <c r="AA1025" s="5">
        <f>IF($G1025="","",IFERROR(INDEX('CAT_PUESTOS'!$B$4:$B$8,MATCH($G1025,'CAT_PUESTOS'!$A$4:$A$8,0)),"(sin catálogo)"))</f>
        <v/>
      </c>
      <c r="AB1025" s="5">
        <f>IF($H1025="","",IFERROR(INDEX('CAT_ACTIVIDADES'!$B$4:$B$11,MATCH($H1025,'CAT_ACTIVIDADES'!$A$4:$A$11,0)),"(sin catálogo)"))</f>
        <v/>
      </c>
      <c r="AC1025" s="20">
        <f>IF($J1025="","",TODAY()-$J1025)</f>
        <v/>
      </c>
      <c r="AD1025" s="20">
        <f>IF($J1025="","",IF($J1025&lt;=TODAY(),COUNTIFS(cal_fechas,"&gt;="&amp;$J1025,cal_fechas,"&lt;"&amp;TODAY(),cal_habil,"sí"),-COUNTIFS(cal_fechas,"&gt;="&amp;TODAY(),cal_fechas,"&lt;"&amp;$J1025,cal_habil,"sí")))</f>
        <v/>
      </c>
      <c r="AE1025" s="5">
        <f>IF($AD1025="","",IF($AD1025&lt;0,"FUTURO",IF($AD1025&gt;p_dias_backlog_max,"BACKLOG","MES CORRIENTE")))</f>
        <v/>
      </c>
      <c r="AF1025" s="5">
        <f>IF($AD1025="",FALSE,AND($AD1025&gt;p_dias_backlog_min,$AD1025&lt;=p_dias_backlog_max))</f>
        <v/>
      </c>
      <c r="AG1025" s="4" t="n"/>
      <c r="AH1025" s="5">
        <f>IF($AG1025="","",IF((IFERROR(INDEX('ASIGNACIONES'!$J$4:$J$451,MATCH($O1025&amp;"|"&amp;$S1025&amp;"|"&amp;$AG1025,'ASIGNACIONES'!$N$4:$N$451,0)),""))=0,"",IFERROR(INDEX('ASIGNACIONES'!$J$4:$J$451,MATCH($O1025&amp;"|"&amp;$S1025&amp;"|"&amp;$AG1025,'ASIGNACIONES'!$N$4:$N$451,0)),"")))</f>
        <v/>
      </c>
      <c r="AI1025" s="25">
        <f>IF($AG1025="","",SUMIFS('ORDENES'!$M$4:$M$1203,'ORDENES'!$AG$4:$AG$1203,$AG1025,'ORDENES'!$O$4:$O$1203,$O1025,'ORDENES'!$S$4:$S$1203,$S1025))</f>
        <v/>
      </c>
      <c r="AJ1025" s="25">
        <f>IF($AI1025="","",p_factor_productividad*IFERROR(INDEX('ASIGNACIONES'!$M$4:$M$451,MATCH($O1025&amp;"|"&amp;$S1025&amp;"|"&amp;$AG1025,'ASIGNACIONES'!$N$4:$N$451,0)),0)-$AI1025)</f>
        <v/>
      </c>
      <c r="AK1025" s="18">
        <f>IF($A1025="","",IFERROR(INDEX('2_IMPORTAR_EJECUCION'!$F$9:$F$1208,MATCH($AT1025,'2_IMPORTAR_EJECUCION'!$J$9:$J$1208,0)),0))</f>
        <v/>
      </c>
      <c r="AL1025" s="18">
        <f>IF($A1025="","",MAX(0,IFERROR(INDEX('2_IMPORTAR_EJECUCION'!$H$9:$H$1208,MATCH($AT1025,'2_IMPORTAR_EJECUCION'!$J$9:$J$1208,0)),0)-$AK1025))</f>
        <v/>
      </c>
      <c r="AM1025" s="18">
        <f>IF($A1025="","",$AK1025+$AL1025)</f>
        <v/>
      </c>
      <c r="AN1025" s="5">
        <f>IF($A1025="","",IF(OR((IFERROR(INDEX('CAT_ACTIVIDADES'!$D$4:$D$11,MATCH($H1025,'CAT_ACTIVIDADES'!$A$4:$A$11,0)),""))=0,(IFERROR(INDEX('CAT_ACTIVIDADES'!$D$4:$D$11,MATCH($H1025,'CAT_ACTIVIDADES'!$A$4:$A$11,0)),""))=""),"SIN CLASIFICAR",IFERROR(INDEX('CAT_ACTIVIDADES'!$D$4:$D$11,MATCH($H1025,'CAT_ACTIVIDADES'!$A$4:$A$11,0)),"")))</f>
        <v/>
      </c>
      <c r="AO1025" s="4" t="n"/>
      <c r="AP1025" s="4" t="n"/>
      <c r="AQ1025" s="4" t="n"/>
      <c r="AR1025" s="5">
        <f>IF($AQ1025="","",HYPERLINK(p_ruta_base_checklists&amp;$AQ1025,"abrir"))</f>
        <v/>
      </c>
      <c r="AS1025" s="4" t="n"/>
      <c r="AT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2" t="n"/>
      <c r="K1026" s="5" t="n"/>
      <c r="L1026" s="18" t="n"/>
      <c r="M1026" s="5">
        <f>IF($A1026="","",IFERROR(INDEX('AJUSTES'!$B$4:$B$303,MATCH($AT1026,'AJUSTES'!$A$4:$A$303,0)),IF($K1026="","",$K1026)))</f>
        <v/>
      </c>
      <c r="N1026" s="5">
        <f>IF($A1026="","",IFERROR(INDEX('CAT_ESTADOS_ERP'!$B$4:$B$7,MATCH(IFERROR(INDEX('2_IMPORTAR_EJECUCION'!$C$9:$C$1208,MATCH($AT1026,'2_IMPORTAR_EJECUCION'!$J$9:$J$1208,0)),""),'CAT_ESTADOS_ERP'!$A$4:$A$7,0)),"Pendiente"))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IF($J1026="","",$P1026&amp;"-"&amp;TEXT($Q1026,"00"))</f>
        <v/>
      </c>
      <c r="S1026" s="5">
        <f>IF($J1026="","",INDEX(lista_dias,WEEKDAY($J1026,2)))</f>
        <v/>
      </c>
      <c r="T1026" s="5">
        <f>IF($J1026="","",IFERROR(INDEX('CALENDARIO'!$C$15:$C$214,MATCH(TEXT($J1026,"yyyy-mm-dd")&amp;"|"&amp;$X1026&amp;"|"&amp;$Y1026,'CALENDARIO'!$G$15:$G$214,0)),IFERROR(INDEX('CALENDARIO'!$C$15:$C$214,MATCH(TEXT($J1026,"yyyy-mm-dd")&amp;"|"&amp;$X1026&amp;"|",'CALENDARIO'!$G$15:$G$214,0)),IFERROR(INDEX('CALENDARIO'!$C$15:$C$214,MATCH(TEXT($J1026,"yyyy-mm-dd")&amp;"||",'CALENDARIO'!$G$15:$G$214,0)),INDEX(patronHabil,WEEKDAY($J1026,2))))))</f>
        <v/>
      </c>
      <c r="U1026" s="5">
        <f>IF($I1026="","",IFERROR(INDEX('CAT_TIPOS_OT'!$C$4:$C$8,MATCH($I1026,'CAT_TIPOS_OT'!$A$4:$A$8,0)),"sin_clasificar"))</f>
        <v/>
      </c>
      <c r="V1026" s="5">
        <f>IF($I1026="","",IF(IFERROR(INDEX('CAT_TIPOS_OT'!$D$4:$D$8,MATCH($I1026,'CAT_TIPOS_OT'!$A$4:$A$8,0)),"SIN CLASIFICAR")="","SIN CLASIFICAR",IFERROR(INDEX('CAT_TIPOS_OT'!$D$4:$D$8,MATCH($I1026,'CAT_TIPOS_OT'!$A$4:$A$8,0)),"SIN CLASIFICAR")))</f>
        <v/>
      </c>
      <c r="W1026" s="5">
        <f>IF($F1026="","",IFERROR(INDEX('CAT_CENTROS_COSTO'!$F$4:$F$13,MATCH($F1026,'CAT_CENTROS_COSTO'!$A$4:$A$13,0)),"(sin catálogo)"))</f>
        <v/>
      </c>
      <c r="X1026" s="5">
        <f>IF($F1026="","",IFERROR(INDEX('CAT_CENTROS_COSTO'!$D$4:$D$13,MATCH($F1026,'CAT_CENTROS_COSTO'!$A$4:$A$13,0)),"(sin catálogo)"))</f>
        <v/>
      </c>
      <c r="Y1026" s="5">
        <f>IF($F1026="","",IF((IFERROR(INDEX('CAT_CENTROS_COSTO'!$E$4:$E$13,MATCH($F1026,'CAT_CENTROS_COSTO'!$A$4:$A$13,0)),""))&lt;&gt;"",IFERROR(INDEX('CAT_CENTROS_COSTO'!$E$4:$E$13,MATCH($F1026,'CAT_CENTROS_COSTO'!$A$4:$A$13,0)),""),$X1026))</f>
        <v/>
      </c>
      <c r="Z1026" s="5">
        <f>IF($F1026="","",IFERROR(INDEX('CAT_CENTROS_COSTO'!$G$4:$G$13,MATCH($F1026,'CAT_CENTROS_COSTO'!$A$4:$A$13,0)),"(sin catálogo)"))</f>
        <v/>
      </c>
      <c r="AA1026" s="5">
        <f>IF($G1026="","",IFERROR(INDEX('CAT_PUESTOS'!$B$4:$B$8,MATCH($G1026,'CAT_PUESTOS'!$A$4:$A$8,0)),"(sin catálogo)"))</f>
        <v/>
      </c>
      <c r="AB1026" s="5">
        <f>IF($H1026="","",IFERROR(INDEX('CAT_ACTIVIDADES'!$B$4:$B$11,MATCH($H1026,'CAT_ACTIVIDADES'!$A$4:$A$11,0)),"(sin catálogo)"))</f>
        <v/>
      </c>
      <c r="AC1026" s="20">
        <f>IF($J1026="","",TODAY()-$J1026)</f>
        <v/>
      </c>
      <c r="AD1026" s="20">
        <f>IF($J1026="","",IF($J1026&lt;=TODAY(),COUNTIFS(cal_fechas,"&gt;="&amp;$J1026,cal_fechas,"&lt;"&amp;TODAY(),cal_habil,"sí"),-COUNTIFS(cal_fechas,"&gt;="&amp;TODAY(),cal_fechas,"&lt;"&amp;$J1026,cal_habil,"sí")))</f>
        <v/>
      </c>
      <c r="AE1026" s="5">
        <f>IF($AD1026="","",IF($AD1026&lt;0,"FUTURO",IF($AD1026&gt;p_dias_backlog_max,"BACKLOG","MES CORRIENTE")))</f>
        <v/>
      </c>
      <c r="AF1026" s="5">
        <f>IF($AD1026="",FALSE,AND($AD1026&gt;p_dias_backlog_min,$AD1026&lt;=p_dias_backlog_max))</f>
        <v/>
      </c>
      <c r="AG1026" s="4" t="n"/>
      <c r="AH1026" s="5">
        <f>IF($AG1026="","",IF((IFERROR(INDEX('ASIGNACIONES'!$J$4:$J$451,MATCH($O1026&amp;"|"&amp;$S1026&amp;"|"&amp;$AG1026,'ASIGNACIONES'!$N$4:$N$451,0)),""))=0,"",IFERROR(INDEX('ASIGNACIONES'!$J$4:$J$451,MATCH($O1026&amp;"|"&amp;$S1026&amp;"|"&amp;$AG1026,'ASIGNACIONES'!$N$4:$N$451,0)),"")))</f>
        <v/>
      </c>
      <c r="AI1026" s="25">
        <f>IF($AG1026="","",SUMIFS('ORDENES'!$M$4:$M$1203,'ORDENES'!$AG$4:$AG$1203,$AG1026,'ORDENES'!$O$4:$O$1203,$O1026,'ORDENES'!$S$4:$S$1203,$S1026))</f>
        <v/>
      </c>
      <c r="AJ1026" s="25">
        <f>IF($AI1026="","",p_factor_productividad*IFERROR(INDEX('ASIGNACIONES'!$M$4:$M$451,MATCH($O1026&amp;"|"&amp;$S1026&amp;"|"&amp;$AG1026,'ASIGNACIONES'!$N$4:$N$451,0)),0)-$AI1026)</f>
        <v/>
      </c>
      <c r="AK1026" s="18">
        <f>IF($A1026="","",IFERROR(INDEX('2_IMPORTAR_EJECUCION'!$F$9:$F$1208,MATCH($AT1026,'2_IMPORTAR_EJECUCION'!$J$9:$J$1208,0)),0))</f>
        <v/>
      </c>
      <c r="AL1026" s="18">
        <f>IF($A1026="","",MAX(0,IFERROR(INDEX('2_IMPORTAR_EJECUCION'!$H$9:$H$1208,MATCH($AT1026,'2_IMPORTAR_EJECUCION'!$J$9:$J$1208,0)),0)-$AK1026))</f>
        <v/>
      </c>
      <c r="AM1026" s="18">
        <f>IF($A1026="","",$AK1026+$AL1026)</f>
        <v/>
      </c>
      <c r="AN1026" s="5">
        <f>IF($A1026="","",IF(OR((IFERROR(INDEX('CAT_ACTIVIDADES'!$D$4:$D$11,MATCH($H1026,'CAT_ACTIVIDADES'!$A$4:$A$11,0)),""))=0,(IFERROR(INDEX('CAT_ACTIVIDADES'!$D$4:$D$11,MATCH($H1026,'CAT_ACTIVIDADES'!$A$4:$A$11,0)),""))=""),"SIN CLASIFICAR",IFERROR(INDEX('CAT_ACTIVIDADES'!$D$4:$D$11,MATCH($H1026,'CAT_ACTIVIDADES'!$A$4:$A$11,0)),"")))</f>
        <v/>
      </c>
      <c r="AO1026" s="4" t="n"/>
      <c r="AP1026" s="4" t="n"/>
      <c r="AQ1026" s="4" t="n"/>
      <c r="AR1026" s="5">
        <f>IF($AQ1026="","",HYPERLINK(p_ruta_base_checklists&amp;$AQ1026,"abrir"))</f>
        <v/>
      </c>
      <c r="AS1026" s="4" t="n"/>
      <c r="AT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2" t="n"/>
      <c r="K1027" s="5" t="n"/>
      <c r="L1027" s="18" t="n"/>
      <c r="M1027" s="5">
        <f>IF($A1027="","",IFERROR(INDEX('AJUSTES'!$B$4:$B$303,MATCH($AT1027,'AJUSTES'!$A$4:$A$303,0)),IF($K1027="","",$K1027)))</f>
        <v/>
      </c>
      <c r="N1027" s="5">
        <f>IF($A1027="","",IFERROR(INDEX('CAT_ESTADOS_ERP'!$B$4:$B$7,MATCH(IFERROR(INDEX('2_IMPORTAR_EJECUCION'!$C$9:$C$1208,MATCH($AT1027,'2_IMPORTAR_EJECUCION'!$J$9:$J$1208,0)),""),'CAT_ESTADOS_ERP'!$A$4:$A$7,0)),"Pendiente"))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IF($J1027="","",$P1027&amp;"-"&amp;TEXT($Q1027,"00"))</f>
        <v/>
      </c>
      <c r="S1027" s="5">
        <f>IF($J1027="","",INDEX(lista_dias,WEEKDAY($J1027,2)))</f>
        <v/>
      </c>
      <c r="T1027" s="5">
        <f>IF($J1027="","",IFERROR(INDEX('CALENDARIO'!$C$15:$C$214,MATCH(TEXT($J1027,"yyyy-mm-dd")&amp;"|"&amp;$X1027&amp;"|"&amp;$Y1027,'CALENDARIO'!$G$15:$G$214,0)),IFERROR(INDEX('CALENDARIO'!$C$15:$C$214,MATCH(TEXT($J1027,"yyyy-mm-dd")&amp;"|"&amp;$X1027&amp;"|",'CALENDARIO'!$G$15:$G$214,0)),IFERROR(INDEX('CALENDARIO'!$C$15:$C$214,MATCH(TEXT($J1027,"yyyy-mm-dd")&amp;"||",'CALENDARIO'!$G$15:$G$214,0)),INDEX(patronHabil,WEEKDAY($J1027,2))))))</f>
        <v/>
      </c>
      <c r="U1027" s="5">
        <f>IF($I1027="","",IFERROR(INDEX('CAT_TIPOS_OT'!$C$4:$C$8,MATCH($I1027,'CAT_TIPOS_OT'!$A$4:$A$8,0)),"sin_clasificar"))</f>
        <v/>
      </c>
      <c r="V1027" s="5">
        <f>IF($I1027="","",IF(IFERROR(INDEX('CAT_TIPOS_OT'!$D$4:$D$8,MATCH($I1027,'CAT_TIPOS_OT'!$A$4:$A$8,0)),"SIN CLASIFICAR")="","SIN CLASIFICAR",IFERROR(INDEX('CAT_TIPOS_OT'!$D$4:$D$8,MATCH($I1027,'CAT_TIPOS_OT'!$A$4:$A$8,0)),"SIN CLASIFICAR")))</f>
        <v/>
      </c>
      <c r="W1027" s="5">
        <f>IF($F1027="","",IFERROR(INDEX('CAT_CENTROS_COSTO'!$F$4:$F$13,MATCH($F1027,'CAT_CENTROS_COSTO'!$A$4:$A$13,0)),"(sin catálogo)"))</f>
        <v/>
      </c>
      <c r="X1027" s="5">
        <f>IF($F1027="","",IFERROR(INDEX('CAT_CENTROS_COSTO'!$D$4:$D$13,MATCH($F1027,'CAT_CENTROS_COSTO'!$A$4:$A$13,0)),"(sin catálogo)"))</f>
        <v/>
      </c>
      <c r="Y1027" s="5">
        <f>IF($F1027="","",IF((IFERROR(INDEX('CAT_CENTROS_COSTO'!$E$4:$E$13,MATCH($F1027,'CAT_CENTROS_COSTO'!$A$4:$A$13,0)),""))&lt;&gt;"",IFERROR(INDEX('CAT_CENTROS_COSTO'!$E$4:$E$13,MATCH($F1027,'CAT_CENTROS_COSTO'!$A$4:$A$13,0)),""),$X1027))</f>
        <v/>
      </c>
      <c r="Z1027" s="5">
        <f>IF($F1027="","",IFERROR(INDEX('CAT_CENTROS_COSTO'!$G$4:$G$13,MATCH($F1027,'CAT_CENTROS_COSTO'!$A$4:$A$13,0)),"(sin catálogo)"))</f>
        <v/>
      </c>
      <c r="AA1027" s="5">
        <f>IF($G1027="","",IFERROR(INDEX('CAT_PUESTOS'!$B$4:$B$8,MATCH($G1027,'CAT_PUESTOS'!$A$4:$A$8,0)),"(sin catálogo)"))</f>
        <v/>
      </c>
      <c r="AB1027" s="5">
        <f>IF($H1027="","",IFERROR(INDEX('CAT_ACTIVIDADES'!$B$4:$B$11,MATCH($H1027,'CAT_ACTIVIDADES'!$A$4:$A$11,0)),"(sin catálogo)"))</f>
        <v/>
      </c>
      <c r="AC1027" s="20">
        <f>IF($J1027="","",TODAY()-$J1027)</f>
        <v/>
      </c>
      <c r="AD1027" s="20">
        <f>IF($J1027="","",IF($J1027&lt;=TODAY(),COUNTIFS(cal_fechas,"&gt;="&amp;$J1027,cal_fechas,"&lt;"&amp;TODAY(),cal_habil,"sí"),-COUNTIFS(cal_fechas,"&gt;="&amp;TODAY(),cal_fechas,"&lt;"&amp;$J1027,cal_habil,"sí")))</f>
        <v/>
      </c>
      <c r="AE1027" s="5">
        <f>IF($AD1027="","",IF($AD1027&lt;0,"FUTURO",IF($AD1027&gt;p_dias_backlog_max,"BACKLOG","MES CORRIENTE")))</f>
        <v/>
      </c>
      <c r="AF1027" s="5">
        <f>IF($AD1027="",FALSE,AND($AD1027&gt;p_dias_backlog_min,$AD1027&lt;=p_dias_backlog_max))</f>
        <v/>
      </c>
      <c r="AG1027" s="4" t="n"/>
      <c r="AH1027" s="5">
        <f>IF($AG1027="","",IF((IFERROR(INDEX('ASIGNACIONES'!$J$4:$J$451,MATCH($O1027&amp;"|"&amp;$S1027&amp;"|"&amp;$AG1027,'ASIGNACIONES'!$N$4:$N$451,0)),""))=0,"",IFERROR(INDEX('ASIGNACIONES'!$J$4:$J$451,MATCH($O1027&amp;"|"&amp;$S1027&amp;"|"&amp;$AG1027,'ASIGNACIONES'!$N$4:$N$451,0)),"")))</f>
        <v/>
      </c>
      <c r="AI1027" s="25">
        <f>IF($AG1027="","",SUMIFS('ORDENES'!$M$4:$M$1203,'ORDENES'!$AG$4:$AG$1203,$AG1027,'ORDENES'!$O$4:$O$1203,$O1027,'ORDENES'!$S$4:$S$1203,$S1027))</f>
        <v/>
      </c>
      <c r="AJ1027" s="25">
        <f>IF($AI1027="","",p_factor_productividad*IFERROR(INDEX('ASIGNACIONES'!$M$4:$M$451,MATCH($O1027&amp;"|"&amp;$S1027&amp;"|"&amp;$AG1027,'ASIGNACIONES'!$N$4:$N$451,0)),0)-$AI1027)</f>
        <v/>
      </c>
      <c r="AK1027" s="18">
        <f>IF($A1027="","",IFERROR(INDEX('2_IMPORTAR_EJECUCION'!$F$9:$F$1208,MATCH($AT1027,'2_IMPORTAR_EJECUCION'!$J$9:$J$1208,0)),0))</f>
        <v/>
      </c>
      <c r="AL1027" s="18">
        <f>IF($A1027="","",MAX(0,IFERROR(INDEX('2_IMPORTAR_EJECUCION'!$H$9:$H$1208,MATCH($AT1027,'2_IMPORTAR_EJECUCION'!$J$9:$J$1208,0)),0)-$AK1027))</f>
        <v/>
      </c>
      <c r="AM1027" s="18">
        <f>IF($A1027="","",$AK1027+$AL1027)</f>
        <v/>
      </c>
      <c r="AN1027" s="5">
        <f>IF($A1027="","",IF(OR((IFERROR(INDEX('CAT_ACTIVIDADES'!$D$4:$D$11,MATCH($H1027,'CAT_ACTIVIDADES'!$A$4:$A$11,0)),""))=0,(IFERROR(INDEX('CAT_ACTIVIDADES'!$D$4:$D$11,MATCH($H1027,'CAT_ACTIVIDADES'!$A$4:$A$11,0)),""))=""),"SIN CLASIFICAR",IFERROR(INDEX('CAT_ACTIVIDADES'!$D$4:$D$11,MATCH($H1027,'CAT_ACTIVIDADES'!$A$4:$A$11,0)),"")))</f>
        <v/>
      </c>
      <c r="AO1027" s="4" t="n"/>
      <c r="AP1027" s="4" t="n"/>
      <c r="AQ1027" s="4" t="n"/>
      <c r="AR1027" s="5">
        <f>IF($AQ1027="","",HYPERLINK(p_ruta_base_checklists&amp;$AQ1027,"abrir"))</f>
        <v/>
      </c>
      <c r="AS1027" s="4" t="n"/>
      <c r="AT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2" t="n"/>
      <c r="K1028" s="5" t="n"/>
      <c r="L1028" s="18" t="n"/>
      <c r="M1028" s="5">
        <f>IF($A1028="","",IFERROR(INDEX('AJUSTES'!$B$4:$B$303,MATCH($AT1028,'AJUSTES'!$A$4:$A$303,0)),IF($K1028="","",$K1028)))</f>
        <v/>
      </c>
      <c r="N1028" s="5">
        <f>IF($A1028="","",IFERROR(INDEX('CAT_ESTADOS_ERP'!$B$4:$B$7,MATCH(IFERROR(INDEX('2_IMPORTAR_EJECUCION'!$C$9:$C$1208,MATCH($AT1028,'2_IMPORTAR_EJECUCION'!$J$9:$J$1208,0)),""),'CAT_ESTADOS_ERP'!$A$4:$A$7,0)),"Pendiente"))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IF($J1028="","",$P1028&amp;"-"&amp;TEXT($Q1028,"00"))</f>
        <v/>
      </c>
      <c r="S1028" s="5">
        <f>IF($J1028="","",INDEX(lista_dias,WEEKDAY($J1028,2)))</f>
        <v/>
      </c>
      <c r="T1028" s="5">
        <f>IF($J1028="","",IFERROR(INDEX('CALENDARIO'!$C$15:$C$214,MATCH(TEXT($J1028,"yyyy-mm-dd")&amp;"|"&amp;$X1028&amp;"|"&amp;$Y1028,'CALENDARIO'!$G$15:$G$214,0)),IFERROR(INDEX('CALENDARIO'!$C$15:$C$214,MATCH(TEXT($J1028,"yyyy-mm-dd")&amp;"|"&amp;$X1028&amp;"|",'CALENDARIO'!$G$15:$G$214,0)),IFERROR(INDEX('CALENDARIO'!$C$15:$C$214,MATCH(TEXT($J1028,"yyyy-mm-dd")&amp;"||",'CALENDARIO'!$G$15:$G$214,0)),INDEX(patronHabil,WEEKDAY($J1028,2))))))</f>
        <v/>
      </c>
      <c r="U1028" s="5">
        <f>IF($I1028="","",IFERROR(INDEX('CAT_TIPOS_OT'!$C$4:$C$8,MATCH($I1028,'CAT_TIPOS_OT'!$A$4:$A$8,0)),"sin_clasificar"))</f>
        <v/>
      </c>
      <c r="V1028" s="5">
        <f>IF($I1028="","",IF(IFERROR(INDEX('CAT_TIPOS_OT'!$D$4:$D$8,MATCH($I1028,'CAT_TIPOS_OT'!$A$4:$A$8,0)),"SIN CLASIFICAR")="","SIN CLASIFICAR",IFERROR(INDEX('CAT_TIPOS_OT'!$D$4:$D$8,MATCH($I1028,'CAT_TIPOS_OT'!$A$4:$A$8,0)),"SIN CLASIFICAR")))</f>
        <v/>
      </c>
      <c r="W1028" s="5">
        <f>IF($F1028="","",IFERROR(INDEX('CAT_CENTROS_COSTO'!$F$4:$F$13,MATCH($F1028,'CAT_CENTROS_COSTO'!$A$4:$A$13,0)),"(sin catálogo)"))</f>
        <v/>
      </c>
      <c r="X1028" s="5">
        <f>IF($F1028="","",IFERROR(INDEX('CAT_CENTROS_COSTO'!$D$4:$D$13,MATCH($F1028,'CAT_CENTROS_COSTO'!$A$4:$A$13,0)),"(sin catálogo)"))</f>
        <v/>
      </c>
      <c r="Y1028" s="5">
        <f>IF($F1028="","",IF((IFERROR(INDEX('CAT_CENTROS_COSTO'!$E$4:$E$13,MATCH($F1028,'CAT_CENTROS_COSTO'!$A$4:$A$13,0)),""))&lt;&gt;"",IFERROR(INDEX('CAT_CENTROS_COSTO'!$E$4:$E$13,MATCH($F1028,'CAT_CENTROS_COSTO'!$A$4:$A$13,0)),""),$X1028))</f>
        <v/>
      </c>
      <c r="Z1028" s="5">
        <f>IF($F1028="","",IFERROR(INDEX('CAT_CENTROS_COSTO'!$G$4:$G$13,MATCH($F1028,'CAT_CENTROS_COSTO'!$A$4:$A$13,0)),"(sin catálogo)"))</f>
        <v/>
      </c>
      <c r="AA1028" s="5">
        <f>IF($G1028="","",IFERROR(INDEX('CAT_PUESTOS'!$B$4:$B$8,MATCH($G1028,'CAT_PUESTOS'!$A$4:$A$8,0)),"(sin catálogo)"))</f>
        <v/>
      </c>
      <c r="AB1028" s="5">
        <f>IF($H1028="","",IFERROR(INDEX('CAT_ACTIVIDADES'!$B$4:$B$11,MATCH($H1028,'CAT_ACTIVIDADES'!$A$4:$A$11,0)),"(sin catálogo)"))</f>
        <v/>
      </c>
      <c r="AC1028" s="20">
        <f>IF($J1028="","",TODAY()-$J1028)</f>
        <v/>
      </c>
      <c r="AD1028" s="20">
        <f>IF($J1028="","",IF($J1028&lt;=TODAY(),COUNTIFS(cal_fechas,"&gt;="&amp;$J1028,cal_fechas,"&lt;"&amp;TODAY(),cal_habil,"sí"),-COUNTIFS(cal_fechas,"&gt;="&amp;TODAY(),cal_fechas,"&lt;"&amp;$J1028,cal_habil,"sí")))</f>
        <v/>
      </c>
      <c r="AE1028" s="5">
        <f>IF($AD1028="","",IF($AD1028&lt;0,"FUTURO",IF($AD1028&gt;p_dias_backlog_max,"BACKLOG","MES CORRIENTE")))</f>
        <v/>
      </c>
      <c r="AF1028" s="5">
        <f>IF($AD1028="",FALSE,AND($AD1028&gt;p_dias_backlog_min,$AD1028&lt;=p_dias_backlog_max))</f>
        <v/>
      </c>
      <c r="AG1028" s="4" t="n"/>
      <c r="AH1028" s="5">
        <f>IF($AG1028="","",IF((IFERROR(INDEX('ASIGNACIONES'!$J$4:$J$451,MATCH($O1028&amp;"|"&amp;$S1028&amp;"|"&amp;$AG1028,'ASIGNACIONES'!$N$4:$N$451,0)),""))=0,"",IFERROR(INDEX('ASIGNACIONES'!$J$4:$J$451,MATCH($O1028&amp;"|"&amp;$S1028&amp;"|"&amp;$AG1028,'ASIGNACIONES'!$N$4:$N$451,0)),"")))</f>
        <v/>
      </c>
      <c r="AI1028" s="25">
        <f>IF($AG1028="","",SUMIFS('ORDENES'!$M$4:$M$1203,'ORDENES'!$AG$4:$AG$1203,$AG1028,'ORDENES'!$O$4:$O$1203,$O1028,'ORDENES'!$S$4:$S$1203,$S1028))</f>
        <v/>
      </c>
      <c r="AJ1028" s="25">
        <f>IF($AI1028="","",p_factor_productividad*IFERROR(INDEX('ASIGNACIONES'!$M$4:$M$451,MATCH($O1028&amp;"|"&amp;$S1028&amp;"|"&amp;$AG1028,'ASIGNACIONES'!$N$4:$N$451,0)),0)-$AI1028)</f>
        <v/>
      </c>
      <c r="AK1028" s="18">
        <f>IF($A1028="","",IFERROR(INDEX('2_IMPORTAR_EJECUCION'!$F$9:$F$1208,MATCH($AT1028,'2_IMPORTAR_EJECUCION'!$J$9:$J$1208,0)),0))</f>
        <v/>
      </c>
      <c r="AL1028" s="18">
        <f>IF($A1028="","",MAX(0,IFERROR(INDEX('2_IMPORTAR_EJECUCION'!$H$9:$H$1208,MATCH($AT1028,'2_IMPORTAR_EJECUCION'!$J$9:$J$1208,0)),0)-$AK1028))</f>
        <v/>
      </c>
      <c r="AM1028" s="18">
        <f>IF($A1028="","",$AK1028+$AL1028)</f>
        <v/>
      </c>
      <c r="AN1028" s="5">
        <f>IF($A1028="","",IF(OR((IFERROR(INDEX('CAT_ACTIVIDADES'!$D$4:$D$11,MATCH($H1028,'CAT_ACTIVIDADES'!$A$4:$A$11,0)),""))=0,(IFERROR(INDEX('CAT_ACTIVIDADES'!$D$4:$D$11,MATCH($H1028,'CAT_ACTIVIDADES'!$A$4:$A$11,0)),""))=""),"SIN CLASIFICAR",IFERROR(INDEX('CAT_ACTIVIDADES'!$D$4:$D$11,MATCH($H1028,'CAT_ACTIVIDADES'!$A$4:$A$11,0)),"")))</f>
        <v/>
      </c>
      <c r="AO1028" s="4" t="n"/>
      <c r="AP1028" s="4" t="n"/>
      <c r="AQ1028" s="4" t="n"/>
      <c r="AR1028" s="5">
        <f>IF($AQ1028="","",HYPERLINK(p_ruta_base_checklists&amp;$AQ1028,"abrir"))</f>
        <v/>
      </c>
      <c r="AS1028" s="4" t="n"/>
      <c r="AT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2" t="n"/>
      <c r="K1029" s="5" t="n"/>
      <c r="L1029" s="18" t="n"/>
      <c r="M1029" s="5">
        <f>IF($A1029="","",IFERROR(INDEX('AJUSTES'!$B$4:$B$303,MATCH($AT1029,'AJUSTES'!$A$4:$A$303,0)),IF($K1029="","",$K1029)))</f>
        <v/>
      </c>
      <c r="N1029" s="5">
        <f>IF($A1029="","",IFERROR(INDEX('CAT_ESTADOS_ERP'!$B$4:$B$7,MATCH(IFERROR(INDEX('2_IMPORTAR_EJECUCION'!$C$9:$C$1208,MATCH($AT1029,'2_IMPORTAR_EJECUCION'!$J$9:$J$1208,0)),""),'CAT_ESTADOS_ERP'!$A$4:$A$7,0)),"Pendiente"))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IF($J1029="","",$P1029&amp;"-"&amp;TEXT($Q1029,"00"))</f>
        <v/>
      </c>
      <c r="S1029" s="5">
        <f>IF($J1029="","",INDEX(lista_dias,WEEKDAY($J1029,2)))</f>
        <v/>
      </c>
      <c r="T1029" s="5">
        <f>IF($J1029="","",IFERROR(INDEX('CALENDARIO'!$C$15:$C$214,MATCH(TEXT($J1029,"yyyy-mm-dd")&amp;"|"&amp;$X1029&amp;"|"&amp;$Y1029,'CALENDARIO'!$G$15:$G$214,0)),IFERROR(INDEX('CALENDARIO'!$C$15:$C$214,MATCH(TEXT($J1029,"yyyy-mm-dd")&amp;"|"&amp;$X1029&amp;"|",'CALENDARIO'!$G$15:$G$214,0)),IFERROR(INDEX('CALENDARIO'!$C$15:$C$214,MATCH(TEXT($J1029,"yyyy-mm-dd")&amp;"||",'CALENDARIO'!$G$15:$G$214,0)),INDEX(patronHabil,WEEKDAY($J1029,2))))))</f>
        <v/>
      </c>
      <c r="U1029" s="5">
        <f>IF($I1029="","",IFERROR(INDEX('CAT_TIPOS_OT'!$C$4:$C$8,MATCH($I1029,'CAT_TIPOS_OT'!$A$4:$A$8,0)),"sin_clasificar"))</f>
        <v/>
      </c>
      <c r="V1029" s="5">
        <f>IF($I1029="","",IF(IFERROR(INDEX('CAT_TIPOS_OT'!$D$4:$D$8,MATCH($I1029,'CAT_TIPOS_OT'!$A$4:$A$8,0)),"SIN CLASIFICAR")="","SIN CLASIFICAR",IFERROR(INDEX('CAT_TIPOS_OT'!$D$4:$D$8,MATCH($I1029,'CAT_TIPOS_OT'!$A$4:$A$8,0)),"SIN CLASIFICAR")))</f>
        <v/>
      </c>
      <c r="W1029" s="5">
        <f>IF($F1029="","",IFERROR(INDEX('CAT_CENTROS_COSTO'!$F$4:$F$13,MATCH($F1029,'CAT_CENTROS_COSTO'!$A$4:$A$13,0)),"(sin catálogo)"))</f>
        <v/>
      </c>
      <c r="X1029" s="5">
        <f>IF($F1029="","",IFERROR(INDEX('CAT_CENTROS_COSTO'!$D$4:$D$13,MATCH($F1029,'CAT_CENTROS_COSTO'!$A$4:$A$13,0)),"(sin catálogo)"))</f>
        <v/>
      </c>
      <c r="Y1029" s="5">
        <f>IF($F1029="","",IF((IFERROR(INDEX('CAT_CENTROS_COSTO'!$E$4:$E$13,MATCH($F1029,'CAT_CENTROS_COSTO'!$A$4:$A$13,0)),""))&lt;&gt;"",IFERROR(INDEX('CAT_CENTROS_COSTO'!$E$4:$E$13,MATCH($F1029,'CAT_CENTROS_COSTO'!$A$4:$A$13,0)),""),$X1029))</f>
        <v/>
      </c>
      <c r="Z1029" s="5">
        <f>IF($F1029="","",IFERROR(INDEX('CAT_CENTROS_COSTO'!$G$4:$G$13,MATCH($F1029,'CAT_CENTROS_COSTO'!$A$4:$A$13,0)),"(sin catálogo)"))</f>
        <v/>
      </c>
      <c r="AA1029" s="5">
        <f>IF($G1029="","",IFERROR(INDEX('CAT_PUESTOS'!$B$4:$B$8,MATCH($G1029,'CAT_PUESTOS'!$A$4:$A$8,0)),"(sin catálogo)"))</f>
        <v/>
      </c>
      <c r="AB1029" s="5">
        <f>IF($H1029="","",IFERROR(INDEX('CAT_ACTIVIDADES'!$B$4:$B$11,MATCH($H1029,'CAT_ACTIVIDADES'!$A$4:$A$11,0)),"(sin catálogo)"))</f>
        <v/>
      </c>
      <c r="AC1029" s="20">
        <f>IF($J1029="","",TODAY()-$J1029)</f>
        <v/>
      </c>
      <c r="AD1029" s="20">
        <f>IF($J1029="","",IF($J1029&lt;=TODAY(),COUNTIFS(cal_fechas,"&gt;="&amp;$J1029,cal_fechas,"&lt;"&amp;TODAY(),cal_habil,"sí"),-COUNTIFS(cal_fechas,"&gt;="&amp;TODAY(),cal_fechas,"&lt;"&amp;$J1029,cal_habil,"sí")))</f>
        <v/>
      </c>
      <c r="AE1029" s="5">
        <f>IF($AD1029="","",IF($AD1029&lt;0,"FUTURO",IF($AD1029&gt;p_dias_backlog_max,"BACKLOG","MES CORRIENTE")))</f>
        <v/>
      </c>
      <c r="AF1029" s="5">
        <f>IF($AD1029="",FALSE,AND($AD1029&gt;p_dias_backlog_min,$AD1029&lt;=p_dias_backlog_max))</f>
        <v/>
      </c>
      <c r="AG1029" s="4" t="n"/>
      <c r="AH1029" s="5">
        <f>IF($AG1029="","",IF((IFERROR(INDEX('ASIGNACIONES'!$J$4:$J$451,MATCH($O1029&amp;"|"&amp;$S1029&amp;"|"&amp;$AG1029,'ASIGNACIONES'!$N$4:$N$451,0)),""))=0,"",IFERROR(INDEX('ASIGNACIONES'!$J$4:$J$451,MATCH($O1029&amp;"|"&amp;$S1029&amp;"|"&amp;$AG1029,'ASIGNACIONES'!$N$4:$N$451,0)),"")))</f>
        <v/>
      </c>
      <c r="AI1029" s="25">
        <f>IF($AG1029="","",SUMIFS('ORDENES'!$M$4:$M$1203,'ORDENES'!$AG$4:$AG$1203,$AG1029,'ORDENES'!$O$4:$O$1203,$O1029,'ORDENES'!$S$4:$S$1203,$S1029))</f>
        <v/>
      </c>
      <c r="AJ1029" s="25">
        <f>IF($AI1029="","",p_factor_productividad*IFERROR(INDEX('ASIGNACIONES'!$M$4:$M$451,MATCH($O1029&amp;"|"&amp;$S1029&amp;"|"&amp;$AG1029,'ASIGNACIONES'!$N$4:$N$451,0)),0)-$AI1029)</f>
        <v/>
      </c>
      <c r="AK1029" s="18">
        <f>IF($A1029="","",IFERROR(INDEX('2_IMPORTAR_EJECUCION'!$F$9:$F$1208,MATCH($AT1029,'2_IMPORTAR_EJECUCION'!$J$9:$J$1208,0)),0))</f>
        <v/>
      </c>
      <c r="AL1029" s="18">
        <f>IF($A1029="","",MAX(0,IFERROR(INDEX('2_IMPORTAR_EJECUCION'!$H$9:$H$1208,MATCH($AT1029,'2_IMPORTAR_EJECUCION'!$J$9:$J$1208,0)),0)-$AK1029))</f>
        <v/>
      </c>
      <c r="AM1029" s="18">
        <f>IF($A1029="","",$AK1029+$AL1029)</f>
        <v/>
      </c>
      <c r="AN1029" s="5">
        <f>IF($A1029="","",IF(OR((IFERROR(INDEX('CAT_ACTIVIDADES'!$D$4:$D$11,MATCH($H1029,'CAT_ACTIVIDADES'!$A$4:$A$11,0)),""))=0,(IFERROR(INDEX('CAT_ACTIVIDADES'!$D$4:$D$11,MATCH($H1029,'CAT_ACTIVIDADES'!$A$4:$A$11,0)),""))=""),"SIN CLASIFICAR",IFERROR(INDEX('CAT_ACTIVIDADES'!$D$4:$D$11,MATCH($H1029,'CAT_ACTIVIDADES'!$A$4:$A$11,0)),"")))</f>
        <v/>
      </c>
      <c r="AO1029" s="4" t="n"/>
      <c r="AP1029" s="4" t="n"/>
      <c r="AQ1029" s="4" t="n"/>
      <c r="AR1029" s="5">
        <f>IF($AQ1029="","",HYPERLINK(p_ruta_base_checklists&amp;$AQ1029,"abrir"))</f>
        <v/>
      </c>
      <c r="AS1029" s="4" t="n"/>
      <c r="AT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2" t="n"/>
      <c r="K1030" s="5" t="n"/>
      <c r="L1030" s="18" t="n"/>
      <c r="M1030" s="5">
        <f>IF($A1030="","",IFERROR(INDEX('AJUSTES'!$B$4:$B$303,MATCH($AT1030,'AJUSTES'!$A$4:$A$303,0)),IF($K1030="","",$K1030)))</f>
        <v/>
      </c>
      <c r="N1030" s="5">
        <f>IF($A1030="","",IFERROR(INDEX('CAT_ESTADOS_ERP'!$B$4:$B$7,MATCH(IFERROR(INDEX('2_IMPORTAR_EJECUCION'!$C$9:$C$1208,MATCH($AT1030,'2_IMPORTAR_EJECUCION'!$J$9:$J$1208,0)),""),'CAT_ESTADOS_ERP'!$A$4:$A$7,0)),"Pendiente"))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IF($J1030="","",$P1030&amp;"-"&amp;TEXT($Q1030,"00"))</f>
        <v/>
      </c>
      <c r="S1030" s="5">
        <f>IF($J1030="","",INDEX(lista_dias,WEEKDAY($J1030,2)))</f>
        <v/>
      </c>
      <c r="T1030" s="5">
        <f>IF($J1030="","",IFERROR(INDEX('CALENDARIO'!$C$15:$C$214,MATCH(TEXT($J1030,"yyyy-mm-dd")&amp;"|"&amp;$X1030&amp;"|"&amp;$Y1030,'CALENDARIO'!$G$15:$G$214,0)),IFERROR(INDEX('CALENDARIO'!$C$15:$C$214,MATCH(TEXT($J1030,"yyyy-mm-dd")&amp;"|"&amp;$X1030&amp;"|",'CALENDARIO'!$G$15:$G$214,0)),IFERROR(INDEX('CALENDARIO'!$C$15:$C$214,MATCH(TEXT($J1030,"yyyy-mm-dd")&amp;"||",'CALENDARIO'!$G$15:$G$214,0)),INDEX(patronHabil,WEEKDAY($J1030,2))))))</f>
        <v/>
      </c>
      <c r="U1030" s="5">
        <f>IF($I1030="","",IFERROR(INDEX('CAT_TIPOS_OT'!$C$4:$C$8,MATCH($I1030,'CAT_TIPOS_OT'!$A$4:$A$8,0)),"sin_clasificar"))</f>
        <v/>
      </c>
      <c r="V1030" s="5">
        <f>IF($I1030="","",IF(IFERROR(INDEX('CAT_TIPOS_OT'!$D$4:$D$8,MATCH($I1030,'CAT_TIPOS_OT'!$A$4:$A$8,0)),"SIN CLASIFICAR")="","SIN CLASIFICAR",IFERROR(INDEX('CAT_TIPOS_OT'!$D$4:$D$8,MATCH($I1030,'CAT_TIPOS_OT'!$A$4:$A$8,0)),"SIN CLASIFICAR")))</f>
        <v/>
      </c>
      <c r="W1030" s="5">
        <f>IF($F1030="","",IFERROR(INDEX('CAT_CENTROS_COSTO'!$F$4:$F$13,MATCH($F1030,'CAT_CENTROS_COSTO'!$A$4:$A$13,0)),"(sin catálogo)"))</f>
        <v/>
      </c>
      <c r="X1030" s="5">
        <f>IF($F1030="","",IFERROR(INDEX('CAT_CENTROS_COSTO'!$D$4:$D$13,MATCH($F1030,'CAT_CENTROS_COSTO'!$A$4:$A$13,0)),"(sin catálogo)"))</f>
        <v/>
      </c>
      <c r="Y1030" s="5">
        <f>IF($F1030="","",IF((IFERROR(INDEX('CAT_CENTROS_COSTO'!$E$4:$E$13,MATCH($F1030,'CAT_CENTROS_COSTO'!$A$4:$A$13,0)),""))&lt;&gt;"",IFERROR(INDEX('CAT_CENTROS_COSTO'!$E$4:$E$13,MATCH($F1030,'CAT_CENTROS_COSTO'!$A$4:$A$13,0)),""),$X1030))</f>
        <v/>
      </c>
      <c r="Z1030" s="5">
        <f>IF($F1030="","",IFERROR(INDEX('CAT_CENTROS_COSTO'!$G$4:$G$13,MATCH($F1030,'CAT_CENTROS_COSTO'!$A$4:$A$13,0)),"(sin catálogo)"))</f>
        <v/>
      </c>
      <c r="AA1030" s="5">
        <f>IF($G1030="","",IFERROR(INDEX('CAT_PUESTOS'!$B$4:$B$8,MATCH($G1030,'CAT_PUESTOS'!$A$4:$A$8,0)),"(sin catálogo)"))</f>
        <v/>
      </c>
      <c r="AB1030" s="5">
        <f>IF($H1030="","",IFERROR(INDEX('CAT_ACTIVIDADES'!$B$4:$B$11,MATCH($H1030,'CAT_ACTIVIDADES'!$A$4:$A$11,0)),"(sin catálogo)"))</f>
        <v/>
      </c>
      <c r="AC1030" s="20">
        <f>IF($J1030="","",TODAY()-$J1030)</f>
        <v/>
      </c>
      <c r="AD1030" s="20">
        <f>IF($J1030="","",IF($J1030&lt;=TODAY(),COUNTIFS(cal_fechas,"&gt;="&amp;$J1030,cal_fechas,"&lt;"&amp;TODAY(),cal_habil,"sí"),-COUNTIFS(cal_fechas,"&gt;="&amp;TODAY(),cal_fechas,"&lt;"&amp;$J1030,cal_habil,"sí")))</f>
        <v/>
      </c>
      <c r="AE1030" s="5">
        <f>IF($AD1030="","",IF($AD1030&lt;0,"FUTURO",IF($AD1030&gt;p_dias_backlog_max,"BACKLOG","MES CORRIENTE")))</f>
        <v/>
      </c>
      <c r="AF1030" s="5">
        <f>IF($AD1030="",FALSE,AND($AD1030&gt;p_dias_backlog_min,$AD1030&lt;=p_dias_backlog_max))</f>
        <v/>
      </c>
      <c r="AG1030" s="4" t="n"/>
      <c r="AH1030" s="5">
        <f>IF($AG1030="","",IF((IFERROR(INDEX('ASIGNACIONES'!$J$4:$J$451,MATCH($O1030&amp;"|"&amp;$S1030&amp;"|"&amp;$AG1030,'ASIGNACIONES'!$N$4:$N$451,0)),""))=0,"",IFERROR(INDEX('ASIGNACIONES'!$J$4:$J$451,MATCH($O1030&amp;"|"&amp;$S1030&amp;"|"&amp;$AG1030,'ASIGNACIONES'!$N$4:$N$451,0)),"")))</f>
        <v/>
      </c>
      <c r="AI1030" s="25">
        <f>IF($AG1030="","",SUMIFS('ORDENES'!$M$4:$M$1203,'ORDENES'!$AG$4:$AG$1203,$AG1030,'ORDENES'!$O$4:$O$1203,$O1030,'ORDENES'!$S$4:$S$1203,$S1030))</f>
        <v/>
      </c>
      <c r="AJ1030" s="25">
        <f>IF($AI1030="","",p_factor_productividad*IFERROR(INDEX('ASIGNACIONES'!$M$4:$M$451,MATCH($O1030&amp;"|"&amp;$S1030&amp;"|"&amp;$AG1030,'ASIGNACIONES'!$N$4:$N$451,0)),0)-$AI1030)</f>
        <v/>
      </c>
      <c r="AK1030" s="18">
        <f>IF($A1030="","",IFERROR(INDEX('2_IMPORTAR_EJECUCION'!$F$9:$F$1208,MATCH($AT1030,'2_IMPORTAR_EJECUCION'!$J$9:$J$1208,0)),0))</f>
        <v/>
      </c>
      <c r="AL1030" s="18">
        <f>IF($A1030="","",MAX(0,IFERROR(INDEX('2_IMPORTAR_EJECUCION'!$H$9:$H$1208,MATCH($AT1030,'2_IMPORTAR_EJECUCION'!$J$9:$J$1208,0)),0)-$AK1030))</f>
        <v/>
      </c>
      <c r="AM1030" s="18">
        <f>IF($A1030="","",$AK1030+$AL1030)</f>
        <v/>
      </c>
      <c r="AN1030" s="5">
        <f>IF($A1030="","",IF(OR((IFERROR(INDEX('CAT_ACTIVIDADES'!$D$4:$D$11,MATCH($H1030,'CAT_ACTIVIDADES'!$A$4:$A$11,0)),""))=0,(IFERROR(INDEX('CAT_ACTIVIDADES'!$D$4:$D$11,MATCH($H1030,'CAT_ACTIVIDADES'!$A$4:$A$11,0)),""))=""),"SIN CLASIFICAR",IFERROR(INDEX('CAT_ACTIVIDADES'!$D$4:$D$11,MATCH($H1030,'CAT_ACTIVIDADES'!$A$4:$A$11,0)),"")))</f>
        <v/>
      </c>
      <c r="AO1030" s="4" t="n"/>
      <c r="AP1030" s="4" t="n"/>
      <c r="AQ1030" s="4" t="n"/>
      <c r="AR1030" s="5">
        <f>IF($AQ1030="","",HYPERLINK(p_ruta_base_checklists&amp;$AQ1030,"abrir"))</f>
        <v/>
      </c>
      <c r="AS1030" s="4" t="n"/>
      <c r="AT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2" t="n"/>
      <c r="K1031" s="5" t="n"/>
      <c r="L1031" s="18" t="n"/>
      <c r="M1031" s="5">
        <f>IF($A1031="","",IFERROR(INDEX('AJUSTES'!$B$4:$B$303,MATCH($AT1031,'AJUSTES'!$A$4:$A$303,0)),IF($K1031="","",$K1031)))</f>
        <v/>
      </c>
      <c r="N1031" s="5">
        <f>IF($A1031="","",IFERROR(INDEX('CAT_ESTADOS_ERP'!$B$4:$B$7,MATCH(IFERROR(INDEX('2_IMPORTAR_EJECUCION'!$C$9:$C$1208,MATCH($AT1031,'2_IMPORTAR_EJECUCION'!$J$9:$J$1208,0)),""),'CAT_ESTADOS_ERP'!$A$4:$A$7,0)),"Pendiente"))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IF($J1031="","",$P1031&amp;"-"&amp;TEXT($Q1031,"00"))</f>
        <v/>
      </c>
      <c r="S1031" s="5">
        <f>IF($J1031="","",INDEX(lista_dias,WEEKDAY($J1031,2)))</f>
        <v/>
      </c>
      <c r="T1031" s="5">
        <f>IF($J1031="","",IFERROR(INDEX('CALENDARIO'!$C$15:$C$214,MATCH(TEXT($J1031,"yyyy-mm-dd")&amp;"|"&amp;$X1031&amp;"|"&amp;$Y1031,'CALENDARIO'!$G$15:$G$214,0)),IFERROR(INDEX('CALENDARIO'!$C$15:$C$214,MATCH(TEXT($J1031,"yyyy-mm-dd")&amp;"|"&amp;$X1031&amp;"|",'CALENDARIO'!$G$15:$G$214,0)),IFERROR(INDEX('CALENDARIO'!$C$15:$C$214,MATCH(TEXT($J1031,"yyyy-mm-dd")&amp;"||",'CALENDARIO'!$G$15:$G$214,0)),INDEX(patronHabil,WEEKDAY($J1031,2))))))</f>
        <v/>
      </c>
      <c r="U1031" s="5">
        <f>IF($I1031="","",IFERROR(INDEX('CAT_TIPOS_OT'!$C$4:$C$8,MATCH($I1031,'CAT_TIPOS_OT'!$A$4:$A$8,0)),"sin_clasificar"))</f>
        <v/>
      </c>
      <c r="V1031" s="5">
        <f>IF($I1031="","",IF(IFERROR(INDEX('CAT_TIPOS_OT'!$D$4:$D$8,MATCH($I1031,'CAT_TIPOS_OT'!$A$4:$A$8,0)),"SIN CLASIFICAR")="","SIN CLASIFICAR",IFERROR(INDEX('CAT_TIPOS_OT'!$D$4:$D$8,MATCH($I1031,'CAT_TIPOS_OT'!$A$4:$A$8,0)),"SIN CLASIFICAR")))</f>
        <v/>
      </c>
      <c r="W1031" s="5">
        <f>IF($F1031="","",IFERROR(INDEX('CAT_CENTROS_COSTO'!$F$4:$F$13,MATCH($F1031,'CAT_CENTROS_COSTO'!$A$4:$A$13,0)),"(sin catálogo)"))</f>
        <v/>
      </c>
      <c r="X1031" s="5">
        <f>IF($F1031="","",IFERROR(INDEX('CAT_CENTROS_COSTO'!$D$4:$D$13,MATCH($F1031,'CAT_CENTROS_COSTO'!$A$4:$A$13,0)),"(sin catálogo)"))</f>
        <v/>
      </c>
      <c r="Y1031" s="5">
        <f>IF($F1031="","",IF((IFERROR(INDEX('CAT_CENTROS_COSTO'!$E$4:$E$13,MATCH($F1031,'CAT_CENTROS_COSTO'!$A$4:$A$13,0)),""))&lt;&gt;"",IFERROR(INDEX('CAT_CENTROS_COSTO'!$E$4:$E$13,MATCH($F1031,'CAT_CENTROS_COSTO'!$A$4:$A$13,0)),""),$X1031))</f>
        <v/>
      </c>
      <c r="Z1031" s="5">
        <f>IF($F1031="","",IFERROR(INDEX('CAT_CENTROS_COSTO'!$G$4:$G$13,MATCH($F1031,'CAT_CENTROS_COSTO'!$A$4:$A$13,0)),"(sin catálogo)"))</f>
        <v/>
      </c>
      <c r="AA1031" s="5">
        <f>IF($G1031="","",IFERROR(INDEX('CAT_PUESTOS'!$B$4:$B$8,MATCH($G1031,'CAT_PUESTOS'!$A$4:$A$8,0)),"(sin catálogo)"))</f>
        <v/>
      </c>
      <c r="AB1031" s="5">
        <f>IF($H1031="","",IFERROR(INDEX('CAT_ACTIVIDADES'!$B$4:$B$11,MATCH($H1031,'CAT_ACTIVIDADES'!$A$4:$A$11,0)),"(sin catálogo)"))</f>
        <v/>
      </c>
      <c r="AC1031" s="20">
        <f>IF($J1031="","",TODAY()-$J1031)</f>
        <v/>
      </c>
      <c r="AD1031" s="20">
        <f>IF($J1031="","",IF($J1031&lt;=TODAY(),COUNTIFS(cal_fechas,"&gt;="&amp;$J1031,cal_fechas,"&lt;"&amp;TODAY(),cal_habil,"sí"),-COUNTIFS(cal_fechas,"&gt;="&amp;TODAY(),cal_fechas,"&lt;"&amp;$J1031,cal_habil,"sí")))</f>
        <v/>
      </c>
      <c r="AE1031" s="5">
        <f>IF($AD1031="","",IF($AD1031&lt;0,"FUTURO",IF($AD1031&gt;p_dias_backlog_max,"BACKLOG","MES CORRIENTE")))</f>
        <v/>
      </c>
      <c r="AF1031" s="5">
        <f>IF($AD1031="",FALSE,AND($AD1031&gt;p_dias_backlog_min,$AD1031&lt;=p_dias_backlog_max))</f>
        <v/>
      </c>
      <c r="AG1031" s="4" t="n"/>
      <c r="AH1031" s="5">
        <f>IF($AG1031="","",IF((IFERROR(INDEX('ASIGNACIONES'!$J$4:$J$451,MATCH($O1031&amp;"|"&amp;$S1031&amp;"|"&amp;$AG1031,'ASIGNACIONES'!$N$4:$N$451,0)),""))=0,"",IFERROR(INDEX('ASIGNACIONES'!$J$4:$J$451,MATCH($O1031&amp;"|"&amp;$S1031&amp;"|"&amp;$AG1031,'ASIGNACIONES'!$N$4:$N$451,0)),"")))</f>
        <v/>
      </c>
      <c r="AI1031" s="25">
        <f>IF($AG1031="","",SUMIFS('ORDENES'!$M$4:$M$1203,'ORDENES'!$AG$4:$AG$1203,$AG1031,'ORDENES'!$O$4:$O$1203,$O1031,'ORDENES'!$S$4:$S$1203,$S1031))</f>
        <v/>
      </c>
      <c r="AJ1031" s="25">
        <f>IF($AI1031="","",p_factor_productividad*IFERROR(INDEX('ASIGNACIONES'!$M$4:$M$451,MATCH($O1031&amp;"|"&amp;$S1031&amp;"|"&amp;$AG1031,'ASIGNACIONES'!$N$4:$N$451,0)),0)-$AI1031)</f>
        <v/>
      </c>
      <c r="AK1031" s="18">
        <f>IF($A1031="","",IFERROR(INDEX('2_IMPORTAR_EJECUCION'!$F$9:$F$1208,MATCH($AT1031,'2_IMPORTAR_EJECUCION'!$J$9:$J$1208,0)),0))</f>
        <v/>
      </c>
      <c r="AL1031" s="18">
        <f>IF($A1031="","",MAX(0,IFERROR(INDEX('2_IMPORTAR_EJECUCION'!$H$9:$H$1208,MATCH($AT1031,'2_IMPORTAR_EJECUCION'!$J$9:$J$1208,0)),0)-$AK1031))</f>
        <v/>
      </c>
      <c r="AM1031" s="18">
        <f>IF($A1031="","",$AK1031+$AL1031)</f>
        <v/>
      </c>
      <c r="AN1031" s="5">
        <f>IF($A1031="","",IF(OR((IFERROR(INDEX('CAT_ACTIVIDADES'!$D$4:$D$11,MATCH($H1031,'CAT_ACTIVIDADES'!$A$4:$A$11,0)),""))=0,(IFERROR(INDEX('CAT_ACTIVIDADES'!$D$4:$D$11,MATCH($H1031,'CAT_ACTIVIDADES'!$A$4:$A$11,0)),""))=""),"SIN CLASIFICAR",IFERROR(INDEX('CAT_ACTIVIDADES'!$D$4:$D$11,MATCH($H1031,'CAT_ACTIVIDADES'!$A$4:$A$11,0)),"")))</f>
        <v/>
      </c>
      <c r="AO1031" s="4" t="n"/>
      <c r="AP1031" s="4" t="n"/>
      <c r="AQ1031" s="4" t="n"/>
      <c r="AR1031" s="5">
        <f>IF($AQ1031="","",HYPERLINK(p_ruta_base_checklists&amp;$AQ1031,"abrir"))</f>
        <v/>
      </c>
      <c r="AS1031" s="4" t="n"/>
      <c r="AT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2" t="n"/>
      <c r="K1032" s="5" t="n"/>
      <c r="L1032" s="18" t="n"/>
      <c r="M1032" s="5">
        <f>IF($A1032="","",IFERROR(INDEX('AJUSTES'!$B$4:$B$303,MATCH($AT1032,'AJUSTES'!$A$4:$A$303,0)),IF($K1032="","",$K1032)))</f>
        <v/>
      </c>
      <c r="N1032" s="5">
        <f>IF($A1032="","",IFERROR(INDEX('CAT_ESTADOS_ERP'!$B$4:$B$7,MATCH(IFERROR(INDEX('2_IMPORTAR_EJECUCION'!$C$9:$C$1208,MATCH($AT1032,'2_IMPORTAR_EJECUCION'!$J$9:$J$1208,0)),""),'CAT_ESTADOS_ERP'!$A$4:$A$7,0)),"Pendiente"))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IF($J1032="","",$P1032&amp;"-"&amp;TEXT($Q1032,"00"))</f>
        <v/>
      </c>
      <c r="S1032" s="5">
        <f>IF($J1032="","",INDEX(lista_dias,WEEKDAY($J1032,2)))</f>
        <v/>
      </c>
      <c r="T1032" s="5">
        <f>IF($J1032="","",IFERROR(INDEX('CALENDARIO'!$C$15:$C$214,MATCH(TEXT($J1032,"yyyy-mm-dd")&amp;"|"&amp;$X1032&amp;"|"&amp;$Y1032,'CALENDARIO'!$G$15:$G$214,0)),IFERROR(INDEX('CALENDARIO'!$C$15:$C$214,MATCH(TEXT($J1032,"yyyy-mm-dd")&amp;"|"&amp;$X1032&amp;"|",'CALENDARIO'!$G$15:$G$214,0)),IFERROR(INDEX('CALENDARIO'!$C$15:$C$214,MATCH(TEXT($J1032,"yyyy-mm-dd")&amp;"||",'CALENDARIO'!$G$15:$G$214,0)),INDEX(patronHabil,WEEKDAY($J1032,2))))))</f>
        <v/>
      </c>
      <c r="U1032" s="5">
        <f>IF($I1032="","",IFERROR(INDEX('CAT_TIPOS_OT'!$C$4:$C$8,MATCH($I1032,'CAT_TIPOS_OT'!$A$4:$A$8,0)),"sin_clasificar"))</f>
        <v/>
      </c>
      <c r="V1032" s="5">
        <f>IF($I1032="","",IF(IFERROR(INDEX('CAT_TIPOS_OT'!$D$4:$D$8,MATCH($I1032,'CAT_TIPOS_OT'!$A$4:$A$8,0)),"SIN CLASIFICAR")="","SIN CLASIFICAR",IFERROR(INDEX('CAT_TIPOS_OT'!$D$4:$D$8,MATCH($I1032,'CAT_TIPOS_OT'!$A$4:$A$8,0)),"SIN CLASIFICAR")))</f>
        <v/>
      </c>
      <c r="W1032" s="5">
        <f>IF($F1032="","",IFERROR(INDEX('CAT_CENTROS_COSTO'!$F$4:$F$13,MATCH($F1032,'CAT_CENTROS_COSTO'!$A$4:$A$13,0)),"(sin catálogo)"))</f>
        <v/>
      </c>
      <c r="X1032" s="5">
        <f>IF($F1032="","",IFERROR(INDEX('CAT_CENTROS_COSTO'!$D$4:$D$13,MATCH($F1032,'CAT_CENTROS_COSTO'!$A$4:$A$13,0)),"(sin catálogo)"))</f>
        <v/>
      </c>
      <c r="Y1032" s="5">
        <f>IF($F1032="","",IF((IFERROR(INDEX('CAT_CENTROS_COSTO'!$E$4:$E$13,MATCH($F1032,'CAT_CENTROS_COSTO'!$A$4:$A$13,0)),""))&lt;&gt;"",IFERROR(INDEX('CAT_CENTROS_COSTO'!$E$4:$E$13,MATCH($F1032,'CAT_CENTROS_COSTO'!$A$4:$A$13,0)),""),$X1032))</f>
        <v/>
      </c>
      <c r="Z1032" s="5">
        <f>IF($F1032="","",IFERROR(INDEX('CAT_CENTROS_COSTO'!$G$4:$G$13,MATCH($F1032,'CAT_CENTROS_COSTO'!$A$4:$A$13,0)),"(sin catálogo)"))</f>
        <v/>
      </c>
      <c r="AA1032" s="5">
        <f>IF($G1032="","",IFERROR(INDEX('CAT_PUESTOS'!$B$4:$B$8,MATCH($G1032,'CAT_PUESTOS'!$A$4:$A$8,0)),"(sin catálogo)"))</f>
        <v/>
      </c>
      <c r="AB1032" s="5">
        <f>IF($H1032="","",IFERROR(INDEX('CAT_ACTIVIDADES'!$B$4:$B$11,MATCH($H1032,'CAT_ACTIVIDADES'!$A$4:$A$11,0)),"(sin catálogo)"))</f>
        <v/>
      </c>
      <c r="AC1032" s="20">
        <f>IF($J1032="","",TODAY()-$J1032)</f>
        <v/>
      </c>
      <c r="AD1032" s="20">
        <f>IF($J1032="","",IF($J1032&lt;=TODAY(),COUNTIFS(cal_fechas,"&gt;="&amp;$J1032,cal_fechas,"&lt;"&amp;TODAY(),cal_habil,"sí"),-COUNTIFS(cal_fechas,"&gt;="&amp;TODAY(),cal_fechas,"&lt;"&amp;$J1032,cal_habil,"sí")))</f>
        <v/>
      </c>
      <c r="AE1032" s="5">
        <f>IF($AD1032="","",IF($AD1032&lt;0,"FUTURO",IF($AD1032&gt;p_dias_backlog_max,"BACKLOG","MES CORRIENTE")))</f>
        <v/>
      </c>
      <c r="AF1032" s="5">
        <f>IF($AD1032="",FALSE,AND($AD1032&gt;p_dias_backlog_min,$AD1032&lt;=p_dias_backlog_max))</f>
        <v/>
      </c>
      <c r="AG1032" s="4" t="n"/>
      <c r="AH1032" s="5">
        <f>IF($AG1032="","",IF((IFERROR(INDEX('ASIGNACIONES'!$J$4:$J$451,MATCH($O1032&amp;"|"&amp;$S1032&amp;"|"&amp;$AG1032,'ASIGNACIONES'!$N$4:$N$451,0)),""))=0,"",IFERROR(INDEX('ASIGNACIONES'!$J$4:$J$451,MATCH($O1032&amp;"|"&amp;$S1032&amp;"|"&amp;$AG1032,'ASIGNACIONES'!$N$4:$N$451,0)),"")))</f>
        <v/>
      </c>
      <c r="AI1032" s="25">
        <f>IF($AG1032="","",SUMIFS('ORDENES'!$M$4:$M$1203,'ORDENES'!$AG$4:$AG$1203,$AG1032,'ORDENES'!$O$4:$O$1203,$O1032,'ORDENES'!$S$4:$S$1203,$S1032))</f>
        <v/>
      </c>
      <c r="AJ1032" s="25">
        <f>IF($AI1032="","",p_factor_productividad*IFERROR(INDEX('ASIGNACIONES'!$M$4:$M$451,MATCH($O1032&amp;"|"&amp;$S1032&amp;"|"&amp;$AG1032,'ASIGNACIONES'!$N$4:$N$451,0)),0)-$AI1032)</f>
        <v/>
      </c>
      <c r="AK1032" s="18">
        <f>IF($A1032="","",IFERROR(INDEX('2_IMPORTAR_EJECUCION'!$F$9:$F$1208,MATCH($AT1032,'2_IMPORTAR_EJECUCION'!$J$9:$J$1208,0)),0))</f>
        <v/>
      </c>
      <c r="AL1032" s="18">
        <f>IF($A1032="","",MAX(0,IFERROR(INDEX('2_IMPORTAR_EJECUCION'!$H$9:$H$1208,MATCH($AT1032,'2_IMPORTAR_EJECUCION'!$J$9:$J$1208,0)),0)-$AK1032))</f>
        <v/>
      </c>
      <c r="AM1032" s="18">
        <f>IF($A1032="","",$AK1032+$AL1032)</f>
        <v/>
      </c>
      <c r="AN1032" s="5">
        <f>IF($A1032="","",IF(OR((IFERROR(INDEX('CAT_ACTIVIDADES'!$D$4:$D$11,MATCH($H1032,'CAT_ACTIVIDADES'!$A$4:$A$11,0)),""))=0,(IFERROR(INDEX('CAT_ACTIVIDADES'!$D$4:$D$11,MATCH($H1032,'CAT_ACTIVIDADES'!$A$4:$A$11,0)),""))=""),"SIN CLASIFICAR",IFERROR(INDEX('CAT_ACTIVIDADES'!$D$4:$D$11,MATCH($H1032,'CAT_ACTIVIDADES'!$A$4:$A$11,0)),"")))</f>
        <v/>
      </c>
      <c r="AO1032" s="4" t="n"/>
      <c r="AP1032" s="4" t="n"/>
      <c r="AQ1032" s="4" t="n"/>
      <c r="AR1032" s="5">
        <f>IF($AQ1032="","",HYPERLINK(p_ruta_base_checklists&amp;$AQ1032,"abrir"))</f>
        <v/>
      </c>
      <c r="AS1032" s="4" t="n"/>
      <c r="AT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2" t="n"/>
      <c r="K1033" s="5" t="n"/>
      <c r="L1033" s="18" t="n"/>
      <c r="M1033" s="5">
        <f>IF($A1033="","",IFERROR(INDEX('AJUSTES'!$B$4:$B$303,MATCH($AT1033,'AJUSTES'!$A$4:$A$303,0)),IF($K1033="","",$K1033)))</f>
        <v/>
      </c>
      <c r="N1033" s="5">
        <f>IF($A1033="","",IFERROR(INDEX('CAT_ESTADOS_ERP'!$B$4:$B$7,MATCH(IFERROR(INDEX('2_IMPORTAR_EJECUCION'!$C$9:$C$1208,MATCH($AT1033,'2_IMPORTAR_EJECUCION'!$J$9:$J$1208,0)),""),'CAT_ESTADOS_ERP'!$A$4:$A$7,0)),"Pendiente"))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IF($J1033="","",$P1033&amp;"-"&amp;TEXT($Q1033,"00"))</f>
        <v/>
      </c>
      <c r="S1033" s="5">
        <f>IF($J1033="","",INDEX(lista_dias,WEEKDAY($J1033,2)))</f>
        <v/>
      </c>
      <c r="T1033" s="5">
        <f>IF($J1033="","",IFERROR(INDEX('CALENDARIO'!$C$15:$C$214,MATCH(TEXT($J1033,"yyyy-mm-dd")&amp;"|"&amp;$X1033&amp;"|"&amp;$Y1033,'CALENDARIO'!$G$15:$G$214,0)),IFERROR(INDEX('CALENDARIO'!$C$15:$C$214,MATCH(TEXT($J1033,"yyyy-mm-dd")&amp;"|"&amp;$X1033&amp;"|",'CALENDARIO'!$G$15:$G$214,0)),IFERROR(INDEX('CALENDARIO'!$C$15:$C$214,MATCH(TEXT($J1033,"yyyy-mm-dd")&amp;"||",'CALENDARIO'!$G$15:$G$214,0)),INDEX(patronHabil,WEEKDAY($J1033,2))))))</f>
        <v/>
      </c>
      <c r="U1033" s="5">
        <f>IF($I1033="","",IFERROR(INDEX('CAT_TIPOS_OT'!$C$4:$C$8,MATCH($I1033,'CAT_TIPOS_OT'!$A$4:$A$8,0)),"sin_clasificar"))</f>
        <v/>
      </c>
      <c r="V1033" s="5">
        <f>IF($I1033="","",IF(IFERROR(INDEX('CAT_TIPOS_OT'!$D$4:$D$8,MATCH($I1033,'CAT_TIPOS_OT'!$A$4:$A$8,0)),"SIN CLASIFICAR")="","SIN CLASIFICAR",IFERROR(INDEX('CAT_TIPOS_OT'!$D$4:$D$8,MATCH($I1033,'CAT_TIPOS_OT'!$A$4:$A$8,0)),"SIN CLASIFICAR")))</f>
        <v/>
      </c>
      <c r="W1033" s="5">
        <f>IF($F1033="","",IFERROR(INDEX('CAT_CENTROS_COSTO'!$F$4:$F$13,MATCH($F1033,'CAT_CENTROS_COSTO'!$A$4:$A$13,0)),"(sin catálogo)"))</f>
        <v/>
      </c>
      <c r="X1033" s="5">
        <f>IF($F1033="","",IFERROR(INDEX('CAT_CENTROS_COSTO'!$D$4:$D$13,MATCH($F1033,'CAT_CENTROS_COSTO'!$A$4:$A$13,0)),"(sin catálogo)"))</f>
        <v/>
      </c>
      <c r="Y1033" s="5">
        <f>IF($F1033="","",IF((IFERROR(INDEX('CAT_CENTROS_COSTO'!$E$4:$E$13,MATCH($F1033,'CAT_CENTROS_COSTO'!$A$4:$A$13,0)),""))&lt;&gt;"",IFERROR(INDEX('CAT_CENTROS_COSTO'!$E$4:$E$13,MATCH($F1033,'CAT_CENTROS_COSTO'!$A$4:$A$13,0)),""),$X1033))</f>
        <v/>
      </c>
      <c r="Z1033" s="5">
        <f>IF($F1033="","",IFERROR(INDEX('CAT_CENTROS_COSTO'!$G$4:$G$13,MATCH($F1033,'CAT_CENTROS_COSTO'!$A$4:$A$13,0)),"(sin catálogo)"))</f>
        <v/>
      </c>
      <c r="AA1033" s="5">
        <f>IF($G1033="","",IFERROR(INDEX('CAT_PUESTOS'!$B$4:$B$8,MATCH($G1033,'CAT_PUESTOS'!$A$4:$A$8,0)),"(sin catálogo)"))</f>
        <v/>
      </c>
      <c r="AB1033" s="5">
        <f>IF($H1033="","",IFERROR(INDEX('CAT_ACTIVIDADES'!$B$4:$B$11,MATCH($H1033,'CAT_ACTIVIDADES'!$A$4:$A$11,0)),"(sin catálogo)"))</f>
        <v/>
      </c>
      <c r="AC1033" s="20">
        <f>IF($J1033="","",TODAY()-$J1033)</f>
        <v/>
      </c>
      <c r="AD1033" s="20">
        <f>IF($J1033="","",IF($J1033&lt;=TODAY(),COUNTIFS(cal_fechas,"&gt;="&amp;$J1033,cal_fechas,"&lt;"&amp;TODAY(),cal_habil,"sí"),-COUNTIFS(cal_fechas,"&gt;="&amp;TODAY(),cal_fechas,"&lt;"&amp;$J1033,cal_habil,"sí")))</f>
        <v/>
      </c>
      <c r="AE1033" s="5">
        <f>IF($AD1033="","",IF($AD1033&lt;0,"FUTURO",IF($AD1033&gt;p_dias_backlog_max,"BACKLOG","MES CORRIENTE")))</f>
        <v/>
      </c>
      <c r="AF1033" s="5">
        <f>IF($AD1033="",FALSE,AND($AD1033&gt;p_dias_backlog_min,$AD1033&lt;=p_dias_backlog_max))</f>
        <v/>
      </c>
      <c r="AG1033" s="4" t="n"/>
      <c r="AH1033" s="5">
        <f>IF($AG1033="","",IF((IFERROR(INDEX('ASIGNACIONES'!$J$4:$J$451,MATCH($O1033&amp;"|"&amp;$S1033&amp;"|"&amp;$AG1033,'ASIGNACIONES'!$N$4:$N$451,0)),""))=0,"",IFERROR(INDEX('ASIGNACIONES'!$J$4:$J$451,MATCH($O1033&amp;"|"&amp;$S1033&amp;"|"&amp;$AG1033,'ASIGNACIONES'!$N$4:$N$451,0)),"")))</f>
        <v/>
      </c>
      <c r="AI1033" s="25">
        <f>IF($AG1033="","",SUMIFS('ORDENES'!$M$4:$M$1203,'ORDENES'!$AG$4:$AG$1203,$AG1033,'ORDENES'!$O$4:$O$1203,$O1033,'ORDENES'!$S$4:$S$1203,$S1033))</f>
        <v/>
      </c>
      <c r="AJ1033" s="25">
        <f>IF($AI1033="","",p_factor_productividad*IFERROR(INDEX('ASIGNACIONES'!$M$4:$M$451,MATCH($O1033&amp;"|"&amp;$S1033&amp;"|"&amp;$AG1033,'ASIGNACIONES'!$N$4:$N$451,0)),0)-$AI1033)</f>
        <v/>
      </c>
      <c r="AK1033" s="18">
        <f>IF($A1033="","",IFERROR(INDEX('2_IMPORTAR_EJECUCION'!$F$9:$F$1208,MATCH($AT1033,'2_IMPORTAR_EJECUCION'!$J$9:$J$1208,0)),0))</f>
        <v/>
      </c>
      <c r="AL1033" s="18">
        <f>IF($A1033="","",MAX(0,IFERROR(INDEX('2_IMPORTAR_EJECUCION'!$H$9:$H$1208,MATCH($AT1033,'2_IMPORTAR_EJECUCION'!$J$9:$J$1208,0)),0)-$AK1033))</f>
        <v/>
      </c>
      <c r="AM1033" s="18">
        <f>IF($A1033="","",$AK1033+$AL1033)</f>
        <v/>
      </c>
      <c r="AN1033" s="5">
        <f>IF($A1033="","",IF(OR((IFERROR(INDEX('CAT_ACTIVIDADES'!$D$4:$D$11,MATCH($H1033,'CAT_ACTIVIDADES'!$A$4:$A$11,0)),""))=0,(IFERROR(INDEX('CAT_ACTIVIDADES'!$D$4:$D$11,MATCH($H1033,'CAT_ACTIVIDADES'!$A$4:$A$11,0)),""))=""),"SIN CLASIFICAR",IFERROR(INDEX('CAT_ACTIVIDADES'!$D$4:$D$11,MATCH($H1033,'CAT_ACTIVIDADES'!$A$4:$A$11,0)),"")))</f>
        <v/>
      </c>
      <c r="AO1033" s="4" t="n"/>
      <c r="AP1033" s="4" t="n"/>
      <c r="AQ1033" s="4" t="n"/>
      <c r="AR1033" s="5">
        <f>IF($AQ1033="","",HYPERLINK(p_ruta_base_checklists&amp;$AQ1033,"abrir"))</f>
        <v/>
      </c>
      <c r="AS1033" s="4" t="n"/>
      <c r="AT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2" t="n"/>
      <c r="K1034" s="5" t="n"/>
      <c r="L1034" s="18" t="n"/>
      <c r="M1034" s="5">
        <f>IF($A1034="","",IFERROR(INDEX('AJUSTES'!$B$4:$B$303,MATCH($AT1034,'AJUSTES'!$A$4:$A$303,0)),IF($K1034="","",$K1034)))</f>
        <v/>
      </c>
      <c r="N1034" s="5">
        <f>IF($A1034="","",IFERROR(INDEX('CAT_ESTADOS_ERP'!$B$4:$B$7,MATCH(IFERROR(INDEX('2_IMPORTAR_EJECUCION'!$C$9:$C$1208,MATCH($AT1034,'2_IMPORTAR_EJECUCION'!$J$9:$J$1208,0)),""),'CAT_ESTADOS_ERP'!$A$4:$A$7,0)),"Pendiente"))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IF($J1034="","",$P1034&amp;"-"&amp;TEXT($Q1034,"00"))</f>
        <v/>
      </c>
      <c r="S1034" s="5">
        <f>IF($J1034="","",INDEX(lista_dias,WEEKDAY($J1034,2)))</f>
        <v/>
      </c>
      <c r="T1034" s="5">
        <f>IF($J1034="","",IFERROR(INDEX('CALENDARIO'!$C$15:$C$214,MATCH(TEXT($J1034,"yyyy-mm-dd")&amp;"|"&amp;$X1034&amp;"|"&amp;$Y1034,'CALENDARIO'!$G$15:$G$214,0)),IFERROR(INDEX('CALENDARIO'!$C$15:$C$214,MATCH(TEXT($J1034,"yyyy-mm-dd")&amp;"|"&amp;$X1034&amp;"|",'CALENDARIO'!$G$15:$G$214,0)),IFERROR(INDEX('CALENDARIO'!$C$15:$C$214,MATCH(TEXT($J1034,"yyyy-mm-dd")&amp;"||",'CALENDARIO'!$G$15:$G$214,0)),INDEX(patronHabil,WEEKDAY($J1034,2))))))</f>
        <v/>
      </c>
      <c r="U1034" s="5">
        <f>IF($I1034="","",IFERROR(INDEX('CAT_TIPOS_OT'!$C$4:$C$8,MATCH($I1034,'CAT_TIPOS_OT'!$A$4:$A$8,0)),"sin_clasificar"))</f>
        <v/>
      </c>
      <c r="V1034" s="5">
        <f>IF($I1034="","",IF(IFERROR(INDEX('CAT_TIPOS_OT'!$D$4:$D$8,MATCH($I1034,'CAT_TIPOS_OT'!$A$4:$A$8,0)),"SIN CLASIFICAR")="","SIN CLASIFICAR",IFERROR(INDEX('CAT_TIPOS_OT'!$D$4:$D$8,MATCH($I1034,'CAT_TIPOS_OT'!$A$4:$A$8,0)),"SIN CLASIFICAR")))</f>
        <v/>
      </c>
      <c r="W1034" s="5">
        <f>IF($F1034="","",IFERROR(INDEX('CAT_CENTROS_COSTO'!$F$4:$F$13,MATCH($F1034,'CAT_CENTROS_COSTO'!$A$4:$A$13,0)),"(sin catálogo)"))</f>
        <v/>
      </c>
      <c r="X1034" s="5">
        <f>IF($F1034="","",IFERROR(INDEX('CAT_CENTROS_COSTO'!$D$4:$D$13,MATCH($F1034,'CAT_CENTROS_COSTO'!$A$4:$A$13,0)),"(sin catálogo)"))</f>
        <v/>
      </c>
      <c r="Y1034" s="5">
        <f>IF($F1034="","",IF((IFERROR(INDEX('CAT_CENTROS_COSTO'!$E$4:$E$13,MATCH($F1034,'CAT_CENTROS_COSTO'!$A$4:$A$13,0)),""))&lt;&gt;"",IFERROR(INDEX('CAT_CENTROS_COSTO'!$E$4:$E$13,MATCH($F1034,'CAT_CENTROS_COSTO'!$A$4:$A$13,0)),""),$X1034))</f>
        <v/>
      </c>
      <c r="Z1034" s="5">
        <f>IF($F1034="","",IFERROR(INDEX('CAT_CENTROS_COSTO'!$G$4:$G$13,MATCH($F1034,'CAT_CENTROS_COSTO'!$A$4:$A$13,0)),"(sin catálogo)"))</f>
        <v/>
      </c>
      <c r="AA1034" s="5">
        <f>IF($G1034="","",IFERROR(INDEX('CAT_PUESTOS'!$B$4:$B$8,MATCH($G1034,'CAT_PUESTOS'!$A$4:$A$8,0)),"(sin catálogo)"))</f>
        <v/>
      </c>
      <c r="AB1034" s="5">
        <f>IF($H1034="","",IFERROR(INDEX('CAT_ACTIVIDADES'!$B$4:$B$11,MATCH($H1034,'CAT_ACTIVIDADES'!$A$4:$A$11,0)),"(sin catálogo)"))</f>
        <v/>
      </c>
      <c r="AC1034" s="20">
        <f>IF($J1034="","",TODAY()-$J1034)</f>
        <v/>
      </c>
      <c r="AD1034" s="20">
        <f>IF($J1034="","",IF($J1034&lt;=TODAY(),COUNTIFS(cal_fechas,"&gt;="&amp;$J1034,cal_fechas,"&lt;"&amp;TODAY(),cal_habil,"sí"),-COUNTIFS(cal_fechas,"&gt;="&amp;TODAY(),cal_fechas,"&lt;"&amp;$J1034,cal_habil,"sí")))</f>
        <v/>
      </c>
      <c r="AE1034" s="5">
        <f>IF($AD1034="","",IF($AD1034&lt;0,"FUTURO",IF($AD1034&gt;p_dias_backlog_max,"BACKLOG","MES CORRIENTE")))</f>
        <v/>
      </c>
      <c r="AF1034" s="5">
        <f>IF($AD1034="",FALSE,AND($AD1034&gt;p_dias_backlog_min,$AD1034&lt;=p_dias_backlog_max))</f>
        <v/>
      </c>
      <c r="AG1034" s="4" t="n"/>
      <c r="AH1034" s="5">
        <f>IF($AG1034="","",IF((IFERROR(INDEX('ASIGNACIONES'!$J$4:$J$451,MATCH($O1034&amp;"|"&amp;$S1034&amp;"|"&amp;$AG1034,'ASIGNACIONES'!$N$4:$N$451,0)),""))=0,"",IFERROR(INDEX('ASIGNACIONES'!$J$4:$J$451,MATCH($O1034&amp;"|"&amp;$S1034&amp;"|"&amp;$AG1034,'ASIGNACIONES'!$N$4:$N$451,0)),"")))</f>
        <v/>
      </c>
      <c r="AI1034" s="25">
        <f>IF($AG1034="","",SUMIFS('ORDENES'!$M$4:$M$1203,'ORDENES'!$AG$4:$AG$1203,$AG1034,'ORDENES'!$O$4:$O$1203,$O1034,'ORDENES'!$S$4:$S$1203,$S1034))</f>
        <v/>
      </c>
      <c r="AJ1034" s="25">
        <f>IF($AI1034="","",p_factor_productividad*IFERROR(INDEX('ASIGNACIONES'!$M$4:$M$451,MATCH($O1034&amp;"|"&amp;$S1034&amp;"|"&amp;$AG1034,'ASIGNACIONES'!$N$4:$N$451,0)),0)-$AI1034)</f>
        <v/>
      </c>
      <c r="AK1034" s="18">
        <f>IF($A1034="","",IFERROR(INDEX('2_IMPORTAR_EJECUCION'!$F$9:$F$1208,MATCH($AT1034,'2_IMPORTAR_EJECUCION'!$J$9:$J$1208,0)),0))</f>
        <v/>
      </c>
      <c r="AL1034" s="18">
        <f>IF($A1034="","",MAX(0,IFERROR(INDEX('2_IMPORTAR_EJECUCION'!$H$9:$H$1208,MATCH($AT1034,'2_IMPORTAR_EJECUCION'!$J$9:$J$1208,0)),0)-$AK1034))</f>
        <v/>
      </c>
      <c r="AM1034" s="18">
        <f>IF($A1034="","",$AK1034+$AL1034)</f>
        <v/>
      </c>
      <c r="AN1034" s="5">
        <f>IF($A1034="","",IF(OR((IFERROR(INDEX('CAT_ACTIVIDADES'!$D$4:$D$11,MATCH($H1034,'CAT_ACTIVIDADES'!$A$4:$A$11,0)),""))=0,(IFERROR(INDEX('CAT_ACTIVIDADES'!$D$4:$D$11,MATCH($H1034,'CAT_ACTIVIDADES'!$A$4:$A$11,0)),""))=""),"SIN CLASIFICAR",IFERROR(INDEX('CAT_ACTIVIDADES'!$D$4:$D$11,MATCH($H1034,'CAT_ACTIVIDADES'!$A$4:$A$11,0)),"")))</f>
        <v/>
      </c>
      <c r="AO1034" s="4" t="n"/>
      <c r="AP1034" s="4" t="n"/>
      <c r="AQ1034" s="4" t="n"/>
      <c r="AR1034" s="5">
        <f>IF($AQ1034="","",HYPERLINK(p_ruta_base_checklists&amp;$AQ1034,"abrir"))</f>
        <v/>
      </c>
      <c r="AS1034" s="4" t="n"/>
      <c r="AT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2" t="n"/>
      <c r="K1035" s="5" t="n"/>
      <c r="L1035" s="18" t="n"/>
      <c r="M1035" s="5">
        <f>IF($A1035="","",IFERROR(INDEX('AJUSTES'!$B$4:$B$303,MATCH($AT1035,'AJUSTES'!$A$4:$A$303,0)),IF($K1035="","",$K1035)))</f>
        <v/>
      </c>
      <c r="N1035" s="5">
        <f>IF($A1035="","",IFERROR(INDEX('CAT_ESTADOS_ERP'!$B$4:$B$7,MATCH(IFERROR(INDEX('2_IMPORTAR_EJECUCION'!$C$9:$C$1208,MATCH($AT1035,'2_IMPORTAR_EJECUCION'!$J$9:$J$1208,0)),""),'CAT_ESTADOS_ERP'!$A$4:$A$7,0)),"Pendiente"))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IF($J1035="","",$P1035&amp;"-"&amp;TEXT($Q1035,"00"))</f>
        <v/>
      </c>
      <c r="S1035" s="5">
        <f>IF($J1035="","",INDEX(lista_dias,WEEKDAY($J1035,2)))</f>
        <v/>
      </c>
      <c r="T1035" s="5">
        <f>IF($J1035="","",IFERROR(INDEX('CALENDARIO'!$C$15:$C$214,MATCH(TEXT($J1035,"yyyy-mm-dd")&amp;"|"&amp;$X1035&amp;"|"&amp;$Y1035,'CALENDARIO'!$G$15:$G$214,0)),IFERROR(INDEX('CALENDARIO'!$C$15:$C$214,MATCH(TEXT($J1035,"yyyy-mm-dd")&amp;"|"&amp;$X1035&amp;"|",'CALENDARIO'!$G$15:$G$214,0)),IFERROR(INDEX('CALENDARIO'!$C$15:$C$214,MATCH(TEXT($J1035,"yyyy-mm-dd")&amp;"||",'CALENDARIO'!$G$15:$G$214,0)),INDEX(patronHabil,WEEKDAY($J1035,2))))))</f>
        <v/>
      </c>
      <c r="U1035" s="5">
        <f>IF($I1035="","",IFERROR(INDEX('CAT_TIPOS_OT'!$C$4:$C$8,MATCH($I1035,'CAT_TIPOS_OT'!$A$4:$A$8,0)),"sin_clasificar"))</f>
        <v/>
      </c>
      <c r="V1035" s="5">
        <f>IF($I1035="","",IF(IFERROR(INDEX('CAT_TIPOS_OT'!$D$4:$D$8,MATCH($I1035,'CAT_TIPOS_OT'!$A$4:$A$8,0)),"SIN CLASIFICAR")="","SIN CLASIFICAR",IFERROR(INDEX('CAT_TIPOS_OT'!$D$4:$D$8,MATCH($I1035,'CAT_TIPOS_OT'!$A$4:$A$8,0)),"SIN CLASIFICAR")))</f>
        <v/>
      </c>
      <c r="W1035" s="5">
        <f>IF($F1035="","",IFERROR(INDEX('CAT_CENTROS_COSTO'!$F$4:$F$13,MATCH($F1035,'CAT_CENTROS_COSTO'!$A$4:$A$13,0)),"(sin catálogo)"))</f>
        <v/>
      </c>
      <c r="X1035" s="5">
        <f>IF($F1035="","",IFERROR(INDEX('CAT_CENTROS_COSTO'!$D$4:$D$13,MATCH($F1035,'CAT_CENTROS_COSTO'!$A$4:$A$13,0)),"(sin catálogo)"))</f>
        <v/>
      </c>
      <c r="Y1035" s="5">
        <f>IF($F1035="","",IF((IFERROR(INDEX('CAT_CENTROS_COSTO'!$E$4:$E$13,MATCH($F1035,'CAT_CENTROS_COSTO'!$A$4:$A$13,0)),""))&lt;&gt;"",IFERROR(INDEX('CAT_CENTROS_COSTO'!$E$4:$E$13,MATCH($F1035,'CAT_CENTROS_COSTO'!$A$4:$A$13,0)),""),$X1035))</f>
        <v/>
      </c>
      <c r="Z1035" s="5">
        <f>IF($F1035="","",IFERROR(INDEX('CAT_CENTROS_COSTO'!$G$4:$G$13,MATCH($F1035,'CAT_CENTROS_COSTO'!$A$4:$A$13,0)),"(sin catálogo)"))</f>
        <v/>
      </c>
      <c r="AA1035" s="5">
        <f>IF($G1035="","",IFERROR(INDEX('CAT_PUESTOS'!$B$4:$B$8,MATCH($G1035,'CAT_PUESTOS'!$A$4:$A$8,0)),"(sin catálogo)"))</f>
        <v/>
      </c>
      <c r="AB1035" s="5">
        <f>IF($H1035="","",IFERROR(INDEX('CAT_ACTIVIDADES'!$B$4:$B$11,MATCH($H1035,'CAT_ACTIVIDADES'!$A$4:$A$11,0)),"(sin catálogo)"))</f>
        <v/>
      </c>
      <c r="AC1035" s="20">
        <f>IF($J1035="","",TODAY()-$J1035)</f>
        <v/>
      </c>
      <c r="AD1035" s="20">
        <f>IF($J1035="","",IF($J1035&lt;=TODAY(),COUNTIFS(cal_fechas,"&gt;="&amp;$J1035,cal_fechas,"&lt;"&amp;TODAY(),cal_habil,"sí"),-COUNTIFS(cal_fechas,"&gt;="&amp;TODAY(),cal_fechas,"&lt;"&amp;$J1035,cal_habil,"sí")))</f>
        <v/>
      </c>
      <c r="AE1035" s="5">
        <f>IF($AD1035="","",IF($AD1035&lt;0,"FUTURO",IF($AD1035&gt;p_dias_backlog_max,"BACKLOG","MES CORRIENTE")))</f>
        <v/>
      </c>
      <c r="AF1035" s="5">
        <f>IF($AD1035="",FALSE,AND($AD1035&gt;p_dias_backlog_min,$AD1035&lt;=p_dias_backlog_max))</f>
        <v/>
      </c>
      <c r="AG1035" s="4" t="n"/>
      <c r="AH1035" s="5">
        <f>IF($AG1035="","",IF((IFERROR(INDEX('ASIGNACIONES'!$J$4:$J$451,MATCH($O1035&amp;"|"&amp;$S1035&amp;"|"&amp;$AG1035,'ASIGNACIONES'!$N$4:$N$451,0)),""))=0,"",IFERROR(INDEX('ASIGNACIONES'!$J$4:$J$451,MATCH($O1035&amp;"|"&amp;$S1035&amp;"|"&amp;$AG1035,'ASIGNACIONES'!$N$4:$N$451,0)),"")))</f>
        <v/>
      </c>
      <c r="AI1035" s="25">
        <f>IF($AG1035="","",SUMIFS('ORDENES'!$M$4:$M$1203,'ORDENES'!$AG$4:$AG$1203,$AG1035,'ORDENES'!$O$4:$O$1203,$O1035,'ORDENES'!$S$4:$S$1203,$S1035))</f>
        <v/>
      </c>
      <c r="AJ1035" s="25">
        <f>IF($AI1035="","",p_factor_productividad*IFERROR(INDEX('ASIGNACIONES'!$M$4:$M$451,MATCH($O1035&amp;"|"&amp;$S1035&amp;"|"&amp;$AG1035,'ASIGNACIONES'!$N$4:$N$451,0)),0)-$AI1035)</f>
        <v/>
      </c>
      <c r="AK1035" s="18">
        <f>IF($A1035="","",IFERROR(INDEX('2_IMPORTAR_EJECUCION'!$F$9:$F$1208,MATCH($AT1035,'2_IMPORTAR_EJECUCION'!$J$9:$J$1208,0)),0))</f>
        <v/>
      </c>
      <c r="AL1035" s="18">
        <f>IF($A1035="","",MAX(0,IFERROR(INDEX('2_IMPORTAR_EJECUCION'!$H$9:$H$1208,MATCH($AT1035,'2_IMPORTAR_EJECUCION'!$J$9:$J$1208,0)),0)-$AK1035))</f>
        <v/>
      </c>
      <c r="AM1035" s="18">
        <f>IF($A1035="","",$AK1035+$AL1035)</f>
        <v/>
      </c>
      <c r="AN1035" s="5">
        <f>IF($A1035="","",IF(OR((IFERROR(INDEX('CAT_ACTIVIDADES'!$D$4:$D$11,MATCH($H1035,'CAT_ACTIVIDADES'!$A$4:$A$11,0)),""))=0,(IFERROR(INDEX('CAT_ACTIVIDADES'!$D$4:$D$11,MATCH($H1035,'CAT_ACTIVIDADES'!$A$4:$A$11,0)),""))=""),"SIN CLASIFICAR",IFERROR(INDEX('CAT_ACTIVIDADES'!$D$4:$D$11,MATCH($H1035,'CAT_ACTIVIDADES'!$A$4:$A$11,0)),"")))</f>
        <v/>
      </c>
      <c r="AO1035" s="4" t="n"/>
      <c r="AP1035" s="4" t="n"/>
      <c r="AQ1035" s="4" t="n"/>
      <c r="AR1035" s="5">
        <f>IF($AQ1035="","",HYPERLINK(p_ruta_base_checklists&amp;$AQ1035,"abrir"))</f>
        <v/>
      </c>
      <c r="AS1035" s="4" t="n"/>
      <c r="AT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2" t="n"/>
      <c r="K1036" s="5" t="n"/>
      <c r="L1036" s="18" t="n"/>
      <c r="M1036" s="5">
        <f>IF($A1036="","",IFERROR(INDEX('AJUSTES'!$B$4:$B$303,MATCH($AT1036,'AJUSTES'!$A$4:$A$303,0)),IF($K1036="","",$K1036)))</f>
        <v/>
      </c>
      <c r="N1036" s="5">
        <f>IF($A1036="","",IFERROR(INDEX('CAT_ESTADOS_ERP'!$B$4:$B$7,MATCH(IFERROR(INDEX('2_IMPORTAR_EJECUCION'!$C$9:$C$1208,MATCH($AT1036,'2_IMPORTAR_EJECUCION'!$J$9:$J$1208,0)),""),'CAT_ESTADOS_ERP'!$A$4:$A$7,0)),"Pendiente"))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IF($J1036="","",$P1036&amp;"-"&amp;TEXT($Q1036,"00"))</f>
        <v/>
      </c>
      <c r="S1036" s="5">
        <f>IF($J1036="","",INDEX(lista_dias,WEEKDAY($J1036,2)))</f>
        <v/>
      </c>
      <c r="T1036" s="5">
        <f>IF($J1036="","",IFERROR(INDEX('CALENDARIO'!$C$15:$C$214,MATCH(TEXT($J1036,"yyyy-mm-dd")&amp;"|"&amp;$X1036&amp;"|"&amp;$Y1036,'CALENDARIO'!$G$15:$G$214,0)),IFERROR(INDEX('CALENDARIO'!$C$15:$C$214,MATCH(TEXT($J1036,"yyyy-mm-dd")&amp;"|"&amp;$X1036&amp;"|",'CALENDARIO'!$G$15:$G$214,0)),IFERROR(INDEX('CALENDARIO'!$C$15:$C$214,MATCH(TEXT($J1036,"yyyy-mm-dd")&amp;"||",'CALENDARIO'!$G$15:$G$214,0)),INDEX(patronHabil,WEEKDAY($J1036,2))))))</f>
        <v/>
      </c>
      <c r="U1036" s="5">
        <f>IF($I1036="","",IFERROR(INDEX('CAT_TIPOS_OT'!$C$4:$C$8,MATCH($I1036,'CAT_TIPOS_OT'!$A$4:$A$8,0)),"sin_clasificar"))</f>
        <v/>
      </c>
      <c r="V1036" s="5">
        <f>IF($I1036="","",IF(IFERROR(INDEX('CAT_TIPOS_OT'!$D$4:$D$8,MATCH($I1036,'CAT_TIPOS_OT'!$A$4:$A$8,0)),"SIN CLASIFICAR")="","SIN CLASIFICAR",IFERROR(INDEX('CAT_TIPOS_OT'!$D$4:$D$8,MATCH($I1036,'CAT_TIPOS_OT'!$A$4:$A$8,0)),"SIN CLASIFICAR")))</f>
        <v/>
      </c>
      <c r="W1036" s="5">
        <f>IF($F1036="","",IFERROR(INDEX('CAT_CENTROS_COSTO'!$F$4:$F$13,MATCH($F1036,'CAT_CENTROS_COSTO'!$A$4:$A$13,0)),"(sin catálogo)"))</f>
        <v/>
      </c>
      <c r="X1036" s="5">
        <f>IF($F1036="","",IFERROR(INDEX('CAT_CENTROS_COSTO'!$D$4:$D$13,MATCH($F1036,'CAT_CENTROS_COSTO'!$A$4:$A$13,0)),"(sin catálogo)"))</f>
        <v/>
      </c>
      <c r="Y1036" s="5">
        <f>IF($F1036="","",IF((IFERROR(INDEX('CAT_CENTROS_COSTO'!$E$4:$E$13,MATCH($F1036,'CAT_CENTROS_COSTO'!$A$4:$A$13,0)),""))&lt;&gt;"",IFERROR(INDEX('CAT_CENTROS_COSTO'!$E$4:$E$13,MATCH($F1036,'CAT_CENTROS_COSTO'!$A$4:$A$13,0)),""),$X1036))</f>
        <v/>
      </c>
      <c r="Z1036" s="5">
        <f>IF($F1036="","",IFERROR(INDEX('CAT_CENTROS_COSTO'!$G$4:$G$13,MATCH($F1036,'CAT_CENTROS_COSTO'!$A$4:$A$13,0)),"(sin catálogo)"))</f>
        <v/>
      </c>
      <c r="AA1036" s="5">
        <f>IF($G1036="","",IFERROR(INDEX('CAT_PUESTOS'!$B$4:$B$8,MATCH($G1036,'CAT_PUESTOS'!$A$4:$A$8,0)),"(sin catálogo)"))</f>
        <v/>
      </c>
      <c r="AB1036" s="5">
        <f>IF($H1036="","",IFERROR(INDEX('CAT_ACTIVIDADES'!$B$4:$B$11,MATCH($H1036,'CAT_ACTIVIDADES'!$A$4:$A$11,0)),"(sin catálogo)"))</f>
        <v/>
      </c>
      <c r="AC1036" s="20">
        <f>IF($J1036="","",TODAY()-$J1036)</f>
        <v/>
      </c>
      <c r="AD1036" s="20">
        <f>IF($J1036="","",IF($J1036&lt;=TODAY(),COUNTIFS(cal_fechas,"&gt;="&amp;$J1036,cal_fechas,"&lt;"&amp;TODAY(),cal_habil,"sí"),-COUNTIFS(cal_fechas,"&gt;="&amp;TODAY(),cal_fechas,"&lt;"&amp;$J1036,cal_habil,"sí")))</f>
        <v/>
      </c>
      <c r="AE1036" s="5">
        <f>IF($AD1036="","",IF($AD1036&lt;0,"FUTURO",IF($AD1036&gt;p_dias_backlog_max,"BACKLOG","MES CORRIENTE")))</f>
        <v/>
      </c>
      <c r="AF1036" s="5">
        <f>IF($AD1036="",FALSE,AND($AD1036&gt;p_dias_backlog_min,$AD1036&lt;=p_dias_backlog_max))</f>
        <v/>
      </c>
      <c r="AG1036" s="4" t="n"/>
      <c r="AH1036" s="5">
        <f>IF($AG1036="","",IF((IFERROR(INDEX('ASIGNACIONES'!$J$4:$J$451,MATCH($O1036&amp;"|"&amp;$S1036&amp;"|"&amp;$AG1036,'ASIGNACIONES'!$N$4:$N$451,0)),""))=0,"",IFERROR(INDEX('ASIGNACIONES'!$J$4:$J$451,MATCH($O1036&amp;"|"&amp;$S1036&amp;"|"&amp;$AG1036,'ASIGNACIONES'!$N$4:$N$451,0)),"")))</f>
        <v/>
      </c>
      <c r="AI1036" s="25">
        <f>IF($AG1036="","",SUMIFS('ORDENES'!$M$4:$M$1203,'ORDENES'!$AG$4:$AG$1203,$AG1036,'ORDENES'!$O$4:$O$1203,$O1036,'ORDENES'!$S$4:$S$1203,$S1036))</f>
        <v/>
      </c>
      <c r="AJ1036" s="25">
        <f>IF($AI1036="","",p_factor_productividad*IFERROR(INDEX('ASIGNACIONES'!$M$4:$M$451,MATCH($O1036&amp;"|"&amp;$S1036&amp;"|"&amp;$AG1036,'ASIGNACIONES'!$N$4:$N$451,0)),0)-$AI1036)</f>
        <v/>
      </c>
      <c r="AK1036" s="18">
        <f>IF($A1036="","",IFERROR(INDEX('2_IMPORTAR_EJECUCION'!$F$9:$F$1208,MATCH($AT1036,'2_IMPORTAR_EJECUCION'!$J$9:$J$1208,0)),0))</f>
        <v/>
      </c>
      <c r="AL1036" s="18">
        <f>IF($A1036="","",MAX(0,IFERROR(INDEX('2_IMPORTAR_EJECUCION'!$H$9:$H$1208,MATCH($AT1036,'2_IMPORTAR_EJECUCION'!$J$9:$J$1208,0)),0)-$AK1036))</f>
        <v/>
      </c>
      <c r="AM1036" s="18">
        <f>IF($A1036="","",$AK1036+$AL1036)</f>
        <v/>
      </c>
      <c r="AN1036" s="5">
        <f>IF($A1036="","",IF(OR((IFERROR(INDEX('CAT_ACTIVIDADES'!$D$4:$D$11,MATCH($H1036,'CAT_ACTIVIDADES'!$A$4:$A$11,0)),""))=0,(IFERROR(INDEX('CAT_ACTIVIDADES'!$D$4:$D$11,MATCH($H1036,'CAT_ACTIVIDADES'!$A$4:$A$11,0)),""))=""),"SIN CLASIFICAR",IFERROR(INDEX('CAT_ACTIVIDADES'!$D$4:$D$11,MATCH($H1036,'CAT_ACTIVIDADES'!$A$4:$A$11,0)),"")))</f>
        <v/>
      </c>
      <c r="AO1036" s="4" t="n"/>
      <c r="AP1036" s="4" t="n"/>
      <c r="AQ1036" s="4" t="n"/>
      <c r="AR1036" s="5">
        <f>IF($AQ1036="","",HYPERLINK(p_ruta_base_checklists&amp;$AQ1036,"abrir"))</f>
        <v/>
      </c>
      <c r="AS1036" s="4" t="n"/>
      <c r="AT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2" t="n"/>
      <c r="K1037" s="5" t="n"/>
      <c r="L1037" s="18" t="n"/>
      <c r="M1037" s="5">
        <f>IF($A1037="","",IFERROR(INDEX('AJUSTES'!$B$4:$B$303,MATCH($AT1037,'AJUSTES'!$A$4:$A$303,0)),IF($K1037="","",$K1037)))</f>
        <v/>
      </c>
      <c r="N1037" s="5">
        <f>IF($A1037="","",IFERROR(INDEX('CAT_ESTADOS_ERP'!$B$4:$B$7,MATCH(IFERROR(INDEX('2_IMPORTAR_EJECUCION'!$C$9:$C$1208,MATCH($AT1037,'2_IMPORTAR_EJECUCION'!$J$9:$J$1208,0)),""),'CAT_ESTADOS_ERP'!$A$4:$A$7,0)),"Pendiente"))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IF($J1037="","",$P1037&amp;"-"&amp;TEXT($Q1037,"00"))</f>
        <v/>
      </c>
      <c r="S1037" s="5">
        <f>IF($J1037="","",INDEX(lista_dias,WEEKDAY($J1037,2)))</f>
        <v/>
      </c>
      <c r="T1037" s="5">
        <f>IF($J1037="","",IFERROR(INDEX('CALENDARIO'!$C$15:$C$214,MATCH(TEXT($J1037,"yyyy-mm-dd")&amp;"|"&amp;$X1037&amp;"|"&amp;$Y1037,'CALENDARIO'!$G$15:$G$214,0)),IFERROR(INDEX('CALENDARIO'!$C$15:$C$214,MATCH(TEXT($J1037,"yyyy-mm-dd")&amp;"|"&amp;$X1037&amp;"|",'CALENDARIO'!$G$15:$G$214,0)),IFERROR(INDEX('CALENDARIO'!$C$15:$C$214,MATCH(TEXT($J1037,"yyyy-mm-dd")&amp;"||",'CALENDARIO'!$G$15:$G$214,0)),INDEX(patronHabil,WEEKDAY($J1037,2))))))</f>
        <v/>
      </c>
      <c r="U1037" s="5">
        <f>IF($I1037="","",IFERROR(INDEX('CAT_TIPOS_OT'!$C$4:$C$8,MATCH($I1037,'CAT_TIPOS_OT'!$A$4:$A$8,0)),"sin_clasificar"))</f>
        <v/>
      </c>
      <c r="V1037" s="5">
        <f>IF($I1037="","",IF(IFERROR(INDEX('CAT_TIPOS_OT'!$D$4:$D$8,MATCH($I1037,'CAT_TIPOS_OT'!$A$4:$A$8,0)),"SIN CLASIFICAR")="","SIN CLASIFICAR",IFERROR(INDEX('CAT_TIPOS_OT'!$D$4:$D$8,MATCH($I1037,'CAT_TIPOS_OT'!$A$4:$A$8,0)),"SIN CLASIFICAR")))</f>
        <v/>
      </c>
      <c r="W1037" s="5">
        <f>IF($F1037="","",IFERROR(INDEX('CAT_CENTROS_COSTO'!$F$4:$F$13,MATCH($F1037,'CAT_CENTROS_COSTO'!$A$4:$A$13,0)),"(sin catálogo)"))</f>
        <v/>
      </c>
      <c r="X1037" s="5">
        <f>IF($F1037="","",IFERROR(INDEX('CAT_CENTROS_COSTO'!$D$4:$D$13,MATCH($F1037,'CAT_CENTROS_COSTO'!$A$4:$A$13,0)),"(sin catálogo)"))</f>
        <v/>
      </c>
      <c r="Y1037" s="5">
        <f>IF($F1037="","",IF((IFERROR(INDEX('CAT_CENTROS_COSTO'!$E$4:$E$13,MATCH($F1037,'CAT_CENTROS_COSTO'!$A$4:$A$13,0)),""))&lt;&gt;"",IFERROR(INDEX('CAT_CENTROS_COSTO'!$E$4:$E$13,MATCH($F1037,'CAT_CENTROS_COSTO'!$A$4:$A$13,0)),""),$X1037))</f>
        <v/>
      </c>
      <c r="Z1037" s="5">
        <f>IF($F1037="","",IFERROR(INDEX('CAT_CENTROS_COSTO'!$G$4:$G$13,MATCH($F1037,'CAT_CENTROS_COSTO'!$A$4:$A$13,0)),"(sin catálogo)"))</f>
        <v/>
      </c>
      <c r="AA1037" s="5">
        <f>IF($G1037="","",IFERROR(INDEX('CAT_PUESTOS'!$B$4:$B$8,MATCH($G1037,'CAT_PUESTOS'!$A$4:$A$8,0)),"(sin catálogo)"))</f>
        <v/>
      </c>
      <c r="AB1037" s="5">
        <f>IF($H1037="","",IFERROR(INDEX('CAT_ACTIVIDADES'!$B$4:$B$11,MATCH($H1037,'CAT_ACTIVIDADES'!$A$4:$A$11,0)),"(sin catálogo)"))</f>
        <v/>
      </c>
      <c r="AC1037" s="20">
        <f>IF($J1037="","",TODAY()-$J1037)</f>
        <v/>
      </c>
      <c r="AD1037" s="20">
        <f>IF($J1037="","",IF($J1037&lt;=TODAY(),COUNTIFS(cal_fechas,"&gt;="&amp;$J1037,cal_fechas,"&lt;"&amp;TODAY(),cal_habil,"sí"),-COUNTIFS(cal_fechas,"&gt;="&amp;TODAY(),cal_fechas,"&lt;"&amp;$J1037,cal_habil,"sí")))</f>
        <v/>
      </c>
      <c r="AE1037" s="5">
        <f>IF($AD1037="","",IF($AD1037&lt;0,"FUTURO",IF($AD1037&gt;p_dias_backlog_max,"BACKLOG","MES CORRIENTE")))</f>
        <v/>
      </c>
      <c r="AF1037" s="5">
        <f>IF($AD1037="",FALSE,AND($AD1037&gt;p_dias_backlog_min,$AD1037&lt;=p_dias_backlog_max))</f>
        <v/>
      </c>
      <c r="AG1037" s="4" t="n"/>
      <c r="AH1037" s="5">
        <f>IF($AG1037="","",IF((IFERROR(INDEX('ASIGNACIONES'!$J$4:$J$451,MATCH($O1037&amp;"|"&amp;$S1037&amp;"|"&amp;$AG1037,'ASIGNACIONES'!$N$4:$N$451,0)),""))=0,"",IFERROR(INDEX('ASIGNACIONES'!$J$4:$J$451,MATCH($O1037&amp;"|"&amp;$S1037&amp;"|"&amp;$AG1037,'ASIGNACIONES'!$N$4:$N$451,0)),"")))</f>
        <v/>
      </c>
      <c r="AI1037" s="25">
        <f>IF($AG1037="","",SUMIFS('ORDENES'!$M$4:$M$1203,'ORDENES'!$AG$4:$AG$1203,$AG1037,'ORDENES'!$O$4:$O$1203,$O1037,'ORDENES'!$S$4:$S$1203,$S1037))</f>
        <v/>
      </c>
      <c r="AJ1037" s="25">
        <f>IF($AI1037="","",p_factor_productividad*IFERROR(INDEX('ASIGNACIONES'!$M$4:$M$451,MATCH($O1037&amp;"|"&amp;$S1037&amp;"|"&amp;$AG1037,'ASIGNACIONES'!$N$4:$N$451,0)),0)-$AI1037)</f>
        <v/>
      </c>
      <c r="AK1037" s="18">
        <f>IF($A1037="","",IFERROR(INDEX('2_IMPORTAR_EJECUCION'!$F$9:$F$1208,MATCH($AT1037,'2_IMPORTAR_EJECUCION'!$J$9:$J$1208,0)),0))</f>
        <v/>
      </c>
      <c r="AL1037" s="18">
        <f>IF($A1037="","",MAX(0,IFERROR(INDEX('2_IMPORTAR_EJECUCION'!$H$9:$H$1208,MATCH($AT1037,'2_IMPORTAR_EJECUCION'!$J$9:$J$1208,0)),0)-$AK1037))</f>
        <v/>
      </c>
      <c r="AM1037" s="18">
        <f>IF($A1037="","",$AK1037+$AL1037)</f>
        <v/>
      </c>
      <c r="AN1037" s="5">
        <f>IF($A1037="","",IF(OR((IFERROR(INDEX('CAT_ACTIVIDADES'!$D$4:$D$11,MATCH($H1037,'CAT_ACTIVIDADES'!$A$4:$A$11,0)),""))=0,(IFERROR(INDEX('CAT_ACTIVIDADES'!$D$4:$D$11,MATCH($H1037,'CAT_ACTIVIDADES'!$A$4:$A$11,0)),""))=""),"SIN CLASIFICAR",IFERROR(INDEX('CAT_ACTIVIDADES'!$D$4:$D$11,MATCH($H1037,'CAT_ACTIVIDADES'!$A$4:$A$11,0)),"")))</f>
        <v/>
      </c>
      <c r="AO1037" s="4" t="n"/>
      <c r="AP1037" s="4" t="n"/>
      <c r="AQ1037" s="4" t="n"/>
      <c r="AR1037" s="5">
        <f>IF($AQ1037="","",HYPERLINK(p_ruta_base_checklists&amp;$AQ1037,"abrir"))</f>
        <v/>
      </c>
      <c r="AS1037" s="4" t="n"/>
      <c r="AT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2" t="n"/>
      <c r="K1038" s="5" t="n"/>
      <c r="L1038" s="18" t="n"/>
      <c r="M1038" s="5">
        <f>IF($A1038="","",IFERROR(INDEX('AJUSTES'!$B$4:$B$303,MATCH($AT1038,'AJUSTES'!$A$4:$A$303,0)),IF($K1038="","",$K1038)))</f>
        <v/>
      </c>
      <c r="N1038" s="5">
        <f>IF($A1038="","",IFERROR(INDEX('CAT_ESTADOS_ERP'!$B$4:$B$7,MATCH(IFERROR(INDEX('2_IMPORTAR_EJECUCION'!$C$9:$C$1208,MATCH($AT1038,'2_IMPORTAR_EJECUCION'!$J$9:$J$1208,0)),""),'CAT_ESTADOS_ERP'!$A$4:$A$7,0)),"Pendiente"))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IF($J1038="","",$P1038&amp;"-"&amp;TEXT($Q1038,"00"))</f>
        <v/>
      </c>
      <c r="S1038" s="5">
        <f>IF($J1038="","",INDEX(lista_dias,WEEKDAY($J1038,2)))</f>
        <v/>
      </c>
      <c r="T1038" s="5">
        <f>IF($J1038="","",IFERROR(INDEX('CALENDARIO'!$C$15:$C$214,MATCH(TEXT($J1038,"yyyy-mm-dd")&amp;"|"&amp;$X1038&amp;"|"&amp;$Y1038,'CALENDARIO'!$G$15:$G$214,0)),IFERROR(INDEX('CALENDARIO'!$C$15:$C$214,MATCH(TEXT($J1038,"yyyy-mm-dd")&amp;"|"&amp;$X1038&amp;"|",'CALENDARIO'!$G$15:$G$214,0)),IFERROR(INDEX('CALENDARIO'!$C$15:$C$214,MATCH(TEXT($J1038,"yyyy-mm-dd")&amp;"||",'CALENDARIO'!$G$15:$G$214,0)),INDEX(patronHabil,WEEKDAY($J1038,2))))))</f>
        <v/>
      </c>
      <c r="U1038" s="5">
        <f>IF($I1038="","",IFERROR(INDEX('CAT_TIPOS_OT'!$C$4:$C$8,MATCH($I1038,'CAT_TIPOS_OT'!$A$4:$A$8,0)),"sin_clasificar"))</f>
        <v/>
      </c>
      <c r="V1038" s="5">
        <f>IF($I1038="","",IF(IFERROR(INDEX('CAT_TIPOS_OT'!$D$4:$D$8,MATCH($I1038,'CAT_TIPOS_OT'!$A$4:$A$8,0)),"SIN CLASIFICAR")="","SIN CLASIFICAR",IFERROR(INDEX('CAT_TIPOS_OT'!$D$4:$D$8,MATCH($I1038,'CAT_TIPOS_OT'!$A$4:$A$8,0)),"SIN CLASIFICAR")))</f>
        <v/>
      </c>
      <c r="W1038" s="5">
        <f>IF($F1038="","",IFERROR(INDEX('CAT_CENTROS_COSTO'!$F$4:$F$13,MATCH($F1038,'CAT_CENTROS_COSTO'!$A$4:$A$13,0)),"(sin catálogo)"))</f>
        <v/>
      </c>
      <c r="X1038" s="5">
        <f>IF($F1038="","",IFERROR(INDEX('CAT_CENTROS_COSTO'!$D$4:$D$13,MATCH($F1038,'CAT_CENTROS_COSTO'!$A$4:$A$13,0)),"(sin catálogo)"))</f>
        <v/>
      </c>
      <c r="Y1038" s="5">
        <f>IF($F1038="","",IF((IFERROR(INDEX('CAT_CENTROS_COSTO'!$E$4:$E$13,MATCH($F1038,'CAT_CENTROS_COSTO'!$A$4:$A$13,0)),""))&lt;&gt;"",IFERROR(INDEX('CAT_CENTROS_COSTO'!$E$4:$E$13,MATCH($F1038,'CAT_CENTROS_COSTO'!$A$4:$A$13,0)),""),$X1038))</f>
        <v/>
      </c>
      <c r="Z1038" s="5">
        <f>IF($F1038="","",IFERROR(INDEX('CAT_CENTROS_COSTO'!$G$4:$G$13,MATCH($F1038,'CAT_CENTROS_COSTO'!$A$4:$A$13,0)),"(sin catálogo)"))</f>
        <v/>
      </c>
      <c r="AA1038" s="5">
        <f>IF($G1038="","",IFERROR(INDEX('CAT_PUESTOS'!$B$4:$B$8,MATCH($G1038,'CAT_PUESTOS'!$A$4:$A$8,0)),"(sin catálogo)"))</f>
        <v/>
      </c>
      <c r="AB1038" s="5">
        <f>IF($H1038="","",IFERROR(INDEX('CAT_ACTIVIDADES'!$B$4:$B$11,MATCH($H1038,'CAT_ACTIVIDADES'!$A$4:$A$11,0)),"(sin catálogo)"))</f>
        <v/>
      </c>
      <c r="AC1038" s="20">
        <f>IF($J1038="","",TODAY()-$J1038)</f>
        <v/>
      </c>
      <c r="AD1038" s="20">
        <f>IF($J1038="","",IF($J1038&lt;=TODAY(),COUNTIFS(cal_fechas,"&gt;="&amp;$J1038,cal_fechas,"&lt;"&amp;TODAY(),cal_habil,"sí"),-COUNTIFS(cal_fechas,"&gt;="&amp;TODAY(),cal_fechas,"&lt;"&amp;$J1038,cal_habil,"sí")))</f>
        <v/>
      </c>
      <c r="AE1038" s="5">
        <f>IF($AD1038="","",IF($AD1038&lt;0,"FUTURO",IF($AD1038&gt;p_dias_backlog_max,"BACKLOG","MES CORRIENTE")))</f>
        <v/>
      </c>
      <c r="AF1038" s="5">
        <f>IF($AD1038="",FALSE,AND($AD1038&gt;p_dias_backlog_min,$AD1038&lt;=p_dias_backlog_max))</f>
        <v/>
      </c>
      <c r="AG1038" s="4" t="n"/>
      <c r="AH1038" s="5">
        <f>IF($AG1038="","",IF((IFERROR(INDEX('ASIGNACIONES'!$J$4:$J$451,MATCH($O1038&amp;"|"&amp;$S1038&amp;"|"&amp;$AG1038,'ASIGNACIONES'!$N$4:$N$451,0)),""))=0,"",IFERROR(INDEX('ASIGNACIONES'!$J$4:$J$451,MATCH($O1038&amp;"|"&amp;$S1038&amp;"|"&amp;$AG1038,'ASIGNACIONES'!$N$4:$N$451,0)),"")))</f>
        <v/>
      </c>
      <c r="AI1038" s="25">
        <f>IF($AG1038="","",SUMIFS('ORDENES'!$M$4:$M$1203,'ORDENES'!$AG$4:$AG$1203,$AG1038,'ORDENES'!$O$4:$O$1203,$O1038,'ORDENES'!$S$4:$S$1203,$S1038))</f>
        <v/>
      </c>
      <c r="AJ1038" s="25">
        <f>IF($AI1038="","",p_factor_productividad*IFERROR(INDEX('ASIGNACIONES'!$M$4:$M$451,MATCH($O1038&amp;"|"&amp;$S1038&amp;"|"&amp;$AG1038,'ASIGNACIONES'!$N$4:$N$451,0)),0)-$AI1038)</f>
        <v/>
      </c>
      <c r="AK1038" s="18">
        <f>IF($A1038="","",IFERROR(INDEX('2_IMPORTAR_EJECUCION'!$F$9:$F$1208,MATCH($AT1038,'2_IMPORTAR_EJECUCION'!$J$9:$J$1208,0)),0))</f>
        <v/>
      </c>
      <c r="AL1038" s="18">
        <f>IF($A1038="","",MAX(0,IFERROR(INDEX('2_IMPORTAR_EJECUCION'!$H$9:$H$1208,MATCH($AT1038,'2_IMPORTAR_EJECUCION'!$J$9:$J$1208,0)),0)-$AK1038))</f>
        <v/>
      </c>
      <c r="AM1038" s="18">
        <f>IF($A1038="","",$AK1038+$AL1038)</f>
        <v/>
      </c>
      <c r="AN1038" s="5">
        <f>IF($A1038="","",IF(OR((IFERROR(INDEX('CAT_ACTIVIDADES'!$D$4:$D$11,MATCH($H1038,'CAT_ACTIVIDADES'!$A$4:$A$11,0)),""))=0,(IFERROR(INDEX('CAT_ACTIVIDADES'!$D$4:$D$11,MATCH($H1038,'CAT_ACTIVIDADES'!$A$4:$A$11,0)),""))=""),"SIN CLASIFICAR",IFERROR(INDEX('CAT_ACTIVIDADES'!$D$4:$D$11,MATCH($H1038,'CAT_ACTIVIDADES'!$A$4:$A$11,0)),"")))</f>
        <v/>
      </c>
      <c r="AO1038" s="4" t="n"/>
      <c r="AP1038" s="4" t="n"/>
      <c r="AQ1038" s="4" t="n"/>
      <c r="AR1038" s="5">
        <f>IF($AQ1038="","",HYPERLINK(p_ruta_base_checklists&amp;$AQ1038,"abrir"))</f>
        <v/>
      </c>
      <c r="AS1038" s="4" t="n"/>
      <c r="AT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2" t="n"/>
      <c r="K1039" s="5" t="n"/>
      <c r="L1039" s="18" t="n"/>
      <c r="M1039" s="5">
        <f>IF($A1039="","",IFERROR(INDEX('AJUSTES'!$B$4:$B$303,MATCH($AT1039,'AJUSTES'!$A$4:$A$303,0)),IF($K1039="","",$K1039)))</f>
        <v/>
      </c>
      <c r="N1039" s="5">
        <f>IF($A1039="","",IFERROR(INDEX('CAT_ESTADOS_ERP'!$B$4:$B$7,MATCH(IFERROR(INDEX('2_IMPORTAR_EJECUCION'!$C$9:$C$1208,MATCH($AT1039,'2_IMPORTAR_EJECUCION'!$J$9:$J$1208,0)),""),'CAT_ESTADOS_ERP'!$A$4:$A$7,0)),"Pendiente"))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IF($J1039="","",$P1039&amp;"-"&amp;TEXT($Q1039,"00"))</f>
        <v/>
      </c>
      <c r="S1039" s="5">
        <f>IF($J1039="","",INDEX(lista_dias,WEEKDAY($J1039,2)))</f>
        <v/>
      </c>
      <c r="T1039" s="5">
        <f>IF($J1039="","",IFERROR(INDEX('CALENDARIO'!$C$15:$C$214,MATCH(TEXT($J1039,"yyyy-mm-dd")&amp;"|"&amp;$X1039&amp;"|"&amp;$Y1039,'CALENDARIO'!$G$15:$G$214,0)),IFERROR(INDEX('CALENDARIO'!$C$15:$C$214,MATCH(TEXT($J1039,"yyyy-mm-dd")&amp;"|"&amp;$X1039&amp;"|",'CALENDARIO'!$G$15:$G$214,0)),IFERROR(INDEX('CALENDARIO'!$C$15:$C$214,MATCH(TEXT($J1039,"yyyy-mm-dd")&amp;"||",'CALENDARIO'!$G$15:$G$214,0)),INDEX(patronHabil,WEEKDAY($J1039,2))))))</f>
        <v/>
      </c>
      <c r="U1039" s="5">
        <f>IF($I1039="","",IFERROR(INDEX('CAT_TIPOS_OT'!$C$4:$C$8,MATCH($I1039,'CAT_TIPOS_OT'!$A$4:$A$8,0)),"sin_clasificar"))</f>
        <v/>
      </c>
      <c r="V1039" s="5">
        <f>IF($I1039="","",IF(IFERROR(INDEX('CAT_TIPOS_OT'!$D$4:$D$8,MATCH($I1039,'CAT_TIPOS_OT'!$A$4:$A$8,0)),"SIN CLASIFICAR")="","SIN CLASIFICAR",IFERROR(INDEX('CAT_TIPOS_OT'!$D$4:$D$8,MATCH($I1039,'CAT_TIPOS_OT'!$A$4:$A$8,0)),"SIN CLASIFICAR")))</f>
        <v/>
      </c>
      <c r="W1039" s="5">
        <f>IF($F1039="","",IFERROR(INDEX('CAT_CENTROS_COSTO'!$F$4:$F$13,MATCH($F1039,'CAT_CENTROS_COSTO'!$A$4:$A$13,0)),"(sin catálogo)"))</f>
        <v/>
      </c>
      <c r="X1039" s="5">
        <f>IF($F1039="","",IFERROR(INDEX('CAT_CENTROS_COSTO'!$D$4:$D$13,MATCH($F1039,'CAT_CENTROS_COSTO'!$A$4:$A$13,0)),"(sin catálogo)"))</f>
        <v/>
      </c>
      <c r="Y1039" s="5">
        <f>IF($F1039="","",IF((IFERROR(INDEX('CAT_CENTROS_COSTO'!$E$4:$E$13,MATCH($F1039,'CAT_CENTROS_COSTO'!$A$4:$A$13,0)),""))&lt;&gt;"",IFERROR(INDEX('CAT_CENTROS_COSTO'!$E$4:$E$13,MATCH($F1039,'CAT_CENTROS_COSTO'!$A$4:$A$13,0)),""),$X1039))</f>
        <v/>
      </c>
      <c r="Z1039" s="5">
        <f>IF($F1039="","",IFERROR(INDEX('CAT_CENTROS_COSTO'!$G$4:$G$13,MATCH($F1039,'CAT_CENTROS_COSTO'!$A$4:$A$13,0)),"(sin catálogo)"))</f>
        <v/>
      </c>
      <c r="AA1039" s="5">
        <f>IF($G1039="","",IFERROR(INDEX('CAT_PUESTOS'!$B$4:$B$8,MATCH($G1039,'CAT_PUESTOS'!$A$4:$A$8,0)),"(sin catálogo)"))</f>
        <v/>
      </c>
      <c r="AB1039" s="5">
        <f>IF($H1039="","",IFERROR(INDEX('CAT_ACTIVIDADES'!$B$4:$B$11,MATCH($H1039,'CAT_ACTIVIDADES'!$A$4:$A$11,0)),"(sin catálogo)"))</f>
        <v/>
      </c>
      <c r="AC1039" s="20">
        <f>IF($J1039="","",TODAY()-$J1039)</f>
        <v/>
      </c>
      <c r="AD1039" s="20">
        <f>IF($J1039="","",IF($J1039&lt;=TODAY(),COUNTIFS(cal_fechas,"&gt;="&amp;$J1039,cal_fechas,"&lt;"&amp;TODAY(),cal_habil,"sí"),-COUNTIFS(cal_fechas,"&gt;="&amp;TODAY(),cal_fechas,"&lt;"&amp;$J1039,cal_habil,"sí")))</f>
        <v/>
      </c>
      <c r="AE1039" s="5">
        <f>IF($AD1039="","",IF($AD1039&lt;0,"FUTURO",IF($AD1039&gt;p_dias_backlog_max,"BACKLOG","MES CORRIENTE")))</f>
        <v/>
      </c>
      <c r="AF1039" s="5">
        <f>IF($AD1039="",FALSE,AND($AD1039&gt;p_dias_backlog_min,$AD1039&lt;=p_dias_backlog_max))</f>
        <v/>
      </c>
      <c r="AG1039" s="4" t="n"/>
      <c r="AH1039" s="5">
        <f>IF($AG1039="","",IF((IFERROR(INDEX('ASIGNACIONES'!$J$4:$J$451,MATCH($O1039&amp;"|"&amp;$S1039&amp;"|"&amp;$AG1039,'ASIGNACIONES'!$N$4:$N$451,0)),""))=0,"",IFERROR(INDEX('ASIGNACIONES'!$J$4:$J$451,MATCH($O1039&amp;"|"&amp;$S1039&amp;"|"&amp;$AG1039,'ASIGNACIONES'!$N$4:$N$451,0)),"")))</f>
        <v/>
      </c>
      <c r="AI1039" s="25">
        <f>IF($AG1039="","",SUMIFS('ORDENES'!$M$4:$M$1203,'ORDENES'!$AG$4:$AG$1203,$AG1039,'ORDENES'!$O$4:$O$1203,$O1039,'ORDENES'!$S$4:$S$1203,$S1039))</f>
        <v/>
      </c>
      <c r="AJ1039" s="25">
        <f>IF($AI1039="","",p_factor_productividad*IFERROR(INDEX('ASIGNACIONES'!$M$4:$M$451,MATCH($O1039&amp;"|"&amp;$S1039&amp;"|"&amp;$AG1039,'ASIGNACIONES'!$N$4:$N$451,0)),0)-$AI1039)</f>
        <v/>
      </c>
      <c r="AK1039" s="18">
        <f>IF($A1039="","",IFERROR(INDEX('2_IMPORTAR_EJECUCION'!$F$9:$F$1208,MATCH($AT1039,'2_IMPORTAR_EJECUCION'!$J$9:$J$1208,0)),0))</f>
        <v/>
      </c>
      <c r="AL1039" s="18">
        <f>IF($A1039="","",MAX(0,IFERROR(INDEX('2_IMPORTAR_EJECUCION'!$H$9:$H$1208,MATCH($AT1039,'2_IMPORTAR_EJECUCION'!$J$9:$J$1208,0)),0)-$AK1039))</f>
        <v/>
      </c>
      <c r="AM1039" s="18">
        <f>IF($A1039="","",$AK1039+$AL1039)</f>
        <v/>
      </c>
      <c r="AN1039" s="5">
        <f>IF($A1039="","",IF(OR((IFERROR(INDEX('CAT_ACTIVIDADES'!$D$4:$D$11,MATCH($H1039,'CAT_ACTIVIDADES'!$A$4:$A$11,0)),""))=0,(IFERROR(INDEX('CAT_ACTIVIDADES'!$D$4:$D$11,MATCH($H1039,'CAT_ACTIVIDADES'!$A$4:$A$11,0)),""))=""),"SIN CLASIFICAR",IFERROR(INDEX('CAT_ACTIVIDADES'!$D$4:$D$11,MATCH($H1039,'CAT_ACTIVIDADES'!$A$4:$A$11,0)),"")))</f>
        <v/>
      </c>
      <c r="AO1039" s="4" t="n"/>
      <c r="AP1039" s="4" t="n"/>
      <c r="AQ1039" s="4" t="n"/>
      <c r="AR1039" s="5">
        <f>IF($AQ1039="","",HYPERLINK(p_ruta_base_checklists&amp;$AQ1039,"abrir"))</f>
        <v/>
      </c>
      <c r="AS1039" s="4" t="n"/>
      <c r="AT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2" t="n"/>
      <c r="K1040" s="5" t="n"/>
      <c r="L1040" s="18" t="n"/>
      <c r="M1040" s="5">
        <f>IF($A1040="","",IFERROR(INDEX('AJUSTES'!$B$4:$B$303,MATCH($AT1040,'AJUSTES'!$A$4:$A$303,0)),IF($K1040="","",$K1040)))</f>
        <v/>
      </c>
      <c r="N1040" s="5">
        <f>IF($A1040="","",IFERROR(INDEX('CAT_ESTADOS_ERP'!$B$4:$B$7,MATCH(IFERROR(INDEX('2_IMPORTAR_EJECUCION'!$C$9:$C$1208,MATCH($AT1040,'2_IMPORTAR_EJECUCION'!$J$9:$J$1208,0)),""),'CAT_ESTADOS_ERP'!$A$4:$A$7,0)),"Pendiente"))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IF($J1040="","",$P1040&amp;"-"&amp;TEXT($Q1040,"00"))</f>
        <v/>
      </c>
      <c r="S1040" s="5">
        <f>IF($J1040="","",INDEX(lista_dias,WEEKDAY($J1040,2)))</f>
        <v/>
      </c>
      <c r="T1040" s="5">
        <f>IF($J1040="","",IFERROR(INDEX('CALENDARIO'!$C$15:$C$214,MATCH(TEXT($J1040,"yyyy-mm-dd")&amp;"|"&amp;$X1040&amp;"|"&amp;$Y1040,'CALENDARIO'!$G$15:$G$214,0)),IFERROR(INDEX('CALENDARIO'!$C$15:$C$214,MATCH(TEXT($J1040,"yyyy-mm-dd")&amp;"|"&amp;$X1040&amp;"|",'CALENDARIO'!$G$15:$G$214,0)),IFERROR(INDEX('CALENDARIO'!$C$15:$C$214,MATCH(TEXT($J1040,"yyyy-mm-dd")&amp;"||",'CALENDARIO'!$G$15:$G$214,0)),INDEX(patronHabil,WEEKDAY($J1040,2))))))</f>
        <v/>
      </c>
      <c r="U1040" s="5">
        <f>IF($I1040="","",IFERROR(INDEX('CAT_TIPOS_OT'!$C$4:$C$8,MATCH($I1040,'CAT_TIPOS_OT'!$A$4:$A$8,0)),"sin_clasificar"))</f>
        <v/>
      </c>
      <c r="V1040" s="5">
        <f>IF($I1040="","",IF(IFERROR(INDEX('CAT_TIPOS_OT'!$D$4:$D$8,MATCH($I1040,'CAT_TIPOS_OT'!$A$4:$A$8,0)),"SIN CLASIFICAR")="","SIN CLASIFICAR",IFERROR(INDEX('CAT_TIPOS_OT'!$D$4:$D$8,MATCH($I1040,'CAT_TIPOS_OT'!$A$4:$A$8,0)),"SIN CLASIFICAR")))</f>
        <v/>
      </c>
      <c r="W1040" s="5">
        <f>IF($F1040="","",IFERROR(INDEX('CAT_CENTROS_COSTO'!$F$4:$F$13,MATCH($F1040,'CAT_CENTROS_COSTO'!$A$4:$A$13,0)),"(sin catálogo)"))</f>
        <v/>
      </c>
      <c r="X1040" s="5">
        <f>IF($F1040="","",IFERROR(INDEX('CAT_CENTROS_COSTO'!$D$4:$D$13,MATCH($F1040,'CAT_CENTROS_COSTO'!$A$4:$A$13,0)),"(sin catálogo)"))</f>
        <v/>
      </c>
      <c r="Y1040" s="5">
        <f>IF($F1040="","",IF((IFERROR(INDEX('CAT_CENTROS_COSTO'!$E$4:$E$13,MATCH($F1040,'CAT_CENTROS_COSTO'!$A$4:$A$13,0)),""))&lt;&gt;"",IFERROR(INDEX('CAT_CENTROS_COSTO'!$E$4:$E$13,MATCH($F1040,'CAT_CENTROS_COSTO'!$A$4:$A$13,0)),""),$X1040))</f>
        <v/>
      </c>
      <c r="Z1040" s="5">
        <f>IF($F1040="","",IFERROR(INDEX('CAT_CENTROS_COSTO'!$G$4:$G$13,MATCH($F1040,'CAT_CENTROS_COSTO'!$A$4:$A$13,0)),"(sin catálogo)"))</f>
        <v/>
      </c>
      <c r="AA1040" s="5">
        <f>IF($G1040="","",IFERROR(INDEX('CAT_PUESTOS'!$B$4:$B$8,MATCH($G1040,'CAT_PUESTOS'!$A$4:$A$8,0)),"(sin catálogo)"))</f>
        <v/>
      </c>
      <c r="AB1040" s="5">
        <f>IF($H1040="","",IFERROR(INDEX('CAT_ACTIVIDADES'!$B$4:$B$11,MATCH($H1040,'CAT_ACTIVIDADES'!$A$4:$A$11,0)),"(sin catálogo)"))</f>
        <v/>
      </c>
      <c r="AC1040" s="20">
        <f>IF($J1040="","",TODAY()-$J1040)</f>
        <v/>
      </c>
      <c r="AD1040" s="20">
        <f>IF($J1040="","",IF($J1040&lt;=TODAY(),COUNTIFS(cal_fechas,"&gt;="&amp;$J1040,cal_fechas,"&lt;"&amp;TODAY(),cal_habil,"sí"),-COUNTIFS(cal_fechas,"&gt;="&amp;TODAY(),cal_fechas,"&lt;"&amp;$J1040,cal_habil,"sí")))</f>
        <v/>
      </c>
      <c r="AE1040" s="5">
        <f>IF($AD1040="","",IF($AD1040&lt;0,"FUTURO",IF($AD1040&gt;p_dias_backlog_max,"BACKLOG","MES CORRIENTE")))</f>
        <v/>
      </c>
      <c r="AF1040" s="5">
        <f>IF($AD1040="",FALSE,AND($AD1040&gt;p_dias_backlog_min,$AD1040&lt;=p_dias_backlog_max))</f>
        <v/>
      </c>
      <c r="AG1040" s="4" t="n"/>
      <c r="AH1040" s="5">
        <f>IF($AG1040="","",IF((IFERROR(INDEX('ASIGNACIONES'!$J$4:$J$451,MATCH($O1040&amp;"|"&amp;$S1040&amp;"|"&amp;$AG1040,'ASIGNACIONES'!$N$4:$N$451,0)),""))=0,"",IFERROR(INDEX('ASIGNACIONES'!$J$4:$J$451,MATCH($O1040&amp;"|"&amp;$S1040&amp;"|"&amp;$AG1040,'ASIGNACIONES'!$N$4:$N$451,0)),"")))</f>
        <v/>
      </c>
      <c r="AI1040" s="25">
        <f>IF($AG1040="","",SUMIFS('ORDENES'!$M$4:$M$1203,'ORDENES'!$AG$4:$AG$1203,$AG1040,'ORDENES'!$O$4:$O$1203,$O1040,'ORDENES'!$S$4:$S$1203,$S1040))</f>
        <v/>
      </c>
      <c r="AJ1040" s="25">
        <f>IF($AI1040="","",p_factor_productividad*IFERROR(INDEX('ASIGNACIONES'!$M$4:$M$451,MATCH($O1040&amp;"|"&amp;$S1040&amp;"|"&amp;$AG1040,'ASIGNACIONES'!$N$4:$N$451,0)),0)-$AI1040)</f>
        <v/>
      </c>
      <c r="AK1040" s="18">
        <f>IF($A1040="","",IFERROR(INDEX('2_IMPORTAR_EJECUCION'!$F$9:$F$1208,MATCH($AT1040,'2_IMPORTAR_EJECUCION'!$J$9:$J$1208,0)),0))</f>
        <v/>
      </c>
      <c r="AL1040" s="18">
        <f>IF($A1040="","",MAX(0,IFERROR(INDEX('2_IMPORTAR_EJECUCION'!$H$9:$H$1208,MATCH($AT1040,'2_IMPORTAR_EJECUCION'!$J$9:$J$1208,0)),0)-$AK1040))</f>
        <v/>
      </c>
      <c r="AM1040" s="18">
        <f>IF($A1040="","",$AK1040+$AL1040)</f>
        <v/>
      </c>
      <c r="AN1040" s="5">
        <f>IF($A1040="","",IF(OR((IFERROR(INDEX('CAT_ACTIVIDADES'!$D$4:$D$11,MATCH($H1040,'CAT_ACTIVIDADES'!$A$4:$A$11,0)),""))=0,(IFERROR(INDEX('CAT_ACTIVIDADES'!$D$4:$D$11,MATCH($H1040,'CAT_ACTIVIDADES'!$A$4:$A$11,0)),""))=""),"SIN CLASIFICAR",IFERROR(INDEX('CAT_ACTIVIDADES'!$D$4:$D$11,MATCH($H1040,'CAT_ACTIVIDADES'!$A$4:$A$11,0)),"")))</f>
        <v/>
      </c>
      <c r="AO1040" s="4" t="n"/>
      <c r="AP1040" s="4" t="n"/>
      <c r="AQ1040" s="4" t="n"/>
      <c r="AR1040" s="5">
        <f>IF($AQ1040="","",HYPERLINK(p_ruta_base_checklists&amp;$AQ1040,"abrir"))</f>
        <v/>
      </c>
      <c r="AS1040" s="4" t="n"/>
      <c r="AT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2" t="n"/>
      <c r="K1041" s="5" t="n"/>
      <c r="L1041" s="18" t="n"/>
      <c r="M1041" s="5">
        <f>IF($A1041="","",IFERROR(INDEX('AJUSTES'!$B$4:$B$303,MATCH($AT1041,'AJUSTES'!$A$4:$A$303,0)),IF($K1041="","",$K1041)))</f>
        <v/>
      </c>
      <c r="N1041" s="5">
        <f>IF($A1041="","",IFERROR(INDEX('CAT_ESTADOS_ERP'!$B$4:$B$7,MATCH(IFERROR(INDEX('2_IMPORTAR_EJECUCION'!$C$9:$C$1208,MATCH($AT1041,'2_IMPORTAR_EJECUCION'!$J$9:$J$1208,0)),""),'CAT_ESTADOS_ERP'!$A$4:$A$7,0)),"Pendiente"))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IF($J1041="","",$P1041&amp;"-"&amp;TEXT($Q1041,"00"))</f>
        <v/>
      </c>
      <c r="S1041" s="5">
        <f>IF($J1041="","",INDEX(lista_dias,WEEKDAY($J1041,2)))</f>
        <v/>
      </c>
      <c r="T1041" s="5">
        <f>IF($J1041="","",IFERROR(INDEX('CALENDARIO'!$C$15:$C$214,MATCH(TEXT($J1041,"yyyy-mm-dd")&amp;"|"&amp;$X1041&amp;"|"&amp;$Y1041,'CALENDARIO'!$G$15:$G$214,0)),IFERROR(INDEX('CALENDARIO'!$C$15:$C$214,MATCH(TEXT($J1041,"yyyy-mm-dd")&amp;"|"&amp;$X1041&amp;"|",'CALENDARIO'!$G$15:$G$214,0)),IFERROR(INDEX('CALENDARIO'!$C$15:$C$214,MATCH(TEXT($J1041,"yyyy-mm-dd")&amp;"||",'CALENDARIO'!$G$15:$G$214,0)),INDEX(patronHabil,WEEKDAY($J1041,2))))))</f>
        <v/>
      </c>
      <c r="U1041" s="5">
        <f>IF($I1041="","",IFERROR(INDEX('CAT_TIPOS_OT'!$C$4:$C$8,MATCH($I1041,'CAT_TIPOS_OT'!$A$4:$A$8,0)),"sin_clasificar"))</f>
        <v/>
      </c>
      <c r="V1041" s="5">
        <f>IF($I1041="","",IF(IFERROR(INDEX('CAT_TIPOS_OT'!$D$4:$D$8,MATCH($I1041,'CAT_TIPOS_OT'!$A$4:$A$8,0)),"SIN CLASIFICAR")="","SIN CLASIFICAR",IFERROR(INDEX('CAT_TIPOS_OT'!$D$4:$D$8,MATCH($I1041,'CAT_TIPOS_OT'!$A$4:$A$8,0)),"SIN CLASIFICAR")))</f>
        <v/>
      </c>
      <c r="W1041" s="5">
        <f>IF($F1041="","",IFERROR(INDEX('CAT_CENTROS_COSTO'!$F$4:$F$13,MATCH($F1041,'CAT_CENTROS_COSTO'!$A$4:$A$13,0)),"(sin catálogo)"))</f>
        <v/>
      </c>
      <c r="X1041" s="5">
        <f>IF($F1041="","",IFERROR(INDEX('CAT_CENTROS_COSTO'!$D$4:$D$13,MATCH($F1041,'CAT_CENTROS_COSTO'!$A$4:$A$13,0)),"(sin catálogo)"))</f>
        <v/>
      </c>
      <c r="Y1041" s="5">
        <f>IF($F1041="","",IF((IFERROR(INDEX('CAT_CENTROS_COSTO'!$E$4:$E$13,MATCH($F1041,'CAT_CENTROS_COSTO'!$A$4:$A$13,0)),""))&lt;&gt;"",IFERROR(INDEX('CAT_CENTROS_COSTO'!$E$4:$E$13,MATCH($F1041,'CAT_CENTROS_COSTO'!$A$4:$A$13,0)),""),$X1041))</f>
        <v/>
      </c>
      <c r="Z1041" s="5">
        <f>IF($F1041="","",IFERROR(INDEX('CAT_CENTROS_COSTO'!$G$4:$G$13,MATCH($F1041,'CAT_CENTROS_COSTO'!$A$4:$A$13,0)),"(sin catálogo)"))</f>
        <v/>
      </c>
      <c r="AA1041" s="5">
        <f>IF($G1041="","",IFERROR(INDEX('CAT_PUESTOS'!$B$4:$B$8,MATCH($G1041,'CAT_PUESTOS'!$A$4:$A$8,0)),"(sin catálogo)"))</f>
        <v/>
      </c>
      <c r="AB1041" s="5">
        <f>IF($H1041="","",IFERROR(INDEX('CAT_ACTIVIDADES'!$B$4:$B$11,MATCH($H1041,'CAT_ACTIVIDADES'!$A$4:$A$11,0)),"(sin catálogo)"))</f>
        <v/>
      </c>
      <c r="AC1041" s="20">
        <f>IF($J1041="","",TODAY()-$J1041)</f>
        <v/>
      </c>
      <c r="AD1041" s="20">
        <f>IF($J1041="","",IF($J1041&lt;=TODAY(),COUNTIFS(cal_fechas,"&gt;="&amp;$J1041,cal_fechas,"&lt;"&amp;TODAY(),cal_habil,"sí"),-COUNTIFS(cal_fechas,"&gt;="&amp;TODAY(),cal_fechas,"&lt;"&amp;$J1041,cal_habil,"sí")))</f>
        <v/>
      </c>
      <c r="AE1041" s="5">
        <f>IF($AD1041="","",IF($AD1041&lt;0,"FUTURO",IF($AD1041&gt;p_dias_backlog_max,"BACKLOG","MES CORRIENTE")))</f>
        <v/>
      </c>
      <c r="AF1041" s="5">
        <f>IF($AD1041="",FALSE,AND($AD1041&gt;p_dias_backlog_min,$AD1041&lt;=p_dias_backlog_max))</f>
        <v/>
      </c>
      <c r="AG1041" s="4" t="n"/>
      <c r="AH1041" s="5">
        <f>IF($AG1041="","",IF((IFERROR(INDEX('ASIGNACIONES'!$J$4:$J$451,MATCH($O1041&amp;"|"&amp;$S1041&amp;"|"&amp;$AG1041,'ASIGNACIONES'!$N$4:$N$451,0)),""))=0,"",IFERROR(INDEX('ASIGNACIONES'!$J$4:$J$451,MATCH($O1041&amp;"|"&amp;$S1041&amp;"|"&amp;$AG1041,'ASIGNACIONES'!$N$4:$N$451,0)),"")))</f>
        <v/>
      </c>
      <c r="AI1041" s="25">
        <f>IF($AG1041="","",SUMIFS('ORDENES'!$M$4:$M$1203,'ORDENES'!$AG$4:$AG$1203,$AG1041,'ORDENES'!$O$4:$O$1203,$O1041,'ORDENES'!$S$4:$S$1203,$S1041))</f>
        <v/>
      </c>
      <c r="AJ1041" s="25">
        <f>IF($AI1041="","",p_factor_productividad*IFERROR(INDEX('ASIGNACIONES'!$M$4:$M$451,MATCH($O1041&amp;"|"&amp;$S1041&amp;"|"&amp;$AG1041,'ASIGNACIONES'!$N$4:$N$451,0)),0)-$AI1041)</f>
        <v/>
      </c>
      <c r="AK1041" s="18">
        <f>IF($A1041="","",IFERROR(INDEX('2_IMPORTAR_EJECUCION'!$F$9:$F$1208,MATCH($AT1041,'2_IMPORTAR_EJECUCION'!$J$9:$J$1208,0)),0))</f>
        <v/>
      </c>
      <c r="AL1041" s="18">
        <f>IF($A1041="","",MAX(0,IFERROR(INDEX('2_IMPORTAR_EJECUCION'!$H$9:$H$1208,MATCH($AT1041,'2_IMPORTAR_EJECUCION'!$J$9:$J$1208,0)),0)-$AK1041))</f>
        <v/>
      </c>
      <c r="AM1041" s="18">
        <f>IF($A1041="","",$AK1041+$AL1041)</f>
        <v/>
      </c>
      <c r="AN1041" s="5">
        <f>IF($A1041="","",IF(OR((IFERROR(INDEX('CAT_ACTIVIDADES'!$D$4:$D$11,MATCH($H1041,'CAT_ACTIVIDADES'!$A$4:$A$11,0)),""))=0,(IFERROR(INDEX('CAT_ACTIVIDADES'!$D$4:$D$11,MATCH($H1041,'CAT_ACTIVIDADES'!$A$4:$A$11,0)),""))=""),"SIN CLASIFICAR",IFERROR(INDEX('CAT_ACTIVIDADES'!$D$4:$D$11,MATCH($H1041,'CAT_ACTIVIDADES'!$A$4:$A$11,0)),"")))</f>
        <v/>
      </c>
      <c r="AO1041" s="4" t="n"/>
      <c r="AP1041" s="4" t="n"/>
      <c r="AQ1041" s="4" t="n"/>
      <c r="AR1041" s="5">
        <f>IF($AQ1041="","",HYPERLINK(p_ruta_base_checklists&amp;$AQ1041,"abrir"))</f>
        <v/>
      </c>
      <c r="AS1041" s="4" t="n"/>
      <c r="AT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2" t="n"/>
      <c r="K1042" s="5" t="n"/>
      <c r="L1042" s="18" t="n"/>
      <c r="M1042" s="5">
        <f>IF($A1042="","",IFERROR(INDEX('AJUSTES'!$B$4:$B$303,MATCH($AT1042,'AJUSTES'!$A$4:$A$303,0)),IF($K1042="","",$K1042)))</f>
        <v/>
      </c>
      <c r="N1042" s="5">
        <f>IF($A1042="","",IFERROR(INDEX('CAT_ESTADOS_ERP'!$B$4:$B$7,MATCH(IFERROR(INDEX('2_IMPORTAR_EJECUCION'!$C$9:$C$1208,MATCH($AT1042,'2_IMPORTAR_EJECUCION'!$J$9:$J$1208,0)),""),'CAT_ESTADOS_ERP'!$A$4:$A$7,0)),"Pendiente"))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IF($J1042="","",$P1042&amp;"-"&amp;TEXT($Q1042,"00"))</f>
        <v/>
      </c>
      <c r="S1042" s="5">
        <f>IF($J1042="","",INDEX(lista_dias,WEEKDAY($J1042,2)))</f>
        <v/>
      </c>
      <c r="T1042" s="5">
        <f>IF($J1042="","",IFERROR(INDEX('CALENDARIO'!$C$15:$C$214,MATCH(TEXT($J1042,"yyyy-mm-dd")&amp;"|"&amp;$X1042&amp;"|"&amp;$Y1042,'CALENDARIO'!$G$15:$G$214,0)),IFERROR(INDEX('CALENDARIO'!$C$15:$C$214,MATCH(TEXT($J1042,"yyyy-mm-dd")&amp;"|"&amp;$X1042&amp;"|",'CALENDARIO'!$G$15:$G$214,0)),IFERROR(INDEX('CALENDARIO'!$C$15:$C$214,MATCH(TEXT($J1042,"yyyy-mm-dd")&amp;"||",'CALENDARIO'!$G$15:$G$214,0)),INDEX(patronHabil,WEEKDAY($J1042,2))))))</f>
        <v/>
      </c>
      <c r="U1042" s="5">
        <f>IF($I1042="","",IFERROR(INDEX('CAT_TIPOS_OT'!$C$4:$C$8,MATCH($I1042,'CAT_TIPOS_OT'!$A$4:$A$8,0)),"sin_clasificar"))</f>
        <v/>
      </c>
      <c r="V1042" s="5">
        <f>IF($I1042="","",IF(IFERROR(INDEX('CAT_TIPOS_OT'!$D$4:$D$8,MATCH($I1042,'CAT_TIPOS_OT'!$A$4:$A$8,0)),"SIN CLASIFICAR")="","SIN CLASIFICAR",IFERROR(INDEX('CAT_TIPOS_OT'!$D$4:$D$8,MATCH($I1042,'CAT_TIPOS_OT'!$A$4:$A$8,0)),"SIN CLASIFICAR")))</f>
        <v/>
      </c>
      <c r="W1042" s="5">
        <f>IF($F1042="","",IFERROR(INDEX('CAT_CENTROS_COSTO'!$F$4:$F$13,MATCH($F1042,'CAT_CENTROS_COSTO'!$A$4:$A$13,0)),"(sin catálogo)"))</f>
        <v/>
      </c>
      <c r="X1042" s="5">
        <f>IF($F1042="","",IFERROR(INDEX('CAT_CENTROS_COSTO'!$D$4:$D$13,MATCH($F1042,'CAT_CENTROS_COSTO'!$A$4:$A$13,0)),"(sin catálogo)"))</f>
        <v/>
      </c>
      <c r="Y1042" s="5">
        <f>IF($F1042="","",IF((IFERROR(INDEX('CAT_CENTROS_COSTO'!$E$4:$E$13,MATCH($F1042,'CAT_CENTROS_COSTO'!$A$4:$A$13,0)),""))&lt;&gt;"",IFERROR(INDEX('CAT_CENTROS_COSTO'!$E$4:$E$13,MATCH($F1042,'CAT_CENTROS_COSTO'!$A$4:$A$13,0)),""),$X1042))</f>
        <v/>
      </c>
      <c r="Z1042" s="5">
        <f>IF($F1042="","",IFERROR(INDEX('CAT_CENTROS_COSTO'!$G$4:$G$13,MATCH($F1042,'CAT_CENTROS_COSTO'!$A$4:$A$13,0)),"(sin catálogo)"))</f>
        <v/>
      </c>
      <c r="AA1042" s="5">
        <f>IF($G1042="","",IFERROR(INDEX('CAT_PUESTOS'!$B$4:$B$8,MATCH($G1042,'CAT_PUESTOS'!$A$4:$A$8,0)),"(sin catálogo)"))</f>
        <v/>
      </c>
      <c r="AB1042" s="5">
        <f>IF($H1042="","",IFERROR(INDEX('CAT_ACTIVIDADES'!$B$4:$B$11,MATCH($H1042,'CAT_ACTIVIDADES'!$A$4:$A$11,0)),"(sin catálogo)"))</f>
        <v/>
      </c>
      <c r="AC1042" s="20">
        <f>IF($J1042="","",TODAY()-$J1042)</f>
        <v/>
      </c>
      <c r="AD1042" s="20">
        <f>IF($J1042="","",IF($J1042&lt;=TODAY(),COUNTIFS(cal_fechas,"&gt;="&amp;$J1042,cal_fechas,"&lt;"&amp;TODAY(),cal_habil,"sí"),-COUNTIFS(cal_fechas,"&gt;="&amp;TODAY(),cal_fechas,"&lt;"&amp;$J1042,cal_habil,"sí")))</f>
        <v/>
      </c>
      <c r="AE1042" s="5">
        <f>IF($AD1042="","",IF($AD1042&lt;0,"FUTURO",IF($AD1042&gt;p_dias_backlog_max,"BACKLOG","MES CORRIENTE")))</f>
        <v/>
      </c>
      <c r="AF1042" s="5">
        <f>IF($AD1042="",FALSE,AND($AD1042&gt;p_dias_backlog_min,$AD1042&lt;=p_dias_backlog_max))</f>
        <v/>
      </c>
      <c r="AG1042" s="4" t="n"/>
      <c r="AH1042" s="5">
        <f>IF($AG1042="","",IF((IFERROR(INDEX('ASIGNACIONES'!$J$4:$J$451,MATCH($O1042&amp;"|"&amp;$S1042&amp;"|"&amp;$AG1042,'ASIGNACIONES'!$N$4:$N$451,0)),""))=0,"",IFERROR(INDEX('ASIGNACIONES'!$J$4:$J$451,MATCH($O1042&amp;"|"&amp;$S1042&amp;"|"&amp;$AG1042,'ASIGNACIONES'!$N$4:$N$451,0)),"")))</f>
        <v/>
      </c>
      <c r="AI1042" s="25">
        <f>IF($AG1042="","",SUMIFS('ORDENES'!$M$4:$M$1203,'ORDENES'!$AG$4:$AG$1203,$AG1042,'ORDENES'!$O$4:$O$1203,$O1042,'ORDENES'!$S$4:$S$1203,$S1042))</f>
        <v/>
      </c>
      <c r="AJ1042" s="25">
        <f>IF($AI1042="","",p_factor_productividad*IFERROR(INDEX('ASIGNACIONES'!$M$4:$M$451,MATCH($O1042&amp;"|"&amp;$S1042&amp;"|"&amp;$AG1042,'ASIGNACIONES'!$N$4:$N$451,0)),0)-$AI1042)</f>
        <v/>
      </c>
      <c r="AK1042" s="18">
        <f>IF($A1042="","",IFERROR(INDEX('2_IMPORTAR_EJECUCION'!$F$9:$F$1208,MATCH($AT1042,'2_IMPORTAR_EJECUCION'!$J$9:$J$1208,0)),0))</f>
        <v/>
      </c>
      <c r="AL1042" s="18">
        <f>IF($A1042="","",MAX(0,IFERROR(INDEX('2_IMPORTAR_EJECUCION'!$H$9:$H$1208,MATCH($AT1042,'2_IMPORTAR_EJECUCION'!$J$9:$J$1208,0)),0)-$AK1042))</f>
        <v/>
      </c>
      <c r="AM1042" s="18">
        <f>IF($A1042="","",$AK1042+$AL1042)</f>
        <v/>
      </c>
      <c r="AN1042" s="5">
        <f>IF($A1042="","",IF(OR((IFERROR(INDEX('CAT_ACTIVIDADES'!$D$4:$D$11,MATCH($H1042,'CAT_ACTIVIDADES'!$A$4:$A$11,0)),""))=0,(IFERROR(INDEX('CAT_ACTIVIDADES'!$D$4:$D$11,MATCH($H1042,'CAT_ACTIVIDADES'!$A$4:$A$11,0)),""))=""),"SIN CLASIFICAR",IFERROR(INDEX('CAT_ACTIVIDADES'!$D$4:$D$11,MATCH($H1042,'CAT_ACTIVIDADES'!$A$4:$A$11,0)),"")))</f>
        <v/>
      </c>
      <c r="AO1042" s="4" t="n"/>
      <c r="AP1042" s="4" t="n"/>
      <c r="AQ1042" s="4" t="n"/>
      <c r="AR1042" s="5">
        <f>IF($AQ1042="","",HYPERLINK(p_ruta_base_checklists&amp;$AQ1042,"abrir"))</f>
        <v/>
      </c>
      <c r="AS1042" s="4" t="n"/>
      <c r="AT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2" t="n"/>
      <c r="K1043" s="5" t="n"/>
      <c r="L1043" s="18" t="n"/>
      <c r="M1043" s="5">
        <f>IF($A1043="","",IFERROR(INDEX('AJUSTES'!$B$4:$B$303,MATCH($AT1043,'AJUSTES'!$A$4:$A$303,0)),IF($K1043="","",$K1043)))</f>
        <v/>
      </c>
      <c r="N1043" s="5">
        <f>IF($A1043="","",IFERROR(INDEX('CAT_ESTADOS_ERP'!$B$4:$B$7,MATCH(IFERROR(INDEX('2_IMPORTAR_EJECUCION'!$C$9:$C$1208,MATCH($AT1043,'2_IMPORTAR_EJECUCION'!$J$9:$J$1208,0)),""),'CAT_ESTADOS_ERP'!$A$4:$A$7,0)),"Pendiente"))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IF($J1043="","",$P1043&amp;"-"&amp;TEXT($Q1043,"00"))</f>
        <v/>
      </c>
      <c r="S1043" s="5">
        <f>IF($J1043="","",INDEX(lista_dias,WEEKDAY($J1043,2)))</f>
        <v/>
      </c>
      <c r="T1043" s="5">
        <f>IF($J1043="","",IFERROR(INDEX('CALENDARIO'!$C$15:$C$214,MATCH(TEXT($J1043,"yyyy-mm-dd")&amp;"|"&amp;$X1043&amp;"|"&amp;$Y1043,'CALENDARIO'!$G$15:$G$214,0)),IFERROR(INDEX('CALENDARIO'!$C$15:$C$214,MATCH(TEXT($J1043,"yyyy-mm-dd")&amp;"|"&amp;$X1043&amp;"|",'CALENDARIO'!$G$15:$G$214,0)),IFERROR(INDEX('CALENDARIO'!$C$15:$C$214,MATCH(TEXT($J1043,"yyyy-mm-dd")&amp;"||",'CALENDARIO'!$G$15:$G$214,0)),INDEX(patronHabil,WEEKDAY($J1043,2))))))</f>
        <v/>
      </c>
      <c r="U1043" s="5">
        <f>IF($I1043="","",IFERROR(INDEX('CAT_TIPOS_OT'!$C$4:$C$8,MATCH($I1043,'CAT_TIPOS_OT'!$A$4:$A$8,0)),"sin_clasificar"))</f>
        <v/>
      </c>
      <c r="V1043" s="5">
        <f>IF($I1043="","",IF(IFERROR(INDEX('CAT_TIPOS_OT'!$D$4:$D$8,MATCH($I1043,'CAT_TIPOS_OT'!$A$4:$A$8,0)),"SIN CLASIFICAR")="","SIN CLASIFICAR",IFERROR(INDEX('CAT_TIPOS_OT'!$D$4:$D$8,MATCH($I1043,'CAT_TIPOS_OT'!$A$4:$A$8,0)),"SIN CLASIFICAR")))</f>
        <v/>
      </c>
      <c r="W1043" s="5">
        <f>IF($F1043="","",IFERROR(INDEX('CAT_CENTROS_COSTO'!$F$4:$F$13,MATCH($F1043,'CAT_CENTROS_COSTO'!$A$4:$A$13,0)),"(sin catálogo)"))</f>
        <v/>
      </c>
      <c r="X1043" s="5">
        <f>IF($F1043="","",IFERROR(INDEX('CAT_CENTROS_COSTO'!$D$4:$D$13,MATCH($F1043,'CAT_CENTROS_COSTO'!$A$4:$A$13,0)),"(sin catálogo)"))</f>
        <v/>
      </c>
      <c r="Y1043" s="5">
        <f>IF($F1043="","",IF((IFERROR(INDEX('CAT_CENTROS_COSTO'!$E$4:$E$13,MATCH($F1043,'CAT_CENTROS_COSTO'!$A$4:$A$13,0)),""))&lt;&gt;"",IFERROR(INDEX('CAT_CENTROS_COSTO'!$E$4:$E$13,MATCH($F1043,'CAT_CENTROS_COSTO'!$A$4:$A$13,0)),""),$X1043))</f>
        <v/>
      </c>
      <c r="Z1043" s="5">
        <f>IF($F1043="","",IFERROR(INDEX('CAT_CENTROS_COSTO'!$G$4:$G$13,MATCH($F1043,'CAT_CENTROS_COSTO'!$A$4:$A$13,0)),"(sin catálogo)"))</f>
        <v/>
      </c>
      <c r="AA1043" s="5">
        <f>IF($G1043="","",IFERROR(INDEX('CAT_PUESTOS'!$B$4:$B$8,MATCH($G1043,'CAT_PUESTOS'!$A$4:$A$8,0)),"(sin catálogo)"))</f>
        <v/>
      </c>
      <c r="AB1043" s="5">
        <f>IF($H1043="","",IFERROR(INDEX('CAT_ACTIVIDADES'!$B$4:$B$11,MATCH($H1043,'CAT_ACTIVIDADES'!$A$4:$A$11,0)),"(sin catálogo)"))</f>
        <v/>
      </c>
      <c r="AC1043" s="20">
        <f>IF($J1043="","",TODAY()-$J1043)</f>
        <v/>
      </c>
      <c r="AD1043" s="20">
        <f>IF($J1043="","",IF($J1043&lt;=TODAY(),COUNTIFS(cal_fechas,"&gt;="&amp;$J1043,cal_fechas,"&lt;"&amp;TODAY(),cal_habil,"sí"),-COUNTIFS(cal_fechas,"&gt;="&amp;TODAY(),cal_fechas,"&lt;"&amp;$J1043,cal_habil,"sí")))</f>
        <v/>
      </c>
      <c r="AE1043" s="5">
        <f>IF($AD1043="","",IF($AD1043&lt;0,"FUTURO",IF($AD1043&gt;p_dias_backlog_max,"BACKLOG","MES CORRIENTE")))</f>
        <v/>
      </c>
      <c r="AF1043" s="5">
        <f>IF($AD1043="",FALSE,AND($AD1043&gt;p_dias_backlog_min,$AD1043&lt;=p_dias_backlog_max))</f>
        <v/>
      </c>
      <c r="AG1043" s="4" t="n"/>
      <c r="AH1043" s="5">
        <f>IF($AG1043="","",IF((IFERROR(INDEX('ASIGNACIONES'!$J$4:$J$451,MATCH($O1043&amp;"|"&amp;$S1043&amp;"|"&amp;$AG1043,'ASIGNACIONES'!$N$4:$N$451,0)),""))=0,"",IFERROR(INDEX('ASIGNACIONES'!$J$4:$J$451,MATCH($O1043&amp;"|"&amp;$S1043&amp;"|"&amp;$AG1043,'ASIGNACIONES'!$N$4:$N$451,0)),"")))</f>
        <v/>
      </c>
      <c r="AI1043" s="25">
        <f>IF($AG1043="","",SUMIFS('ORDENES'!$M$4:$M$1203,'ORDENES'!$AG$4:$AG$1203,$AG1043,'ORDENES'!$O$4:$O$1203,$O1043,'ORDENES'!$S$4:$S$1203,$S1043))</f>
        <v/>
      </c>
      <c r="AJ1043" s="25">
        <f>IF($AI1043="","",p_factor_productividad*IFERROR(INDEX('ASIGNACIONES'!$M$4:$M$451,MATCH($O1043&amp;"|"&amp;$S1043&amp;"|"&amp;$AG1043,'ASIGNACIONES'!$N$4:$N$451,0)),0)-$AI1043)</f>
        <v/>
      </c>
      <c r="AK1043" s="18">
        <f>IF($A1043="","",IFERROR(INDEX('2_IMPORTAR_EJECUCION'!$F$9:$F$1208,MATCH($AT1043,'2_IMPORTAR_EJECUCION'!$J$9:$J$1208,0)),0))</f>
        <v/>
      </c>
      <c r="AL1043" s="18">
        <f>IF($A1043="","",MAX(0,IFERROR(INDEX('2_IMPORTAR_EJECUCION'!$H$9:$H$1208,MATCH($AT1043,'2_IMPORTAR_EJECUCION'!$J$9:$J$1208,0)),0)-$AK1043))</f>
        <v/>
      </c>
      <c r="AM1043" s="18">
        <f>IF($A1043="","",$AK1043+$AL1043)</f>
        <v/>
      </c>
      <c r="AN1043" s="5">
        <f>IF($A1043="","",IF(OR((IFERROR(INDEX('CAT_ACTIVIDADES'!$D$4:$D$11,MATCH($H1043,'CAT_ACTIVIDADES'!$A$4:$A$11,0)),""))=0,(IFERROR(INDEX('CAT_ACTIVIDADES'!$D$4:$D$11,MATCH($H1043,'CAT_ACTIVIDADES'!$A$4:$A$11,0)),""))=""),"SIN CLASIFICAR",IFERROR(INDEX('CAT_ACTIVIDADES'!$D$4:$D$11,MATCH($H1043,'CAT_ACTIVIDADES'!$A$4:$A$11,0)),"")))</f>
        <v/>
      </c>
      <c r="AO1043" s="4" t="n"/>
      <c r="AP1043" s="4" t="n"/>
      <c r="AQ1043" s="4" t="n"/>
      <c r="AR1043" s="5">
        <f>IF($AQ1043="","",HYPERLINK(p_ruta_base_checklists&amp;$AQ1043,"abrir"))</f>
        <v/>
      </c>
      <c r="AS1043" s="4" t="n"/>
      <c r="AT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2" t="n"/>
      <c r="K1044" s="5" t="n"/>
      <c r="L1044" s="18" t="n"/>
      <c r="M1044" s="5">
        <f>IF($A1044="","",IFERROR(INDEX('AJUSTES'!$B$4:$B$303,MATCH($AT1044,'AJUSTES'!$A$4:$A$303,0)),IF($K1044="","",$K1044)))</f>
        <v/>
      </c>
      <c r="N1044" s="5">
        <f>IF($A1044="","",IFERROR(INDEX('CAT_ESTADOS_ERP'!$B$4:$B$7,MATCH(IFERROR(INDEX('2_IMPORTAR_EJECUCION'!$C$9:$C$1208,MATCH($AT1044,'2_IMPORTAR_EJECUCION'!$J$9:$J$1208,0)),""),'CAT_ESTADOS_ERP'!$A$4:$A$7,0)),"Pendiente"))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IF($J1044="","",$P1044&amp;"-"&amp;TEXT($Q1044,"00"))</f>
        <v/>
      </c>
      <c r="S1044" s="5">
        <f>IF($J1044="","",INDEX(lista_dias,WEEKDAY($J1044,2)))</f>
        <v/>
      </c>
      <c r="T1044" s="5">
        <f>IF($J1044="","",IFERROR(INDEX('CALENDARIO'!$C$15:$C$214,MATCH(TEXT($J1044,"yyyy-mm-dd")&amp;"|"&amp;$X1044&amp;"|"&amp;$Y1044,'CALENDARIO'!$G$15:$G$214,0)),IFERROR(INDEX('CALENDARIO'!$C$15:$C$214,MATCH(TEXT($J1044,"yyyy-mm-dd")&amp;"|"&amp;$X1044&amp;"|",'CALENDARIO'!$G$15:$G$214,0)),IFERROR(INDEX('CALENDARIO'!$C$15:$C$214,MATCH(TEXT($J1044,"yyyy-mm-dd")&amp;"||",'CALENDARIO'!$G$15:$G$214,0)),INDEX(patronHabil,WEEKDAY($J1044,2))))))</f>
        <v/>
      </c>
      <c r="U1044" s="5">
        <f>IF($I1044="","",IFERROR(INDEX('CAT_TIPOS_OT'!$C$4:$C$8,MATCH($I1044,'CAT_TIPOS_OT'!$A$4:$A$8,0)),"sin_clasificar"))</f>
        <v/>
      </c>
      <c r="V1044" s="5">
        <f>IF($I1044="","",IF(IFERROR(INDEX('CAT_TIPOS_OT'!$D$4:$D$8,MATCH($I1044,'CAT_TIPOS_OT'!$A$4:$A$8,0)),"SIN CLASIFICAR")="","SIN CLASIFICAR",IFERROR(INDEX('CAT_TIPOS_OT'!$D$4:$D$8,MATCH($I1044,'CAT_TIPOS_OT'!$A$4:$A$8,0)),"SIN CLASIFICAR")))</f>
        <v/>
      </c>
      <c r="W1044" s="5">
        <f>IF($F1044="","",IFERROR(INDEX('CAT_CENTROS_COSTO'!$F$4:$F$13,MATCH($F1044,'CAT_CENTROS_COSTO'!$A$4:$A$13,0)),"(sin catálogo)"))</f>
        <v/>
      </c>
      <c r="X1044" s="5">
        <f>IF($F1044="","",IFERROR(INDEX('CAT_CENTROS_COSTO'!$D$4:$D$13,MATCH($F1044,'CAT_CENTROS_COSTO'!$A$4:$A$13,0)),"(sin catálogo)"))</f>
        <v/>
      </c>
      <c r="Y1044" s="5">
        <f>IF($F1044="","",IF((IFERROR(INDEX('CAT_CENTROS_COSTO'!$E$4:$E$13,MATCH($F1044,'CAT_CENTROS_COSTO'!$A$4:$A$13,0)),""))&lt;&gt;"",IFERROR(INDEX('CAT_CENTROS_COSTO'!$E$4:$E$13,MATCH($F1044,'CAT_CENTROS_COSTO'!$A$4:$A$13,0)),""),$X1044))</f>
        <v/>
      </c>
      <c r="Z1044" s="5">
        <f>IF($F1044="","",IFERROR(INDEX('CAT_CENTROS_COSTO'!$G$4:$G$13,MATCH($F1044,'CAT_CENTROS_COSTO'!$A$4:$A$13,0)),"(sin catálogo)"))</f>
        <v/>
      </c>
      <c r="AA1044" s="5">
        <f>IF($G1044="","",IFERROR(INDEX('CAT_PUESTOS'!$B$4:$B$8,MATCH($G1044,'CAT_PUESTOS'!$A$4:$A$8,0)),"(sin catálogo)"))</f>
        <v/>
      </c>
      <c r="AB1044" s="5">
        <f>IF($H1044="","",IFERROR(INDEX('CAT_ACTIVIDADES'!$B$4:$B$11,MATCH($H1044,'CAT_ACTIVIDADES'!$A$4:$A$11,0)),"(sin catálogo)"))</f>
        <v/>
      </c>
      <c r="AC1044" s="20">
        <f>IF($J1044="","",TODAY()-$J1044)</f>
        <v/>
      </c>
      <c r="AD1044" s="20">
        <f>IF($J1044="","",IF($J1044&lt;=TODAY(),COUNTIFS(cal_fechas,"&gt;="&amp;$J1044,cal_fechas,"&lt;"&amp;TODAY(),cal_habil,"sí"),-COUNTIFS(cal_fechas,"&gt;="&amp;TODAY(),cal_fechas,"&lt;"&amp;$J1044,cal_habil,"sí")))</f>
        <v/>
      </c>
      <c r="AE1044" s="5">
        <f>IF($AD1044="","",IF($AD1044&lt;0,"FUTURO",IF($AD1044&gt;p_dias_backlog_max,"BACKLOG","MES CORRIENTE")))</f>
        <v/>
      </c>
      <c r="AF1044" s="5">
        <f>IF($AD1044="",FALSE,AND($AD1044&gt;p_dias_backlog_min,$AD1044&lt;=p_dias_backlog_max))</f>
        <v/>
      </c>
      <c r="AG1044" s="4" t="n"/>
      <c r="AH1044" s="5">
        <f>IF($AG1044="","",IF((IFERROR(INDEX('ASIGNACIONES'!$J$4:$J$451,MATCH($O1044&amp;"|"&amp;$S1044&amp;"|"&amp;$AG1044,'ASIGNACIONES'!$N$4:$N$451,0)),""))=0,"",IFERROR(INDEX('ASIGNACIONES'!$J$4:$J$451,MATCH($O1044&amp;"|"&amp;$S1044&amp;"|"&amp;$AG1044,'ASIGNACIONES'!$N$4:$N$451,0)),"")))</f>
        <v/>
      </c>
      <c r="AI1044" s="25">
        <f>IF($AG1044="","",SUMIFS('ORDENES'!$M$4:$M$1203,'ORDENES'!$AG$4:$AG$1203,$AG1044,'ORDENES'!$O$4:$O$1203,$O1044,'ORDENES'!$S$4:$S$1203,$S1044))</f>
        <v/>
      </c>
      <c r="AJ1044" s="25">
        <f>IF($AI1044="","",p_factor_productividad*IFERROR(INDEX('ASIGNACIONES'!$M$4:$M$451,MATCH($O1044&amp;"|"&amp;$S1044&amp;"|"&amp;$AG1044,'ASIGNACIONES'!$N$4:$N$451,0)),0)-$AI1044)</f>
        <v/>
      </c>
      <c r="AK1044" s="18">
        <f>IF($A1044="","",IFERROR(INDEX('2_IMPORTAR_EJECUCION'!$F$9:$F$1208,MATCH($AT1044,'2_IMPORTAR_EJECUCION'!$J$9:$J$1208,0)),0))</f>
        <v/>
      </c>
      <c r="AL1044" s="18">
        <f>IF($A1044="","",MAX(0,IFERROR(INDEX('2_IMPORTAR_EJECUCION'!$H$9:$H$1208,MATCH($AT1044,'2_IMPORTAR_EJECUCION'!$J$9:$J$1208,0)),0)-$AK1044))</f>
        <v/>
      </c>
      <c r="AM1044" s="18">
        <f>IF($A1044="","",$AK1044+$AL1044)</f>
        <v/>
      </c>
      <c r="AN1044" s="5">
        <f>IF($A1044="","",IF(OR((IFERROR(INDEX('CAT_ACTIVIDADES'!$D$4:$D$11,MATCH($H1044,'CAT_ACTIVIDADES'!$A$4:$A$11,0)),""))=0,(IFERROR(INDEX('CAT_ACTIVIDADES'!$D$4:$D$11,MATCH($H1044,'CAT_ACTIVIDADES'!$A$4:$A$11,0)),""))=""),"SIN CLASIFICAR",IFERROR(INDEX('CAT_ACTIVIDADES'!$D$4:$D$11,MATCH($H1044,'CAT_ACTIVIDADES'!$A$4:$A$11,0)),"")))</f>
        <v/>
      </c>
      <c r="AO1044" s="4" t="n"/>
      <c r="AP1044" s="4" t="n"/>
      <c r="AQ1044" s="4" t="n"/>
      <c r="AR1044" s="5">
        <f>IF($AQ1044="","",HYPERLINK(p_ruta_base_checklists&amp;$AQ1044,"abrir"))</f>
        <v/>
      </c>
      <c r="AS1044" s="4" t="n"/>
      <c r="AT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2" t="n"/>
      <c r="K1045" s="5" t="n"/>
      <c r="L1045" s="18" t="n"/>
      <c r="M1045" s="5">
        <f>IF($A1045="","",IFERROR(INDEX('AJUSTES'!$B$4:$B$303,MATCH($AT1045,'AJUSTES'!$A$4:$A$303,0)),IF($K1045="","",$K1045)))</f>
        <v/>
      </c>
      <c r="N1045" s="5">
        <f>IF($A1045="","",IFERROR(INDEX('CAT_ESTADOS_ERP'!$B$4:$B$7,MATCH(IFERROR(INDEX('2_IMPORTAR_EJECUCION'!$C$9:$C$1208,MATCH($AT1045,'2_IMPORTAR_EJECUCION'!$J$9:$J$1208,0)),""),'CAT_ESTADOS_ERP'!$A$4:$A$7,0)),"Pendiente"))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IF($J1045="","",$P1045&amp;"-"&amp;TEXT($Q1045,"00"))</f>
        <v/>
      </c>
      <c r="S1045" s="5">
        <f>IF($J1045="","",INDEX(lista_dias,WEEKDAY($J1045,2)))</f>
        <v/>
      </c>
      <c r="T1045" s="5">
        <f>IF($J1045="","",IFERROR(INDEX('CALENDARIO'!$C$15:$C$214,MATCH(TEXT($J1045,"yyyy-mm-dd")&amp;"|"&amp;$X1045&amp;"|"&amp;$Y1045,'CALENDARIO'!$G$15:$G$214,0)),IFERROR(INDEX('CALENDARIO'!$C$15:$C$214,MATCH(TEXT($J1045,"yyyy-mm-dd")&amp;"|"&amp;$X1045&amp;"|",'CALENDARIO'!$G$15:$G$214,0)),IFERROR(INDEX('CALENDARIO'!$C$15:$C$214,MATCH(TEXT($J1045,"yyyy-mm-dd")&amp;"||",'CALENDARIO'!$G$15:$G$214,0)),INDEX(patronHabil,WEEKDAY($J1045,2))))))</f>
        <v/>
      </c>
      <c r="U1045" s="5">
        <f>IF($I1045="","",IFERROR(INDEX('CAT_TIPOS_OT'!$C$4:$C$8,MATCH($I1045,'CAT_TIPOS_OT'!$A$4:$A$8,0)),"sin_clasificar"))</f>
        <v/>
      </c>
      <c r="V1045" s="5">
        <f>IF($I1045="","",IF(IFERROR(INDEX('CAT_TIPOS_OT'!$D$4:$D$8,MATCH($I1045,'CAT_TIPOS_OT'!$A$4:$A$8,0)),"SIN CLASIFICAR")="","SIN CLASIFICAR",IFERROR(INDEX('CAT_TIPOS_OT'!$D$4:$D$8,MATCH($I1045,'CAT_TIPOS_OT'!$A$4:$A$8,0)),"SIN CLASIFICAR")))</f>
        <v/>
      </c>
      <c r="W1045" s="5">
        <f>IF($F1045="","",IFERROR(INDEX('CAT_CENTROS_COSTO'!$F$4:$F$13,MATCH($F1045,'CAT_CENTROS_COSTO'!$A$4:$A$13,0)),"(sin catálogo)"))</f>
        <v/>
      </c>
      <c r="X1045" s="5">
        <f>IF($F1045="","",IFERROR(INDEX('CAT_CENTROS_COSTO'!$D$4:$D$13,MATCH($F1045,'CAT_CENTROS_COSTO'!$A$4:$A$13,0)),"(sin catálogo)"))</f>
        <v/>
      </c>
      <c r="Y1045" s="5">
        <f>IF($F1045="","",IF((IFERROR(INDEX('CAT_CENTROS_COSTO'!$E$4:$E$13,MATCH($F1045,'CAT_CENTROS_COSTO'!$A$4:$A$13,0)),""))&lt;&gt;"",IFERROR(INDEX('CAT_CENTROS_COSTO'!$E$4:$E$13,MATCH($F1045,'CAT_CENTROS_COSTO'!$A$4:$A$13,0)),""),$X1045))</f>
        <v/>
      </c>
      <c r="Z1045" s="5">
        <f>IF($F1045="","",IFERROR(INDEX('CAT_CENTROS_COSTO'!$G$4:$G$13,MATCH($F1045,'CAT_CENTROS_COSTO'!$A$4:$A$13,0)),"(sin catálogo)"))</f>
        <v/>
      </c>
      <c r="AA1045" s="5">
        <f>IF($G1045="","",IFERROR(INDEX('CAT_PUESTOS'!$B$4:$B$8,MATCH($G1045,'CAT_PUESTOS'!$A$4:$A$8,0)),"(sin catálogo)"))</f>
        <v/>
      </c>
      <c r="AB1045" s="5">
        <f>IF($H1045="","",IFERROR(INDEX('CAT_ACTIVIDADES'!$B$4:$B$11,MATCH($H1045,'CAT_ACTIVIDADES'!$A$4:$A$11,0)),"(sin catálogo)"))</f>
        <v/>
      </c>
      <c r="AC1045" s="20">
        <f>IF($J1045="","",TODAY()-$J1045)</f>
        <v/>
      </c>
      <c r="AD1045" s="20">
        <f>IF($J1045="","",IF($J1045&lt;=TODAY(),COUNTIFS(cal_fechas,"&gt;="&amp;$J1045,cal_fechas,"&lt;"&amp;TODAY(),cal_habil,"sí"),-COUNTIFS(cal_fechas,"&gt;="&amp;TODAY(),cal_fechas,"&lt;"&amp;$J1045,cal_habil,"sí")))</f>
        <v/>
      </c>
      <c r="AE1045" s="5">
        <f>IF($AD1045="","",IF($AD1045&lt;0,"FUTURO",IF($AD1045&gt;p_dias_backlog_max,"BACKLOG","MES CORRIENTE")))</f>
        <v/>
      </c>
      <c r="AF1045" s="5">
        <f>IF($AD1045="",FALSE,AND($AD1045&gt;p_dias_backlog_min,$AD1045&lt;=p_dias_backlog_max))</f>
        <v/>
      </c>
      <c r="AG1045" s="4" t="n"/>
      <c r="AH1045" s="5">
        <f>IF($AG1045="","",IF((IFERROR(INDEX('ASIGNACIONES'!$J$4:$J$451,MATCH($O1045&amp;"|"&amp;$S1045&amp;"|"&amp;$AG1045,'ASIGNACIONES'!$N$4:$N$451,0)),""))=0,"",IFERROR(INDEX('ASIGNACIONES'!$J$4:$J$451,MATCH($O1045&amp;"|"&amp;$S1045&amp;"|"&amp;$AG1045,'ASIGNACIONES'!$N$4:$N$451,0)),"")))</f>
        <v/>
      </c>
      <c r="AI1045" s="25">
        <f>IF($AG1045="","",SUMIFS('ORDENES'!$M$4:$M$1203,'ORDENES'!$AG$4:$AG$1203,$AG1045,'ORDENES'!$O$4:$O$1203,$O1045,'ORDENES'!$S$4:$S$1203,$S1045))</f>
        <v/>
      </c>
      <c r="AJ1045" s="25">
        <f>IF($AI1045="","",p_factor_productividad*IFERROR(INDEX('ASIGNACIONES'!$M$4:$M$451,MATCH($O1045&amp;"|"&amp;$S1045&amp;"|"&amp;$AG1045,'ASIGNACIONES'!$N$4:$N$451,0)),0)-$AI1045)</f>
        <v/>
      </c>
      <c r="AK1045" s="18">
        <f>IF($A1045="","",IFERROR(INDEX('2_IMPORTAR_EJECUCION'!$F$9:$F$1208,MATCH($AT1045,'2_IMPORTAR_EJECUCION'!$J$9:$J$1208,0)),0))</f>
        <v/>
      </c>
      <c r="AL1045" s="18">
        <f>IF($A1045="","",MAX(0,IFERROR(INDEX('2_IMPORTAR_EJECUCION'!$H$9:$H$1208,MATCH($AT1045,'2_IMPORTAR_EJECUCION'!$J$9:$J$1208,0)),0)-$AK1045))</f>
        <v/>
      </c>
      <c r="AM1045" s="18">
        <f>IF($A1045="","",$AK1045+$AL1045)</f>
        <v/>
      </c>
      <c r="AN1045" s="5">
        <f>IF($A1045="","",IF(OR((IFERROR(INDEX('CAT_ACTIVIDADES'!$D$4:$D$11,MATCH($H1045,'CAT_ACTIVIDADES'!$A$4:$A$11,0)),""))=0,(IFERROR(INDEX('CAT_ACTIVIDADES'!$D$4:$D$11,MATCH($H1045,'CAT_ACTIVIDADES'!$A$4:$A$11,0)),""))=""),"SIN CLASIFICAR",IFERROR(INDEX('CAT_ACTIVIDADES'!$D$4:$D$11,MATCH($H1045,'CAT_ACTIVIDADES'!$A$4:$A$11,0)),"")))</f>
        <v/>
      </c>
      <c r="AO1045" s="4" t="n"/>
      <c r="AP1045" s="4" t="n"/>
      <c r="AQ1045" s="4" t="n"/>
      <c r="AR1045" s="5">
        <f>IF($AQ1045="","",HYPERLINK(p_ruta_base_checklists&amp;$AQ1045,"abrir"))</f>
        <v/>
      </c>
      <c r="AS1045" s="4" t="n"/>
      <c r="AT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2" t="n"/>
      <c r="K1046" s="5" t="n"/>
      <c r="L1046" s="18" t="n"/>
      <c r="M1046" s="5">
        <f>IF($A1046="","",IFERROR(INDEX('AJUSTES'!$B$4:$B$303,MATCH($AT1046,'AJUSTES'!$A$4:$A$303,0)),IF($K1046="","",$K1046)))</f>
        <v/>
      </c>
      <c r="N1046" s="5">
        <f>IF($A1046="","",IFERROR(INDEX('CAT_ESTADOS_ERP'!$B$4:$B$7,MATCH(IFERROR(INDEX('2_IMPORTAR_EJECUCION'!$C$9:$C$1208,MATCH($AT1046,'2_IMPORTAR_EJECUCION'!$J$9:$J$1208,0)),""),'CAT_ESTADOS_ERP'!$A$4:$A$7,0)),"Pendiente"))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IF($J1046="","",$P1046&amp;"-"&amp;TEXT($Q1046,"00"))</f>
        <v/>
      </c>
      <c r="S1046" s="5">
        <f>IF($J1046="","",INDEX(lista_dias,WEEKDAY($J1046,2)))</f>
        <v/>
      </c>
      <c r="T1046" s="5">
        <f>IF($J1046="","",IFERROR(INDEX('CALENDARIO'!$C$15:$C$214,MATCH(TEXT($J1046,"yyyy-mm-dd")&amp;"|"&amp;$X1046&amp;"|"&amp;$Y1046,'CALENDARIO'!$G$15:$G$214,0)),IFERROR(INDEX('CALENDARIO'!$C$15:$C$214,MATCH(TEXT($J1046,"yyyy-mm-dd")&amp;"|"&amp;$X1046&amp;"|",'CALENDARIO'!$G$15:$G$214,0)),IFERROR(INDEX('CALENDARIO'!$C$15:$C$214,MATCH(TEXT($J1046,"yyyy-mm-dd")&amp;"||",'CALENDARIO'!$G$15:$G$214,0)),INDEX(patronHabil,WEEKDAY($J1046,2))))))</f>
        <v/>
      </c>
      <c r="U1046" s="5">
        <f>IF($I1046="","",IFERROR(INDEX('CAT_TIPOS_OT'!$C$4:$C$8,MATCH($I1046,'CAT_TIPOS_OT'!$A$4:$A$8,0)),"sin_clasificar"))</f>
        <v/>
      </c>
      <c r="V1046" s="5">
        <f>IF($I1046="","",IF(IFERROR(INDEX('CAT_TIPOS_OT'!$D$4:$D$8,MATCH($I1046,'CAT_TIPOS_OT'!$A$4:$A$8,0)),"SIN CLASIFICAR")="","SIN CLASIFICAR",IFERROR(INDEX('CAT_TIPOS_OT'!$D$4:$D$8,MATCH($I1046,'CAT_TIPOS_OT'!$A$4:$A$8,0)),"SIN CLASIFICAR")))</f>
        <v/>
      </c>
      <c r="W1046" s="5">
        <f>IF($F1046="","",IFERROR(INDEX('CAT_CENTROS_COSTO'!$F$4:$F$13,MATCH($F1046,'CAT_CENTROS_COSTO'!$A$4:$A$13,0)),"(sin catálogo)"))</f>
        <v/>
      </c>
      <c r="X1046" s="5">
        <f>IF($F1046="","",IFERROR(INDEX('CAT_CENTROS_COSTO'!$D$4:$D$13,MATCH($F1046,'CAT_CENTROS_COSTO'!$A$4:$A$13,0)),"(sin catálogo)"))</f>
        <v/>
      </c>
      <c r="Y1046" s="5">
        <f>IF($F1046="","",IF((IFERROR(INDEX('CAT_CENTROS_COSTO'!$E$4:$E$13,MATCH($F1046,'CAT_CENTROS_COSTO'!$A$4:$A$13,0)),""))&lt;&gt;"",IFERROR(INDEX('CAT_CENTROS_COSTO'!$E$4:$E$13,MATCH($F1046,'CAT_CENTROS_COSTO'!$A$4:$A$13,0)),""),$X1046))</f>
        <v/>
      </c>
      <c r="Z1046" s="5">
        <f>IF($F1046="","",IFERROR(INDEX('CAT_CENTROS_COSTO'!$G$4:$G$13,MATCH($F1046,'CAT_CENTROS_COSTO'!$A$4:$A$13,0)),"(sin catálogo)"))</f>
        <v/>
      </c>
      <c r="AA1046" s="5">
        <f>IF($G1046="","",IFERROR(INDEX('CAT_PUESTOS'!$B$4:$B$8,MATCH($G1046,'CAT_PUESTOS'!$A$4:$A$8,0)),"(sin catálogo)"))</f>
        <v/>
      </c>
      <c r="AB1046" s="5">
        <f>IF($H1046="","",IFERROR(INDEX('CAT_ACTIVIDADES'!$B$4:$B$11,MATCH($H1046,'CAT_ACTIVIDADES'!$A$4:$A$11,0)),"(sin catálogo)"))</f>
        <v/>
      </c>
      <c r="AC1046" s="20">
        <f>IF($J1046="","",TODAY()-$J1046)</f>
        <v/>
      </c>
      <c r="AD1046" s="20">
        <f>IF($J1046="","",IF($J1046&lt;=TODAY(),COUNTIFS(cal_fechas,"&gt;="&amp;$J1046,cal_fechas,"&lt;"&amp;TODAY(),cal_habil,"sí"),-COUNTIFS(cal_fechas,"&gt;="&amp;TODAY(),cal_fechas,"&lt;"&amp;$J1046,cal_habil,"sí")))</f>
        <v/>
      </c>
      <c r="AE1046" s="5">
        <f>IF($AD1046="","",IF($AD1046&lt;0,"FUTURO",IF($AD1046&gt;p_dias_backlog_max,"BACKLOG","MES CORRIENTE")))</f>
        <v/>
      </c>
      <c r="AF1046" s="5">
        <f>IF($AD1046="",FALSE,AND($AD1046&gt;p_dias_backlog_min,$AD1046&lt;=p_dias_backlog_max))</f>
        <v/>
      </c>
      <c r="AG1046" s="4" t="n"/>
      <c r="AH1046" s="5">
        <f>IF($AG1046="","",IF((IFERROR(INDEX('ASIGNACIONES'!$J$4:$J$451,MATCH($O1046&amp;"|"&amp;$S1046&amp;"|"&amp;$AG1046,'ASIGNACIONES'!$N$4:$N$451,0)),""))=0,"",IFERROR(INDEX('ASIGNACIONES'!$J$4:$J$451,MATCH($O1046&amp;"|"&amp;$S1046&amp;"|"&amp;$AG1046,'ASIGNACIONES'!$N$4:$N$451,0)),"")))</f>
        <v/>
      </c>
      <c r="AI1046" s="25">
        <f>IF($AG1046="","",SUMIFS('ORDENES'!$M$4:$M$1203,'ORDENES'!$AG$4:$AG$1203,$AG1046,'ORDENES'!$O$4:$O$1203,$O1046,'ORDENES'!$S$4:$S$1203,$S1046))</f>
        <v/>
      </c>
      <c r="AJ1046" s="25">
        <f>IF($AI1046="","",p_factor_productividad*IFERROR(INDEX('ASIGNACIONES'!$M$4:$M$451,MATCH($O1046&amp;"|"&amp;$S1046&amp;"|"&amp;$AG1046,'ASIGNACIONES'!$N$4:$N$451,0)),0)-$AI1046)</f>
        <v/>
      </c>
      <c r="AK1046" s="18">
        <f>IF($A1046="","",IFERROR(INDEX('2_IMPORTAR_EJECUCION'!$F$9:$F$1208,MATCH($AT1046,'2_IMPORTAR_EJECUCION'!$J$9:$J$1208,0)),0))</f>
        <v/>
      </c>
      <c r="AL1046" s="18">
        <f>IF($A1046="","",MAX(0,IFERROR(INDEX('2_IMPORTAR_EJECUCION'!$H$9:$H$1208,MATCH($AT1046,'2_IMPORTAR_EJECUCION'!$J$9:$J$1208,0)),0)-$AK1046))</f>
        <v/>
      </c>
      <c r="AM1046" s="18">
        <f>IF($A1046="","",$AK1046+$AL1046)</f>
        <v/>
      </c>
      <c r="AN1046" s="5">
        <f>IF($A1046="","",IF(OR((IFERROR(INDEX('CAT_ACTIVIDADES'!$D$4:$D$11,MATCH($H1046,'CAT_ACTIVIDADES'!$A$4:$A$11,0)),""))=0,(IFERROR(INDEX('CAT_ACTIVIDADES'!$D$4:$D$11,MATCH($H1046,'CAT_ACTIVIDADES'!$A$4:$A$11,0)),""))=""),"SIN CLASIFICAR",IFERROR(INDEX('CAT_ACTIVIDADES'!$D$4:$D$11,MATCH($H1046,'CAT_ACTIVIDADES'!$A$4:$A$11,0)),"")))</f>
        <v/>
      </c>
      <c r="AO1046" s="4" t="n"/>
      <c r="AP1046" s="4" t="n"/>
      <c r="AQ1046" s="4" t="n"/>
      <c r="AR1046" s="5">
        <f>IF($AQ1046="","",HYPERLINK(p_ruta_base_checklists&amp;$AQ1046,"abrir"))</f>
        <v/>
      </c>
      <c r="AS1046" s="4" t="n"/>
      <c r="AT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2" t="n"/>
      <c r="K1047" s="5" t="n"/>
      <c r="L1047" s="18" t="n"/>
      <c r="M1047" s="5">
        <f>IF($A1047="","",IFERROR(INDEX('AJUSTES'!$B$4:$B$303,MATCH($AT1047,'AJUSTES'!$A$4:$A$303,0)),IF($K1047="","",$K1047)))</f>
        <v/>
      </c>
      <c r="N1047" s="5">
        <f>IF($A1047="","",IFERROR(INDEX('CAT_ESTADOS_ERP'!$B$4:$B$7,MATCH(IFERROR(INDEX('2_IMPORTAR_EJECUCION'!$C$9:$C$1208,MATCH($AT1047,'2_IMPORTAR_EJECUCION'!$J$9:$J$1208,0)),""),'CAT_ESTADOS_ERP'!$A$4:$A$7,0)),"Pendiente"))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IF($J1047="","",$P1047&amp;"-"&amp;TEXT($Q1047,"00"))</f>
        <v/>
      </c>
      <c r="S1047" s="5">
        <f>IF($J1047="","",INDEX(lista_dias,WEEKDAY($J1047,2)))</f>
        <v/>
      </c>
      <c r="T1047" s="5">
        <f>IF($J1047="","",IFERROR(INDEX('CALENDARIO'!$C$15:$C$214,MATCH(TEXT($J1047,"yyyy-mm-dd")&amp;"|"&amp;$X1047&amp;"|"&amp;$Y1047,'CALENDARIO'!$G$15:$G$214,0)),IFERROR(INDEX('CALENDARIO'!$C$15:$C$214,MATCH(TEXT($J1047,"yyyy-mm-dd")&amp;"|"&amp;$X1047&amp;"|",'CALENDARIO'!$G$15:$G$214,0)),IFERROR(INDEX('CALENDARIO'!$C$15:$C$214,MATCH(TEXT($J1047,"yyyy-mm-dd")&amp;"||",'CALENDARIO'!$G$15:$G$214,0)),INDEX(patronHabil,WEEKDAY($J1047,2))))))</f>
        <v/>
      </c>
      <c r="U1047" s="5">
        <f>IF($I1047="","",IFERROR(INDEX('CAT_TIPOS_OT'!$C$4:$C$8,MATCH($I1047,'CAT_TIPOS_OT'!$A$4:$A$8,0)),"sin_clasificar"))</f>
        <v/>
      </c>
      <c r="V1047" s="5">
        <f>IF($I1047="","",IF(IFERROR(INDEX('CAT_TIPOS_OT'!$D$4:$D$8,MATCH($I1047,'CAT_TIPOS_OT'!$A$4:$A$8,0)),"SIN CLASIFICAR")="","SIN CLASIFICAR",IFERROR(INDEX('CAT_TIPOS_OT'!$D$4:$D$8,MATCH($I1047,'CAT_TIPOS_OT'!$A$4:$A$8,0)),"SIN CLASIFICAR")))</f>
        <v/>
      </c>
      <c r="W1047" s="5">
        <f>IF($F1047="","",IFERROR(INDEX('CAT_CENTROS_COSTO'!$F$4:$F$13,MATCH($F1047,'CAT_CENTROS_COSTO'!$A$4:$A$13,0)),"(sin catálogo)"))</f>
        <v/>
      </c>
      <c r="X1047" s="5">
        <f>IF($F1047="","",IFERROR(INDEX('CAT_CENTROS_COSTO'!$D$4:$D$13,MATCH($F1047,'CAT_CENTROS_COSTO'!$A$4:$A$13,0)),"(sin catálogo)"))</f>
        <v/>
      </c>
      <c r="Y1047" s="5">
        <f>IF($F1047="","",IF((IFERROR(INDEX('CAT_CENTROS_COSTO'!$E$4:$E$13,MATCH($F1047,'CAT_CENTROS_COSTO'!$A$4:$A$13,0)),""))&lt;&gt;"",IFERROR(INDEX('CAT_CENTROS_COSTO'!$E$4:$E$13,MATCH($F1047,'CAT_CENTROS_COSTO'!$A$4:$A$13,0)),""),$X1047))</f>
        <v/>
      </c>
      <c r="Z1047" s="5">
        <f>IF($F1047="","",IFERROR(INDEX('CAT_CENTROS_COSTO'!$G$4:$G$13,MATCH($F1047,'CAT_CENTROS_COSTO'!$A$4:$A$13,0)),"(sin catálogo)"))</f>
        <v/>
      </c>
      <c r="AA1047" s="5">
        <f>IF($G1047="","",IFERROR(INDEX('CAT_PUESTOS'!$B$4:$B$8,MATCH($G1047,'CAT_PUESTOS'!$A$4:$A$8,0)),"(sin catálogo)"))</f>
        <v/>
      </c>
      <c r="AB1047" s="5">
        <f>IF($H1047="","",IFERROR(INDEX('CAT_ACTIVIDADES'!$B$4:$B$11,MATCH($H1047,'CAT_ACTIVIDADES'!$A$4:$A$11,0)),"(sin catálogo)"))</f>
        <v/>
      </c>
      <c r="AC1047" s="20">
        <f>IF($J1047="","",TODAY()-$J1047)</f>
        <v/>
      </c>
      <c r="AD1047" s="20">
        <f>IF($J1047="","",IF($J1047&lt;=TODAY(),COUNTIFS(cal_fechas,"&gt;="&amp;$J1047,cal_fechas,"&lt;"&amp;TODAY(),cal_habil,"sí"),-COUNTIFS(cal_fechas,"&gt;="&amp;TODAY(),cal_fechas,"&lt;"&amp;$J1047,cal_habil,"sí")))</f>
        <v/>
      </c>
      <c r="AE1047" s="5">
        <f>IF($AD1047="","",IF($AD1047&lt;0,"FUTURO",IF($AD1047&gt;p_dias_backlog_max,"BACKLOG","MES CORRIENTE")))</f>
        <v/>
      </c>
      <c r="AF1047" s="5">
        <f>IF($AD1047="",FALSE,AND($AD1047&gt;p_dias_backlog_min,$AD1047&lt;=p_dias_backlog_max))</f>
        <v/>
      </c>
      <c r="AG1047" s="4" t="n"/>
      <c r="AH1047" s="5">
        <f>IF($AG1047="","",IF((IFERROR(INDEX('ASIGNACIONES'!$J$4:$J$451,MATCH($O1047&amp;"|"&amp;$S1047&amp;"|"&amp;$AG1047,'ASIGNACIONES'!$N$4:$N$451,0)),""))=0,"",IFERROR(INDEX('ASIGNACIONES'!$J$4:$J$451,MATCH($O1047&amp;"|"&amp;$S1047&amp;"|"&amp;$AG1047,'ASIGNACIONES'!$N$4:$N$451,0)),"")))</f>
        <v/>
      </c>
      <c r="AI1047" s="25">
        <f>IF($AG1047="","",SUMIFS('ORDENES'!$M$4:$M$1203,'ORDENES'!$AG$4:$AG$1203,$AG1047,'ORDENES'!$O$4:$O$1203,$O1047,'ORDENES'!$S$4:$S$1203,$S1047))</f>
        <v/>
      </c>
      <c r="AJ1047" s="25">
        <f>IF($AI1047="","",p_factor_productividad*IFERROR(INDEX('ASIGNACIONES'!$M$4:$M$451,MATCH($O1047&amp;"|"&amp;$S1047&amp;"|"&amp;$AG1047,'ASIGNACIONES'!$N$4:$N$451,0)),0)-$AI1047)</f>
        <v/>
      </c>
      <c r="AK1047" s="18">
        <f>IF($A1047="","",IFERROR(INDEX('2_IMPORTAR_EJECUCION'!$F$9:$F$1208,MATCH($AT1047,'2_IMPORTAR_EJECUCION'!$J$9:$J$1208,0)),0))</f>
        <v/>
      </c>
      <c r="AL1047" s="18">
        <f>IF($A1047="","",MAX(0,IFERROR(INDEX('2_IMPORTAR_EJECUCION'!$H$9:$H$1208,MATCH($AT1047,'2_IMPORTAR_EJECUCION'!$J$9:$J$1208,0)),0)-$AK1047))</f>
        <v/>
      </c>
      <c r="AM1047" s="18">
        <f>IF($A1047="","",$AK1047+$AL1047)</f>
        <v/>
      </c>
      <c r="AN1047" s="5">
        <f>IF($A1047="","",IF(OR((IFERROR(INDEX('CAT_ACTIVIDADES'!$D$4:$D$11,MATCH($H1047,'CAT_ACTIVIDADES'!$A$4:$A$11,0)),""))=0,(IFERROR(INDEX('CAT_ACTIVIDADES'!$D$4:$D$11,MATCH($H1047,'CAT_ACTIVIDADES'!$A$4:$A$11,0)),""))=""),"SIN CLASIFICAR",IFERROR(INDEX('CAT_ACTIVIDADES'!$D$4:$D$11,MATCH($H1047,'CAT_ACTIVIDADES'!$A$4:$A$11,0)),"")))</f>
        <v/>
      </c>
      <c r="AO1047" s="4" t="n"/>
      <c r="AP1047" s="4" t="n"/>
      <c r="AQ1047" s="4" t="n"/>
      <c r="AR1047" s="5">
        <f>IF($AQ1047="","",HYPERLINK(p_ruta_base_checklists&amp;$AQ1047,"abrir"))</f>
        <v/>
      </c>
      <c r="AS1047" s="4" t="n"/>
      <c r="AT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2" t="n"/>
      <c r="K1048" s="5" t="n"/>
      <c r="L1048" s="18" t="n"/>
      <c r="M1048" s="5">
        <f>IF($A1048="","",IFERROR(INDEX('AJUSTES'!$B$4:$B$303,MATCH($AT1048,'AJUSTES'!$A$4:$A$303,0)),IF($K1048="","",$K1048)))</f>
        <v/>
      </c>
      <c r="N1048" s="5">
        <f>IF($A1048="","",IFERROR(INDEX('CAT_ESTADOS_ERP'!$B$4:$B$7,MATCH(IFERROR(INDEX('2_IMPORTAR_EJECUCION'!$C$9:$C$1208,MATCH($AT1048,'2_IMPORTAR_EJECUCION'!$J$9:$J$1208,0)),""),'CAT_ESTADOS_ERP'!$A$4:$A$7,0)),"Pendiente"))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IF($J1048="","",$P1048&amp;"-"&amp;TEXT($Q1048,"00"))</f>
        <v/>
      </c>
      <c r="S1048" s="5">
        <f>IF($J1048="","",INDEX(lista_dias,WEEKDAY($J1048,2)))</f>
        <v/>
      </c>
      <c r="T1048" s="5">
        <f>IF($J1048="","",IFERROR(INDEX('CALENDARIO'!$C$15:$C$214,MATCH(TEXT($J1048,"yyyy-mm-dd")&amp;"|"&amp;$X1048&amp;"|"&amp;$Y1048,'CALENDARIO'!$G$15:$G$214,0)),IFERROR(INDEX('CALENDARIO'!$C$15:$C$214,MATCH(TEXT($J1048,"yyyy-mm-dd")&amp;"|"&amp;$X1048&amp;"|",'CALENDARIO'!$G$15:$G$214,0)),IFERROR(INDEX('CALENDARIO'!$C$15:$C$214,MATCH(TEXT($J1048,"yyyy-mm-dd")&amp;"||",'CALENDARIO'!$G$15:$G$214,0)),INDEX(patronHabil,WEEKDAY($J1048,2))))))</f>
        <v/>
      </c>
      <c r="U1048" s="5">
        <f>IF($I1048="","",IFERROR(INDEX('CAT_TIPOS_OT'!$C$4:$C$8,MATCH($I1048,'CAT_TIPOS_OT'!$A$4:$A$8,0)),"sin_clasificar"))</f>
        <v/>
      </c>
      <c r="V1048" s="5">
        <f>IF($I1048="","",IF(IFERROR(INDEX('CAT_TIPOS_OT'!$D$4:$D$8,MATCH($I1048,'CAT_TIPOS_OT'!$A$4:$A$8,0)),"SIN CLASIFICAR")="","SIN CLASIFICAR",IFERROR(INDEX('CAT_TIPOS_OT'!$D$4:$D$8,MATCH($I1048,'CAT_TIPOS_OT'!$A$4:$A$8,0)),"SIN CLASIFICAR")))</f>
        <v/>
      </c>
      <c r="W1048" s="5">
        <f>IF($F1048="","",IFERROR(INDEX('CAT_CENTROS_COSTO'!$F$4:$F$13,MATCH($F1048,'CAT_CENTROS_COSTO'!$A$4:$A$13,0)),"(sin catálogo)"))</f>
        <v/>
      </c>
      <c r="X1048" s="5">
        <f>IF($F1048="","",IFERROR(INDEX('CAT_CENTROS_COSTO'!$D$4:$D$13,MATCH($F1048,'CAT_CENTROS_COSTO'!$A$4:$A$13,0)),"(sin catálogo)"))</f>
        <v/>
      </c>
      <c r="Y1048" s="5">
        <f>IF($F1048="","",IF((IFERROR(INDEX('CAT_CENTROS_COSTO'!$E$4:$E$13,MATCH($F1048,'CAT_CENTROS_COSTO'!$A$4:$A$13,0)),""))&lt;&gt;"",IFERROR(INDEX('CAT_CENTROS_COSTO'!$E$4:$E$13,MATCH($F1048,'CAT_CENTROS_COSTO'!$A$4:$A$13,0)),""),$X1048))</f>
        <v/>
      </c>
      <c r="Z1048" s="5">
        <f>IF($F1048="","",IFERROR(INDEX('CAT_CENTROS_COSTO'!$G$4:$G$13,MATCH($F1048,'CAT_CENTROS_COSTO'!$A$4:$A$13,0)),"(sin catálogo)"))</f>
        <v/>
      </c>
      <c r="AA1048" s="5">
        <f>IF($G1048="","",IFERROR(INDEX('CAT_PUESTOS'!$B$4:$B$8,MATCH($G1048,'CAT_PUESTOS'!$A$4:$A$8,0)),"(sin catálogo)"))</f>
        <v/>
      </c>
      <c r="AB1048" s="5">
        <f>IF($H1048="","",IFERROR(INDEX('CAT_ACTIVIDADES'!$B$4:$B$11,MATCH($H1048,'CAT_ACTIVIDADES'!$A$4:$A$11,0)),"(sin catálogo)"))</f>
        <v/>
      </c>
      <c r="AC1048" s="20">
        <f>IF($J1048="","",TODAY()-$J1048)</f>
        <v/>
      </c>
      <c r="AD1048" s="20">
        <f>IF($J1048="","",IF($J1048&lt;=TODAY(),COUNTIFS(cal_fechas,"&gt;="&amp;$J1048,cal_fechas,"&lt;"&amp;TODAY(),cal_habil,"sí"),-COUNTIFS(cal_fechas,"&gt;="&amp;TODAY(),cal_fechas,"&lt;"&amp;$J1048,cal_habil,"sí")))</f>
        <v/>
      </c>
      <c r="AE1048" s="5">
        <f>IF($AD1048="","",IF($AD1048&lt;0,"FUTURO",IF($AD1048&gt;p_dias_backlog_max,"BACKLOG","MES CORRIENTE")))</f>
        <v/>
      </c>
      <c r="AF1048" s="5">
        <f>IF($AD1048="",FALSE,AND($AD1048&gt;p_dias_backlog_min,$AD1048&lt;=p_dias_backlog_max))</f>
        <v/>
      </c>
      <c r="AG1048" s="4" t="n"/>
      <c r="AH1048" s="5">
        <f>IF($AG1048="","",IF((IFERROR(INDEX('ASIGNACIONES'!$J$4:$J$451,MATCH($O1048&amp;"|"&amp;$S1048&amp;"|"&amp;$AG1048,'ASIGNACIONES'!$N$4:$N$451,0)),""))=0,"",IFERROR(INDEX('ASIGNACIONES'!$J$4:$J$451,MATCH($O1048&amp;"|"&amp;$S1048&amp;"|"&amp;$AG1048,'ASIGNACIONES'!$N$4:$N$451,0)),"")))</f>
        <v/>
      </c>
      <c r="AI1048" s="25">
        <f>IF($AG1048="","",SUMIFS('ORDENES'!$M$4:$M$1203,'ORDENES'!$AG$4:$AG$1203,$AG1048,'ORDENES'!$O$4:$O$1203,$O1048,'ORDENES'!$S$4:$S$1203,$S1048))</f>
        <v/>
      </c>
      <c r="AJ1048" s="25">
        <f>IF($AI1048="","",p_factor_productividad*IFERROR(INDEX('ASIGNACIONES'!$M$4:$M$451,MATCH($O1048&amp;"|"&amp;$S1048&amp;"|"&amp;$AG1048,'ASIGNACIONES'!$N$4:$N$451,0)),0)-$AI1048)</f>
        <v/>
      </c>
      <c r="AK1048" s="18">
        <f>IF($A1048="","",IFERROR(INDEX('2_IMPORTAR_EJECUCION'!$F$9:$F$1208,MATCH($AT1048,'2_IMPORTAR_EJECUCION'!$J$9:$J$1208,0)),0))</f>
        <v/>
      </c>
      <c r="AL1048" s="18">
        <f>IF($A1048="","",MAX(0,IFERROR(INDEX('2_IMPORTAR_EJECUCION'!$H$9:$H$1208,MATCH($AT1048,'2_IMPORTAR_EJECUCION'!$J$9:$J$1208,0)),0)-$AK1048))</f>
        <v/>
      </c>
      <c r="AM1048" s="18">
        <f>IF($A1048="","",$AK1048+$AL1048)</f>
        <v/>
      </c>
      <c r="AN1048" s="5">
        <f>IF($A1048="","",IF(OR((IFERROR(INDEX('CAT_ACTIVIDADES'!$D$4:$D$11,MATCH($H1048,'CAT_ACTIVIDADES'!$A$4:$A$11,0)),""))=0,(IFERROR(INDEX('CAT_ACTIVIDADES'!$D$4:$D$11,MATCH($H1048,'CAT_ACTIVIDADES'!$A$4:$A$11,0)),""))=""),"SIN CLASIFICAR",IFERROR(INDEX('CAT_ACTIVIDADES'!$D$4:$D$11,MATCH($H1048,'CAT_ACTIVIDADES'!$A$4:$A$11,0)),"")))</f>
        <v/>
      </c>
      <c r="AO1048" s="4" t="n"/>
      <c r="AP1048" s="4" t="n"/>
      <c r="AQ1048" s="4" t="n"/>
      <c r="AR1048" s="5">
        <f>IF($AQ1048="","",HYPERLINK(p_ruta_base_checklists&amp;$AQ1048,"abrir"))</f>
        <v/>
      </c>
      <c r="AS1048" s="4" t="n"/>
      <c r="AT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2" t="n"/>
      <c r="K1049" s="5" t="n"/>
      <c r="L1049" s="18" t="n"/>
      <c r="M1049" s="5">
        <f>IF($A1049="","",IFERROR(INDEX('AJUSTES'!$B$4:$B$303,MATCH($AT1049,'AJUSTES'!$A$4:$A$303,0)),IF($K1049="","",$K1049)))</f>
        <v/>
      </c>
      <c r="N1049" s="5">
        <f>IF($A1049="","",IFERROR(INDEX('CAT_ESTADOS_ERP'!$B$4:$B$7,MATCH(IFERROR(INDEX('2_IMPORTAR_EJECUCION'!$C$9:$C$1208,MATCH($AT1049,'2_IMPORTAR_EJECUCION'!$J$9:$J$1208,0)),""),'CAT_ESTADOS_ERP'!$A$4:$A$7,0)),"Pendiente"))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IF($J1049="","",$P1049&amp;"-"&amp;TEXT($Q1049,"00"))</f>
        <v/>
      </c>
      <c r="S1049" s="5">
        <f>IF($J1049="","",INDEX(lista_dias,WEEKDAY($J1049,2)))</f>
        <v/>
      </c>
      <c r="T1049" s="5">
        <f>IF($J1049="","",IFERROR(INDEX('CALENDARIO'!$C$15:$C$214,MATCH(TEXT($J1049,"yyyy-mm-dd")&amp;"|"&amp;$X1049&amp;"|"&amp;$Y1049,'CALENDARIO'!$G$15:$G$214,0)),IFERROR(INDEX('CALENDARIO'!$C$15:$C$214,MATCH(TEXT($J1049,"yyyy-mm-dd")&amp;"|"&amp;$X1049&amp;"|",'CALENDARIO'!$G$15:$G$214,0)),IFERROR(INDEX('CALENDARIO'!$C$15:$C$214,MATCH(TEXT($J1049,"yyyy-mm-dd")&amp;"||",'CALENDARIO'!$G$15:$G$214,0)),INDEX(patronHabil,WEEKDAY($J1049,2))))))</f>
        <v/>
      </c>
      <c r="U1049" s="5">
        <f>IF($I1049="","",IFERROR(INDEX('CAT_TIPOS_OT'!$C$4:$C$8,MATCH($I1049,'CAT_TIPOS_OT'!$A$4:$A$8,0)),"sin_clasificar"))</f>
        <v/>
      </c>
      <c r="V1049" s="5">
        <f>IF($I1049="","",IF(IFERROR(INDEX('CAT_TIPOS_OT'!$D$4:$D$8,MATCH($I1049,'CAT_TIPOS_OT'!$A$4:$A$8,0)),"SIN CLASIFICAR")="","SIN CLASIFICAR",IFERROR(INDEX('CAT_TIPOS_OT'!$D$4:$D$8,MATCH($I1049,'CAT_TIPOS_OT'!$A$4:$A$8,0)),"SIN CLASIFICAR")))</f>
        <v/>
      </c>
      <c r="W1049" s="5">
        <f>IF($F1049="","",IFERROR(INDEX('CAT_CENTROS_COSTO'!$F$4:$F$13,MATCH($F1049,'CAT_CENTROS_COSTO'!$A$4:$A$13,0)),"(sin catálogo)"))</f>
        <v/>
      </c>
      <c r="X1049" s="5">
        <f>IF($F1049="","",IFERROR(INDEX('CAT_CENTROS_COSTO'!$D$4:$D$13,MATCH($F1049,'CAT_CENTROS_COSTO'!$A$4:$A$13,0)),"(sin catálogo)"))</f>
        <v/>
      </c>
      <c r="Y1049" s="5">
        <f>IF($F1049="","",IF((IFERROR(INDEX('CAT_CENTROS_COSTO'!$E$4:$E$13,MATCH($F1049,'CAT_CENTROS_COSTO'!$A$4:$A$13,0)),""))&lt;&gt;"",IFERROR(INDEX('CAT_CENTROS_COSTO'!$E$4:$E$13,MATCH($F1049,'CAT_CENTROS_COSTO'!$A$4:$A$13,0)),""),$X1049))</f>
        <v/>
      </c>
      <c r="Z1049" s="5">
        <f>IF($F1049="","",IFERROR(INDEX('CAT_CENTROS_COSTO'!$G$4:$G$13,MATCH($F1049,'CAT_CENTROS_COSTO'!$A$4:$A$13,0)),"(sin catálogo)"))</f>
        <v/>
      </c>
      <c r="AA1049" s="5">
        <f>IF($G1049="","",IFERROR(INDEX('CAT_PUESTOS'!$B$4:$B$8,MATCH($G1049,'CAT_PUESTOS'!$A$4:$A$8,0)),"(sin catálogo)"))</f>
        <v/>
      </c>
      <c r="AB1049" s="5">
        <f>IF($H1049="","",IFERROR(INDEX('CAT_ACTIVIDADES'!$B$4:$B$11,MATCH($H1049,'CAT_ACTIVIDADES'!$A$4:$A$11,0)),"(sin catálogo)"))</f>
        <v/>
      </c>
      <c r="AC1049" s="20">
        <f>IF($J1049="","",TODAY()-$J1049)</f>
        <v/>
      </c>
      <c r="AD1049" s="20">
        <f>IF($J1049="","",IF($J1049&lt;=TODAY(),COUNTIFS(cal_fechas,"&gt;="&amp;$J1049,cal_fechas,"&lt;"&amp;TODAY(),cal_habil,"sí"),-COUNTIFS(cal_fechas,"&gt;="&amp;TODAY(),cal_fechas,"&lt;"&amp;$J1049,cal_habil,"sí")))</f>
        <v/>
      </c>
      <c r="AE1049" s="5">
        <f>IF($AD1049="","",IF($AD1049&lt;0,"FUTURO",IF($AD1049&gt;p_dias_backlog_max,"BACKLOG","MES CORRIENTE")))</f>
        <v/>
      </c>
      <c r="AF1049" s="5">
        <f>IF($AD1049="",FALSE,AND($AD1049&gt;p_dias_backlog_min,$AD1049&lt;=p_dias_backlog_max))</f>
        <v/>
      </c>
      <c r="AG1049" s="4" t="n"/>
      <c r="AH1049" s="5">
        <f>IF($AG1049="","",IF((IFERROR(INDEX('ASIGNACIONES'!$J$4:$J$451,MATCH($O1049&amp;"|"&amp;$S1049&amp;"|"&amp;$AG1049,'ASIGNACIONES'!$N$4:$N$451,0)),""))=0,"",IFERROR(INDEX('ASIGNACIONES'!$J$4:$J$451,MATCH($O1049&amp;"|"&amp;$S1049&amp;"|"&amp;$AG1049,'ASIGNACIONES'!$N$4:$N$451,0)),"")))</f>
        <v/>
      </c>
      <c r="AI1049" s="25">
        <f>IF($AG1049="","",SUMIFS('ORDENES'!$M$4:$M$1203,'ORDENES'!$AG$4:$AG$1203,$AG1049,'ORDENES'!$O$4:$O$1203,$O1049,'ORDENES'!$S$4:$S$1203,$S1049))</f>
        <v/>
      </c>
      <c r="AJ1049" s="25">
        <f>IF($AI1049="","",p_factor_productividad*IFERROR(INDEX('ASIGNACIONES'!$M$4:$M$451,MATCH($O1049&amp;"|"&amp;$S1049&amp;"|"&amp;$AG1049,'ASIGNACIONES'!$N$4:$N$451,0)),0)-$AI1049)</f>
        <v/>
      </c>
      <c r="AK1049" s="18">
        <f>IF($A1049="","",IFERROR(INDEX('2_IMPORTAR_EJECUCION'!$F$9:$F$1208,MATCH($AT1049,'2_IMPORTAR_EJECUCION'!$J$9:$J$1208,0)),0))</f>
        <v/>
      </c>
      <c r="AL1049" s="18">
        <f>IF($A1049="","",MAX(0,IFERROR(INDEX('2_IMPORTAR_EJECUCION'!$H$9:$H$1208,MATCH($AT1049,'2_IMPORTAR_EJECUCION'!$J$9:$J$1208,0)),0)-$AK1049))</f>
        <v/>
      </c>
      <c r="AM1049" s="18">
        <f>IF($A1049="","",$AK1049+$AL1049)</f>
        <v/>
      </c>
      <c r="AN1049" s="5">
        <f>IF($A1049="","",IF(OR((IFERROR(INDEX('CAT_ACTIVIDADES'!$D$4:$D$11,MATCH($H1049,'CAT_ACTIVIDADES'!$A$4:$A$11,0)),""))=0,(IFERROR(INDEX('CAT_ACTIVIDADES'!$D$4:$D$11,MATCH($H1049,'CAT_ACTIVIDADES'!$A$4:$A$11,0)),""))=""),"SIN CLASIFICAR",IFERROR(INDEX('CAT_ACTIVIDADES'!$D$4:$D$11,MATCH($H1049,'CAT_ACTIVIDADES'!$A$4:$A$11,0)),"")))</f>
        <v/>
      </c>
      <c r="AO1049" s="4" t="n"/>
      <c r="AP1049" s="4" t="n"/>
      <c r="AQ1049" s="4" t="n"/>
      <c r="AR1049" s="5">
        <f>IF($AQ1049="","",HYPERLINK(p_ruta_base_checklists&amp;$AQ1049,"abrir"))</f>
        <v/>
      </c>
      <c r="AS1049" s="4" t="n"/>
      <c r="AT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2" t="n"/>
      <c r="K1050" s="5" t="n"/>
      <c r="L1050" s="18" t="n"/>
      <c r="M1050" s="5">
        <f>IF($A1050="","",IFERROR(INDEX('AJUSTES'!$B$4:$B$303,MATCH($AT1050,'AJUSTES'!$A$4:$A$303,0)),IF($K1050="","",$K1050)))</f>
        <v/>
      </c>
      <c r="N1050" s="5">
        <f>IF($A1050="","",IFERROR(INDEX('CAT_ESTADOS_ERP'!$B$4:$B$7,MATCH(IFERROR(INDEX('2_IMPORTAR_EJECUCION'!$C$9:$C$1208,MATCH($AT1050,'2_IMPORTAR_EJECUCION'!$J$9:$J$1208,0)),""),'CAT_ESTADOS_ERP'!$A$4:$A$7,0)),"Pendiente"))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IF($J1050="","",$P1050&amp;"-"&amp;TEXT($Q1050,"00"))</f>
        <v/>
      </c>
      <c r="S1050" s="5">
        <f>IF($J1050="","",INDEX(lista_dias,WEEKDAY($J1050,2)))</f>
        <v/>
      </c>
      <c r="T1050" s="5">
        <f>IF($J1050="","",IFERROR(INDEX('CALENDARIO'!$C$15:$C$214,MATCH(TEXT($J1050,"yyyy-mm-dd")&amp;"|"&amp;$X1050&amp;"|"&amp;$Y1050,'CALENDARIO'!$G$15:$G$214,0)),IFERROR(INDEX('CALENDARIO'!$C$15:$C$214,MATCH(TEXT($J1050,"yyyy-mm-dd")&amp;"|"&amp;$X1050&amp;"|",'CALENDARIO'!$G$15:$G$214,0)),IFERROR(INDEX('CALENDARIO'!$C$15:$C$214,MATCH(TEXT($J1050,"yyyy-mm-dd")&amp;"||",'CALENDARIO'!$G$15:$G$214,0)),INDEX(patronHabil,WEEKDAY($J1050,2))))))</f>
        <v/>
      </c>
      <c r="U1050" s="5">
        <f>IF($I1050="","",IFERROR(INDEX('CAT_TIPOS_OT'!$C$4:$C$8,MATCH($I1050,'CAT_TIPOS_OT'!$A$4:$A$8,0)),"sin_clasificar"))</f>
        <v/>
      </c>
      <c r="V1050" s="5">
        <f>IF($I1050="","",IF(IFERROR(INDEX('CAT_TIPOS_OT'!$D$4:$D$8,MATCH($I1050,'CAT_TIPOS_OT'!$A$4:$A$8,0)),"SIN CLASIFICAR")="","SIN CLASIFICAR",IFERROR(INDEX('CAT_TIPOS_OT'!$D$4:$D$8,MATCH($I1050,'CAT_TIPOS_OT'!$A$4:$A$8,0)),"SIN CLASIFICAR")))</f>
        <v/>
      </c>
      <c r="W1050" s="5">
        <f>IF($F1050="","",IFERROR(INDEX('CAT_CENTROS_COSTO'!$F$4:$F$13,MATCH($F1050,'CAT_CENTROS_COSTO'!$A$4:$A$13,0)),"(sin catálogo)"))</f>
        <v/>
      </c>
      <c r="X1050" s="5">
        <f>IF($F1050="","",IFERROR(INDEX('CAT_CENTROS_COSTO'!$D$4:$D$13,MATCH($F1050,'CAT_CENTROS_COSTO'!$A$4:$A$13,0)),"(sin catálogo)"))</f>
        <v/>
      </c>
      <c r="Y1050" s="5">
        <f>IF($F1050="","",IF((IFERROR(INDEX('CAT_CENTROS_COSTO'!$E$4:$E$13,MATCH($F1050,'CAT_CENTROS_COSTO'!$A$4:$A$13,0)),""))&lt;&gt;"",IFERROR(INDEX('CAT_CENTROS_COSTO'!$E$4:$E$13,MATCH($F1050,'CAT_CENTROS_COSTO'!$A$4:$A$13,0)),""),$X1050))</f>
        <v/>
      </c>
      <c r="Z1050" s="5">
        <f>IF($F1050="","",IFERROR(INDEX('CAT_CENTROS_COSTO'!$G$4:$G$13,MATCH($F1050,'CAT_CENTROS_COSTO'!$A$4:$A$13,0)),"(sin catálogo)"))</f>
        <v/>
      </c>
      <c r="AA1050" s="5">
        <f>IF($G1050="","",IFERROR(INDEX('CAT_PUESTOS'!$B$4:$B$8,MATCH($G1050,'CAT_PUESTOS'!$A$4:$A$8,0)),"(sin catálogo)"))</f>
        <v/>
      </c>
      <c r="AB1050" s="5">
        <f>IF($H1050="","",IFERROR(INDEX('CAT_ACTIVIDADES'!$B$4:$B$11,MATCH($H1050,'CAT_ACTIVIDADES'!$A$4:$A$11,0)),"(sin catálogo)"))</f>
        <v/>
      </c>
      <c r="AC1050" s="20">
        <f>IF($J1050="","",TODAY()-$J1050)</f>
        <v/>
      </c>
      <c r="AD1050" s="20">
        <f>IF($J1050="","",IF($J1050&lt;=TODAY(),COUNTIFS(cal_fechas,"&gt;="&amp;$J1050,cal_fechas,"&lt;"&amp;TODAY(),cal_habil,"sí"),-COUNTIFS(cal_fechas,"&gt;="&amp;TODAY(),cal_fechas,"&lt;"&amp;$J1050,cal_habil,"sí")))</f>
        <v/>
      </c>
      <c r="AE1050" s="5">
        <f>IF($AD1050="","",IF($AD1050&lt;0,"FUTURO",IF($AD1050&gt;p_dias_backlog_max,"BACKLOG","MES CORRIENTE")))</f>
        <v/>
      </c>
      <c r="AF1050" s="5">
        <f>IF($AD1050="",FALSE,AND($AD1050&gt;p_dias_backlog_min,$AD1050&lt;=p_dias_backlog_max))</f>
        <v/>
      </c>
      <c r="AG1050" s="4" t="n"/>
      <c r="AH1050" s="5">
        <f>IF($AG1050="","",IF((IFERROR(INDEX('ASIGNACIONES'!$J$4:$J$451,MATCH($O1050&amp;"|"&amp;$S1050&amp;"|"&amp;$AG1050,'ASIGNACIONES'!$N$4:$N$451,0)),""))=0,"",IFERROR(INDEX('ASIGNACIONES'!$J$4:$J$451,MATCH($O1050&amp;"|"&amp;$S1050&amp;"|"&amp;$AG1050,'ASIGNACIONES'!$N$4:$N$451,0)),"")))</f>
        <v/>
      </c>
      <c r="AI1050" s="25">
        <f>IF($AG1050="","",SUMIFS('ORDENES'!$M$4:$M$1203,'ORDENES'!$AG$4:$AG$1203,$AG1050,'ORDENES'!$O$4:$O$1203,$O1050,'ORDENES'!$S$4:$S$1203,$S1050))</f>
        <v/>
      </c>
      <c r="AJ1050" s="25">
        <f>IF($AI1050="","",p_factor_productividad*IFERROR(INDEX('ASIGNACIONES'!$M$4:$M$451,MATCH($O1050&amp;"|"&amp;$S1050&amp;"|"&amp;$AG1050,'ASIGNACIONES'!$N$4:$N$451,0)),0)-$AI1050)</f>
        <v/>
      </c>
      <c r="AK1050" s="18">
        <f>IF($A1050="","",IFERROR(INDEX('2_IMPORTAR_EJECUCION'!$F$9:$F$1208,MATCH($AT1050,'2_IMPORTAR_EJECUCION'!$J$9:$J$1208,0)),0))</f>
        <v/>
      </c>
      <c r="AL1050" s="18">
        <f>IF($A1050="","",MAX(0,IFERROR(INDEX('2_IMPORTAR_EJECUCION'!$H$9:$H$1208,MATCH($AT1050,'2_IMPORTAR_EJECUCION'!$J$9:$J$1208,0)),0)-$AK1050))</f>
        <v/>
      </c>
      <c r="AM1050" s="18">
        <f>IF($A1050="","",$AK1050+$AL1050)</f>
        <v/>
      </c>
      <c r="AN1050" s="5">
        <f>IF($A1050="","",IF(OR((IFERROR(INDEX('CAT_ACTIVIDADES'!$D$4:$D$11,MATCH($H1050,'CAT_ACTIVIDADES'!$A$4:$A$11,0)),""))=0,(IFERROR(INDEX('CAT_ACTIVIDADES'!$D$4:$D$11,MATCH($H1050,'CAT_ACTIVIDADES'!$A$4:$A$11,0)),""))=""),"SIN CLASIFICAR",IFERROR(INDEX('CAT_ACTIVIDADES'!$D$4:$D$11,MATCH($H1050,'CAT_ACTIVIDADES'!$A$4:$A$11,0)),"")))</f>
        <v/>
      </c>
      <c r="AO1050" s="4" t="n"/>
      <c r="AP1050" s="4" t="n"/>
      <c r="AQ1050" s="4" t="n"/>
      <c r="AR1050" s="5">
        <f>IF($AQ1050="","",HYPERLINK(p_ruta_base_checklists&amp;$AQ1050,"abrir"))</f>
        <v/>
      </c>
      <c r="AS1050" s="4" t="n"/>
      <c r="AT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2" t="n"/>
      <c r="K1051" s="5" t="n"/>
      <c r="L1051" s="18" t="n"/>
      <c r="M1051" s="5">
        <f>IF($A1051="","",IFERROR(INDEX('AJUSTES'!$B$4:$B$303,MATCH($AT1051,'AJUSTES'!$A$4:$A$303,0)),IF($K1051="","",$K1051)))</f>
        <v/>
      </c>
      <c r="N1051" s="5">
        <f>IF($A1051="","",IFERROR(INDEX('CAT_ESTADOS_ERP'!$B$4:$B$7,MATCH(IFERROR(INDEX('2_IMPORTAR_EJECUCION'!$C$9:$C$1208,MATCH($AT1051,'2_IMPORTAR_EJECUCION'!$J$9:$J$1208,0)),""),'CAT_ESTADOS_ERP'!$A$4:$A$7,0)),"Pendiente"))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IF($J1051="","",$P1051&amp;"-"&amp;TEXT($Q1051,"00"))</f>
        <v/>
      </c>
      <c r="S1051" s="5">
        <f>IF($J1051="","",INDEX(lista_dias,WEEKDAY($J1051,2)))</f>
        <v/>
      </c>
      <c r="T1051" s="5">
        <f>IF($J1051="","",IFERROR(INDEX('CALENDARIO'!$C$15:$C$214,MATCH(TEXT($J1051,"yyyy-mm-dd")&amp;"|"&amp;$X1051&amp;"|"&amp;$Y1051,'CALENDARIO'!$G$15:$G$214,0)),IFERROR(INDEX('CALENDARIO'!$C$15:$C$214,MATCH(TEXT($J1051,"yyyy-mm-dd")&amp;"|"&amp;$X1051&amp;"|",'CALENDARIO'!$G$15:$G$214,0)),IFERROR(INDEX('CALENDARIO'!$C$15:$C$214,MATCH(TEXT($J1051,"yyyy-mm-dd")&amp;"||",'CALENDARIO'!$G$15:$G$214,0)),INDEX(patronHabil,WEEKDAY($J1051,2))))))</f>
        <v/>
      </c>
      <c r="U1051" s="5">
        <f>IF($I1051="","",IFERROR(INDEX('CAT_TIPOS_OT'!$C$4:$C$8,MATCH($I1051,'CAT_TIPOS_OT'!$A$4:$A$8,0)),"sin_clasificar"))</f>
        <v/>
      </c>
      <c r="V1051" s="5">
        <f>IF($I1051="","",IF(IFERROR(INDEX('CAT_TIPOS_OT'!$D$4:$D$8,MATCH($I1051,'CAT_TIPOS_OT'!$A$4:$A$8,0)),"SIN CLASIFICAR")="","SIN CLASIFICAR",IFERROR(INDEX('CAT_TIPOS_OT'!$D$4:$D$8,MATCH($I1051,'CAT_TIPOS_OT'!$A$4:$A$8,0)),"SIN CLASIFICAR")))</f>
        <v/>
      </c>
      <c r="W1051" s="5">
        <f>IF($F1051="","",IFERROR(INDEX('CAT_CENTROS_COSTO'!$F$4:$F$13,MATCH($F1051,'CAT_CENTROS_COSTO'!$A$4:$A$13,0)),"(sin catálogo)"))</f>
        <v/>
      </c>
      <c r="X1051" s="5">
        <f>IF($F1051="","",IFERROR(INDEX('CAT_CENTROS_COSTO'!$D$4:$D$13,MATCH($F1051,'CAT_CENTROS_COSTO'!$A$4:$A$13,0)),"(sin catálogo)"))</f>
        <v/>
      </c>
      <c r="Y1051" s="5">
        <f>IF($F1051="","",IF((IFERROR(INDEX('CAT_CENTROS_COSTO'!$E$4:$E$13,MATCH($F1051,'CAT_CENTROS_COSTO'!$A$4:$A$13,0)),""))&lt;&gt;"",IFERROR(INDEX('CAT_CENTROS_COSTO'!$E$4:$E$13,MATCH($F1051,'CAT_CENTROS_COSTO'!$A$4:$A$13,0)),""),$X1051))</f>
        <v/>
      </c>
      <c r="Z1051" s="5">
        <f>IF($F1051="","",IFERROR(INDEX('CAT_CENTROS_COSTO'!$G$4:$G$13,MATCH($F1051,'CAT_CENTROS_COSTO'!$A$4:$A$13,0)),"(sin catálogo)"))</f>
        <v/>
      </c>
      <c r="AA1051" s="5">
        <f>IF($G1051="","",IFERROR(INDEX('CAT_PUESTOS'!$B$4:$B$8,MATCH($G1051,'CAT_PUESTOS'!$A$4:$A$8,0)),"(sin catálogo)"))</f>
        <v/>
      </c>
      <c r="AB1051" s="5">
        <f>IF($H1051="","",IFERROR(INDEX('CAT_ACTIVIDADES'!$B$4:$B$11,MATCH($H1051,'CAT_ACTIVIDADES'!$A$4:$A$11,0)),"(sin catálogo)"))</f>
        <v/>
      </c>
      <c r="AC1051" s="20">
        <f>IF($J1051="","",TODAY()-$J1051)</f>
        <v/>
      </c>
      <c r="AD1051" s="20">
        <f>IF($J1051="","",IF($J1051&lt;=TODAY(),COUNTIFS(cal_fechas,"&gt;="&amp;$J1051,cal_fechas,"&lt;"&amp;TODAY(),cal_habil,"sí"),-COUNTIFS(cal_fechas,"&gt;="&amp;TODAY(),cal_fechas,"&lt;"&amp;$J1051,cal_habil,"sí")))</f>
        <v/>
      </c>
      <c r="AE1051" s="5">
        <f>IF($AD1051="","",IF($AD1051&lt;0,"FUTURO",IF($AD1051&gt;p_dias_backlog_max,"BACKLOG","MES CORRIENTE")))</f>
        <v/>
      </c>
      <c r="AF1051" s="5">
        <f>IF($AD1051="",FALSE,AND($AD1051&gt;p_dias_backlog_min,$AD1051&lt;=p_dias_backlog_max))</f>
        <v/>
      </c>
      <c r="AG1051" s="4" t="n"/>
      <c r="AH1051" s="5">
        <f>IF($AG1051="","",IF((IFERROR(INDEX('ASIGNACIONES'!$J$4:$J$451,MATCH($O1051&amp;"|"&amp;$S1051&amp;"|"&amp;$AG1051,'ASIGNACIONES'!$N$4:$N$451,0)),""))=0,"",IFERROR(INDEX('ASIGNACIONES'!$J$4:$J$451,MATCH($O1051&amp;"|"&amp;$S1051&amp;"|"&amp;$AG1051,'ASIGNACIONES'!$N$4:$N$451,0)),"")))</f>
        <v/>
      </c>
      <c r="AI1051" s="25">
        <f>IF($AG1051="","",SUMIFS('ORDENES'!$M$4:$M$1203,'ORDENES'!$AG$4:$AG$1203,$AG1051,'ORDENES'!$O$4:$O$1203,$O1051,'ORDENES'!$S$4:$S$1203,$S1051))</f>
        <v/>
      </c>
      <c r="AJ1051" s="25">
        <f>IF($AI1051="","",p_factor_productividad*IFERROR(INDEX('ASIGNACIONES'!$M$4:$M$451,MATCH($O1051&amp;"|"&amp;$S1051&amp;"|"&amp;$AG1051,'ASIGNACIONES'!$N$4:$N$451,0)),0)-$AI1051)</f>
        <v/>
      </c>
      <c r="AK1051" s="18">
        <f>IF($A1051="","",IFERROR(INDEX('2_IMPORTAR_EJECUCION'!$F$9:$F$1208,MATCH($AT1051,'2_IMPORTAR_EJECUCION'!$J$9:$J$1208,0)),0))</f>
        <v/>
      </c>
      <c r="AL1051" s="18">
        <f>IF($A1051="","",MAX(0,IFERROR(INDEX('2_IMPORTAR_EJECUCION'!$H$9:$H$1208,MATCH($AT1051,'2_IMPORTAR_EJECUCION'!$J$9:$J$1208,0)),0)-$AK1051))</f>
        <v/>
      </c>
      <c r="AM1051" s="18">
        <f>IF($A1051="","",$AK1051+$AL1051)</f>
        <v/>
      </c>
      <c r="AN1051" s="5">
        <f>IF($A1051="","",IF(OR((IFERROR(INDEX('CAT_ACTIVIDADES'!$D$4:$D$11,MATCH($H1051,'CAT_ACTIVIDADES'!$A$4:$A$11,0)),""))=0,(IFERROR(INDEX('CAT_ACTIVIDADES'!$D$4:$D$11,MATCH($H1051,'CAT_ACTIVIDADES'!$A$4:$A$11,0)),""))=""),"SIN CLASIFICAR",IFERROR(INDEX('CAT_ACTIVIDADES'!$D$4:$D$11,MATCH($H1051,'CAT_ACTIVIDADES'!$A$4:$A$11,0)),"")))</f>
        <v/>
      </c>
      <c r="AO1051" s="4" t="n"/>
      <c r="AP1051" s="4" t="n"/>
      <c r="AQ1051" s="4" t="n"/>
      <c r="AR1051" s="5">
        <f>IF($AQ1051="","",HYPERLINK(p_ruta_base_checklists&amp;$AQ1051,"abrir"))</f>
        <v/>
      </c>
      <c r="AS1051" s="4" t="n"/>
      <c r="AT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2" t="n"/>
      <c r="K1052" s="5" t="n"/>
      <c r="L1052" s="18" t="n"/>
      <c r="M1052" s="5">
        <f>IF($A1052="","",IFERROR(INDEX('AJUSTES'!$B$4:$B$303,MATCH($AT1052,'AJUSTES'!$A$4:$A$303,0)),IF($K1052="","",$K1052)))</f>
        <v/>
      </c>
      <c r="N1052" s="5">
        <f>IF($A1052="","",IFERROR(INDEX('CAT_ESTADOS_ERP'!$B$4:$B$7,MATCH(IFERROR(INDEX('2_IMPORTAR_EJECUCION'!$C$9:$C$1208,MATCH($AT1052,'2_IMPORTAR_EJECUCION'!$J$9:$J$1208,0)),""),'CAT_ESTADOS_ERP'!$A$4:$A$7,0)),"Pendiente"))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IF($J1052="","",$P1052&amp;"-"&amp;TEXT($Q1052,"00"))</f>
        <v/>
      </c>
      <c r="S1052" s="5">
        <f>IF($J1052="","",INDEX(lista_dias,WEEKDAY($J1052,2)))</f>
        <v/>
      </c>
      <c r="T1052" s="5">
        <f>IF($J1052="","",IFERROR(INDEX('CALENDARIO'!$C$15:$C$214,MATCH(TEXT($J1052,"yyyy-mm-dd")&amp;"|"&amp;$X1052&amp;"|"&amp;$Y1052,'CALENDARIO'!$G$15:$G$214,0)),IFERROR(INDEX('CALENDARIO'!$C$15:$C$214,MATCH(TEXT($J1052,"yyyy-mm-dd")&amp;"|"&amp;$X1052&amp;"|",'CALENDARIO'!$G$15:$G$214,0)),IFERROR(INDEX('CALENDARIO'!$C$15:$C$214,MATCH(TEXT($J1052,"yyyy-mm-dd")&amp;"||",'CALENDARIO'!$G$15:$G$214,0)),INDEX(patronHabil,WEEKDAY($J1052,2))))))</f>
        <v/>
      </c>
      <c r="U1052" s="5">
        <f>IF($I1052="","",IFERROR(INDEX('CAT_TIPOS_OT'!$C$4:$C$8,MATCH($I1052,'CAT_TIPOS_OT'!$A$4:$A$8,0)),"sin_clasificar"))</f>
        <v/>
      </c>
      <c r="V1052" s="5">
        <f>IF($I1052="","",IF(IFERROR(INDEX('CAT_TIPOS_OT'!$D$4:$D$8,MATCH($I1052,'CAT_TIPOS_OT'!$A$4:$A$8,0)),"SIN CLASIFICAR")="","SIN CLASIFICAR",IFERROR(INDEX('CAT_TIPOS_OT'!$D$4:$D$8,MATCH($I1052,'CAT_TIPOS_OT'!$A$4:$A$8,0)),"SIN CLASIFICAR")))</f>
        <v/>
      </c>
      <c r="W1052" s="5">
        <f>IF($F1052="","",IFERROR(INDEX('CAT_CENTROS_COSTO'!$F$4:$F$13,MATCH($F1052,'CAT_CENTROS_COSTO'!$A$4:$A$13,0)),"(sin catálogo)"))</f>
        <v/>
      </c>
      <c r="X1052" s="5">
        <f>IF($F1052="","",IFERROR(INDEX('CAT_CENTROS_COSTO'!$D$4:$D$13,MATCH($F1052,'CAT_CENTROS_COSTO'!$A$4:$A$13,0)),"(sin catálogo)"))</f>
        <v/>
      </c>
      <c r="Y1052" s="5">
        <f>IF($F1052="","",IF((IFERROR(INDEX('CAT_CENTROS_COSTO'!$E$4:$E$13,MATCH($F1052,'CAT_CENTROS_COSTO'!$A$4:$A$13,0)),""))&lt;&gt;"",IFERROR(INDEX('CAT_CENTROS_COSTO'!$E$4:$E$13,MATCH($F1052,'CAT_CENTROS_COSTO'!$A$4:$A$13,0)),""),$X1052))</f>
        <v/>
      </c>
      <c r="Z1052" s="5">
        <f>IF($F1052="","",IFERROR(INDEX('CAT_CENTROS_COSTO'!$G$4:$G$13,MATCH($F1052,'CAT_CENTROS_COSTO'!$A$4:$A$13,0)),"(sin catálogo)"))</f>
        <v/>
      </c>
      <c r="AA1052" s="5">
        <f>IF($G1052="","",IFERROR(INDEX('CAT_PUESTOS'!$B$4:$B$8,MATCH($G1052,'CAT_PUESTOS'!$A$4:$A$8,0)),"(sin catálogo)"))</f>
        <v/>
      </c>
      <c r="AB1052" s="5">
        <f>IF($H1052="","",IFERROR(INDEX('CAT_ACTIVIDADES'!$B$4:$B$11,MATCH($H1052,'CAT_ACTIVIDADES'!$A$4:$A$11,0)),"(sin catálogo)"))</f>
        <v/>
      </c>
      <c r="AC1052" s="20">
        <f>IF($J1052="","",TODAY()-$J1052)</f>
        <v/>
      </c>
      <c r="AD1052" s="20">
        <f>IF($J1052="","",IF($J1052&lt;=TODAY(),COUNTIFS(cal_fechas,"&gt;="&amp;$J1052,cal_fechas,"&lt;"&amp;TODAY(),cal_habil,"sí"),-COUNTIFS(cal_fechas,"&gt;="&amp;TODAY(),cal_fechas,"&lt;"&amp;$J1052,cal_habil,"sí")))</f>
        <v/>
      </c>
      <c r="AE1052" s="5">
        <f>IF($AD1052="","",IF($AD1052&lt;0,"FUTURO",IF($AD1052&gt;p_dias_backlog_max,"BACKLOG","MES CORRIENTE")))</f>
        <v/>
      </c>
      <c r="AF1052" s="5">
        <f>IF($AD1052="",FALSE,AND($AD1052&gt;p_dias_backlog_min,$AD1052&lt;=p_dias_backlog_max))</f>
        <v/>
      </c>
      <c r="AG1052" s="4" t="n"/>
      <c r="AH1052" s="5">
        <f>IF($AG1052="","",IF((IFERROR(INDEX('ASIGNACIONES'!$J$4:$J$451,MATCH($O1052&amp;"|"&amp;$S1052&amp;"|"&amp;$AG1052,'ASIGNACIONES'!$N$4:$N$451,0)),""))=0,"",IFERROR(INDEX('ASIGNACIONES'!$J$4:$J$451,MATCH($O1052&amp;"|"&amp;$S1052&amp;"|"&amp;$AG1052,'ASIGNACIONES'!$N$4:$N$451,0)),"")))</f>
        <v/>
      </c>
      <c r="AI1052" s="25">
        <f>IF($AG1052="","",SUMIFS('ORDENES'!$M$4:$M$1203,'ORDENES'!$AG$4:$AG$1203,$AG1052,'ORDENES'!$O$4:$O$1203,$O1052,'ORDENES'!$S$4:$S$1203,$S1052))</f>
        <v/>
      </c>
      <c r="AJ1052" s="25">
        <f>IF($AI1052="","",p_factor_productividad*IFERROR(INDEX('ASIGNACIONES'!$M$4:$M$451,MATCH($O1052&amp;"|"&amp;$S1052&amp;"|"&amp;$AG1052,'ASIGNACIONES'!$N$4:$N$451,0)),0)-$AI1052)</f>
        <v/>
      </c>
      <c r="AK1052" s="18">
        <f>IF($A1052="","",IFERROR(INDEX('2_IMPORTAR_EJECUCION'!$F$9:$F$1208,MATCH($AT1052,'2_IMPORTAR_EJECUCION'!$J$9:$J$1208,0)),0))</f>
        <v/>
      </c>
      <c r="AL1052" s="18">
        <f>IF($A1052="","",MAX(0,IFERROR(INDEX('2_IMPORTAR_EJECUCION'!$H$9:$H$1208,MATCH($AT1052,'2_IMPORTAR_EJECUCION'!$J$9:$J$1208,0)),0)-$AK1052))</f>
        <v/>
      </c>
      <c r="AM1052" s="18">
        <f>IF($A1052="","",$AK1052+$AL1052)</f>
        <v/>
      </c>
      <c r="AN1052" s="5">
        <f>IF($A1052="","",IF(OR((IFERROR(INDEX('CAT_ACTIVIDADES'!$D$4:$D$11,MATCH($H1052,'CAT_ACTIVIDADES'!$A$4:$A$11,0)),""))=0,(IFERROR(INDEX('CAT_ACTIVIDADES'!$D$4:$D$11,MATCH($H1052,'CAT_ACTIVIDADES'!$A$4:$A$11,0)),""))=""),"SIN CLASIFICAR",IFERROR(INDEX('CAT_ACTIVIDADES'!$D$4:$D$11,MATCH($H1052,'CAT_ACTIVIDADES'!$A$4:$A$11,0)),"")))</f>
        <v/>
      </c>
      <c r="AO1052" s="4" t="n"/>
      <c r="AP1052" s="4" t="n"/>
      <c r="AQ1052" s="4" t="n"/>
      <c r="AR1052" s="5">
        <f>IF($AQ1052="","",HYPERLINK(p_ruta_base_checklists&amp;$AQ1052,"abrir"))</f>
        <v/>
      </c>
      <c r="AS1052" s="4" t="n"/>
      <c r="AT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2" t="n"/>
      <c r="K1053" s="5" t="n"/>
      <c r="L1053" s="18" t="n"/>
      <c r="M1053" s="5">
        <f>IF($A1053="","",IFERROR(INDEX('AJUSTES'!$B$4:$B$303,MATCH($AT1053,'AJUSTES'!$A$4:$A$303,0)),IF($K1053="","",$K1053)))</f>
        <v/>
      </c>
      <c r="N1053" s="5">
        <f>IF($A1053="","",IFERROR(INDEX('CAT_ESTADOS_ERP'!$B$4:$B$7,MATCH(IFERROR(INDEX('2_IMPORTAR_EJECUCION'!$C$9:$C$1208,MATCH($AT1053,'2_IMPORTAR_EJECUCION'!$J$9:$J$1208,0)),""),'CAT_ESTADOS_ERP'!$A$4:$A$7,0)),"Pendiente"))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IF($J1053="","",$P1053&amp;"-"&amp;TEXT($Q1053,"00"))</f>
        <v/>
      </c>
      <c r="S1053" s="5">
        <f>IF($J1053="","",INDEX(lista_dias,WEEKDAY($J1053,2)))</f>
        <v/>
      </c>
      <c r="T1053" s="5">
        <f>IF($J1053="","",IFERROR(INDEX('CALENDARIO'!$C$15:$C$214,MATCH(TEXT($J1053,"yyyy-mm-dd")&amp;"|"&amp;$X1053&amp;"|"&amp;$Y1053,'CALENDARIO'!$G$15:$G$214,0)),IFERROR(INDEX('CALENDARIO'!$C$15:$C$214,MATCH(TEXT($J1053,"yyyy-mm-dd")&amp;"|"&amp;$X1053&amp;"|",'CALENDARIO'!$G$15:$G$214,0)),IFERROR(INDEX('CALENDARIO'!$C$15:$C$214,MATCH(TEXT($J1053,"yyyy-mm-dd")&amp;"||",'CALENDARIO'!$G$15:$G$214,0)),INDEX(patronHabil,WEEKDAY($J1053,2))))))</f>
        <v/>
      </c>
      <c r="U1053" s="5">
        <f>IF($I1053="","",IFERROR(INDEX('CAT_TIPOS_OT'!$C$4:$C$8,MATCH($I1053,'CAT_TIPOS_OT'!$A$4:$A$8,0)),"sin_clasificar"))</f>
        <v/>
      </c>
      <c r="V1053" s="5">
        <f>IF($I1053="","",IF(IFERROR(INDEX('CAT_TIPOS_OT'!$D$4:$D$8,MATCH($I1053,'CAT_TIPOS_OT'!$A$4:$A$8,0)),"SIN CLASIFICAR")="","SIN CLASIFICAR",IFERROR(INDEX('CAT_TIPOS_OT'!$D$4:$D$8,MATCH($I1053,'CAT_TIPOS_OT'!$A$4:$A$8,0)),"SIN CLASIFICAR")))</f>
        <v/>
      </c>
      <c r="W1053" s="5">
        <f>IF($F1053="","",IFERROR(INDEX('CAT_CENTROS_COSTO'!$F$4:$F$13,MATCH($F1053,'CAT_CENTROS_COSTO'!$A$4:$A$13,0)),"(sin catálogo)"))</f>
        <v/>
      </c>
      <c r="X1053" s="5">
        <f>IF($F1053="","",IFERROR(INDEX('CAT_CENTROS_COSTO'!$D$4:$D$13,MATCH($F1053,'CAT_CENTROS_COSTO'!$A$4:$A$13,0)),"(sin catálogo)"))</f>
        <v/>
      </c>
      <c r="Y1053" s="5">
        <f>IF($F1053="","",IF((IFERROR(INDEX('CAT_CENTROS_COSTO'!$E$4:$E$13,MATCH($F1053,'CAT_CENTROS_COSTO'!$A$4:$A$13,0)),""))&lt;&gt;"",IFERROR(INDEX('CAT_CENTROS_COSTO'!$E$4:$E$13,MATCH($F1053,'CAT_CENTROS_COSTO'!$A$4:$A$13,0)),""),$X1053))</f>
        <v/>
      </c>
      <c r="Z1053" s="5">
        <f>IF($F1053="","",IFERROR(INDEX('CAT_CENTROS_COSTO'!$G$4:$G$13,MATCH($F1053,'CAT_CENTROS_COSTO'!$A$4:$A$13,0)),"(sin catálogo)"))</f>
        <v/>
      </c>
      <c r="AA1053" s="5">
        <f>IF($G1053="","",IFERROR(INDEX('CAT_PUESTOS'!$B$4:$B$8,MATCH($G1053,'CAT_PUESTOS'!$A$4:$A$8,0)),"(sin catálogo)"))</f>
        <v/>
      </c>
      <c r="AB1053" s="5">
        <f>IF($H1053="","",IFERROR(INDEX('CAT_ACTIVIDADES'!$B$4:$B$11,MATCH($H1053,'CAT_ACTIVIDADES'!$A$4:$A$11,0)),"(sin catálogo)"))</f>
        <v/>
      </c>
      <c r="AC1053" s="20">
        <f>IF($J1053="","",TODAY()-$J1053)</f>
        <v/>
      </c>
      <c r="AD1053" s="20">
        <f>IF($J1053="","",IF($J1053&lt;=TODAY(),COUNTIFS(cal_fechas,"&gt;="&amp;$J1053,cal_fechas,"&lt;"&amp;TODAY(),cal_habil,"sí"),-COUNTIFS(cal_fechas,"&gt;="&amp;TODAY(),cal_fechas,"&lt;"&amp;$J1053,cal_habil,"sí")))</f>
        <v/>
      </c>
      <c r="AE1053" s="5">
        <f>IF($AD1053="","",IF($AD1053&lt;0,"FUTURO",IF($AD1053&gt;p_dias_backlog_max,"BACKLOG","MES CORRIENTE")))</f>
        <v/>
      </c>
      <c r="AF1053" s="5">
        <f>IF($AD1053="",FALSE,AND($AD1053&gt;p_dias_backlog_min,$AD1053&lt;=p_dias_backlog_max))</f>
        <v/>
      </c>
      <c r="AG1053" s="4" t="n"/>
      <c r="AH1053" s="5">
        <f>IF($AG1053="","",IF((IFERROR(INDEX('ASIGNACIONES'!$J$4:$J$451,MATCH($O1053&amp;"|"&amp;$S1053&amp;"|"&amp;$AG1053,'ASIGNACIONES'!$N$4:$N$451,0)),""))=0,"",IFERROR(INDEX('ASIGNACIONES'!$J$4:$J$451,MATCH($O1053&amp;"|"&amp;$S1053&amp;"|"&amp;$AG1053,'ASIGNACIONES'!$N$4:$N$451,0)),"")))</f>
        <v/>
      </c>
      <c r="AI1053" s="25">
        <f>IF($AG1053="","",SUMIFS('ORDENES'!$M$4:$M$1203,'ORDENES'!$AG$4:$AG$1203,$AG1053,'ORDENES'!$O$4:$O$1203,$O1053,'ORDENES'!$S$4:$S$1203,$S1053))</f>
        <v/>
      </c>
      <c r="AJ1053" s="25">
        <f>IF($AI1053="","",p_factor_productividad*IFERROR(INDEX('ASIGNACIONES'!$M$4:$M$451,MATCH($O1053&amp;"|"&amp;$S1053&amp;"|"&amp;$AG1053,'ASIGNACIONES'!$N$4:$N$451,0)),0)-$AI1053)</f>
        <v/>
      </c>
      <c r="AK1053" s="18">
        <f>IF($A1053="","",IFERROR(INDEX('2_IMPORTAR_EJECUCION'!$F$9:$F$1208,MATCH($AT1053,'2_IMPORTAR_EJECUCION'!$J$9:$J$1208,0)),0))</f>
        <v/>
      </c>
      <c r="AL1053" s="18">
        <f>IF($A1053="","",MAX(0,IFERROR(INDEX('2_IMPORTAR_EJECUCION'!$H$9:$H$1208,MATCH($AT1053,'2_IMPORTAR_EJECUCION'!$J$9:$J$1208,0)),0)-$AK1053))</f>
        <v/>
      </c>
      <c r="AM1053" s="18">
        <f>IF($A1053="","",$AK1053+$AL1053)</f>
        <v/>
      </c>
      <c r="AN1053" s="5">
        <f>IF($A1053="","",IF(OR((IFERROR(INDEX('CAT_ACTIVIDADES'!$D$4:$D$11,MATCH($H1053,'CAT_ACTIVIDADES'!$A$4:$A$11,0)),""))=0,(IFERROR(INDEX('CAT_ACTIVIDADES'!$D$4:$D$11,MATCH($H1053,'CAT_ACTIVIDADES'!$A$4:$A$11,0)),""))=""),"SIN CLASIFICAR",IFERROR(INDEX('CAT_ACTIVIDADES'!$D$4:$D$11,MATCH($H1053,'CAT_ACTIVIDADES'!$A$4:$A$11,0)),"")))</f>
        <v/>
      </c>
      <c r="AO1053" s="4" t="n"/>
      <c r="AP1053" s="4" t="n"/>
      <c r="AQ1053" s="4" t="n"/>
      <c r="AR1053" s="5">
        <f>IF($AQ1053="","",HYPERLINK(p_ruta_base_checklists&amp;$AQ1053,"abrir"))</f>
        <v/>
      </c>
      <c r="AS1053" s="4" t="n"/>
      <c r="AT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2" t="n"/>
      <c r="K1054" s="5" t="n"/>
      <c r="L1054" s="18" t="n"/>
      <c r="M1054" s="5">
        <f>IF($A1054="","",IFERROR(INDEX('AJUSTES'!$B$4:$B$303,MATCH($AT1054,'AJUSTES'!$A$4:$A$303,0)),IF($K1054="","",$K1054)))</f>
        <v/>
      </c>
      <c r="N1054" s="5">
        <f>IF($A1054="","",IFERROR(INDEX('CAT_ESTADOS_ERP'!$B$4:$B$7,MATCH(IFERROR(INDEX('2_IMPORTAR_EJECUCION'!$C$9:$C$1208,MATCH($AT1054,'2_IMPORTAR_EJECUCION'!$J$9:$J$1208,0)),""),'CAT_ESTADOS_ERP'!$A$4:$A$7,0)),"Pendiente"))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IF($J1054="","",$P1054&amp;"-"&amp;TEXT($Q1054,"00"))</f>
        <v/>
      </c>
      <c r="S1054" s="5">
        <f>IF($J1054="","",INDEX(lista_dias,WEEKDAY($J1054,2)))</f>
        <v/>
      </c>
      <c r="T1054" s="5">
        <f>IF($J1054="","",IFERROR(INDEX('CALENDARIO'!$C$15:$C$214,MATCH(TEXT($J1054,"yyyy-mm-dd")&amp;"|"&amp;$X1054&amp;"|"&amp;$Y1054,'CALENDARIO'!$G$15:$G$214,0)),IFERROR(INDEX('CALENDARIO'!$C$15:$C$214,MATCH(TEXT($J1054,"yyyy-mm-dd")&amp;"|"&amp;$X1054&amp;"|",'CALENDARIO'!$G$15:$G$214,0)),IFERROR(INDEX('CALENDARIO'!$C$15:$C$214,MATCH(TEXT($J1054,"yyyy-mm-dd")&amp;"||",'CALENDARIO'!$G$15:$G$214,0)),INDEX(patronHabil,WEEKDAY($J1054,2))))))</f>
        <v/>
      </c>
      <c r="U1054" s="5">
        <f>IF($I1054="","",IFERROR(INDEX('CAT_TIPOS_OT'!$C$4:$C$8,MATCH($I1054,'CAT_TIPOS_OT'!$A$4:$A$8,0)),"sin_clasificar"))</f>
        <v/>
      </c>
      <c r="V1054" s="5">
        <f>IF($I1054="","",IF(IFERROR(INDEX('CAT_TIPOS_OT'!$D$4:$D$8,MATCH($I1054,'CAT_TIPOS_OT'!$A$4:$A$8,0)),"SIN CLASIFICAR")="","SIN CLASIFICAR",IFERROR(INDEX('CAT_TIPOS_OT'!$D$4:$D$8,MATCH($I1054,'CAT_TIPOS_OT'!$A$4:$A$8,0)),"SIN CLASIFICAR")))</f>
        <v/>
      </c>
      <c r="W1054" s="5">
        <f>IF($F1054="","",IFERROR(INDEX('CAT_CENTROS_COSTO'!$F$4:$F$13,MATCH($F1054,'CAT_CENTROS_COSTO'!$A$4:$A$13,0)),"(sin catálogo)"))</f>
        <v/>
      </c>
      <c r="X1054" s="5">
        <f>IF($F1054="","",IFERROR(INDEX('CAT_CENTROS_COSTO'!$D$4:$D$13,MATCH($F1054,'CAT_CENTROS_COSTO'!$A$4:$A$13,0)),"(sin catálogo)"))</f>
        <v/>
      </c>
      <c r="Y1054" s="5">
        <f>IF($F1054="","",IF((IFERROR(INDEX('CAT_CENTROS_COSTO'!$E$4:$E$13,MATCH($F1054,'CAT_CENTROS_COSTO'!$A$4:$A$13,0)),""))&lt;&gt;"",IFERROR(INDEX('CAT_CENTROS_COSTO'!$E$4:$E$13,MATCH($F1054,'CAT_CENTROS_COSTO'!$A$4:$A$13,0)),""),$X1054))</f>
        <v/>
      </c>
      <c r="Z1054" s="5">
        <f>IF($F1054="","",IFERROR(INDEX('CAT_CENTROS_COSTO'!$G$4:$G$13,MATCH($F1054,'CAT_CENTROS_COSTO'!$A$4:$A$13,0)),"(sin catálogo)"))</f>
        <v/>
      </c>
      <c r="AA1054" s="5">
        <f>IF($G1054="","",IFERROR(INDEX('CAT_PUESTOS'!$B$4:$B$8,MATCH($G1054,'CAT_PUESTOS'!$A$4:$A$8,0)),"(sin catálogo)"))</f>
        <v/>
      </c>
      <c r="AB1054" s="5">
        <f>IF($H1054="","",IFERROR(INDEX('CAT_ACTIVIDADES'!$B$4:$B$11,MATCH($H1054,'CAT_ACTIVIDADES'!$A$4:$A$11,0)),"(sin catálogo)"))</f>
        <v/>
      </c>
      <c r="AC1054" s="20">
        <f>IF($J1054="","",TODAY()-$J1054)</f>
        <v/>
      </c>
      <c r="AD1054" s="20">
        <f>IF($J1054="","",IF($J1054&lt;=TODAY(),COUNTIFS(cal_fechas,"&gt;="&amp;$J1054,cal_fechas,"&lt;"&amp;TODAY(),cal_habil,"sí"),-COUNTIFS(cal_fechas,"&gt;="&amp;TODAY(),cal_fechas,"&lt;"&amp;$J1054,cal_habil,"sí")))</f>
        <v/>
      </c>
      <c r="AE1054" s="5">
        <f>IF($AD1054="","",IF($AD1054&lt;0,"FUTURO",IF($AD1054&gt;p_dias_backlog_max,"BACKLOG","MES CORRIENTE")))</f>
        <v/>
      </c>
      <c r="AF1054" s="5">
        <f>IF($AD1054="",FALSE,AND($AD1054&gt;p_dias_backlog_min,$AD1054&lt;=p_dias_backlog_max))</f>
        <v/>
      </c>
      <c r="AG1054" s="4" t="n"/>
      <c r="AH1054" s="5">
        <f>IF($AG1054="","",IF((IFERROR(INDEX('ASIGNACIONES'!$J$4:$J$451,MATCH($O1054&amp;"|"&amp;$S1054&amp;"|"&amp;$AG1054,'ASIGNACIONES'!$N$4:$N$451,0)),""))=0,"",IFERROR(INDEX('ASIGNACIONES'!$J$4:$J$451,MATCH($O1054&amp;"|"&amp;$S1054&amp;"|"&amp;$AG1054,'ASIGNACIONES'!$N$4:$N$451,0)),"")))</f>
        <v/>
      </c>
      <c r="AI1054" s="25">
        <f>IF($AG1054="","",SUMIFS('ORDENES'!$M$4:$M$1203,'ORDENES'!$AG$4:$AG$1203,$AG1054,'ORDENES'!$O$4:$O$1203,$O1054,'ORDENES'!$S$4:$S$1203,$S1054))</f>
        <v/>
      </c>
      <c r="AJ1054" s="25">
        <f>IF($AI1054="","",p_factor_productividad*IFERROR(INDEX('ASIGNACIONES'!$M$4:$M$451,MATCH($O1054&amp;"|"&amp;$S1054&amp;"|"&amp;$AG1054,'ASIGNACIONES'!$N$4:$N$451,0)),0)-$AI1054)</f>
        <v/>
      </c>
      <c r="AK1054" s="18">
        <f>IF($A1054="","",IFERROR(INDEX('2_IMPORTAR_EJECUCION'!$F$9:$F$1208,MATCH($AT1054,'2_IMPORTAR_EJECUCION'!$J$9:$J$1208,0)),0))</f>
        <v/>
      </c>
      <c r="AL1054" s="18">
        <f>IF($A1054="","",MAX(0,IFERROR(INDEX('2_IMPORTAR_EJECUCION'!$H$9:$H$1208,MATCH($AT1054,'2_IMPORTAR_EJECUCION'!$J$9:$J$1208,0)),0)-$AK1054))</f>
        <v/>
      </c>
      <c r="AM1054" s="18">
        <f>IF($A1054="","",$AK1054+$AL1054)</f>
        <v/>
      </c>
      <c r="AN1054" s="5">
        <f>IF($A1054="","",IF(OR((IFERROR(INDEX('CAT_ACTIVIDADES'!$D$4:$D$11,MATCH($H1054,'CAT_ACTIVIDADES'!$A$4:$A$11,0)),""))=0,(IFERROR(INDEX('CAT_ACTIVIDADES'!$D$4:$D$11,MATCH($H1054,'CAT_ACTIVIDADES'!$A$4:$A$11,0)),""))=""),"SIN CLASIFICAR",IFERROR(INDEX('CAT_ACTIVIDADES'!$D$4:$D$11,MATCH($H1054,'CAT_ACTIVIDADES'!$A$4:$A$11,0)),"")))</f>
        <v/>
      </c>
      <c r="AO1054" s="4" t="n"/>
      <c r="AP1054" s="4" t="n"/>
      <c r="AQ1054" s="4" t="n"/>
      <c r="AR1054" s="5">
        <f>IF($AQ1054="","",HYPERLINK(p_ruta_base_checklists&amp;$AQ1054,"abrir"))</f>
        <v/>
      </c>
      <c r="AS1054" s="4" t="n"/>
      <c r="AT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2" t="n"/>
      <c r="K1055" s="5" t="n"/>
      <c r="L1055" s="18" t="n"/>
      <c r="M1055" s="5">
        <f>IF($A1055="","",IFERROR(INDEX('AJUSTES'!$B$4:$B$303,MATCH($AT1055,'AJUSTES'!$A$4:$A$303,0)),IF($K1055="","",$K1055)))</f>
        <v/>
      </c>
      <c r="N1055" s="5">
        <f>IF($A1055="","",IFERROR(INDEX('CAT_ESTADOS_ERP'!$B$4:$B$7,MATCH(IFERROR(INDEX('2_IMPORTAR_EJECUCION'!$C$9:$C$1208,MATCH($AT1055,'2_IMPORTAR_EJECUCION'!$J$9:$J$1208,0)),""),'CAT_ESTADOS_ERP'!$A$4:$A$7,0)),"Pendiente"))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IF($J1055="","",$P1055&amp;"-"&amp;TEXT($Q1055,"00"))</f>
        <v/>
      </c>
      <c r="S1055" s="5">
        <f>IF($J1055="","",INDEX(lista_dias,WEEKDAY($J1055,2)))</f>
        <v/>
      </c>
      <c r="T1055" s="5">
        <f>IF($J1055="","",IFERROR(INDEX('CALENDARIO'!$C$15:$C$214,MATCH(TEXT($J1055,"yyyy-mm-dd")&amp;"|"&amp;$X1055&amp;"|"&amp;$Y1055,'CALENDARIO'!$G$15:$G$214,0)),IFERROR(INDEX('CALENDARIO'!$C$15:$C$214,MATCH(TEXT($J1055,"yyyy-mm-dd")&amp;"|"&amp;$X1055&amp;"|",'CALENDARIO'!$G$15:$G$214,0)),IFERROR(INDEX('CALENDARIO'!$C$15:$C$214,MATCH(TEXT($J1055,"yyyy-mm-dd")&amp;"||",'CALENDARIO'!$G$15:$G$214,0)),INDEX(patronHabil,WEEKDAY($J1055,2))))))</f>
        <v/>
      </c>
      <c r="U1055" s="5">
        <f>IF($I1055="","",IFERROR(INDEX('CAT_TIPOS_OT'!$C$4:$C$8,MATCH($I1055,'CAT_TIPOS_OT'!$A$4:$A$8,0)),"sin_clasificar"))</f>
        <v/>
      </c>
      <c r="V1055" s="5">
        <f>IF($I1055="","",IF(IFERROR(INDEX('CAT_TIPOS_OT'!$D$4:$D$8,MATCH($I1055,'CAT_TIPOS_OT'!$A$4:$A$8,0)),"SIN CLASIFICAR")="","SIN CLASIFICAR",IFERROR(INDEX('CAT_TIPOS_OT'!$D$4:$D$8,MATCH($I1055,'CAT_TIPOS_OT'!$A$4:$A$8,0)),"SIN CLASIFICAR")))</f>
        <v/>
      </c>
      <c r="W1055" s="5">
        <f>IF($F1055="","",IFERROR(INDEX('CAT_CENTROS_COSTO'!$F$4:$F$13,MATCH($F1055,'CAT_CENTROS_COSTO'!$A$4:$A$13,0)),"(sin catálogo)"))</f>
        <v/>
      </c>
      <c r="X1055" s="5">
        <f>IF($F1055="","",IFERROR(INDEX('CAT_CENTROS_COSTO'!$D$4:$D$13,MATCH($F1055,'CAT_CENTROS_COSTO'!$A$4:$A$13,0)),"(sin catálogo)"))</f>
        <v/>
      </c>
      <c r="Y1055" s="5">
        <f>IF($F1055="","",IF((IFERROR(INDEX('CAT_CENTROS_COSTO'!$E$4:$E$13,MATCH($F1055,'CAT_CENTROS_COSTO'!$A$4:$A$13,0)),""))&lt;&gt;"",IFERROR(INDEX('CAT_CENTROS_COSTO'!$E$4:$E$13,MATCH($F1055,'CAT_CENTROS_COSTO'!$A$4:$A$13,0)),""),$X1055))</f>
        <v/>
      </c>
      <c r="Z1055" s="5">
        <f>IF($F1055="","",IFERROR(INDEX('CAT_CENTROS_COSTO'!$G$4:$G$13,MATCH($F1055,'CAT_CENTROS_COSTO'!$A$4:$A$13,0)),"(sin catálogo)"))</f>
        <v/>
      </c>
      <c r="AA1055" s="5">
        <f>IF($G1055="","",IFERROR(INDEX('CAT_PUESTOS'!$B$4:$B$8,MATCH($G1055,'CAT_PUESTOS'!$A$4:$A$8,0)),"(sin catálogo)"))</f>
        <v/>
      </c>
      <c r="AB1055" s="5">
        <f>IF($H1055="","",IFERROR(INDEX('CAT_ACTIVIDADES'!$B$4:$B$11,MATCH($H1055,'CAT_ACTIVIDADES'!$A$4:$A$11,0)),"(sin catálogo)"))</f>
        <v/>
      </c>
      <c r="AC1055" s="20">
        <f>IF($J1055="","",TODAY()-$J1055)</f>
        <v/>
      </c>
      <c r="AD1055" s="20">
        <f>IF($J1055="","",IF($J1055&lt;=TODAY(),COUNTIFS(cal_fechas,"&gt;="&amp;$J1055,cal_fechas,"&lt;"&amp;TODAY(),cal_habil,"sí"),-COUNTIFS(cal_fechas,"&gt;="&amp;TODAY(),cal_fechas,"&lt;"&amp;$J1055,cal_habil,"sí")))</f>
        <v/>
      </c>
      <c r="AE1055" s="5">
        <f>IF($AD1055="","",IF($AD1055&lt;0,"FUTURO",IF($AD1055&gt;p_dias_backlog_max,"BACKLOG","MES CORRIENTE")))</f>
        <v/>
      </c>
      <c r="AF1055" s="5">
        <f>IF($AD1055="",FALSE,AND($AD1055&gt;p_dias_backlog_min,$AD1055&lt;=p_dias_backlog_max))</f>
        <v/>
      </c>
      <c r="AG1055" s="4" t="n"/>
      <c r="AH1055" s="5">
        <f>IF($AG1055="","",IF((IFERROR(INDEX('ASIGNACIONES'!$J$4:$J$451,MATCH($O1055&amp;"|"&amp;$S1055&amp;"|"&amp;$AG1055,'ASIGNACIONES'!$N$4:$N$451,0)),""))=0,"",IFERROR(INDEX('ASIGNACIONES'!$J$4:$J$451,MATCH($O1055&amp;"|"&amp;$S1055&amp;"|"&amp;$AG1055,'ASIGNACIONES'!$N$4:$N$451,0)),"")))</f>
        <v/>
      </c>
      <c r="AI1055" s="25">
        <f>IF($AG1055="","",SUMIFS('ORDENES'!$M$4:$M$1203,'ORDENES'!$AG$4:$AG$1203,$AG1055,'ORDENES'!$O$4:$O$1203,$O1055,'ORDENES'!$S$4:$S$1203,$S1055))</f>
        <v/>
      </c>
      <c r="AJ1055" s="25">
        <f>IF($AI1055="","",p_factor_productividad*IFERROR(INDEX('ASIGNACIONES'!$M$4:$M$451,MATCH($O1055&amp;"|"&amp;$S1055&amp;"|"&amp;$AG1055,'ASIGNACIONES'!$N$4:$N$451,0)),0)-$AI1055)</f>
        <v/>
      </c>
      <c r="AK1055" s="18">
        <f>IF($A1055="","",IFERROR(INDEX('2_IMPORTAR_EJECUCION'!$F$9:$F$1208,MATCH($AT1055,'2_IMPORTAR_EJECUCION'!$J$9:$J$1208,0)),0))</f>
        <v/>
      </c>
      <c r="AL1055" s="18">
        <f>IF($A1055="","",MAX(0,IFERROR(INDEX('2_IMPORTAR_EJECUCION'!$H$9:$H$1208,MATCH($AT1055,'2_IMPORTAR_EJECUCION'!$J$9:$J$1208,0)),0)-$AK1055))</f>
        <v/>
      </c>
      <c r="AM1055" s="18">
        <f>IF($A1055="","",$AK1055+$AL1055)</f>
        <v/>
      </c>
      <c r="AN1055" s="5">
        <f>IF($A1055="","",IF(OR((IFERROR(INDEX('CAT_ACTIVIDADES'!$D$4:$D$11,MATCH($H1055,'CAT_ACTIVIDADES'!$A$4:$A$11,0)),""))=0,(IFERROR(INDEX('CAT_ACTIVIDADES'!$D$4:$D$11,MATCH($H1055,'CAT_ACTIVIDADES'!$A$4:$A$11,0)),""))=""),"SIN CLASIFICAR",IFERROR(INDEX('CAT_ACTIVIDADES'!$D$4:$D$11,MATCH($H1055,'CAT_ACTIVIDADES'!$A$4:$A$11,0)),"")))</f>
        <v/>
      </c>
      <c r="AO1055" s="4" t="n"/>
      <c r="AP1055" s="4" t="n"/>
      <c r="AQ1055" s="4" t="n"/>
      <c r="AR1055" s="5">
        <f>IF($AQ1055="","",HYPERLINK(p_ruta_base_checklists&amp;$AQ1055,"abrir"))</f>
        <v/>
      </c>
      <c r="AS1055" s="4" t="n"/>
      <c r="AT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2" t="n"/>
      <c r="K1056" s="5" t="n"/>
      <c r="L1056" s="18" t="n"/>
      <c r="M1056" s="5">
        <f>IF($A1056="","",IFERROR(INDEX('AJUSTES'!$B$4:$B$303,MATCH($AT1056,'AJUSTES'!$A$4:$A$303,0)),IF($K1056="","",$K1056)))</f>
        <v/>
      </c>
      <c r="N1056" s="5">
        <f>IF($A1056="","",IFERROR(INDEX('CAT_ESTADOS_ERP'!$B$4:$B$7,MATCH(IFERROR(INDEX('2_IMPORTAR_EJECUCION'!$C$9:$C$1208,MATCH($AT1056,'2_IMPORTAR_EJECUCION'!$J$9:$J$1208,0)),""),'CAT_ESTADOS_ERP'!$A$4:$A$7,0)),"Pendiente"))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IF($J1056="","",$P1056&amp;"-"&amp;TEXT($Q1056,"00"))</f>
        <v/>
      </c>
      <c r="S1056" s="5">
        <f>IF($J1056="","",INDEX(lista_dias,WEEKDAY($J1056,2)))</f>
        <v/>
      </c>
      <c r="T1056" s="5">
        <f>IF($J1056="","",IFERROR(INDEX('CALENDARIO'!$C$15:$C$214,MATCH(TEXT($J1056,"yyyy-mm-dd")&amp;"|"&amp;$X1056&amp;"|"&amp;$Y1056,'CALENDARIO'!$G$15:$G$214,0)),IFERROR(INDEX('CALENDARIO'!$C$15:$C$214,MATCH(TEXT($J1056,"yyyy-mm-dd")&amp;"|"&amp;$X1056&amp;"|",'CALENDARIO'!$G$15:$G$214,0)),IFERROR(INDEX('CALENDARIO'!$C$15:$C$214,MATCH(TEXT($J1056,"yyyy-mm-dd")&amp;"||",'CALENDARIO'!$G$15:$G$214,0)),INDEX(patronHabil,WEEKDAY($J1056,2))))))</f>
        <v/>
      </c>
      <c r="U1056" s="5">
        <f>IF($I1056="","",IFERROR(INDEX('CAT_TIPOS_OT'!$C$4:$C$8,MATCH($I1056,'CAT_TIPOS_OT'!$A$4:$A$8,0)),"sin_clasificar"))</f>
        <v/>
      </c>
      <c r="V1056" s="5">
        <f>IF($I1056="","",IF(IFERROR(INDEX('CAT_TIPOS_OT'!$D$4:$D$8,MATCH($I1056,'CAT_TIPOS_OT'!$A$4:$A$8,0)),"SIN CLASIFICAR")="","SIN CLASIFICAR",IFERROR(INDEX('CAT_TIPOS_OT'!$D$4:$D$8,MATCH($I1056,'CAT_TIPOS_OT'!$A$4:$A$8,0)),"SIN CLASIFICAR")))</f>
        <v/>
      </c>
      <c r="W1056" s="5">
        <f>IF($F1056="","",IFERROR(INDEX('CAT_CENTROS_COSTO'!$F$4:$F$13,MATCH($F1056,'CAT_CENTROS_COSTO'!$A$4:$A$13,0)),"(sin catálogo)"))</f>
        <v/>
      </c>
      <c r="X1056" s="5">
        <f>IF($F1056="","",IFERROR(INDEX('CAT_CENTROS_COSTO'!$D$4:$D$13,MATCH($F1056,'CAT_CENTROS_COSTO'!$A$4:$A$13,0)),"(sin catálogo)"))</f>
        <v/>
      </c>
      <c r="Y1056" s="5">
        <f>IF($F1056="","",IF((IFERROR(INDEX('CAT_CENTROS_COSTO'!$E$4:$E$13,MATCH($F1056,'CAT_CENTROS_COSTO'!$A$4:$A$13,0)),""))&lt;&gt;"",IFERROR(INDEX('CAT_CENTROS_COSTO'!$E$4:$E$13,MATCH($F1056,'CAT_CENTROS_COSTO'!$A$4:$A$13,0)),""),$X1056))</f>
        <v/>
      </c>
      <c r="Z1056" s="5">
        <f>IF($F1056="","",IFERROR(INDEX('CAT_CENTROS_COSTO'!$G$4:$G$13,MATCH($F1056,'CAT_CENTROS_COSTO'!$A$4:$A$13,0)),"(sin catálogo)"))</f>
        <v/>
      </c>
      <c r="AA1056" s="5">
        <f>IF($G1056="","",IFERROR(INDEX('CAT_PUESTOS'!$B$4:$B$8,MATCH($G1056,'CAT_PUESTOS'!$A$4:$A$8,0)),"(sin catálogo)"))</f>
        <v/>
      </c>
      <c r="AB1056" s="5">
        <f>IF($H1056="","",IFERROR(INDEX('CAT_ACTIVIDADES'!$B$4:$B$11,MATCH($H1056,'CAT_ACTIVIDADES'!$A$4:$A$11,0)),"(sin catálogo)"))</f>
        <v/>
      </c>
      <c r="AC1056" s="20">
        <f>IF($J1056="","",TODAY()-$J1056)</f>
        <v/>
      </c>
      <c r="AD1056" s="20">
        <f>IF($J1056="","",IF($J1056&lt;=TODAY(),COUNTIFS(cal_fechas,"&gt;="&amp;$J1056,cal_fechas,"&lt;"&amp;TODAY(),cal_habil,"sí"),-COUNTIFS(cal_fechas,"&gt;="&amp;TODAY(),cal_fechas,"&lt;"&amp;$J1056,cal_habil,"sí")))</f>
        <v/>
      </c>
      <c r="AE1056" s="5">
        <f>IF($AD1056="","",IF($AD1056&lt;0,"FUTURO",IF($AD1056&gt;p_dias_backlog_max,"BACKLOG","MES CORRIENTE")))</f>
        <v/>
      </c>
      <c r="AF1056" s="5">
        <f>IF($AD1056="",FALSE,AND($AD1056&gt;p_dias_backlog_min,$AD1056&lt;=p_dias_backlog_max))</f>
        <v/>
      </c>
      <c r="AG1056" s="4" t="n"/>
      <c r="AH1056" s="5">
        <f>IF($AG1056="","",IF((IFERROR(INDEX('ASIGNACIONES'!$J$4:$J$451,MATCH($O1056&amp;"|"&amp;$S1056&amp;"|"&amp;$AG1056,'ASIGNACIONES'!$N$4:$N$451,0)),""))=0,"",IFERROR(INDEX('ASIGNACIONES'!$J$4:$J$451,MATCH($O1056&amp;"|"&amp;$S1056&amp;"|"&amp;$AG1056,'ASIGNACIONES'!$N$4:$N$451,0)),"")))</f>
        <v/>
      </c>
      <c r="AI1056" s="25">
        <f>IF($AG1056="","",SUMIFS('ORDENES'!$M$4:$M$1203,'ORDENES'!$AG$4:$AG$1203,$AG1056,'ORDENES'!$O$4:$O$1203,$O1056,'ORDENES'!$S$4:$S$1203,$S1056))</f>
        <v/>
      </c>
      <c r="AJ1056" s="25">
        <f>IF($AI1056="","",p_factor_productividad*IFERROR(INDEX('ASIGNACIONES'!$M$4:$M$451,MATCH($O1056&amp;"|"&amp;$S1056&amp;"|"&amp;$AG1056,'ASIGNACIONES'!$N$4:$N$451,0)),0)-$AI1056)</f>
        <v/>
      </c>
      <c r="AK1056" s="18">
        <f>IF($A1056="","",IFERROR(INDEX('2_IMPORTAR_EJECUCION'!$F$9:$F$1208,MATCH($AT1056,'2_IMPORTAR_EJECUCION'!$J$9:$J$1208,0)),0))</f>
        <v/>
      </c>
      <c r="AL1056" s="18">
        <f>IF($A1056="","",MAX(0,IFERROR(INDEX('2_IMPORTAR_EJECUCION'!$H$9:$H$1208,MATCH($AT1056,'2_IMPORTAR_EJECUCION'!$J$9:$J$1208,0)),0)-$AK1056))</f>
        <v/>
      </c>
      <c r="AM1056" s="18">
        <f>IF($A1056="","",$AK1056+$AL1056)</f>
        <v/>
      </c>
      <c r="AN1056" s="5">
        <f>IF($A1056="","",IF(OR((IFERROR(INDEX('CAT_ACTIVIDADES'!$D$4:$D$11,MATCH($H1056,'CAT_ACTIVIDADES'!$A$4:$A$11,0)),""))=0,(IFERROR(INDEX('CAT_ACTIVIDADES'!$D$4:$D$11,MATCH($H1056,'CAT_ACTIVIDADES'!$A$4:$A$11,0)),""))=""),"SIN CLASIFICAR",IFERROR(INDEX('CAT_ACTIVIDADES'!$D$4:$D$11,MATCH($H1056,'CAT_ACTIVIDADES'!$A$4:$A$11,0)),"")))</f>
        <v/>
      </c>
      <c r="AO1056" s="4" t="n"/>
      <c r="AP1056" s="4" t="n"/>
      <c r="AQ1056" s="4" t="n"/>
      <c r="AR1056" s="5">
        <f>IF($AQ1056="","",HYPERLINK(p_ruta_base_checklists&amp;$AQ1056,"abrir"))</f>
        <v/>
      </c>
      <c r="AS1056" s="4" t="n"/>
      <c r="AT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2" t="n"/>
      <c r="K1057" s="5" t="n"/>
      <c r="L1057" s="18" t="n"/>
      <c r="M1057" s="5">
        <f>IF($A1057="","",IFERROR(INDEX('AJUSTES'!$B$4:$B$303,MATCH($AT1057,'AJUSTES'!$A$4:$A$303,0)),IF($K1057="","",$K1057)))</f>
        <v/>
      </c>
      <c r="N1057" s="5">
        <f>IF($A1057="","",IFERROR(INDEX('CAT_ESTADOS_ERP'!$B$4:$B$7,MATCH(IFERROR(INDEX('2_IMPORTAR_EJECUCION'!$C$9:$C$1208,MATCH($AT1057,'2_IMPORTAR_EJECUCION'!$J$9:$J$1208,0)),""),'CAT_ESTADOS_ERP'!$A$4:$A$7,0)),"Pendiente"))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IF($J1057="","",$P1057&amp;"-"&amp;TEXT($Q1057,"00"))</f>
        <v/>
      </c>
      <c r="S1057" s="5">
        <f>IF($J1057="","",INDEX(lista_dias,WEEKDAY($J1057,2)))</f>
        <v/>
      </c>
      <c r="T1057" s="5">
        <f>IF($J1057="","",IFERROR(INDEX('CALENDARIO'!$C$15:$C$214,MATCH(TEXT($J1057,"yyyy-mm-dd")&amp;"|"&amp;$X1057&amp;"|"&amp;$Y1057,'CALENDARIO'!$G$15:$G$214,0)),IFERROR(INDEX('CALENDARIO'!$C$15:$C$214,MATCH(TEXT($J1057,"yyyy-mm-dd")&amp;"|"&amp;$X1057&amp;"|",'CALENDARIO'!$G$15:$G$214,0)),IFERROR(INDEX('CALENDARIO'!$C$15:$C$214,MATCH(TEXT($J1057,"yyyy-mm-dd")&amp;"||",'CALENDARIO'!$G$15:$G$214,0)),INDEX(patronHabil,WEEKDAY($J1057,2))))))</f>
        <v/>
      </c>
      <c r="U1057" s="5">
        <f>IF($I1057="","",IFERROR(INDEX('CAT_TIPOS_OT'!$C$4:$C$8,MATCH($I1057,'CAT_TIPOS_OT'!$A$4:$A$8,0)),"sin_clasificar"))</f>
        <v/>
      </c>
      <c r="V1057" s="5">
        <f>IF($I1057="","",IF(IFERROR(INDEX('CAT_TIPOS_OT'!$D$4:$D$8,MATCH($I1057,'CAT_TIPOS_OT'!$A$4:$A$8,0)),"SIN CLASIFICAR")="","SIN CLASIFICAR",IFERROR(INDEX('CAT_TIPOS_OT'!$D$4:$D$8,MATCH($I1057,'CAT_TIPOS_OT'!$A$4:$A$8,0)),"SIN CLASIFICAR")))</f>
        <v/>
      </c>
      <c r="W1057" s="5">
        <f>IF($F1057="","",IFERROR(INDEX('CAT_CENTROS_COSTO'!$F$4:$F$13,MATCH($F1057,'CAT_CENTROS_COSTO'!$A$4:$A$13,0)),"(sin catálogo)"))</f>
        <v/>
      </c>
      <c r="X1057" s="5">
        <f>IF($F1057="","",IFERROR(INDEX('CAT_CENTROS_COSTO'!$D$4:$D$13,MATCH($F1057,'CAT_CENTROS_COSTO'!$A$4:$A$13,0)),"(sin catálogo)"))</f>
        <v/>
      </c>
      <c r="Y1057" s="5">
        <f>IF($F1057="","",IF((IFERROR(INDEX('CAT_CENTROS_COSTO'!$E$4:$E$13,MATCH($F1057,'CAT_CENTROS_COSTO'!$A$4:$A$13,0)),""))&lt;&gt;"",IFERROR(INDEX('CAT_CENTROS_COSTO'!$E$4:$E$13,MATCH($F1057,'CAT_CENTROS_COSTO'!$A$4:$A$13,0)),""),$X1057))</f>
        <v/>
      </c>
      <c r="Z1057" s="5">
        <f>IF($F1057="","",IFERROR(INDEX('CAT_CENTROS_COSTO'!$G$4:$G$13,MATCH($F1057,'CAT_CENTROS_COSTO'!$A$4:$A$13,0)),"(sin catálogo)"))</f>
        <v/>
      </c>
      <c r="AA1057" s="5">
        <f>IF($G1057="","",IFERROR(INDEX('CAT_PUESTOS'!$B$4:$B$8,MATCH($G1057,'CAT_PUESTOS'!$A$4:$A$8,0)),"(sin catálogo)"))</f>
        <v/>
      </c>
      <c r="AB1057" s="5">
        <f>IF($H1057="","",IFERROR(INDEX('CAT_ACTIVIDADES'!$B$4:$B$11,MATCH($H1057,'CAT_ACTIVIDADES'!$A$4:$A$11,0)),"(sin catálogo)"))</f>
        <v/>
      </c>
      <c r="AC1057" s="20">
        <f>IF($J1057="","",TODAY()-$J1057)</f>
        <v/>
      </c>
      <c r="AD1057" s="20">
        <f>IF($J1057="","",IF($J1057&lt;=TODAY(),COUNTIFS(cal_fechas,"&gt;="&amp;$J1057,cal_fechas,"&lt;"&amp;TODAY(),cal_habil,"sí"),-COUNTIFS(cal_fechas,"&gt;="&amp;TODAY(),cal_fechas,"&lt;"&amp;$J1057,cal_habil,"sí")))</f>
        <v/>
      </c>
      <c r="AE1057" s="5">
        <f>IF($AD1057="","",IF($AD1057&lt;0,"FUTURO",IF($AD1057&gt;p_dias_backlog_max,"BACKLOG","MES CORRIENTE")))</f>
        <v/>
      </c>
      <c r="AF1057" s="5">
        <f>IF($AD1057="",FALSE,AND($AD1057&gt;p_dias_backlog_min,$AD1057&lt;=p_dias_backlog_max))</f>
        <v/>
      </c>
      <c r="AG1057" s="4" t="n"/>
      <c r="AH1057" s="5">
        <f>IF($AG1057="","",IF((IFERROR(INDEX('ASIGNACIONES'!$J$4:$J$451,MATCH($O1057&amp;"|"&amp;$S1057&amp;"|"&amp;$AG1057,'ASIGNACIONES'!$N$4:$N$451,0)),""))=0,"",IFERROR(INDEX('ASIGNACIONES'!$J$4:$J$451,MATCH($O1057&amp;"|"&amp;$S1057&amp;"|"&amp;$AG1057,'ASIGNACIONES'!$N$4:$N$451,0)),"")))</f>
        <v/>
      </c>
      <c r="AI1057" s="25">
        <f>IF($AG1057="","",SUMIFS('ORDENES'!$M$4:$M$1203,'ORDENES'!$AG$4:$AG$1203,$AG1057,'ORDENES'!$O$4:$O$1203,$O1057,'ORDENES'!$S$4:$S$1203,$S1057))</f>
        <v/>
      </c>
      <c r="AJ1057" s="25">
        <f>IF($AI1057="","",p_factor_productividad*IFERROR(INDEX('ASIGNACIONES'!$M$4:$M$451,MATCH($O1057&amp;"|"&amp;$S1057&amp;"|"&amp;$AG1057,'ASIGNACIONES'!$N$4:$N$451,0)),0)-$AI1057)</f>
        <v/>
      </c>
      <c r="AK1057" s="18">
        <f>IF($A1057="","",IFERROR(INDEX('2_IMPORTAR_EJECUCION'!$F$9:$F$1208,MATCH($AT1057,'2_IMPORTAR_EJECUCION'!$J$9:$J$1208,0)),0))</f>
        <v/>
      </c>
      <c r="AL1057" s="18">
        <f>IF($A1057="","",MAX(0,IFERROR(INDEX('2_IMPORTAR_EJECUCION'!$H$9:$H$1208,MATCH($AT1057,'2_IMPORTAR_EJECUCION'!$J$9:$J$1208,0)),0)-$AK1057))</f>
        <v/>
      </c>
      <c r="AM1057" s="18">
        <f>IF($A1057="","",$AK1057+$AL1057)</f>
        <v/>
      </c>
      <c r="AN1057" s="5">
        <f>IF($A1057="","",IF(OR((IFERROR(INDEX('CAT_ACTIVIDADES'!$D$4:$D$11,MATCH($H1057,'CAT_ACTIVIDADES'!$A$4:$A$11,0)),""))=0,(IFERROR(INDEX('CAT_ACTIVIDADES'!$D$4:$D$11,MATCH($H1057,'CAT_ACTIVIDADES'!$A$4:$A$11,0)),""))=""),"SIN CLASIFICAR",IFERROR(INDEX('CAT_ACTIVIDADES'!$D$4:$D$11,MATCH($H1057,'CAT_ACTIVIDADES'!$A$4:$A$11,0)),"")))</f>
        <v/>
      </c>
      <c r="AO1057" s="4" t="n"/>
      <c r="AP1057" s="4" t="n"/>
      <c r="AQ1057" s="4" t="n"/>
      <c r="AR1057" s="5">
        <f>IF($AQ1057="","",HYPERLINK(p_ruta_base_checklists&amp;$AQ1057,"abrir"))</f>
        <v/>
      </c>
      <c r="AS1057" s="4" t="n"/>
      <c r="AT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2" t="n"/>
      <c r="K1058" s="5" t="n"/>
      <c r="L1058" s="18" t="n"/>
      <c r="M1058" s="5">
        <f>IF($A1058="","",IFERROR(INDEX('AJUSTES'!$B$4:$B$303,MATCH($AT1058,'AJUSTES'!$A$4:$A$303,0)),IF($K1058="","",$K1058)))</f>
        <v/>
      </c>
      <c r="N1058" s="5">
        <f>IF($A1058="","",IFERROR(INDEX('CAT_ESTADOS_ERP'!$B$4:$B$7,MATCH(IFERROR(INDEX('2_IMPORTAR_EJECUCION'!$C$9:$C$1208,MATCH($AT1058,'2_IMPORTAR_EJECUCION'!$J$9:$J$1208,0)),""),'CAT_ESTADOS_ERP'!$A$4:$A$7,0)),"Pendiente"))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IF($J1058="","",$P1058&amp;"-"&amp;TEXT($Q1058,"00"))</f>
        <v/>
      </c>
      <c r="S1058" s="5">
        <f>IF($J1058="","",INDEX(lista_dias,WEEKDAY($J1058,2)))</f>
        <v/>
      </c>
      <c r="T1058" s="5">
        <f>IF($J1058="","",IFERROR(INDEX('CALENDARIO'!$C$15:$C$214,MATCH(TEXT($J1058,"yyyy-mm-dd")&amp;"|"&amp;$X1058&amp;"|"&amp;$Y1058,'CALENDARIO'!$G$15:$G$214,0)),IFERROR(INDEX('CALENDARIO'!$C$15:$C$214,MATCH(TEXT($J1058,"yyyy-mm-dd")&amp;"|"&amp;$X1058&amp;"|",'CALENDARIO'!$G$15:$G$214,0)),IFERROR(INDEX('CALENDARIO'!$C$15:$C$214,MATCH(TEXT($J1058,"yyyy-mm-dd")&amp;"||",'CALENDARIO'!$G$15:$G$214,0)),INDEX(patronHabil,WEEKDAY($J1058,2))))))</f>
        <v/>
      </c>
      <c r="U1058" s="5">
        <f>IF($I1058="","",IFERROR(INDEX('CAT_TIPOS_OT'!$C$4:$C$8,MATCH($I1058,'CAT_TIPOS_OT'!$A$4:$A$8,0)),"sin_clasificar"))</f>
        <v/>
      </c>
      <c r="V1058" s="5">
        <f>IF($I1058="","",IF(IFERROR(INDEX('CAT_TIPOS_OT'!$D$4:$D$8,MATCH($I1058,'CAT_TIPOS_OT'!$A$4:$A$8,0)),"SIN CLASIFICAR")="","SIN CLASIFICAR",IFERROR(INDEX('CAT_TIPOS_OT'!$D$4:$D$8,MATCH($I1058,'CAT_TIPOS_OT'!$A$4:$A$8,0)),"SIN CLASIFICAR")))</f>
        <v/>
      </c>
      <c r="W1058" s="5">
        <f>IF($F1058="","",IFERROR(INDEX('CAT_CENTROS_COSTO'!$F$4:$F$13,MATCH($F1058,'CAT_CENTROS_COSTO'!$A$4:$A$13,0)),"(sin catálogo)"))</f>
        <v/>
      </c>
      <c r="X1058" s="5">
        <f>IF($F1058="","",IFERROR(INDEX('CAT_CENTROS_COSTO'!$D$4:$D$13,MATCH($F1058,'CAT_CENTROS_COSTO'!$A$4:$A$13,0)),"(sin catálogo)"))</f>
        <v/>
      </c>
      <c r="Y1058" s="5">
        <f>IF($F1058="","",IF((IFERROR(INDEX('CAT_CENTROS_COSTO'!$E$4:$E$13,MATCH($F1058,'CAT_CENTROS_COSTO'!$A$4:$A$13,0)),""))&lt;&gt;"",IFERROR(INDEX('CAT_CENTROS_COSTO'!$E$4:$E$13,MATCH($F1058,'CAT_CENTROS_COSTO'!$A$4:$A$13,0)),""),$X1058))</f>
        <v/>
      </c>
      <c r="Z1058" s="5">
        <f>IF($F1058="","",IFERROR(INDEX('CAT_CENTROS_COSTO'!$G$4:$G$13,MATCH($F1058,'CAT_CENTROS_COSTO'!$A$4:$A$13,0)),"(sin catálogo)"))</f>
        <v/>
      </c>
      <c r="AA1058" s="5">
        <f>IF($G1058="","",IFERROR(INDEX('CAT_PUESTOS'!$B$4:$B$8,MATCH($G1058,'CAT_PUESTOS'!$A$4:$A$8,0)),"(sin catálogo)"))</f>
        <v/>
      </c>
      <c r="AB1058" s="5">
        <f>IF($H1058="","",IFERROR(INDEX('CAT_ACTIVIDADES'!$B$4:$B$11,MATCH($H1058,'CAT_ACTIVIDADES'!$A$4:$A$11,0)),"(sin catálogo)"))</f>
        <v/>
      </c>
      <c r="AC1058" s="20">
        <f>IF($J1058="","",TODAY()-$J1058)</f>
        <v/>
      </c>
      <c r="AD1058" s="20">
        <f>IF($J1058="","",IF($J1058&lt;=TODAY(),COUNTIFS(cal_fechas,"&gt;="&amp;$J1058,cal_fechas,"&lt;"&amp;TODAY(),cal_habil,"sí"),-COUNTIFS(cal_fechas,"&gt;="&amp;TODAY(),cal_fechas,"&lt;"&amp;$J1058,cal_habil,"sí")))</f>
        <v/>
      </c>
      <c r="AE1058" s="5">
        <f>IF($AD1058="","",IF($AD1058&lt;0,"FUTURO",IF($AD1058&gt;p_dias_backlog_max,"BACKLOG","MES CORRIENTE")))</f>
        <v/>
      </c>
      <c r="AF1058" s="5">
        <f>IF($AD1058="",FALSE,AND($AD1058&gt;p_dias_backlog_min,$AD1058&lt;=p_dias_backlog_max))</f>
        <v/>
      </c>
      <c r="AG1058" s="4" t="n"/>
      <c r="AH1058" s="5">
        <f>IF($AG1058="","",IF((IFERROR(INDEX('ASIGNACIONES'!$J$4:$J$451,MATCH($O1058&amp;"|"&amp;$S1058&amp;"|"&amp;$AG1058,'ASIGNACIONES'!$N$4:$N$451,0)),""))=0,"",IFERROR(INDEX('ASIGNACIONES'!$J$4:$J$451,MATCH($O1058&amp;"|"&amp;$S1058&amp;"|"&amp;$AG1058,'ASIGNACIONES'!$N$4:$N$451,0)),"")))</f>
        <v/>
      </c>
      <c r="AI1058" s="25">
        <f>IF($AG1058="","",SUMIFS('ORDENES'!$M$4:$M$1203,'ORDENES'!$AG$4:$AG$1203,$AG1058,'ORDENES'!$O$4:$O$1203,$O1058,'ORDENES'!$S$4:$S$1203,$S1058))</f>
        <v/>
      </c>
      <c r="AJ1058" s="25">
        <f>IF($AI1058="","",p_factor_productividad*IFERROR(INDEX('ASIGNACIONES'!$M$4:$M$451,MATCH($O1058&amp;"|"&amp;$S1058&amp;"|"&amp;$AG1058,'ASIGNACIONES'!$N$4:$N$451,0)),0)-$AI1058)</f>
        <v/>
      </c>
      <c r="AK1058" s="18">
        <f>IF($A1058="","",IFERROR(INDEX('2_IMPORTAR_EJECUCION'!$F$9:$F$1208,MATCH($AT1058,'2_IMPORTAR_EJECUCION'!$J$9:$J$1208,0)),0))</f>
        <v/>
      </c>
      <c r="AL1058" s="18">
        <f>IF($A1058="","",MAX(0,IFERROR(INDEX('2_IMPORTAR_EJECUCION'!$H$9:$H$1208,MATCH($AT1058,'2_IMPORTAR_EJECUCION'!$J$9:$J$1208,0)),0)-$AK1058))</f>
        <v/>
      </c>
      <c r="AM1058" s="18">
        <f>IF($A1058="","",$AK1058+$AL1058)</f>
        <v/>
      </c>
      <c r="AN1058" s="5">
        <f>IF($A1058="","",IF(OR((IFERROR(INDEX('CAT_ACTIVIDADES'!$D$4:$D$11,MATCH($H1058,'CAT_ACTIVIDADES'!$A$4:$A$11,0)),""))=0,(IFERROR(INDEX('CAT_ACTIVIDADES'!$D$4:$D$11,MATCH($H1058,'CAT_ACTIVIDADES'!$A$4:$A$11,0)),""))=""),"SIN CLASIFICAR",IFERROR(INDEX('CAT_ACTIVIDADES'!$D$4:$D$11,MATCH($H1058,'CAT_ACTIVIDADES'!$A$4:$A$11,0)),"")))</f>
        <v/>
      </c>
      <c r="AO1058" s="4" t="n"/>
      <c r="AP1058" s="4" t="n"/>
      <c r="AQ1058" s="4" t="n"/>
      <c r="AR1058" s="5">
        <f>IF($AQ1058="","",HYPERLINK(p_ruta_base_checklists&amp;$AQ1058,"abrir"))</f>
        <v/>
      </c>
      <c r="AS1058" s="4" t="n"/>
      <c r="AT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2" t="n"/>
      <c r="K1059" s="5" t="n"/>
      <c r="L1059" s="18" t="n"/>
      <c r="M1059" s="5">
        <f>IF($A1059="","",IFERROR(INDEX('AJUSTES'!$B$4:$B$303,MATCH($AT1059,'AJUSTES'!$A$4:$A$303,0)),IF($K1059="","",$K1059)))</f>
        <v/>
      </c>
      <c r="N1059" s="5">
        <f>IF($A1059="","",IFERROR(INDEX('CAT_ESTADOS_ERP'!$B$4:$B$7,MATCH(IFERROR(INDEX('2_IMPORTAR_EJECUCION'!$C$9:$C$1208,MATCH($AT1059,'2_IMPORTAR_EJECUCION'!$J$9:$J$1208,0)),""),'CAT_ESTADOS_ERP'!$A$4:$A$7,0)),"Pendiente"))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IF($J1059="","",$P1059&amp;"-"&amp;TEXT($Q1059,"00"))</f>
        <v/>
      </c>
      <c r="S1059" s="5">
        <f>IF($J1059="","",INDEX(lista_dias,WEEKDAY($J1059,2)))</f>
        <v/>
      </c>
      <c r="T1059" s="5">
        <f>IF($J1059="","",IFERROR(INDEX('CALENDARIO'!$C$15:$C$214,MATCH(TEXT($J1059,"yyyy-mm-dd")&amp;"|"&amp;$X1059&amp;"|"&amp;$Y1059,'CALENDARIO'!$G$15:$G$214,0)),IFERROR(INDEX('CALENDARIO'!$C$15:$C$214,MATCH(TEXT($J1059,"yyyy-mm-dd")&amp;"|"&amp;$X1059&amp;"|",'CALENDARIO'!$G$15:$G$214,0)),IFERROR(INDEX('CALENDARIO'!$C$15:$C$214,MATCH(TEXT($J1059,"yyyy-mm-dd")&amp;"||",'CALENDARIO'!$G$15:$G$214,0)),INDEX(patronHabil,WEEKDAY($J1059,2))))))</f>
        <v/>
      </c>
      <c r="U1059" s="5">
        <f>IF($I1059="","",IFERROR(INDEX('CAT_TIPOS_OT'!$C$4:$C$8,MATCH($I1059,'CAT_TIPOS_OT'!$A$4:$A$8,0)),"sin_clasificar"))</f>
        <v/>
      </c>
      <c r="V1059" s="5">
        <f>IF($I1059="","",IF(IFERROR(INDEX('CAT_TIPOS_OT'!$D$4:$D$8,MATCH($I1059,'CAT_TIPOS_OT'!$A$4:$A$8,0)),"SIN CLASIFICAR")="","SIN CLASIFICAR",IFERROR(INDEX('CAT_TIPOS_OT'!$D$4:$D$8,MATCH($I1059,'CAT_TIPOS_OT'!$A$4:$A$8,0)),"SIN CLASIFICAR")))</f>
        <v/>
      </c>
      <c r="W1059" s="5">
        <f>IF($F1059="","",IFERROR(INDEX('CAT_CENTROS_COSTO'!$F$4:$F$13,MATCH($F1059,'CAT_CENTROS_COSTO'!$A$4:$A$13,0)),"(sin catálogo)"))</f>
        <v/>
      </c>
      <c r="X1059" s="5">
        <f>IF($F1059="","",IFERROR(INDEX('CAT_CENTROS_COSTO'!$D$4:$D$13,MATCH($F1059,'CAT_CENTROS_COSTO'!$A$4:$A$13,0)),"(sin catálogo)"))</f>
        <v/>
      </c>
      <c r="Y1059" s="5">
        <f>IF($F1059="","",IF((IFERROR(INDEX('CAT_CENTROS_COSTO'!$E$4:$E$13,MATCH($F1059,'CAT_CENTROS_COSTO'!$A$4:$A$13,0)),""))&lt;&gt;"",IFERROR(INDEX('CAT_CENTROS_COSTO'!$E$4:$E$13,MATCH($F1059,'CAT_CENTROS_COSTO'!$A$4:$A$13,0)),""),$X1059))</f>
        <v/>
      </c>
      <c r="Z1059" s="5">
        <f>IF($F1059="","",IFERROR(INDEX('CAT_CENTROS_COSTO'!$G$4:$G$13,MATCH($F1059,'CAT_CENTROS_COSTO'!$A$4:$A$13,0)),"(sin catálogo)"))</f>
        <v/>
      </c>
      <c r="AA1059" s="5">
        <f>IF($G1059="","",IFERROR(INDEX('CAT_PUESTOS'!$B$4:$B$8,MATCH($G1059,'CAT_PUESTOS'!$A$4:$A$8,0)),"(sin catálogo)"))</f>
        <v/>
      </c>
      <c r="AB1059" s="5">
        <f>IF($H1059="","",IFERROR(INDEX('CAT_ACTIVIDADES'!$B$4:$B$11,MATCH($H1059,'CAT_ACTIVIDADES'!$A$4:$A$11,0)),"(sin catálogo)"))</f>
        <v/>
      </c>
      <c r="AC1059" s="20">
        <f>IF($J1059="","",TODAY()-$J1059)</f>
        <v/>
      </c>
      <c r="AD1059" s="20">
        <f>IF($J1059="","",IF($J1059&lt;=TODAY(),COUNTIFS(cal_fechas,"&gt;="&amp;$J1059,cal_fechas,"&lt;"&amp;TODAY(),cal_habil,"sí"),-COUNTIFS(cal_fechas,"&gt;="&amp;TODAY(),cal_fechas,"&lt;"&amp;$J1059,cal_habil,"sí")))</f>
        <v/>
      </c>
      <c r="AE1059" s="5">
        <f>IF($AD1059="","",IF($AD1059&lt;0,"FUTURO",IF($AD1059&gt;p_dias_backlog_max,"BACKLOG","MES CORRIENTE")))</f>
        <v/>
      </c>
      <c r="AF1059" s="5">
        <f>IF($AD1059="",FALSE,AND($AD1059&gt;p_dias_backlog_min,$AD1059&lt;=p_dias_backlog_max))</f>
        <v/>
      </c>
      <c r="AG1059" s="4" t="n"/>
      <c r="AH1059" s="5">
        <f>IF($AG1059="","",IF((IFERROR(INDEX('ASIGNACIONES'!$J$4:$J$451,MATCH($O1059&amp;"|"&amp;$S1059&amp;"|"&amp;$AG1059,'ASIGNACIONES'!$N$4:$N$451,0)),""))=0,"",IFERROR(INDEX('ASIGNACIONES'!$J$4:$J$451,MATCH($O1059&amp;"|"&amp;$S1059&amp;"|"&amp;$AG1059,'ASIGNACIONES'!$N$4:$N$451,0)),"")))</f>
        <v/>
      </c>
      <c r="AI1059" s="25">
        <f>IF($AG1059="","",SUMIFS('ORDENES'!$M$4:$M$1203,'ORDENES'!$AG$4:$AG$1203,$AG1059,'ORDENES'!$O$4:$O$1203,$O1059,'ORDENES'!$S$4:$S$1203,$S1059))</f>
        <v/>
      </c>
      <c r="AJ1059" s="25">
        <f>IF($AI1059="","",p_factor_productividad*IFERROR(INDEX('ASIGNACIONES'!$M$4:$M$451,MATCH($O1059&amp;"|"&amp;$S1059&amp;"|"&amp;$AG1059,'ASIGNACIONES'!$N$4:$N$451,0)),0)-$AI1059)</f>
        <v/>
      </c>
      <c r="AK1059" s="18">
        <f>IF($A1059="","",IFERROR(INDEX('2_IMPORTAR_EJECUCION'!$F$9:$F$1208,MATCH($AT1059,'2_IMPORTAR_EJECUCION'!$J$9:$J$1208,0)),0))</f>
        <v/>
      </c>
      <c r="AL1059" s="18">
        <f>IF($A1059="","",MAX(0,IFERROR(INDEX('2_IMPORTAR_EJECUCION'!$H$9:$H$1208,MATCH($AT1059,'2_IMPORTAR_EJECUCION'!$J$9:$J$1208,0)),0)-$AK1059))</f>
        <v/>
      </c>
      <c r="AM1059" s="18">
        <f>IF($A1059="","",$AK1059+$AL1059)</f>
        <v/>
      </c>
      <c r="AN1059" s="5">
        <f>IF($A1059="","",IF(OR((IFERROR(INDEX('CAT_ACTIVIDADES'!$D$4:$D$11,MATCH($H1059,'CAT_ACTIVIDADES'!$A$4:$A$11,0)),""))=0,(IFERROR(INDEX('CAT_ACTIVIDADES'!$D$4:$D$11,MATCH($H1059,'CAT_ACTIVIDADES'!$A$4:$A$11,0)),""))=""),"SIN CLASIFICAR",IFERROR(INDEX('CAT_ACTIVIDADES'!$D$4:$D$11,MATCH($H1059,'CAT_ACTIVIDADES'!$A$4:$A$11,0)),"")))</f>
        <v/>
      </c>
      <c r="AO1059" s="4" t="n"/>
      <c r="AP1059" s="4" t="n"/>
      <c r="AQ1059" s="4" t="n"/>
      <c r="AR1059" s="5">
        <f>IF($AQ1059="","",HYPERLINK(p_ruta_base_checklists&amp;$AQ1059,"abrir"))</f>
        <v/>
      </c>
      <c r="AS1059" s="4" t="n"/>
      <c r="AT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2" t="n"/>
      <c r="K1060" s="5" t="n"/>
      <c r="L1060" s="18" t="n"/>
      <c r="M1060" s="5">
        <f>IF($A1060="","",IFERROR(INDEX('AJUSTES'!$B$4:$B$303,MATCH($AT1060,'AJUSTES'!$A$4:$A$303,0)),IF($K1060="","",$K1060)))</f>
        <v/>
      </c>
      <c r="N1060" s="5">
        <f>IF($A1060="","",IFERROR(INDEX('CAT_ESTADOS_ERP'!$B$4:$B$7,MATCH(IFERROR(INDEX('2_IMPORTAR_EJECUCION'!$C$9:$C$1208,MATCH($AT1060,'2_IMPORTAR_EJECUCION'!$J$9:$J$1208,0)),""),'CAT_ESTADOS_ERP'!$A$4:$A$7,0)),"Pendiente"))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IF($J1060="","",$P1060&amp;"-"&amp;TEXT($Q1060,"00"))</f>
        <v/>
      </c>
      <c r="S1060" s="5">
        <f>IF($J1060="","",INDEX(lista_dias,WEEKDAY($J1060,2)))</f>
        <v/>
      </c>
      <c r="T1060" s="5">
        <f>IF($J1060="","",IFERROR(INDEX('CALENDARIO'!$C$15:$C$214,MATCH(TEXT($J1060,"yyyy-mm-dd")&amp;"|"&amp;$X1060&amp;"|"&amp;$Y1060,'CALENDARIO'!$G$15:$G$214,0)),IFERROR(INDEX('CALENDARIO'!$C$15:$C$214,MATCH(TEXT($J1060,"yyyy-mm-dd")&amp;"|"&amp;$X1060&amp;"|",'CALENDARIO'!$G$15:$G$214,0)),IFERROR(INDEX('CALENDARIO'!$C$15:$C$214,MATCH(TEXT($J1060,"yyyy-mm-dd")&amp;"||",'CALENDARIO'!$G$15:$G$214,0)),INDEX(patronHabil,WEEKDAY($J1060,2))))))</f>
        <v/>
      </c>
      <c r="U1060" s="5">
        <f>IF($I1060="","",IFERROR(INDEX('CAT_TIPOS_OT'!$C$4:$C$8,MATCH($I1060,'CAT_TIPOS_OT'!$A$4:$A$8,0)),"sin_clasificar"))</f>
        <v/>
      </c>
      <c r="V1060" s="5">
        <f>IF($I1060="","",IF(IFERROR(INDEX('CAT_TIPOS_OT'!$D$4:$D$8,MATCH($I1060,'CAT_TIPOS_OT'!$A$4:$A$8,0)),"SIN CLASIFICAR")="","SIN CLASIFICAR",IFERROR(INDEX('CAT_TIPOS_OT'!$D$4:$D$8,MATCH($I1060,'CAT_TIPOS_OT'!$A$4:$A$8,0)),"SIN CLASIFICAR")))</f>
        <v/>
      </c>
      <c r="W1060" s="5">
        <f>IF($F1060="","",IFERROR(INDEX('CAT_CENTROS_COSTO'!$F$4:$F$13,MATCH($F1060,'CAT_CENTROS_COSTO'!$A$4:$A$13,0)),"(sin catálogo)"))</f>
        <v/>
      </c>
      <c r="X1060" s="5">
        <f>IF($F1060="","",IFERROR(INDEX('CAT_CENTROS_COSTO'!$D$4:$D$13,MATCH($F1060,'CAT_CENTROS_COSTO'!$A$4:$A$13,0)),"(sin catálogo)"))</f>
        <v/>
      </c>
      <c r="Y1060" s="5">
        <f>IF($F1060="","",IF((IFERROR(INDEX('CAT_CENTROS_COSTO'!$E$4:$E$13,MATCH($F1060,'CAT_CENTROS_COSTO'!$A$4:$A$13,0)),""))&lt;&gt;"",IFERROR(INDEX('CAT_CENTROS_COSTO'!$E$4:$E$13,MATCH($F1060,'CAT_CENTROS_COSTO'!$A$4:$A$13,0)),""),$X1060))</f>
        <v/>
      </c>
      <c r="Z1060" s="5">
        <f>IF($F1060="","",IFERROR(INDEX('CAT_CENTROS_COSTO'!$G$4:$G$13,MATCH($F1060,'CAT_CENTROS_COSTO'!$A$4:$A$13,0)),"(sin catálogo)"))</f>
        <v/>
      </c>
      <c r="AA1060" s="5">
        <f>IF($G1060="","",IFERROR(INDEX('CAT_PUESTOS'!$B$4:$B$8,MATCH($G1060,'CAT_PUESTOS'!$A$4:$A$8,0)),"(sin catálogo)"))</f>
        <v/>
      </c>
      <c r="AB1060" s="5">
        <f>IF($H1060="","",IFERROR(INDEX('CAT_ACTIVIDADES'!$B$4:$B$11,MATCH($H1060,'CAT_ACTIVIDADES'!$A$4:$A$11,0)),"(sin catálogo)"))</f>
        <v/>
      </c>
      <c r="AC1060" s="20">
        <f>IF($J1060="","",TODAY()-$J1060)</f>
        <v/>
      </c>
      <c r="AD1060" s="20">
        <f>IF($J1060="","",IF($J1060&lt;=TODAY(),COUNTIFS(cal_fechas,"&gt;="&amp;$J1060,cal_fechas,"&lt;"&amp;TODAY(),cal_habil,"sí"),-COUNTIFS(cal_fechas,"&gt;="&amp;TODAY(),cal_fechas,"&lt;"&amp;$J1060,cal_habil,"sí")))</f>
        <v/>
      </c>
      <c r="AE1060" s="5">
        <f>IF($AD1060="","",IF($AD1060&lt;0,"FUTURO",IF($AD1060&gt;p_dias_backlog_max,"BACKLOG","MES CORRIENTE")))</f>
        <v/>
      </c>
      <c r="AF1060" s="5">
        <f>IF($AD1060="",FALSE,AND($AD1060&gt;p_dias_backlog_min,$AD1060&lt;=p_dias_backlog_max))</f>
        <v/>
      </c>
      <c r="AG1060" s="4" t="n"/>
      <c r="AH1060" s="5">
        <f>IF($AG1060="","",IF((IFERROR(INDEX('ASIGNACIONES'!$J$4:$J$451,MATCH($O1060&amp;"|"&amp;$S1060&amp;"|"&amp;$AG1060,'ASIGNACIONES'!$N$4:$N$451,0)),""))=0,"",IFERROR(INDEX('ASIGNACIONES'!$J$4:$J$451,MATCH($O1060&amp;"|"&amp;$S1060&amp;"|"&amp;$AG1060,'ASIGNACIONES'!$N$4:$N$451,0)),"")))</f>
        <v/>
      </c>
      <c r="AI1060" s="25">
        <f>IF($AG1060="","",SUMIFS('ORDENES'!$M$4:$M$1203,'ORDENES'!$AG$4:$AG$1203,$AG1060,'ORDENES'!$O$4:$O$1203,$O1060,'ORDENES'!$S$4:$S$1203,$S1060))</f>
        <v/>
      </c>
      <c r="AJ1060" s="25">
        <f>IF($AI1060="","",p_factor_productividad*IFERROR(INDEX('ASIGNACIONES'!$M$4:$M$451,MATCH($O1060&amp;"|"&amp;$S1060&amp;"|"&amp;$AG1060,'ASIGNACIONES'!$N$4:$N$451,0)),0)-$AI1060)</f>
        <v/>
      </c>
      <c r="AK1060" s="18">
        <f>IF($A1060="","",IFERROR(INDEX('2_IMPORTAR_EJECUCION'!$F$9:$F$1208,MATCH($AT1060,'2_IMPORTAR_EJECUCION'!$J$9:$J$1208,0)),0))</f>
        <v/>
      </c>
      <c r="AL1060" s="18">
        <f>IF($A1060="","",MAX(0,IFERROR(INDEX('2_IMPORTAR_EJECUCION'!$H$9:$H$1208,MATCH($AT1060,'2_IMPORTAR_EJECUCION'!$J$9:$J$1208,0)),0)-$AK1060))</f>
        <v/>
      </c>
      <c r="AM1060" s="18">
        <f>IF($A1060="","",$AK1060+$AL1060)</f>
        <v/>
      </c>
      <c r="AN1060" s="5">
        <f>IF($A1060="","",IF(OR((IFERROR(INDEX('CAT_ACTIVIDADES'!$D$4:$D$11,MATCH($H1060,'CAT_ACTIVIDADES'!$A$4:$A$11,0)),""))=0,(IFERROR(INDEX('CAT_ACTIVIDADES'!$D$4:$D$11,MATCH($H1060,'CAT_ACTIVIDADES'!$A$4:$A$11,0)),""))=""),"SIN CLASIFICAR",IFERROR(INDEX('CAT_ACTIVIDADES'!$D$4:$D$11,MATCH($H1060,'CAT_ACTIVIDADES'!$A$4:$A$11,0)),"")))</f>
        <v/>
      </c>
      <c r="AO1060" s="4" t="n"/>
      <c r="AP1060" s="4" t="n"/>
      <c r="AQ1060" s="4" t="n"/>
      <c r="AR1060" s="5">
        <f>IF($AQ1060="","",HYPERLINK(p_ruta_base_checklists&amp;$AQ1060,"abrir"))</f>
        <v/>
      </c>
      <c r="AS1060" s="4" t="n"/>
      <c r="AT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2" t="n"/>
      <c r="K1061" s="5" t="n"/>
      <c r="L1061" s="18" t="n"/>
      <c r="M1061" s="5">
        <f>IF($A1061="","",IFERROR(INDEX('AJUSTES'!$B$4:$B$303,MATCH($AT1061,'AJUSTES'!$A$4:$A$303,0)),IF($K1061="","",$K1061)))</f>
        <v/>
      </c>
      <c r="N1061" s="5">
        <f>IF($A1061="","",IFERROR(INDEX('CAT_ESTADOS_ERP'!$B$4:$B$7,MATCH(IFERROR(INDEX('2_IMPORTAR_EJECUCION'!$C$9:$C$1208,MATCH($AT1061,'2_IMPORTAR_EJECUCION'!$J$9:$J$1208,0)),""),'CAT_ESTADOS_ERP'!$A$4:$A$7,0)),"Pendiente"))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IF($J1061="","",$P1061&amp;"-"&amp;TEXT($Q1061,"00"))</f>
        <v/>
      </c>
      <c r="S1061" s="5">
        <f>IF($J1061="","",INDEX(lista_dias,WEEKDAY($J1061,2)))</f>
        <v/>
      </c>
      <c r="T1061" s="5">
        <f>IF($J1061="","",IFERROR(INDEX('CALENDARIO'!$C$15:$C$214,MATCH(TEXT($J1061,"yyyy-mm-dd")&amp;"|"&amp;$X1061&amp;"|"&amp;$Y1061,'CALENDARIO'!$G$15:$G$214,0)),IFERROR(INDEX('CALENDARIO'!$C$15:$C$214,MATCH(TEXT($J1061,"yyyy-mm-dd")&amp;"|"&amp;$X1061&amp;"|",'CALENDARIO'!$G$15:$G$214,0)),IFERROR(INDEX('CALENDARIO'!$C$15:$C$214,MATCH(TEXT($J1061,"yyyy-mm-dd")&amp;"||",'CALENDARIO'!$G$15:$G$214,0)),INDEX(patronHabil,WEEKDAY($J1061,2))))))</f>
        <v/>
      </c>
      <c r="U1061" s="5">
        <f>IF($I1061="","",IFERROR(INDEX('CAT_TIPOS_OT'!$C$4:$C$8,MATCH($I1061,'CAT_TIPOS_OT'!$A$4:$A$8,0)),"sin_clasificar"))</f>
        <v/>
      </c>
      <c r="V1061" s="5">
        <f>IF($I1061="","",IF(IFERROR(INDEX('CAT_TIPOS_OT'!$D$4:$D$8,MATCH($I1061,'CAT_TIPOS_OT'!$A$4:$A$8,0)),"SIN CLASIFICAR")="","SIN CLASIFICAR",IFERROR(INDEX('CAT_TIPOS_OT'!$D$4:$D$8,MATCH($I1061,'CAT_TIPOS_OT'!$A$4:$A$8,0)),"SIN CLASIFICAR")))</f>
        <v/>
      </c>
      <c r="W1061" s="5">
        <f>IF($F1061="","",IFERROR(INDEX('CAT_CENTROS_COSTO'!$F$4:$F$13,MATCH($F1061,'CAT_CENTROS_COSTO'!$A$4:$A$13,0)),"(sin catálogo)"))</f>
        <v/>
      </c>
      <c r="X1061" s="5">
        <f>IF($F1061="","",IFERROR(INDEX('CAT_CENTROS_COSTO'!$D$4:$D$13,MATCH($F1061,'CAT_CENTROS_COSTO'!$A$4:$A$13,0)),"(sin catálogo)"))</f>
        <v/>
      </c>
      <c r="Y1061" s="5">
        <f>IF($F1061="","",IF((IFERROR(INDEX('CAT_CENTROS_COSTO'!$E$4:$E$13,MATCH($F1061,'CAT_CENTROS_COSTO'!$A$4:$A$13,0)),""))&lt;&gt;"",IFERROR(INDEX('CAT_CENTROS_COSTO'!$E$4:$E$13,MATCH($F1061,'CAT_CENTROS_COSTO'!$A$4:$A$13,0)),""),$X1061))</f>
        <v/>
      </c>
      <c r="Z1061" s="5">
        <f>IF($F1061="","",IFERROR(INDEX('CAT_CENTROS_COSTO'!$G$4:$G$13,MATCH($F1061,'CAT_CENTROS_COSTO'!$A$4:$A$13,0)),"(sin catálogo)"))</f>
        <v/>
      </c>
      <c r="AA1061" s="5">
        <f>IF($G1061="","",IFERROR(INDEX('CAT_PUESTOS'!$B$4:$B$8,MATCH($G1061,'CAT_PUESTOS'!$A$4:$A$8,0)),"(sin catálogo)"))</f>
        <v/>
      </c>
      <c r="AB1061" s="5">
        <f>IF($H1061="","",IFERROR(INDEX('CAT_ACTIVIDADES'!$B$4:$B$11,MATCH($H1061,'CAT_ACTIVIDADES'!$A$4:$A$11,0)),"(sin catálogo)"))</f>
        <v/>
      </c>
      <c r="AC1061" s="20">
        <f>IF($J1061="","",TODAY()-$J1061)</f>
        <v/>
      </c>
      <c r="AD1061" s="20">
        <f>IF($J1061="","",IF($J1061&lt;=TODAY(),COUNTIFS(cal_fechas,"&gt;="&amp;$J1061,cal_fechas,"&lt;"&amp;TODAY(),cal_habil,"sí"),-COUNTIFS(cal_fechas,"&gt;="&amp;TODAY(),cal_fechas,"&lt;"&amp;$J1061,cal_habil,"sí")))</f>
        <v/>
      </c>
      <c r="AE1061" s="5">
        <f>IF($AD1061="","",IF($AD1061&lt;0,"FUTURO",IF($AD1061&gt;p_dias_backlog_max,"BACKLOG","MES CORRIENTE")))</f>
        <v/>
      </c>
      <c r="AF1061" s="5">
        <f>IF($AD1061="",FALSE,AND($AD1061&gt;p_dias_backlog_min,$AD1061&lt;=p_dias_backlog_max))</f>
        <v/>
      </c>
      <c r="AG1061" s="4" t="n"/>
      <c r="AH1061" s="5">
        <f>IF($AG1061="","",IF((IFERROR(INDEX('ASIGNACIONES'!$J$4:$J$451,MATCH($O1061&amp;"|"&amp;$S1061&amp;"|"&amp;$AG1061,'ASIGNACIONES'!$N$4:$N$451,0)),""))=0,"",IFERROR(INDEX('ASIGNACIONES'!$J$4:$J$451,MATCH($O1061&amp;"|"&amp;$S1061&amp;"|"&amp;$AG1061,'ASIGNACIONES'!$N$4:$N$451,0)),"")))</f>
        <v/>
      </c>
      <c r="AI1061" s="25">
        <f>IF($AG1061="","",SUMIFS('ORDENES'!$M$4:$M$1203,'ORDENES'!$AG$4:$AG$1203,$AG1061,'ORDENES'!$O$4:$O$1203,$O1061,'ORDENES'!$S$4:$S$1203,$S1061))</f>
        <v/>
      </c>
      <c r="AJ1061" s="25">
        <f>IF($AI1061="","",p_factor_productividad*IFERROR(INDEX('ASIGNACIONES'!$M$4:$M$451,MATCH($O1061&amp;"|"&amp;$S1061&amp;"|"&amp;$AG1061,'ASIGNACIONES'!$N$4:$N$451,0)),0)-$AI1061)</f>
        <v/>
      </c>
      <c r="AK1061" s="18">
        <f>IF($A1061="","",IFERROR(INDEX('2_IMPORTAR_EJECUCION'!$F$9:$F$1208,MATCH($AT1061,'2_IMPORTAR_EJECUCION'!$J$9:$J$1208,0)),0))</f>
        <v/>
      </c>
      <c r="AL1061" s="18">
        <f>IF($A1061="","",MAX(0,IFERROR(INDEX('2_IMPORTAR_EJECUCION'!$H$9:$H$1208,MATCH($AT1061,'2_IMPORTAR_EJECUCION'!$J$9:$J$1208,0)),0)-$AK1061))</f>
        <v/>
      </c>
      <c r="AM1061" s="18">
        <f>IF($A1061="","",$AK1061+$AL1061)</f>
        <v/>
      </c>
      <c r="AN1061" s="5">
        <f>IF($A1061="","",IF(OR((IFERROR(INDEX('CAT_ACTIVIDADES'!$D$4:$D$11,MATCH($H1061,'CAT_ACTIVIDADES'!$A$4:$A$11,0)),""))=0,(IFERROR(INDEX('CAT_ACTIVIDADES'!$D$4:$D$11,MATCH($H1061,'CAT_ACTIVIDADES'!$A$4:$A$11,0)),""))=""),"SIN CLASIFICAR",IFERROR(INDEX('CAT_ACTIVIDADES'!$D$4:$D$11,MATCH($H1061,'CAT_ACTIVIDADES'!$A$4:$A$11,0)),"")))</f>
        <v/>
      </c>
      <c r="AO1061" s="4" t="n"/>
      <c r="AP1061" s="4" t="n"/>
      <c r="AQ1061" s="4" t="n"/>
      <c r="AR1061" s="5">
        <f>IF($AQ1061="","",HYPERLINK(p_ruta_base_checklists&amp;$AQ1061,"abrir"))</f>
        <v/>
      </c>
      <c r="AS1061" s="4" t="n"/>
      <c r="AT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2" t="n"/>
      <c r="K1062" s="5" t="n"/>
      <c r="L1062" s="18" t="n"/>
      <c r="M1062" s="5">
        <f>IF($A1062="","",IFERROR(INDEX('AJUSTES'!$B$4:$B$303,MATCH($AT1062,'AJUSTES'!$A$4:$A$303,0)),IF($K1062="","",$K1062)))</f>
        <v/>
      </c>
      <c r="N1062" s="5">
        <f>IF($A1062="","",IFERROR(INDEX('CAT_ESTADOS_ERP'!$B$4:$B$7,MATCH(IFERROR(INDEX('2_IMPORTAR_EJECUCION'!$C$9:$C$1208,MATCH($AT1062,'2_IMPORTAR_EJECUCION'!$J$9:$J$1208,0)),""),'CAT_ESTADOS_ERP'!$A$4:$A$7,0)),"Pendiente"))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IF($J1062="","",$P1062&amp;"-"&amp;TEXT($Q1062,"00"))</f>
        <v/>
      </c>
      <c r="S1062" s="5">
        <f>IF($J1062="","",INDEX(lista_dias,WEEKDAY($J1062,2)))</f>
        <v/>
      </c>
      <c r="T1062" s="5">
        <f>IF($J1062="","",IFERROR(INDEX('CALENDARIO'!$C$15:$C$214,MATCH(TEXT($J1062,"yyyy-mm-dd")&amp;"|"&amp;$X1062&amp;"|"&amp;$Y1062,'CALENDARIO'!$G$15:$G$214,0)),IFERROR(INDEX('CALENDARIO'!$C$15:$C$214,MATCH(TEXT($J1062,"yyyy-mm-dd")&amp;"|"&amp;$X1062&amp;"|",'CALENDARIO'!$G$15:$G$214,0)),IFERROR(INDEX('CALENDARIO'!$C$15:$C$214,MATCH(TEXT($J1062,"yyyy-mm-dd")&amp;"||",'CALENDARIO'!$G$15:$G$214,0)),INDEX(patronHabil,WEEKDAY($J1062,2))))))</f>
        <v/>
      </c>
      <c r="U1062" s="5">
        <f>IF($I1062="","",IFERROR(INDEX('CAT_TIPOS_OT'!$C$4:$C$8,MATCH($I1062,'CAT_TIPOS_OT'!$A$4:$A$8,0)),"sin_clasificar"))</f>
        <v/>
      </c>
      <c r="V1062" s="5">
        <f>IF($I1062="","",IF(IFERROR(INDEX('CAT_TIPOS_OT'!$D$4:$D$8,MATCH($I1062,'CAT_TIPOS_OT'!$A$4:$A$8,0)),"SIN CLASIFICAR")="","SIN CLASIFICAR",IFERROR(INDEX('CAT_TIPOS_OT'!$D$4:$D$8,MATCH($I1062,'CAT_TIPOS_OT'!$A$4:$A$8,0)),"SIN CLASIFICAR")))</f>
        <v/>
      </c>
      <c r="W1062" s="5">
        <f>IF($F1062="","",IFERROR(INDEX('CAT_CENTROS_COSTO'!$F$4:$F$13,MATCH($F1062,'CAT_CENTROS_COSTO'!$A$4:$A$13,0)),"(sin catálogo)"))</f>
        <v/>
      </c>
      <c r="X1062" s="5">
        <f>IF($F1062="","",IFERROR(INDEX('CAT_CENTROS_COSTO'!$D$4:$D$13,MATCH($F1062,'CAT_CENTROS_COSTO'!$A$4:$A$13,0)),"(sin catálogo)"))</f>
        <v/>
      </c>
      <c r="Y1062" s="5">
        <f>IF($F1062="","",IF((IFERROR(INDEX('CAT_CENTROS_COSTO'!$E$4:$E$13,MATCH($F1062,'CAT_CENTROS_COSTO'!$A$4:$A$13,0)),""))&lt;&gt;"",IFERROR(INDEX('CAT_CENTROS_COSTO'!$E$4:$E$13,MATCH($F1062,'CAT_CENTROS_COSTO'!$A$4:$A$13,0)),""),$X1062))</f>
        <v/>
      </c>
      <c r="Z1062" s="5">
        <f>IF($F1062="","",IFERROR(INDEX('CAT_CENTROS_COSTO'!$G$4:$G$13,MATCH($F1062,'CAT_CENTROS_COSTO'!$A$4:$A$13,0)),"(sin catálogo)"))</f>
        <v/>
      </c>
      <c r="AA1062" s="5">
        <f>IF($G1062="","",IFERROR(INDEX('CAT_PUESTOS'!$B$4:$B$8,MATCH($G1062,'CAT_PUESTOS'!$A$4:$A$8,0)),"(sin catálogo)"))</f>
        <v/>
      </c>
      <c r="AB1062" s="5">
        <f>IF($H1062="","",IFERROR(INDEX('CAT_ACTIVIDADES'!$B$4:$B$11,MATCH($H1062,'CAT_ACTIVIDADES'!$A$4:$A$11,0)),"(sin catálogo)"))</f>
        <v/>
      </c>
      <c r="AC1062" s="20">
        <f>IF($J1062="","",TODAY()-$J1062)</f>
        <v/>
      </c>
      <c r="AD1062" s="20">
        <f>IF($J1062="","",IF($J1062&lt;=TODAY(),COUNTIFS(cal_fechas,"&gt;="&amp;$J1062,cal_fechas,"&lt;"&amp;TODAY(),cal_habil,"sí"),-COUNTIFS(cal_fechas,"&gt;="&amp;TODAY(),cal_fechas,"&lt;"&amp;$J1062,cal_habil,"sí")))</f>
        <v/>
      </c>
      <c r="AE1062" s="5">
        <f>IF($AD1062="","",IF($AD1062&lt;0,"FUTURO",IF($AD1062&gt;p_dias_backlog_max,"BACKLOG","MES CORRIENTE")))</f>
        <v/>
      </c>
      <c r="AF1062" s="5">
        <f>IF($AD1062="",FALSE,AND($AD1062&gt;p_dias_backlog_min,$AD1062&lt;=p_dias_backlog_max))</f>
        <v/>
      </c>
      <c r="AG1062" s="4" t="n"/>
      <c r="AH1062" s="5">
        <f>IF($AG1062="","",IF((IFERROR(INDEX('ASIGNACIONES'!$J$4:$J$451,MATCH($O1062&amp;"|"&amp;$S1062&amp;"|"&amp;$AG1062,'ASIGNACIONES'!$N$4:$N$451,0)),""))=0,"",IFERROR(INDEX('ASIGNACIONES'!$J$4:$J$451,MATCH($O1062&amp;"|"&amp;$S1062&amp;"|"&amp;$AG1062,'ASIGNACIONES'!$N$4:$N$451,0)),"")))</f>
        <v/>
      </c>
      <c r="AI1062" s="25">
        <f>IF($AG1062="","",SUMIFS('ORDENES'!$M$4:$M$1203,'ORDENES'!$AG$4:$AG$1203,$AG1062,'ORDENES'!$O$4:$O$1203,$O1062,'ORDENES'!$S$4:$S$1203,$S1062))</f>
        <v/>
      </c>
      <c r="AJ1062" s="25">
        <f>IF($AI1062="","",p_factor_productividad*IFERROR(INDEX('ASIGNACIONES'!$M$4:$M$451,MATCH($O1062&amp;"|"&amp;$S1062&amp;"|"&amp;$AG1062,'ASIGNACIONES'!$N$4:$N$451,0)),0)-$AI1062)</f>
        <v/>
      </c>
      <c r="AK1062" s="18">
        <f>IF($A1062="","",IFERROR(INDEX('2_IMPORTAR_EJECUCION'!$F$9:$F$1208,MATCH($AT1062,'2_IMPORTAR_EJECUCION'!$J$9:$J$1208,0)),0))</f>
        <v/>
      </c>
      <c r="AL1062" s="18">
        <f>IF($A1062="","",MAX(0,IFERROR(INDEX('2_IMPORTAR_EJECUCION'!$H$9:$H$1208,MATCH($AT1062,'2_IMPORTAR_EJECUCION'!$J$9:$J$1208,0)),0)-$AK1062))</f>
        <v/>
      </c>
      <c r="AM1062" s="18">
        <f>IF($A1062="","",$AK1062+$AL1062)</f>
        <v/>
      </c>
      <c r="AN1062" s="5">
        <f>IF($A1062="","",IF(OR((IFERROR(INDEX('CAT_ACTIVIDADES'!$D$4:$D$11,MATCH($H1062,'CAT_ACTIVIDADES'!$A$4:$A$11,0)),""))=0,(IFERROR(INDEX('CAT_ACTIVIDADES'!$D$4:$D$11,MATCH($H1062,'CAT_ACTIVIDADES'!$A$4:$A$11,0)),""))=""),"SIN CLASIFICAR",IFERROR(INDEX('CAT_ACTIVIDADES'!$D$4:$D$11,MATCH($H1062,'CAT_ACTIVIDADES'!$A$4:$A$11,0)),"")))</f>
        <v/>
      </c>
      <c r="AO1062" s="4" t="n"/>
      <c r="AP1062" s="4" t="n"/>
      <c r="AQ1062" s="4" t="n"/>
      <c r="AR1062" s="5">
        <f>IF($AQ1062="","",HYPERLINK(p_ruta_base_checklists&amp;$AQ1062,"abrir"))</f>
        <v/>
      </c>
      <c r="AS1062" s="4" t="n"/>
      <c r="AT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2" t="n"/>
      <c r="K1063" s="5" t="n"/>
      <c r="L1063" s="18" t="n"/>
      <c r="M1063" s="5">
        <f>IF($A1063="","",IFERROR(INDEX('AJUSTES'!$B$4:$B$303,MATCH($AT1063,'AJUSTES'!$A$4:$A$303,0)),IF($K1063="","",$K1063)))</f>
        <v/>
      </c>
      <c r="N1063" s="5">
        <f>IF($A1063="","",IFERROR(INDEX('CAT_ESTADOS_ERP'!$B$4:$B$7,MATCH(IFERROR(INDEX('2_IMPORTAR_EJECUCION'!$C$9:$C$1208,MATCH($AT1063,'2_IMPORTAR_EJECUCION'!$J$9:$J$1208,0)),""),'CAT_ESTADOS_ERP'!$A$4:$A$7,0)),"Pendiente"))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IF($J1063="","",$P1063&amp;"-"&amp;TEXT($Q1063,"00"))</f>
        <v/>
      </c>
      <c r="S1063" s="5">
        <f>IF($J1063="","",INDEX(lista_dias,WEEKDAY($J1063,2)))</f>
        <v/>
      </c>
      <c r="T1063" s="5">
        <f>IF($J1063="","",IFERROR(INDEX('CALENDARIO'!$C$15:$C$214,MATCH(TEXT($J1063,"yyyy-mm-dd")&amp;"|"&amp;$X1063&amp;"|"&amp;$Y1063,'CALENDARIO'!$G$15:$G$214,0)),IFERROR(INDEX('CALENDARIO'!$C$15:$C$214,MATCH(TEXT($J1063,"yyyy-mm-dd")&amp;"|"&amp;$X1063&amp;"|",'CALENDARIO'!$G$15:$G$214,0)),IFERROR(INDEX('CALENDARIO'!$C$15:$C$214,MATCH(TEXT($J1063,"yyyy-mm-dd")&amp;"||",'CALENDARIO'!$G$15:$G$214,0)),INDEX(patronHabil,WEEKDAY($J1063,2))))))</f>
        <v/>
      </c>
      <c r="U1063" s="5">
        <f>IF($I1063="","",IFERROR(INDEX('CAT_TIPOS_OT'!$C$4:$C$8,MATCH($I1063,'CAT_TIPOS_OT'!$A$4:$A$8,0)),"sin_clasificar"))</f>
        <v/>
      </c>
      <c r="V1063" s="5">
        <f>IF($I1063="","",IF(IFERROR(INDEX('CAT_TIPOS_OT'!$D$4:$D$8,MATCH($I1063,'CAT_TIPOS_OT'!$A$4:$A$8,0)),"SIN CLASIFICAR")="","SIN CLASIFICAR",IFERROR(INDEX('CAT_TIPOS_OT'!$D$4:$D$8,MATCH($I1063,'CAT_TIPOS_OT'!$A$4:$A$8,0)),"SIN CLASIFICAR")))</f>
        <v/>
      </c>
      <c r="W1063" s="5">
        <f>IF($F1063="","",IFERROR(INDEX('CAT_CENTROS_COSTO'!$F$4:$F$13,MATCH($F1063,'CAT_CENTROS_COSTO'!$A$4:$A$13,0)),"(sin catálogo)"))</f>
        <v/>
      </c>
      <c r="X1063" s="5">
        <f>IF($F1063="","",IFERROR(INDEX('CAT_CENTROS_COSTO'!$D$4:$D$13,MATCH($F1063,'CAT_CENTROS_COSTO'!$A$4:$A$13,0)),"(sin catálogo)"))</f>
        <v/>
      </c>
      <c r="Y1063" s="5">
        <f>IF($F1063="","",IF((IFERROR(INDEX('CAT_CENTROS_COSTO'!$E$4:$E$13,MATCH($F1063,'CAT_CENTROS_COSTO'!$A$4:$A$13,0)),""))&lt;&gt;"",IFERROR(INDEX('CAT_CENTROS_COSTO'!$E$4:$E$13,MATCH($F1063,'CAT_CENTROS_COSTO'!$A$4:$A$13,0)),""),$X1063))</f>
        <v/>
      </c>
      <c r="Z1063" s="5">
        <f>IF($F1063="","",IFERROR(INDEX('CAT_CENTROS_COSTO'!$G$4:$G$13,MATCH($F1063,'CAT_CENTROS_COSTO'!$A$4:$A$13,0)),"(sin catálogo)"))</f>
        <v/>
      </c>
      <c r="AA1063" s="5">
        <f>IF($G1063="","",IFERROR(INDEX('CAT_PUESTOS'!$B$4:$B$8,MATCH($G1063,'CAT_PUESTOS'!$A$4:$A$8,0)),"(sin catálogo)"))</f>
        <v/>
      </c>
      <c r="AB1063" s="5">
        <f>IF($H1063="","",IFERROR(INDEX('CAT_ACTIVIDADES'!$B$4:$B$11,MATCH($H1063,'CAT_ACTIVIDADES'!$A$4:$A$11,0)),"(sin catálogo)"))</f>
        <v/>
      </c>
      <c r="AC1063" s="20">
        <f>IF($J1063="","",TODAY()-$J1063)</f>
        <v/>
      </c>
      <c r="AD1063" s="20">
        <f>IF($J1063="","",IF($J1063&lt;=TODAY(),COUNTIFS(cal_fechas,"&gt;="&amp;$J1063,cal_fechas,"&lt;"&amp;TODAY(),cal_habil,"sí"),-COUNTIFS(cal_fechas,"&gt;="&amp;TODAY(),cal_fechas,"&lt;"&amp;$J1063,cal_habil,"sí")))</f>
        <v/>
      </c>
      <c r="AE1063" s="5">
        <f>IF($AD1063="","",IF($AD1063&lt;0,"FUTURO",IF($AD1063&gt;p_dias_backlog_max,"BACKLOG","MES CORRIENTE")))</f>
        <v/>
      </c>
      <c r="AF1063" s="5">
        <f>IF($AD1063="",FALSE,AND($AD1063&gt;p_dias_backlog_min,$AD1063&lt;=p_dias_backlog_max))</f>
        <v/>
      </c>
      <c r="AG1063" s="4" t="n"/>
      <c r="AH1063" s="5">
        <f>IF($AG1063="","",IF((IFERROR(INDEX('ASIGNACIONES'!$J$4:$J$451,MATCH($O1063&amp;"|"&amp;$S1063&amp;"|"&amp;$AG1063,'ASIGNACIONES'!$N$4:$N$451,0)),""))=0,"",IFERROR(INDEX('ASIGNACIONES'!$J$4:$J$451,MATCH($O1063&amp;"|"&amp;$S1063&amp;"|"&amp;$AG1063,'ASIGNACIONES'!$N$4:$N$451,0)),"")))</f>
        <v/>
      </c>
      <c r="AI1063" s="25">
        <f>IF($AG1063="","",SUMIFS('ORDENES'!$M$4:$M$1203,'ORDENES'!$AG$4:$AG$1203,$AG1063,'ORDENES'!$O$4:$O$1203,$O1063,'ORDENES'!$S$4:$S$1203,$S1063))</f>
        <v/>
      </c>
      <c r="AJ1063" s="25">
        <f>IF($AI1063="","",p_factor_productividad*IFERROR(INDEX('ASIGNACIONES'!$M$4:$M$451,MATCH($O1063&amp;"|"&amp;$S1063&amp;"|"&amp;$AG1063,'ASIGNACIONES'!$N$4:$N$451,0)),0)-$AI1063)</f>
        <v/>
      </c>
      <c r="AK1063" s="18">
        <f>IF($A1063="","",IFERROR(INDEX('2_IMPORTAR_EJECUCION'!$F$9:$F$1208,MATCH($AT1063,'2_IMPORTAR_EJECUCION'!$J$9:$J$1208,0)),0))</f>
        <v/>
      </c>
      <c r="AL1063" s="18">
        <f>IF($A1063="","",MAX(0,IFERROR(INDEX('2_IMPORTAR_EJECUCION'!$H$9:$H$1208,MATCH($AT1063,'2_IMPORTAR_EJECUCION'!$J$9:$J$1208,0)),0)-$AK1063))</f>
        <v/>
      </c>
      <c r="AM1063" s="18">
        <f>IF($A1063="","",$AK1063+$AL1063)</f>
        <v/>
      </c>
      <c r="AN1063" s="5">
        <f>IF($A1063="","",IF(OR((IFERROR(INDEX('CAT_ACTIVIDADES'!$D$4:$D$11,MATCH($H1063,'CAT_ACTIVIDADES'!$A$4:$A$11,0)),""))=0,(IFERROR(INDEX('CAT_ACTIVIDADES'!$D$4:$D$11,MATCH($H1063,'CAT_ACTIVIDADES'!$A$4:$A$11,0)),""))=""),"SIN CLASIFICAR",IFERROR(INDEX('CAT_ACTIVIDADES'!$D$4:$D$11,MATCH($H1063,'CAT_ACTIVIDADES'!$A$4:$A$11,0)),"")))</f>
        <v/>
      </c>
      <c r="AO1063" s="4" t="n"/>
      <c r="AP1063" s="4" t="n"/>
      <c r="AQ1063" s="4" t="n"/>
      <c r="AR1063" s="5">
        <f>IF($AQ1063="","",HYPERLINK(p_ruta_base_checklists&amp;$AQ1063,"abrir"))</f>
        <v/>
      </c>
      <c r="AS1063" s="4" t="n"/>
      <c r="AT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2" t="n"/>
      <c r="K1064" s="5" t="n"/>
      <c r="L1064" s="18" t="n"/>
      <c r="M1064" s="5">
        <f>IF($A1064="","",IFERROR(INDEX('AJUSTES'!$B$4:$B$303,MATCH($AT1064,'AJUSTES'!$A$4:$A$303,0)),IF($K1064="","",$K1064)))</f>
        <v/>
      </c>
      <c r="N1064" s="5">
        <f>IF($A1064="","",IFERROR(INDEX('CAT_ESTADOS_ERP'!$B$4:$B$7,MATCH(IFERROR(INDEX('2_IMPORTAR_EJECUCION'!$C$9:$C$1208,MATCH($AT1064,'2_IMPORTAR_EJECUCION'!$J$9:$J$1208,0)),""),'CAT_ESTADOS_ERP'!$A$4:$A$7,0)),"Pendiente"))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IF($J1064="","",$P1064&amp;"-"&amp;TEXT($Q1064,"00"))</f>
        <v/>
      </c>
      <c r="S1064" s="5">
        <f>IF($J1064="","",INDEX(lista_dias,WEEKDAY($J1064,2)))</f>
        <v/>
      </c>
      <c r="T1064" s="5">
        <f>IF($J1064="","",IFERROR(INDEX('CALENDARIO'!$C$15:$C$214,MATCH(TEXT($J1064,"yyyy-mm-dd")&amp;"|"&amp;$X1064&amp;"|"&amp;$Y1064,'CALENDARIO'!$G$15:$G$214,0)),IFERROR(INDEX('CALENDARIO'!$C$15:$C$214,MATCH(TEXT($J1064,"yyyy-mm-dd")&amp;"|"&amp;$X1064&amp;"|",'CALENDARIO'!$G$15:$G$214,0)),IFERROR(INDEX('CALENDARIO'!$C$15:$C$214,MATCH(TEXT($J1064,"yyyy-mm-dd")&amp;"||",'CALENDARIO'!$G$15:$G$214,0)),INDEX(patronHabil,WEEKDAY($J1064,2))))))</f>
        <v/>
      </c>
      <c r="U1064" s="5">
        <f>IF($I1064="","",IFERROR(INDEX('CAT_TIPOS_OT'!$C$4:$C$8,MATCH($I1064,'CAT_TIPOS_OT'!$A$4:$A$8,0)),"sin_clasificar"))</f>
        <v/>
      </c>
      <c r="V1064" s="5">
        <f>IF($I1064="","",IF(IFERROR(INDEX('CAT_TIPOS_OT'!$D$4:$D$8,MATCH($I1064,'CAT_TIPOS_OT'!$A$4:$A$8,0)),"SIN CLASIFICAR")="","SIN CLASIFICAR",IFERROR(INDEX('CAT_TIPOS_OT'!$D$4:$D$8,MATCH($I1064,'CAT_TIPOS_OT'!$A$4:$A$8,0)),"SIN CLASIFICAR")))</f>
        <v/>
      </c>
      <c r="W1064" s="5">
        <f>IF($F1064="","",IFERROR(INDEX('CAT_CENTROS_COSTO'!$F$4:$F$13,MATCH($F1064,'CAT_CENTROS_COSTO'!$A$4:$A$13,0)),"(sin catálogo)"))</f>
        <v/>
      </c>
      <c r="X1064" s="5">
        <f>IF($F1064="","",IFERROR(INDEX('CAT_CENTROS_COSTO'!$D$4:$D$13,MATCH($F1064,'CAT_CENTROS_COSTO'!$A$4:$A$13,0)),"(sin catálogo)"))</f>
        <v/>
      </c>
      <c r="Y1064" s="5">
        <f>IF($F1064="","",IF((IFERROR(INDEX('CAT_CENTROS_COSTO'!$E$4:$E$13,MATCH($F1064,'CAT_CENTROS_COSTO'!$A$4:$A$13,0)),""))&lt;&gt;"",IFERROR(INDEX('CAT_CENTROS_COSTO'!$E$4:$E$13,MATCH($F1064,'CAT_CENTROS_COSTO'!$A$4:$A$13,0)),""),$X1064))</f>
        <v/>
      </c>
      <c r="Z1064" s="5">
        <f>IF($F1064="","",IFERROR(INDEX('CAT_CENTROS_COSTO'!$G$4:$G$13,MATCH($F1064,'CAT_CENTROS_COSTO'!$A$4:$A$13,0)),"(sin catálogo)"))</f>
        <v/>
      </c>
      <c r="AA1064" s="5">
        <f>IF($G1064="","",IFERROR(INDEX('CAT_PUESTOS'!$B$4:$B$8,MATCH($G1064,'CAT_PUESTOS'!$A$4:$A$8,0)),"(sin catálogo)"))</f>
        <v/>
      </c>
      <c r="AB1064" s="5">
        <f>IF($H1064="","",IFERROR(INDEX('CAT_ACTIVIDADES'!$B$4:$B$11,MATCH($H1064,'CAT_ACTIVIDADES'!$A$4:$A$11,0)),"(sin catálogo)"))</f>
        <v/>
      </c>
      <c r="AC1064" s="20">
        <f>IF($J1064="","",TODAY()-$J1064)</f>
        <v/>
      </c>
      <c r="AD1064" s="20">
        <f>IF($J1064="","",IF($J1064&lt;=TODAY(),COUNTIFS(cal_fechas,"&gt;="&amp;$J1064,cal_fechas,"&lt;"&amp;TODAY(),cal_habil,"sí"),-COUNTIFS(cal_fechas,"&gt;="&amp;TODAY(),cal_fechas,"&lt;"&amp;$J1064,cal_habil,"sí")))</f>
        <v/>
      </c>
      <c r="AE1064" s="5">
        <f>IF($AD1064="","",IF($AD1064&lt;0,"FUTURO",IF($AD1064&gt;p_dias_backlog_max,"BACKLOG","MES CORRIENTE")))</f>
        <v/>
      </c>
      <c r="AF1064" s="5">
        <f>IF($AD1064="",FALSE,AND($AD1064&gt;p_dias_backlog_min,$AD1064&lt;=p_dias_backlog_max))</f>
        <v/>
      </c>
      <c r="AG1064" s="4" t="n"/>
      <c r="AH1064" s="5">
        <f>IF($AG1064="","",IF((IFERROR(INDEX('ASIGNACIONES'!$J$4:$J$451,MATCH($O1064&amp;"|"&amp;$S1064&amp;"|"&amp;$AG1064,'ASIGNACIONES'!$N$4:$N$451,0)),""))=0,"",IFERROR(INDEX('ASIGNACIONES'!$J$4:$J$451,MATCH($O1064&amp;"|"&amp;$S1064&amp;"|"&amp;$AG1064,'ASIGNACIONES'!$N$4:$N$451,0)),"")))</f>
        <v/>
      </c>
      <c r="AI1064" s="25">
        <f>IF($AG1064="","",SUMIFS('ORDENES'!$M$4:$M$1203,'ORDENES'!$AG$4:$AG$1203,$AG1064,'ORDENES'!$O$4:$O$1203,$O1064,'ORDENES'!$S$4:$S$1203,$S1064))</f>
        <v/>
      </c>
      <c r="AJ1064" s="25">
        <f>IF($AI1064="","",p_factor_productividad*IFERROR(INDEX('ASIGNACIONES'!$M$4:$M$451,MATCH($O1064&amp;"|"&amp;$S1064&amp;"|"&amp;$AG1064,'ASIGNACIONES'!$N$4:$N$451,0)),0)-$AI1064)</f>
        <v/>
      </c>
      <c r="AK1064" s="18">
        <f>IF($A1064="","",IFERROR(INDEX('2_IMPORTAR_EJECUCION'!$F$9:$F$1208,MATCH($AT1064,'2_IMPORTAR_EJECUCION'!$J$9:$J$1208,0)),0))</f>
        <v/>
      </c>
      <c r="AL1064" s="18">
        <f>IF($A1064="","",MAX(0,IFERROR(INDEX('2_IMPORTAR_EJECUCION'!$H$9:$H$1208,MATCH($AT1064,'2_IMPORTAR_EJECUCION'!$J$9:$J$1208,0)),0)-$AK1064))</f>
        <v/>
      </c>
      <c r="AM1064" s="18">
        <f>IF($A1064="","",$AK1064+$AL1064)</f>
        <v/>
      </c>
      <c r="AN1064" s="5">
        <f>IF($A1064="","",IF(OR((IFERROR(INDEX('CAT_ACTIVIDADES'!$D$4:$D$11,MATCH($H1064,'CAT_ACTIVIDADES'!$A$4:$A$11,0)),""))=0,(IFERROR(INDEX('CAT_ACTIVIDADES'!$D$4:$D$11,MATCH($H1064,'CAT_ACTIVIDADES'!$A$4:$A$11,0)),""))=""),"SIN CLASIFICAR",IFERROR(INDEX('CAT_ACTIVIDADES'!$D$4:$D$11,MATCH($H1064,'CAT_ACTIVIDADES'!$A$4:$A$11,0)),"")))</f>
        <v/>
      </c>
      <c r="AO1064" s="4" t="n"/>
      <c r="AP1064" s="4" t="n"/>
      <c r="AQ1064" s="4" t="n"/>
      <c r="AR1064" s="5">
        <f>IF($AQ1064="","",HYPERLINK(p_ruta_base_checklists&amp;$AQ1064,"abrir"))</f>
        <v/>
      </c>
      <c r="AS1064" s="4" t="n"/>
      <c r="AT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2" t="n"/>
      <c r="K1065" s="5" t="n"/>
      <c r="L1065" s="18" t="n"/>
      <c r="M1065" s="5">
        <f>IF($A1065="","",IFERROR(INDEX('AJUSTES'!$B$4:$B$303,MATCH($AT1065,'AJUSTES'!$A$4:$A$303,0)),IF($K1065="","",$K1065)))</f>
        <v/>
      </c>
      <c r="N1065" s="5">
        <f>IF($A1065="","",IFERROR(INDEX('CAT_ESTADOS_ERP'!$B$4:$B$7,MATCH(IFERROR(INDEX('2_IMPORTAR_EJECUCION'!$C$9:$C$1208,MATCH($AT1065,'2_IMPORTAR_EJECUCION'!$J$9:$J$1208,0)),""),'CAT_ESTADOS_ERP'!$A$4:$A$7,0)),"Pendiente"))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IF($J1065="","",$P1065&amp;"-"&amp;TEXT($Q1065,"00"))</f>
        <v/>
      </c>
      <c r="S1065" s="5">
        <f>IF($J1065="","",INDEX(lista_dias,WEEKDAY($J1065,2)))</f>
        <v/>
      </c>
      <c r="T1065" s="5">
        <f>IF($J1065="","",IFERROR(INDEX('CALENDARIO'!$C$15:$C$214,MATCH(TEXT($J1065,"yyyy-mm-dd")&amp;"|"&amp;$X1065&amp;"|"&amp;$Y1065,'CALENDARIO'!$G$15:$G$214,0)),IFERROR(INDEX('CALENDARIO'!$C$15:$C$214,MATCH(TEXT($J1065,"yyyy-mm-dd")&amp;"|"&amp;$X1065&amp;"|",'CALENDARIO'!$G$15:$G$214,0)),IFERROR(INDEX('CALENDARIO'!$C$15:$C$214,MATCH(TEXT($J1065,"yyyy-mm-dd")&amp;"||",'CALENDARIO'!$G$15:$G$214,0)),INDEX(patronHabil,WEEKDAY($J1065,2))))))</f>
        <v/>
      </c>
      <c r="U1065" s="5">
        <f>IF($I1065="","",IFERROR(INDEX('CAT_TIPOS_OT'!$C$4:$C$8,MATCH($I1065,'CAT_TIPOS_OT'!$A$4:$A$8,0)),"sin_clasificar"))</f>
        <v/>
      </c>
      <c r="V1065" s="5">
        <f>IF($I1065="","",IF(IFERROR(INDEX('CAT_TIPOS_OT'!$D$4:$D$8,MATCH($I1065,'CAT_TIPOS_OT'!$A$4:$A$8,0)),"SIN CLASIFICAR")="","SIN CLASIFICAR",IFERROR(INDEX('CAT_TIPOS_OT'!$D$4:$D$8,MATCH($I1065,'CAT_TIPOS_OT'!$A$4:$A$8,0)),"SIN CLASIFICAR")))</f>
        <v/>
      </c>
      <c r="W1065" s="5">
        <f>IF($F1065="","",IFERROR(INDEX('CAT_CENTROS_COSTO'!$F$4:$F$13,MATCH($F1065,'CAT_CENTROS_COSTO'!$A$4:$A$13,0)),"(sin catálogo)"))</f>
        <v/>
      </c>
      <c r="X1065" s="5">
        <f>IF($F1065="","",IFERROR(INDEX('CAT_CENTROS_COSTO'!$D$4:$D$13,MATCH($F1065,'CAT_CENTROS_COSTO'!$A$4:$A$13,0)),"(sin catálogo)"))</f>
        <v/>
      </c>
      <c r="Y1065" s="5">
        <f>IF($F1065="","",IF((IFERROR(INDEX('CAT_CENTROS_COSTO'!$E$4:$E$13,MATCH($F1065,'CAT_CENTROS_COSTO'!$A$4:$A$13,0)),""))&lt;&gt;"",IFERROR(INDEX('CAT_CENTROS_COSTO'!$E$4:$E$13,MATCH($F1065,'CAT_CENTROS_COSTO'!$A$4:$A$13,0)),""),$X1065))</f>
        <v/>
      </c>
      <c r="Z1065" s="5">
        <f>IF($F1065="","",IFERROR(INDEX('CAT_CENTROS_COSTO'!$G$4:$G$13,MATCH($F1065,'CAT_CENTROS_COSTO'!$A$4:$A$13,0)),"(sin catálogo)"))</f>
        <v/>
      </c>
      <c r="AA1065" s="5">
        <f>IF($G1065="","",IFERROR(INDEX('CAT_PUESTOS'!$B$4:$B$8,MATCH($G1065,'CAT_PUESTOS'!$A$4:$A$8,0)),"(sin catálogo)"))</f>
        <v/>
      </c>
      <c r="AB1065" s="5">
        <f>IF($H1065="","",IFERROR(INDEX('CAT_ACTIVIDADES'!$B$4:$B$11,MATCH($H1065,'CAT_ACTIVIDADES'!$A$4:$A$11,0)),"(sin catálogo)"))</f>
        <v/>
      </c>
      <c r="AC1065" s="20">
        <f>IF($J1065="","",TODAY()-$J1065)</f>
        <v/>
      </c>
      <c r="AD1065" s="20">
        <f>IF($J1065="","",IF($J1065&lt;=TODAY(),COUNTIFS(cal_fechas,"&gt;="&amp;$J1065,cal_fechas,"&lt;"&amp;TODAY(),cal_habil,"sí"),-COUNTIFS(cal_fechas,"&gt;="&amp;TODAY(),cal_fechas,"&lt;"&amp;$J1065,cal_habil,"sí")))</f>
        <v/>
      </c>
      <c r="AE1065" s="5">
        <f>IF($AD1065="","",IF($AD1065&lt;0,"FUTURO",IF($AD1065&gt;p_dias_backlog_max,"BACKLOG","MES CORRIENTE")))</f>
        <v/>
      </c>
      <c r="AF1065" s="5">
        <f>IF($AD1065="",FALSE,AND($AD1065&gt;p_dias_backlog_min,$AD1065&lt;=p_dias_backlog_max))</f>
        <v/>
      </c>
      <c r="AG1065" s="4" t="n"/>
      <c r="AH1065" s="5">
        <f>IF($AG1065="","",IF((IFERROR(INDEX('ASIGNACIONES'!$J$4:$J$451,MATCH($O1065&amp;"|"&amp;$S1065&amp;"|"&amp;$AG1065,'ASIGNACIONES'!$N$4:$N$451,0)),""))=0,"",IFERROR(INDEX('ASIGNACIONES'!$J$4:$J$451,MATCH($O1065&amp;"|"&amp;$S1065&amp;"|"&amp;$AG1065,'ASIGNACIONES'!$N$4:$N$451,0)),"")))</f>
        <v/>
      </c>
      <c r="AI1065" s="25">
        <f>IF($AG1065="","",SUMIFS('ORDENES'!$M$4:$M$1203,'ORDENES'!$AG$4:$AG$1203,$AG1065,'ORDENES'!$O$4:$O$1203,$O1065,'ORDENES'!$S$4:$S$1203,$S1065))</f>
        <v/>
      </c>
      <c r="AJ1065" s="25">
        <f>IF($AI1065="","",p_factor_productividad*IFERROR(INDEX('ASIGNACIONES'!$M$4:$M$451,MATCH($O1065&amp;"|"&amp;$S1065&amp;"|"&amp;$AG1065,'ASIGNACIONES'!$N$4:$N$451,0)),0)-$AI1065)</f>
        <v/>
      </c>
      <c r="AK1065" s="18">
        <f>IF($A1065="","",IFERROR(INDEX('2_IMPORTAR_EJECUCION'!$F$9:$F$1208,MATCH($AT1065,'2_IMPORTAR_EJECUCION'!$J$9:$J$1208,0)),0))</f>
        <v/>
      </c>
      <c r="AL1065" s="18">
        <f>IF($A1065="","",MAX(0,IFERROR(INDEX('2_IMPORTAR_EJECUCION'!$H$9:$H$1208,MATCH($AT1065,'2_IMPORTAR_EJECUCION'!$J$9:$J$1208,0)),0)-$AK1065))</f>
        <v/>
      </c>
      <c r="AM1065" s="18">
        <f>IF($A1065="","",$AK1065+$AL1065)</f>
        <v/>
      </c>
      <c r="AN1065" s="5">
        <f>IF($A1065="","",IF(OR((IFERROR(INDEX('CAT_ACTIVIDADES'!$D$4:$D$11,MATCH($H1065,'CAT_ACTIVIDADES'!$A$4:$A$11,0)),""))=0,(IFERROR(INDEX('CAT_ACTIVIDADES'!$D$4:$D$11,MATCH($H1065,'CAT_ACTIVIDADES'!$A$4:$A$11,0)),""))=""),"SIN CLASIFICAR",IFERROR(INDEX('CAT_ACTIVIDADES'!$D$4:$D$11,MATCH($H1065,'CAT_ACTIVIDADES'!$A$4:$A$11,0)),"")))</f>
        <v/>
      </c>
      <c r="AO1065" s="4" t="n"/>
      <c r="AP1065" s="4" t="n"/>
      <c r="AQ1065" s="4" t="n"/>
      <c r="AR1065" s="5">
        <f>IF($AQ1065="","",HYPERLINK(p_ruta_base_checklists&amp;$AQ1065,"abrir"))</f>
        <v/>
      </c>
      <c r="AS1065" s="4" t="n"/>
      <c r="AT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2" t="n"/>
      <c r="K1066" s="5" t="n"/>
      <c r="L1066" s="18" t="n"/>
      <c r="M1066" s="5">
        <f>IF($A1066="","",IFERROR(INDEX('AJUSTES'!$B$4:$B$303,MATCH($AT1066,'AJUSTES'!$A$4:$A$303,0)),IF($K1066="","",$K1066)))</f>
        <v/>
      </c>
      <c r="N1066" s="5">
        <f>IF($A1066="","",IFERROR(INDEX('CAT_ESTADOS_ERP'!$B$4:$B$7,MATCH(IFERROR(INDEX('2_IMPORTAR_EJECUCION'!$C$9:$C$1208,MATCH($AT1066,'2_IMPORTAR_EJECUCION'!$J$9:$J$1208,0)),""),'CAT_ESTADOS_ERP'!$A$4:$A$7,0)),"Pendiente"))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IF($J1066="","",$P1066&amp;"-"&amp;TEXT($Q1066,"00"))</f>
        <v/>
      </c>
      <c r="S1066" s="5">
        <f>IF($J1066="","",INDEX(lista_dias,WEEKDAY($J1066,2)))</f>
        <v/>
      </c>
      <c r="T1066" s="5">
        <f>IF($J1066="","",IFERROR(INDEX('CALENDARIO'!$C$15:$C$214,MATCH(TEXT($J1066,"yyyy-mm-dd")&amp;"|"&amp;$X1066&amp;"|"&amp;$Y1066,'CALENDARIO'!$G$15:$G$214,0)),IFERROR(INDEX('CALENDARIO'!$C$15:$C$214,MATCH(TEXT($J1066,"yyyy-mm-dd")&amp;"|"&amp;$X1066&amp;"|",'CALENDARIO'!$G$15:$G$214,0)),IFERROR(INDEX('CALENDARIO'!$C$15:$C$214,MATCH(TEXT($J1066,"yyyy-mm-dd")&amp;"||",'CALENDARIO'!$G$15:$G$214,0)),INDEX(patronHabil,WEEKDAY($J1066,2))))))</f>
        <v/>
      </c>
      <c r="U1066" s="5">
        <f>IF($I1066="","",IFERROR(INDEX('CAT_TIPOS_OT'!$C$4:$C$8,MATCH($I1066,'CAT_TIPOS_OT'!$A$4:$A$8,0)),"sin_clasificar"))</f>
        <v/>
      </c>
      <c r="V1066" s="5">
        <f>IF($I1066="","",IF(IFERROR(INDEX('CAT_TIPOS_OT'!$D$4:$D$8,MATCH($I1066,'CAT_TIPOS_OT'!$A$4:$A$8,0)),"SIN CLASIFICAR")="","SIN CLASIFICAR",IFERROR(INDEX('CAT_TIPOS_OT'!$D$4:$D$8,MATCH($I1066,'CAT_TIPOS_OT'!$A$4:$A$8,0)),"SIN CLASIFICAR")))</f>
        <v/>
      </c>
      <c r="W1066" s="5">
        <f>IF($F1066="","",IFERROR(INDEX('CAT_CENTROS_COSTO'!$F$4:$F$13,MATCH($F1066,'CAT_CENTROS_COSTO'!$A$4:$A$13,0)),"(sin catálogo)"))</f>
        <v/>
      </c>
      <c r="X1066" s="5">
        <f>IF($F1066="","",IFERROR(INDEX('CAT_CENTROS_COSTO'!$D$4:$D$13,MATCH($F1066,'CAT_CENTROS_COSTO'!$A$4:$A$13,0)),"(sin catálogo)"))</f>
        <v/>
      </c>
      <c r="Y1066" s="5">
        <f>IF($F1066="","",IF((IFERROR(INDEX('CAT_CENTROS_COSTO'!$E$4:$E$13,MATCH($F1066,'CAT_CENTROS_COSTO'!$A$4:$A$13,0)),""))&lt;&gt;"",IFERROR(INDEX('CAT_CENTROS_COSTO'!$E$4:$E$13,MATCH($F1066,'CAT_CENTROS_COSTO'!$A$4:$A$13,0)),""),$X1066))</f>
        <v/>
      </c>
      <c r="Z1066" s="5">
        <f>IF($F1066="","",IFERROR(INDEX('CAT_CENTROS_COSTO'!$G$4:$G$13,MATCH($F1066,'CAT_CENTROS_COSTO'!$A$4:$A$13,0)),"(sin catálogo)"))</f>
        <v/>
      </c>
      <c r="AA1066" s="5">
        <f>IF($G1066="","",IFERROR(INDEX('CAT_PUESTOS'!$B$4:$B$8,MATCH($G1066,'CAT_PUESTOS'!$A$4:$A$8,0)),"(sin catálogo)"))</f>
        <v/>
      </c>
      <c r="AB1066" s="5">
        <f>IF($H1066="","",IFERROR(INDEX('CAT_ACTIVIDADES'!$B$4:$B$11,MATCH($H1066,'CAT_ACTIVIDADES'!$A$4:$A$11,0)),"(sin catálogo)"))</f>
        <v/>
      </c>
      <c r="AC1066" s="20">
        <f>IF($J1066="","",TODAY()-$J1066)</f>
        <v/>
      </c>
      <c r="AD1066" s="20">
        <f>IF($J1066="","",IF($J1066&lt;=TODAY(),COUNTIFS(cal_fechas,"&gt;="&amp;$J1066,cal_fechas,"&lt;"&amp;TODAY(),cal_habil,"sí"),-COUNTIFS(cal_fechas,"&gt;="&amp;TODAY(),cal_fechas,"&lt;"&amp;$J1066,cal_habil,"sí")))</f>
        <v/>
      </c>
      <c r="AE1066" s="5">
        <f>IF($AD1066="","",IF($AD1066&lt;0,"FUTURO",IF($AD1066&gt;p_dias_backlog_max,"BACKLOG","MES CORRIENTE")))</f>
        <v/>
      </c>
      <c r="AF1066" s="5">
        <f>IF($AD1066="",FALSE,AND($AD1066&gt;p_dias_backlog_min,$AD1066&lt;=p_dias_backlog_max))</f>
        <v/>
      </c>
      <c r="AG1066" s="4" t="n"/>
      <c r="AH1066" s="5">
        <f>IF($AG1066="","",IF((IFERROR(INDEX('ASIGNACIONES'!$J$4:$J$451,MATCH($O1066&amp;"|"&amp;$S1066&amp;"|"&amp;$AG1066,'ASIGNACIONES'!$N$4:$N$451,0)),""))=0,"",IFERROR(INDEX('ASIGNACIONES'!$J$4:$J$451,MATCH($O1066&amp;"|"&amp;$S1066&amp;"|"&amp;$AG1066,'ASIGNACIONES'!$N$4:$N$451,0)),"")))</f>
        <v/>
      </c>
      <c r="AI1066" s="25">
        <f>IF($AG1066="","",SUMIFS('ORDENES'!$M$4:$M$1203,'ORDENES'!$AG$4:$AG$1203,$AG1066,'ORDENES'!$O$4:$O$1203,$O1066,'ORDENES'!$S$4:$S$1203,$S1066))</f>
        <v/>
      </c>
      <c r="AJ1066" s="25">
        <f>IF($AI1066="","",p_factor_productividad*IFERROR(INDEX('ASIGNACIONES'!$M$4:$M$451,MATCH($O1066&amp;"|"&amp;$S1066&amp;"|"&amp;$AG1066,'ASIGNACIONES'!$N$4:$N$451,0)),0)-$AI1066)</f>
        <v/>
      </c>
      <c r="AK1066" s="18">
        <f>IF($A1066="","",IFERROR(INDEX('2_IMPORTAR_EJECUCION'!$F$9:$F$1208,MATCH($AT1066,'2_IMPORTAR_EJECUCION'!$J$9:$J$1208,0)),0))</f>
        <v/>
      </c>
      <c r="AL1066" s="18">
        <f>IF($A1066="","",MAX(0,IFERROR(INDEX('2_IMPORTAR_EJECUCION'!$H$9:$H$1208,MATCH($AT1066,'2_IMPORTAR_EJECUCION'!$J$9:$J$1208,0)),0)-$AK1066))</f>
        <v/>
      </c>
      <c r="AM1066" s="18">
        <f>IF($A1066="","",$AK1066+$AL1066)</f>
        <v/>
      </c>
      <c r="AN1066" s="5">
        <f>IF($A1066="","",IF(OR((IFERROR(INDEX('CAT_ACTIVIDADES'!$D$4:$D$11,MATCH($H1066,'CAT_ACTIVIDADES'!$A$4:$A$11,0)),""))=0,(IFERROR(INDEX('CAT_ACTIVIDADES'!$D$4:$D$11,MATCH($H1066,'CAT_ACTIVIDADES'!$A$4:$A$11,0)),""))=""),"SIN CLASIFICAR",IFERROR(INDEX('CAT_ACTIVIDADES'!$D$4:$D$11,MATCH($H1066,'CAT_ACTIVIDADES'!$A$4:$A$11,0)),"")))</f>
        <v/>
      </c>
      <c r="AO1066" s="4" t="n"/>
      <c r="AP1066" s="4" t="n"/>
      <c r="AQ1066" s="4" t="n"/>
      <c r="AR1066" s="5">
        <f>IF($AQ1066="","",HYPERLINK(p_ruta_base_checklists&amp;$AQ1066,"abrir"))</f>
        <v/>
      </c>
      <c r="AS1066" s="4" t="n"/>
      <c r="AT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2" t="n"/>
      <c r="K1067" s="5" t="n"/>
      <c r="L1067" s="18" t="n"/>
      <c r="M1067" s="5">
        <f>IF($A1067="","",IFERROR(INDEX('AJUSTES'!$B$4:$B$303,MATCH($AT1067,'AJUSTES'!$A$4:$A$303,0)),IF($K1067="","",$K1067)))</f>
        <v/>
      </c>
      <c r="N1067" s="5">
        <f>IF($A1067="","",IFERROR(INDEX('CAT_ESTADOS_ERP'!$B$4:$B$7,MATCH(IFERROR(INDEX('2_IMPORTAR_EJECUCION'!$C$9:$C$1208,MATCH($AT1067,'2_IMPORTAR_EJECUCION'!$J$9:$J$1208,0)),""),'CAT_ESTADOS_ERP'!$A$4:$A$7,0)),"Pendiente"))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IF($J1067="","",$P1067&amp;"-"&amp;TEXT($Q1067,"00"))</f>
        <v/>
      </c>
      <c r="S1067" s="5">
        <f>IF($J1067="","",INDEX(lista_dias,WEEKDAY($J1067,2)))</f>
        <v/>
      </c>
      <c r="T1067" s="5">
        <f>IF($J1067="","",IFERROR(INDEX('CALENDARIO'!$C$15:$C$214,MATCH(TEXT($J1067,"yyyy-mm-dd")&amp;"|"&amp;$X1067&amp;"|"&amp;$Y1067,'CALENDARIO'!$G$15:$G$214,0)),IFERROR(INDEX('CALENDARIO'!$C$15:$C$214,MATCH(TEXT($J1067,"yyyy-mm-dd")&amp;"|"&amp;$X1067&amp;"|",'CALENDARIO'!$G$15:$G$214,0)),IFERROR(INDEX('CALENDARIO'!$C$15:$C$214,MATCH(TEXT($J1067,"yyyy-mm-dd")&amp;"||",'CALENDARIO'!$G$15:$G$214,0)),INDEX(patronHabil,WEEKDAY($J1067,2))))))</f>
        <v/>
      </c>
      <c r="U1067" s="5">
        <f>IF($I1067="","",IFERROR(INDEX('CAT_TIPOS_OT'!$C$4:$C$8,MATCH($I1067,'CAT_TIPOS_OT'!$A$4:$A$8,0)),"sin_clasificar"))</f>
        <v/>
      </c>
      <c r="V1067" s="5">
        <f>IF($I1067="","",IF(IFERROR(INDEX('CAT_TIPOS_OT'!$D$4:$D$8,MATCH($I1067,'CAT_TIPOS_OT'!$A$4:$A$8,0)),"SIN CLASIFICAR")="","SIN CLASIFICAR",IFERROR(INDEX('CAT_TIPOS_OT'!$D$4:$D$8,MATCH($I1067,'CAT_TIPOS_OT'!$A$4:$A$8,0)),"SIN CLASIFICAR")))</f>
        <v/>
      </c>
      <c r="W1067" s="5">
        <f>IF($F1067="","",IFERROR(INDEX('CAT_CENTROS_COSTO'!$F$4:$F$13,MATCH($F1067,'CAT_CENTROS_COSTO'!$A$4:$A$13,0)),"(sin catálogo)"))</f>
        <v/>
      </c>
      <c r="X1067" s="5">
        <f>IF($F1067="","",IFERROR(INDEX('CAT_CENTROS_COSTO'!$D$4:$D$13,MATCH($F1067,'CAT_CENTROS_COSTO'!$A$4:$A$13,0)),"(sin catálogo)"))</f>
        <v/>
      </c>
      <c r="Y1067" s="5">
        <f>IF($F1067="","",IF((IFERROR(INDEX('CAT_CENTROS_COSTO'!$E$4:$E$13,MATCH($F1067,'CAT_CENTROS_COSTO'!$A$4:$A$13,0)),""))&lt;&gt;"",IFERROR(INDEX('CAT_CENTROS_COSTO'!$E$4:$E$13,MATCH($F1067,'CAT_CENTROS_COSTO'!$A$4:$A$13,0)),""),$X1067))</f>
        <v/>
      </c>
      <c r="Z1067" s="5">
        <f>IF($F1067="","",IFERROR(INDEX('CAT_CENTROS_COSTO'!$G$4:$G$13,MATCH($F1067,'CAT_CENTROS_COSTO'!$A$4:$A$13,0)),"(sin catálogo)"))</f>
        <v/>
      </c>
      <c r="AA1067" s="5">
        <f>IF($G1067="","",IFERROR(INDEX('CAT_PUESTOS'!$B$4:$B$8,MATCH($G1067,'CAT_PUESTOS'!$A$4:$A$8,0)),"(sin catálogo)"))</f>
        <v/>
      </c>
      <c r="AB1067" s="5">
        <f>IF($H1067="","",IFERROR(INDEX('CAT_ACTIVIDADES'!$B$4:$B$11,MATCH($H1067,'CAT_ACTIVIDADES'!$A$4:$A$11,0)),"(sin catálogo)"))</f>
        <v/>
      </c>
      <c r="AC1067" s="20">
        <f>IF($J1067="","",TODAY()-$J1067)</f>
        <v/>
      </c>
      <c r="AD1067" s="20">
        <f>IF($J1067="","",IF($J1067&lt;=TODAY(),COUNTIFS(cal_fechas,"&gt;="&amp;$J1067,cal_fechas,"&lt;"&amp;TODAY(),cal_habil,"sí"),-COUNTIFS(cal_fechas,"&gt;="&amp;TODAY(),cal_fechas,"&lt;"&amp;$J1067,cal_habil,"sí")))</f>
        <v/>
      </c>
      <c r="AE1067" s="5">
        <f>IF($AD1067="","",IF($AD1067&lt;0,"FUTURO",IF($AD1067&gt;p_dias_backlog_max,"BACKLOG","MES CORRIENTE")))</f>
        <v/>
      </c>
      <c r="AF1067" s="5">
        <f>IF($AD1067="",FALSE,AND($AD1067&gt;p_dias_backlog_min,$AD1067&lt;=p_dias_backlog_max))</f>
        <v/>
      </c>
      <c r="AG1067" s="4" t="n"/>
      <c r="AH1067" s="5">
        <f>IF($AG1067="","",IF((IFERROR(INDEX('ASIGNACIONES'!$J$4:$J$451,MATCH($O1067&amp;"|"&amp;$S1067&amp;"|"&amp;$AG1067,'ASIGNACIONES'!$N$4:$N$451,0)),""))=0,"",IFERROR(INDEX('ASIGNACIONES'!$J$4:$J$451,MATCH($O1067&amp;"|"&amp;$S1067&amp;"|"&amp;$AG1067,'ASIGNACIONES'!$N$4:$N$451,0)),"")))</f>
        <v/>
      </c>
      <c r="AI1067" s="25">
        <f>IF($AG1067="","",SUMIFS('ORDENES'!$M$4:$M$1203,'ORDENES'!$AG$4:$AG$1203,$AG1067,'ORDENES'!$O$4:$O$1203,$O1067,'ORDENES'!$S$4:$S$1203,$S1067))</f>
        <v/>
      </c>
      <c r="AJ1067" s="25">
        <f>IF($AI1067="","",p_factor_productividad*IFERROR(INDEX('ASIGNACIONES'!$M$4:$M$451,MATCH($O1067&amp;"|"&amp;$S1067&amp;"|"&amp;$AG1067,'ASIGNACIONES'!$N$4:$N$451,0)),0)-$AI1067)</f>
        <v/>
      </c>
      <c r="AK1067" s="18">
        <f>IF($A1067="","",IFERROR(INDEX('2_IMPORTAR_EJECUCION'!$F$9:$F$1208,MATCH($AT1067,'2_IMPORTAR_EJECUCION'!$J$9:$J$1208,0)),0))</f>
        <v/>
      </c>
      <c r="AL1067" s="18">
        <f>IF($A1067="","",MAX(0,IFERROR(INDEX('2_IMPORTAR_EJECUCION'!$H$9:$H$1208,MATCH($AT1067,'2_IMPORTAR_EJECUCION'!$J$9:$J$1208,0)),0)-$AK1067))</f>
        <v/>
      </c>
      <c r="AM1067" s="18">
        <f>IF($A1067="","",$AK1067+$AL1067)</f>
        <v/>
      </c>
      <c r="AN1067" s="5">
        <f>IF($A1067="","",IF(OR((IFERROR(INDEX('CAT_ACTIVIDADES'!$D$4:$D$11,MATCH($H1067,'CAT_ACTIVIDADES'!$A$4:$A$11,0)),""))=0,(IFERROR(INDEX('CAT_ACTIVIDADES'!$D$4:$D$11,MATCH($H1067,'CAT_ACTIVIDADES'!$A$4:$A$11,0)),""))=""),"SIN CLASIFICAR",IFERROR(INDEX('CAT_ACTIVIDADES'!$D$4:$D$11,MATCH($H1067,'CAT_ACTIVIDADES'!$A$4:$A$11,0)),"")))</f>
        <v/>
      </c>
      <c r="AO1067" s="4" t="n"/>
      <c r="AP1067" s="4" t="n"/>
      <c r="AQ1067" s="4" t="n"/>
      <c r="AR1067" s="5">
        <f>IF($AQ1067="","",HYPERLINK(p_ruta_base_checklists&amp;$AQ1067,"abrir"))</f>
        <v/>
      </c>
      <c r="AS1067" s="4" t="n"/>
      <c r="AT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2" t="n"/>
      <c r="K1068" s="5" t="n"/>
      <c r="L1068" s="18" t="n"/>
      <c r="M1068" s="5">
        <f>IF($A1068="","",IFERROR(INDEX('AJUSTES'!$B$4:$B$303,MATCH($AT1068,'AJUSTES'!$A$4:$A$303,0)),IF($K1068="","",$K1068)))</f>
        <v/>
      </c>
      <c r="N1068" s="5">
        <f>IF($A1068="","",IFERROR(INDEX('CAT_ESTADOS_ERP'!$B$4:$B$7,MATCH(IFERROR(INDEX('2_IMPORTAR_EJECUCION'!$C$9:$C$1208,MATCH($AT1068,'2_IMPORTAR_EJECUCION'!$J$9:$J$1208,0)),""),'CAT_ESTADOS_ERP'!$A$4:$A$7,0)),"Pendiente"))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IF($J1068="","",$P1068&amp;"-"&amp;TEXT($Q1068,"00"))</f>
        <v/>
      </c>
      <c r="S1068" s="5">
        <f>IF($J1068="","",INDEX(lista_dias,WEEKDAY($J1068,2)))</f>
        <v/>
      </c>
      <c r="T1068" s="5">
        <f>IF($J1068="","",IFERROR(INDEX('CALENDARIO'!$C$15:$C$214,MATCH(TEXT($J1068,"yyyy-mm-dd")&amp;"|"&amp;$X1068&amp;"|"&amp;$Y1068,'CALENDARIO'!$G$15:$G$214,0)),IFERROR(INDEX('CALENDARIO'!$C$15:$C$214,MATCH(TEXT($J1068,"yyyy-mm-dd")&amp;"|"&amp;$X1068&amp;"|",'CALENDARIO'!$G$15:$G$214,0)),IFERROR(INDEX('CALENDARIO'!$C$15:$C$214,MATCH(TEXT($J1068,"yyyy-mm-dd")&amp;"||",'CALENDARIO'!$G$15:$G$214,0)),INDEX(patronHabil,WEEKDAY($J1068,2))))))</f>
        <v/>
      </c>
      <c r="U1068" s="5">
        <f>IF($I1068="","",IFERROR(INDEX('CAT_TIPOS_OT'!$C$4:$C$8,MATCH($I1068,'CAT_TIPOS_OT'!$A$4:$A$8,0)),"sin_clasificar"))</f>
        <v/>
      </c>
      <c r="V1068" s="5">
        <f>IF($I1068="","",IF(IFERROR(INDEX('CAT_TIPOS_OT'!$D$4:$D$8,MATCH($I1068,'CAT_TIPOS_OT'!$A$4:$A$8,0)),"SIN CLASIFICAR")="","SIN CLASIFICAR",IFERROR(INDEX('CAT_TIPOS_OT'!$D$4:$D$8,MATCH($I1068,'CAT_TIPOS_OT'!$A$4:$A$8,0)),"SIN CLASIFICAR")))</f>
        <v/>
      </c>
      <c r="W1068" s="5">
        <f>IF($F1068="","",IFERROR(INDEX('CAT_CENTROS_COSTO'!$F$4:$F$13,MATCH($F1068,'CAT_CENTROS_COSTO'!$A$4:$A$13,0)),"(sin catálogo)"))</f>
        <v/>
      </c>
      <c r="X1068" s="5">
        <f>IF($F1068="","",IFERROR(INDEX('CAT_CENTROS_COSTO'!$D$4:$D$13,MATCH($F1068,'CAT_CENTROS_COSTO'!$A$4:$A$13,0)),"(sin catálogo)"))</f>
        <v/>
      </c>
      <c r="Y1068" s="5">
        <f>IF($F1068="","",IF((IFERROR(INDEX('CAT_CENTROS_COSTO'!$E$4:$E$13,MATCH($F1068,'CAT_CENTROS_COSTO'!$A$4:$A$13,0)),""))&lt;&gt;"",IFERROR(INDEX('CAT_CENTROS_COSTO'!$E$4:$E$13,MATCH($F1068,'CAT_CENTROS_COSTO'!$A$4:$A$13,0)),""),$X1068))</f>
        <v/>
      </c>
      <c r="Z1068" s="5">
        <f>IF($F1068="","",IFERROR(INDEX('CAT_CENTROS_COSTO'!$G$4:$G$13,MATCH($F1068,'CAT_CENTROS_COSTO'!$A$4:$A$13,0)),"(sin catálogo)"))</f>
        <v/>
      </c>
      <c r="AA1068" s="5">
        <f>IF($G1068="","",IFERROR(INDEX('CAT_PUESTOS'!$B$4:$B$8,MATCH($G1068,'CAT_PUESTOS'!$A$4:$A$8,0)),"(sin catálogo)"))</f>
        <v/>
      </c>
      <c r="AB1068" s="5">
        <f>IF($H1068="","",IFERROR(INDEX('CAT_ACTIVIDADES'!$B$4:$B$11,MATCH($H1068,'CAT_ACTIVIDADES'!$A$4:$A$11,0)),"(sin catálogo)"))</f>
        <v/>
      </c>
      <c r="AC1068" s="20">
        <f>IF($J1068="","",TODAY()-$J1068)</f>
        <v/>
      </c>
      <c r="AD1068" s="20">
        <f>IF($J1068="","",IF($J1068&lt;=TODAY(),COUNTIFS(cal_fechas,"&gt;="&amp;$J1068,cal_fechas,"&lt;"&amp;TODAY(),cal_habil,"sí"),-COUNTIFS(cal_fechas,"&gt;="&amp;TODAY(),cal_fechas,"&lt;"&amp;$J1068,cal_habil,"sí")))</f>
        <v/>
      </c>
      <c r="AE1068" s="5">
        <f>IF($AD1068="","",IF($AD1068&lt;0,"FUTURO",IF($AD1068&gt;p_dias_backlog_max,"BACKLOG","MES CORRIENTE")))</f>
        <v/>
      </c>
      <c r="AF1068" s="5">
        <f>IF($AD1068="",FALSE,AND($AD1068&gt;p_dias_backlog_min,$AD1068&lt;=p_dias_backlog_max))</f>
        <v/>
      </c>
      <c r="AG1068" s="4" t="n"/>
      <c r="AH1068" s="5">
        <f>IF($AG1068="","",IF((IFERROR(INDEX('ASIGNACIONES'!$J$4:$J$451,MATCH($O1068&amp;"|"&amp;$S1068&amp;"|"&amp;$AG1068,'ASIGNACIONES'!$N$4:$N$451,0)),""))=0,"",IFERROR(INDEX('ASIGNACIONES'!$J$4:$J$451,MATCH($O1068&amp;"|"&amp;$S1068&amp;"|"&amp;$AG1068,'ASIGNACIONES'!$N$4:$N$451,0)),"")))</f>
        <v/>
      </c>
      <c r="AI1068" s="25">
        <f>IF($AG1068="","",SUMIFS('ORDENES'!$M$4:$M$1203,'ORDENES'!$AG$4:$AG$1203,$AG1068,'ORDENES'!$O$4:$O$1203,$O1068,'ORDENES'!$S$4:$S$1203,$S1068))</f>
        <v/>
      </c>
      <c r="AJ1068" s="25">
        <f>IF($AI1068="","",p_factor_productividad*IFERROR(INDEX('ASIGNACIONES'!$M$4:$M$451,MATCH($O1068&amp;"|"&amp;$S1068&amp;"|"&amp;$AG1068,'ASIGNACIONES'!$N$4:$N$451,0)),0)-$AI1068)</f>
        <v/>
      </c>
      <c r="AK1068" s="18">
        <f>IF($A1068="","",IFERROR(INDEX('2_IMPORTAR_EJECUCION'!$F$9:$F$1208,MATCH($AT1068,'2_IMPORTAR_EJECUCION'!$J$9:$J$1208,0)),0))</f>
        <v/>
      </c>
      <c r="AL1068" s="18">
        <f>IF($A1068="","",MAX(0,IFERROR(INDEX('2_IMPORTAR_EJECUCION'!$H$9:$H$1208,MATCH($AT1068,'2_IMPORTAR_EJECUCION'!$J$9:$J$1208,0)),0)-$AK1068))</f>
        <v/>
      </c>
      <c r="AM1068" s="18">
        <f>IF($A1068="","",$AK1068+$AL1068)</f>
        <v/>
      </c>
      <c r="AN1068" s="5">
        <f>IF($A1068="","",IF(OR((IFERROR(INDEX('CAT_ACTIVIDADES'!$D$4:$D$11,MATCH($H1068,'CAT_ACTIVIDADES'!$A$4:$A$11,0)),""))=0,(IFERROR(INDEX('CAT_ACTIVIDADES'!$D$4:$D$11,MATCH($H1068,'CAT_ACTIVIDADES'!$A$4:$A$11,0)),""))=""),"SIN CLASIFICAR",IFERROR(INDEX('CAT_ACTIVIDADES'!$D$4:$D$11,MATCH($H1068,'CAT_ACTIVIDADES'!$A$4:$A$11,0)),"")))</f>
        <v/>
      </c>
      <c r="AO1068" s="4" t="n"/>
      <c r="AP1068" s="4" t="n"/>
      <c r="AQ1068" s="4" t="n"/>
      <c r="AR1068" s="5">
        <f>IF($AQ1068="","",HYPERLINK(p_ruta_base_checklists&amp;$AQ1068,"abrir"))</f>
        <v/>
      </c>
      <c r="AS1068" s="4" t="n"/>
      <c r="AT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2" t="n"/>
      <c r="K1069" s="5" t="n"/>
      <c r="L1069" s="18" t="n"/>
      <c r="M1069" s="5">
        <f>IF($A1069="","",IFERROR(INDEX('AJUSTES'!$B$4:$B$303,MATCH($AT1069,'AJUSTES'!$A$4:$A$303,0)),IF($K1069="","",$K1069)))</f>
        <v/>
      </c>
      <c r="N1069" s="5">
        <f>IF($A1069="","",IFERROR(INDEX('CAT_ESTADOS_ERP'!$B$4:$B$7,MATCH(IFERROR(INDEX('2_IMPORTAR_EJECUCION'!$C$9:$C$1208,MATCH($AT1069,'2_IMPORTAR_EJECUCION'!$J$9:$J$1208,0)),""),'CAT_ESTADOS_ERP'!$A$4:$A$7,0)),"Pendiente"))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IF($J1069="","",$P1069&amp;"-"&amp;TEXT($Q1069,"00"))</f>
        <v/>
      </c>
      <c r="S1069" s="5">
        <f>IF($J1069="","",INDEX(lista_dias,WEEKDAY($J1069,2)))</f>
        <v/>
      </c>
      <c r="T1069" s="5">
        <f>IF($J1069="","",IFERROR(INDEX('CALENDARIO'!$C$15:$C$214,MATCH(TEXT($J1069,"yyyy-mm-dd")&amp;"|"&amp;$X1069&amp;"|"&amp;$Y1069,'CALENDARIO'!$G$15:$G$214,0)),IFERROR(INDEX('CALENDARIO'!$C$15:$C$214,MATCH(TEXT($J1069,"yyyy-mm-dd")&amp;"|"&amp;$X1069&amp;"|",'CALENDARIO'!$G$15:$G$214,0)),IFERROR(INDEX('CALENDARIO'!$C$15:$C$214,MATCH(TEXT($J1069,"yyyy-mm-dd")&amp;"||",'CALENDARIO'!$G$15:$G$214,0)),INDEX(patronHabil,WEEKDAY($J1069,2))))))</f>
        <v/>
      </c>
      <c r="U1069" s="5">
        <f>IF($I1069="","",IFERROR(INDEX('CAT_TIPOS_OT'!$C$4:$C$8,MATCH($I1069,'CAT_TIPOS_OT'!$A$4:$A$8,0)),"sin_clasificar"))</f>
        <v/>
      </c>
      <c r="V1069" s="5">
        <f>IF($I1069="","",IF(IFERROR(INDEX('CAT_TIPOS_OT'!$D$4:$D$8,MATCH($I1069,'CAT_TIPOS_OT'!$A$4:$A$8,0)),"SIN CLASIFICAR")="","SIN CLASIFICAR",IFERROR(INDEX('CAT_TIPOS_OT'!$D$4:$D$8,MATCH($I1069,'CAT_TIPOS_OT'!$A$4:$A$8,0)),"SIN CLASIFICAR")))</f>
        <v/>
      </c>
      <c r="W1069" s="5">
        <f>IF($F1069="","",IFERROR(INDEX('CAT_CENTROS_COSTO'!$F$4:$F$13,MATCH($F1069,'CAT_CENTROS_COSTO'!$A$4:$A$13,0)),"(sin catálogo)"))</f>
        <v/>
      </c>
      <c r="X1069" s="5">
        <f>IF($F1069="","",IFERROR(INDEX('CAT_CENTROS_COSTO'!$D$4:$D$13,MATCH($F1069,'CAT_CENTROS_COSTO'!$A$4:$A$13,0)),"(sin catálogo)"))</f>
        <v/>
      </c>
      <c r="Y1069" s="5">
        <f>IF($F1069="","",IF((IFERROR(INDEX('CAT_CENTROS_COSTO'!$E$4:$E$13,MATCH($F1069,'CAT_CENTROS_COSTO'!$A$4:$A$13,0)),""))&lt;&gt;"",IFERROR(INDEX('CAT_CENTROS_COSTO'!$E$4:$E$13,MATCH($F1069,'CAT_CENTROS_COSTO'!$A$4:$A$13,0)),""),$X1069))</f>
        <v/>
      </c>
      <c r="Z1069" s="5">
        <f>IF($F1069="","",IFERROR(INDEX('CAT_CENTROS_COSTO'!$G$4:$G$13,MATCH($F1069,'CAT_CENTROS_COSTO'!$A$4:$A$13,0)),"(sin catálogo)"))</f>
        <v/>
      </c>
      <c r="AA1069" s="5">
        <f>IF($G1069="","",IFERROR(INDEX('CAT_PUESTOS'!$B$4:$B$8,MATCH($G1069,'CAT_PUESTOS'!$A$4:$A$8,0)),"(sin catálogo)"))</f>
        <v/>
      </c>
      <c r="AB1069" s="5">
        <f>IF($H1069="","",IFERROR(INDEX('CAT_ACTIVIDADES'!$B$4:$B$11,MATCH($H1069,'CAT_ACTIVIDADES'!$A$4:$A$11,0)),"(sin catálogo)"))</f>
        <v/>
      </c>
      <c r="AC1069" s="20">
        <f>IF($J1069="","",TODAY()-$J1069)</f>
        <v/>
      </c>
      <c r="AD1069" s="20">
        <f>IF($J1069="","",IF($J1069&lt;=TODAY(),COUNTIFS(cal_fechas,"&gt;="&amp;$J1069,cal_fechas,"&lt;"&amp;TODAY(),cal_habil,"sí"),-COUNTIFS(cal_fechas,"&gt;="&amp;TODAY(),cal_fechas,"&lt;"&amp;$J1069,cal_habil,"sí")))</f>
        <v/>
      </c>
      <c r="AE1069" s="5">
        <f>IF($AD1069="","",IF($AD1069&lt;0,"FUTURO",IF($AD1069&gt;p_dias_backlog_max,"BACKLOG","MES CORRIENTE")))</f>
        <v/>
      </c>
      <c r="AF1069" s="5">
        <f>IF($AD1069="",FALSE,AND($AD1069&gt;p_dias_backlog_min,$AD1069&lt;=p_dias_backlog_max))</f>
        <v/>
      </c>
      <c r="AG1069" s="4" t="n"/>
      <c r="AH1069" s="5">
        <f>IF($AG1069="","",IF((IFERROR(INDEX('ASIGNACIONES'!$J$4:$J$451,MATCH($O1069&amp;"|"&amp;$S1069&amp;"|"&amp;$AG1069,'ASIGNACIONES'!$N$4:$N$451,0)),""))=0,"",IFERROR(INDEX('ASIGNACIONES'!$J$4:$J$451,MATCH($O1069&amp;"|"&amp;$S1069&amp;"|"&amp;$AG1069,'ASIGNACIONES'!$N$4:$N$451,0)),"")))</f>
        <v/>
      </c>
      <c r="AI1069" s="25">
        <f>IF($AG1069="","",SUMIFS('ORDENES'!$M$4:$M$1203,'ORDENES'!$AG$4:$AG$1203,$AG1069,'ORDENES'!$O$4:$O$1203,$O1069,'ORDENES'!$S$4:$S$1203,$S1069))</f>
        <v/>
      </c>
      <c r="AJ1069" s="25">
        <f>IF($AI1069="","",p_factor_productividad*IFERROR(INDEX('ASIGNACIONES'!$M$4:$M$451,MATCH($O1069&amp;"|"&amp;$S1069&amp;"|"&amp;$AG1069,'ASIGNACIONES'!$N$4:$N$451,0)),0)-$AI1069)</f>
        <v/>
      </c>
      <c r="AK1069" s="18">
        <f>IF($A1069="","",IFERROR(INDEX('2_IMPORTAR_EJECUCION'!$F$9:$F$1208,MATCH($AT1069,'2_IMPORTAR_EJECUCION'!$J$9:$J$1208,0)),0))</f>
        <v/>
      </c>
      <c r="AL1069" s="18">
        <f>IF($A1069="","",MAX(0,IFERROR(INDEX('2_IMPORTAR_EJECUCION'!$H$9:$H$1208,MATCH($AT1069,'2_IMPORTAR_EJECUCION'!$J$9:$J$1208,0)),0)-$AK1069))</f>
        <v/>
      </c>
      <c r="AM1069" s="18">
        <f>IF($A1069="","",$AK1069+$AL1069)</f>
        <v/>
      </c>
      <c r="AN1069" s="5">
        <f>IF($A1069="","",IF(OR((IFERROR(INDEX('CAT_ACTIVIDADES'!$D$4:$D$11,MATCH($H1069,'CAT_ACTIVIDADES'!$A$4:$A$11,0)),""))=0,(IFERROR(INDEX('CAT_ACTIVIDADES'!$D$4:$D$11,MATCH($H1069,'CAT_ACTIVIDADES'!$A$4:$A$11,0)),""))=""),"SIN CLASIFICAR",IFERROR(INDEX('CAT_ACTIVIDADES'!$D$4:$D$11,MATCH($H1069,'CAT_ACTIVIDADES'!$A$4:$A$11,0)),"")))</f>
        <v/>
      </c>
      <c r="AO1069" s="4" t="n"/>
      <c r="AP1069" s="4" t="n"/>
      <c r="AQ1069" s="4" t="n"/>
      <c r="AR1069" s="5">
        <f>IF($AQ1069="","",HYPERLINK(p_ruta_base_checklists&amp;$AQ1069,"abrir"))</f>
        <v/>
      </c>
      <c r="AS1069" s="4" t="n"/>
      <c r="AT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2" t="n"/>
      <c r="K1070" s="5" t="n"/>
      <c r="L1070" s="18" t="n"/>
      <c r="M1070" s="5">
        <f>IF($A1070="","",IFERROR(INDEX('AJUSTES'!$B$4:$B$303,MATCH($AT1070,'AJUSTES'!$A$4:$A$303,0)),IF($K1070="","",$K1070)))</f>
        <v/>
      </c>
      <c r="N1070" s="5">
        <f>IF($A1070="","",IFERROR(INDEX('CAT_ESTADOS_ERP'!$B$4:$B$7,MATCH(IFERROR(INDEX('2_IMPORTAR_EJECUCION'!$C$9:$C$1208,MATCH($AT1070,'2_IMPORTAR_EJECUCION'!$J$9:$J$1208,0)),""),'CAT_ESTADOS_ERP'!$A$4:$A$7,0)),"Pendiente"))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IF($J1070="","",$P1070&amp;"-"&amp;TEXT($Q1070,"00"))</f>
        <v/>
      </c>
      <c r="S1070" s="5">
        <f>IF($J1070="","",INDEX(lista_dias,WEEKDAY($J1070,2)))</f>
        <v/>
      </c>
      <c r="T1070" s="5">
        <f>IF($J1070="","",IFERROR(INDEX('CALENDARIO'!$C$15:$C$214,MATCH(TEXT($J1070,"yyyy-mm-dd")&amp;"|"&amp;$X1070&amp;"|"&amp;$Y1070,'CALENDARIO'!$G$15:$G$214,0)),IFERROR(INDEX('CALENDARIO'!$C$15:$C$214,MATCH(TEXT($J1070,"yyyy-mm-dd")&amp;"|"&amp;$X1070&amp;"|",'CALENDARIO'!$G$15:$G$214,0)),IFERROR(INDEX('CALENDARIO'!$C$15:$C$214,MATCH(TEXT($J1070,"yyyy-mm-dd")&amp;"||",'CALENDARIO'!$G$15:$G$214,0)),INDEX(patronHabil,WEEKDAY($J1070,2))))))</f>
        <v/>
      </c>
      <c r="U1070" s="5">
        <f>IF($I1070="","",IFERROR(INDEX('CAT_TIPOS_OT'!$C$4:$C$8,MATCH($I1070,'CAT_TIPOS_OT'!$A$4:$A$8,0)),"sin_clasificar"))</f>
        <v/>
      </c>
      <c r="V1070" s="5">
        <f>IF($I1070="","",IF(IFERROR(INDEX('CAT_TIPOS_OT'!$D$4:$D$8,MATCH($I1070,'CAT_TIPOS_OT'!$A$4:$A$8,0)),"SIN CLASIFICAR")="","SIN CLASIFICAR",IFERROR(INDEX('CAT_TIPOS_OT'!$D$4:$D$8,MATCH($I1070,'CAT_TIPOS_OT'!$A$4:$A$8,0)),"SIN CLASIFICAR")))</f>
        <v/>
      </c>
      <c r="W1070" s="5">
        <f>IF($F1070="","",IFERROR(INDEX('CAT_CENTROS_COSTO'!$F$4:$F$13,MATCH($F1070,'CAT_CENTROS_COSTO'!$A$4:$A$13,0)),"(sin catálogo)"))</f>
        <v/>
      </c>
      <c r="X1070" s="5">
        <f>IF($F1070="","",IFERROR(INDEX('CAT_CENTROS_COSTO'!$D$4:$D$13,MATCH($F1070,'CAT_CENTROS_COSTO'!$A$4:$A$13,0)),"(sin catálogo)"))</f>
        <v/>
      </c>
      <c r="Y1070" s="5">
        <f>IF($F1070="","",IF((IFERROR(INDEX('CAT_CENTROS_COSTO'!$E$4:$E$13,MATCH($F1070,'CAT_CENTROS_COSTO'!$A$4:$A$13,0)),""))&lt;&gt;"",IFERROR(INDEX('CAT_CENTROS_COSTO'!$E$4:$E$13,MATCH($F1070,'CAT_CENTROS_COSTO'!$A$4:$A$13,0)),""),$X1070))</f>
        <v/>
      </c>
      <c r="Z1070" s="5">
        <f>IF($F1070="","",IFERROR(INDEX('CAT_CENTROS_COSTO'!$G$4:$G$13,MATCH($F1070,'CAT_CENTROS_COSTO'!$A$4:$A$13,0)),"(sin catálogo)"))</f>
        <v/>
      </c>
      <c r="AA1070" s="5">
        <f>IF($G1070="","",IFERROR(INDEX('CAT_PUESTOS'!$B$4:$B$8,MATCH($G1070,'CAT_PUESTOS'!$A$4:$A$8,0)),"(sin catálogo)"))</f>
        <v/>
      </c>
      <c r="AB1070" s="5">
        <f>IF($H1070="","",IFERROR(INDEX('CAT_ACTIVIDADES'!$B$4:$B$11,MATCH($H1070,'CAT_ACTIVIDADES'!$A$4:$A$11,0)),"(sin catálogo)"))</f>
        <v/>
      </c>
      <c r="AC1070" s="20">
        <f>IF($J1070="","",TODAY()-$J1070)</f>
        <v/>
      </c>
      <c r="AD1070" s="20">
        <f>IF($J1070="","",IF($J1070&lt;=TODAY(),COUNTIFS(cal_fechas,"&gt;="&amp;$J1070,cal_fechas,"&lt;"&amp;TODAY(),cal_habil,"sí"),-COUNTIFS(cal_fechas,"&gt;="&amp;TODAY(),cal_fechas,"&lt;"&amp;$J1070,cal_habil,"sí")))</f>
        <v/>
      </c>
      <c r="AE1070" s="5">
        <f>IF($AD1070="","",IF($AD1070&lt;0,"FUTURO",IF($AD1070&gt;p_dias_backlog_max,"BACKLOG","MES CORRIENTE")))</f>
        <v/>
      </c>
      <c r="AF1070" s="5">
        <f>IF($AD1070="",FALSE,AND($AD1070&gt;p_dias_backlog_min,$AD1070&lt;=p_dias_backlog_max))</f>
        <v/>
      </c>
      <c r="AG1070" s="4" t="n"/>
      <c r="AH1070" s="5">
        <f>IF($AG1070="","",IF((IFERROR(INDEX('ASIGNACIONES'!$J$4:$J$451,MATCH($O1070&amp;"|"&amp;$S1070&amp;"|"&amp;$AG1070,'ASIGNACIONES'!$N$4:$N$451,0)),""))=0,"",IFERROR(INDEX('ASIGNACIONES'!$J$4:$J$451,MATCH($O1070&amp;"|"&amp;$S1070&amp;"|"&amp;$AG1070,'ASIGNACIONES'!$N$4:$N$451,0)),"")))</f>
        <v/>
      </c>
      <c r="AI1070" s="25">
        <f>IF($AG1070="","",SUMIFS('ORDENES'!$M$4:$M$1203,'ORDENES'!$AG$4:$AG$1203,$AG1070,'ORDENES'!$O$4:$O$1203,$O1070,'ORDENES'!$S$4:$S$1203,$S1070))</f>
        <v/>
      </c>
      <c r="AJ1070" s="25">
        <f>IF($AI1070="","",p_factor_productividad*IFERROR(INDEX('ASIGNACIONES'!$M$4:$M$451,MATCH($O1070&amp;"|"&amp;$S1070&amp;"|"&amp;$AG1070,'ASIGNACIONES'!$N$4:$N$451,0)),0)-$AI1070)</f>
        <v/>
      </c>
      <c r="AK1070" s="18">
        <f>IF($A1070="","",IFERROR(INDEX('2_IMPORTAR_EJECUCION'!$F$9:$F$1208,MATCH($AT1070,'2_IMPORTAR_EJECUCION'!$J$9:$J$1208,0)),0))</f>
        <v/>
      </c>
      <c r="AL1070" s="18">
        <f>IF($A1070="","",MAX(0,IFERROR(INDEX('2_IMPORTAR_EJECUCION'!$H$9:$H$1208,MATCH($AT1070,'2_IMPORTAR_EJECUCION'!$J$9:$J$1208,0)),0)-$AK1070))</f>
        <v/>
      </c>
      <c r="AM1070" s="18">
        <f>IF($A1070="","",$AK1070+$AL1070)</f>
        <v/>
      </c>
      <c r="AN1070" s="5">
        <f>IF($A1070="","",IF(OR((IFERROR(INDEX('CAT_ACTIVIDADES'!$D$4:$D$11,MATCH($H1070,'CAT_ACTIVIDADES'!$A$4:$A$11,0)),""))=0,(IFERROR(INDEX('CAT_ACTIVIDADES'!$D$4:$D$11,MATCH($H1070,'CAT_ACTIVIDADES'!$A$4:$A$11,0)),""))=""),"SIN CLASIFICAR",IFERROR(INDEX('CAT_ACTIVIDADES'!$D$4:$D$11,MATCH($H1070,'CAT_ACTIVIDADES'!$A$4:$A$11,0)),"")))</f>
        <v/>
      </c>
      <c r="AO1070" s="4" t="n"/>
      <c r="AP1070" s="4" t="n"/>
      <c r="AQ1070" s="4" t="n"/>
      <c r="AR1070" s="5">
        <f>IF($AQ1070="","",HYPERLINK(p_ruta_base_checklists&amp;$AQ1070,"abrir"))</f>
        <v/>
      </c>
      <c r="AS1070" s="4" t="n"/>
      <c r="AT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2" t="n"/>
      <c r="K1071" s="5" t="n"/>
      <c r="L1071" s="18" t="n"/>
      <c r="M1071" s="5">
        <f>IF($A1071="","",IFERROR(INDEX('AJUSTES'!$B$4:$B$303,MATCH($AT1071,'AJUSTES'!$A$4:$A$303,0)),IF($K1071="","",$K1071)))</f>
        <v/>
      </c>
      <c r="N1071" s="5">
        <f>IF($A1071="","",IFERROR(INDEX('CAT_ESTADOS_ERP'!$B$4:$B$7,MATCH(IFERROR(INDEX('2_IMPORTAR_EJECUCION'!$C$9:$C$1208,MATCH($AT1071,'2_IMPORTAR_EJECUCION'!$J$9:$J$1208,0)),""),'CAT_ESTADOS_ERP'!$A$4:$A$7,0)),"Pendiente"))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IF($J1071="","",$P1071&amp;"-"&amp;TEXT($Q1071,"00"))</f>
        <v/>
      </c>
      <c r="S1071" s="5">
        <f>IF($J1071="","",INDEX(lista_dias,WEEKDAY($J1071,2)))</f>
        <v/>
      </c>
      <c r="T1071" s="5">
        <f>IF($J1071="","",IFERROR(INDEX('CALENDARIO'!$C$15:$C$214,MATCH(TEXT($J1071,"yyyy-mm-dd")&amp;"|"&amp;$X1071&amp;"|"&amp;$Y1071,'CALENDARIO'!$G$15:$G$214,0)),IFERROR(INDEX('CALENDARIO'!$C$15:$C$214,MATCH(TEXT($J1071,"yyyy-mm-dd")&amp;"|"&amp;$X1071&amp;"|",'CALENDARIO'!$G$15:$G$214,0)),IFERROR(INDEX('CALENDARIO'!$C$15:$C$214,MATCH(TEXT($J1071,"yyyy-mm-dd")&amp;"||",'CALENDARIO'!$G$15:$G$214,0)),INDEX(patronHabil,WEEKDAY($J1071,2))))))</f>
        <v/>
      </c>
      <c r="U1071" s="5">
        <f>IF($I1071="","",IFERROR(INDEX('CAT_TIPOS_OT'!$C$4:$C$8,MATCH($I1071,'CAT_TIPOS_OT'!$A$4:$A$8,0)),"sin_clasificar"))</f>
        <v/>
      </c>
      <c r="V1071" s="5">
        <f>IF($I1071="","",IF(IFERROR(INDEX('CAT_TIPOS_OT'!$D$4:$D$8,MATCH($I1071,'CAT_TIPOS_OT'!$A$4:$A$8,0)),"SIN CLASIFICAR")="","SIN CLASIFICAR",IFERROR(INDEX('CAT_TIPOS_OT'!$D$4:$D$8,MATCH($I1071,'CAT_TIPOS_OT'!$A$4:$A$8,0)),"SIN CLASIFICAR")))</f>
        <v/>
      </c>
      <c r="W1071" s="5">
        <f>IF($F1071="","",IFERROR(INDEX('CAT_CENTROS_COSTO'!$F$4:$F$13,MATCH($F1071,'CAT_CENTROS_COSTO'!$A$4:$A$13,0)),"(sin catálogo)"))</f>
        <v/>
      </c>
      <c r="X1071" s="5">
        <f>IF($F1071="","",IFERROR(INDEX('CAT_CENTROS_COSTO'!$D$4:$D$13,MATCH($F1071,'CAT_CENTROS_COSTO'!$A$4:$A$13,0)),"(sin catálogo)"))</f>
        <v/>
      </c>
      <c r="Y1071" s="5">
        <f>IF($F1071="","",IF((IFERROR(INDEX('CAT_CENTROS_COSTO'!$E$4:$E$13,MATCH($F1071,'CAT_CENTROS_COSTO'!$A$4:$A$13,0)),""))&lt;&gt;"",IFERROR(INDEX('CAT_CENTROS_COSTO'!$E$4:$E$13,MATCH($F1071,'CAT_CENTROS_COSTO'!$A$4:$A$13,0)),""),$X1071))</f>
        <v/>
      </c>
      <c r="Z1071" s="5">
        <f>IF($F1071="","",IFERROR(INDEX('CAT_CENTROS_COSTO'!$G$4:$G$13,MATCH($F1071,'CAT_CENTROS_COSTO'!$A$4:$A$13,0)),"(sin catálogo)"))</f>
        <v/>
      </c>
      <c r="AA1071" s="5">
        <f>IF($G1071="","",IFERROR(INDEX('CAT_PUESTOS'!$B$4:$B$8,MATCH($G1071,'CAT_PUESTOS'!$A$4:$A$8,0)),"(sin catálogo)"))</f>
        <v/>
      </c>
      <c r="AB1071" s="5">
        <f>IF($H1071="","",IFERROR(INDEX('CAT_ACTIVIDADES'!$B$4:$B$11,MATCH($H1071,'CAT_ACTIVIDADES'!$A$4:$A$11,0)),"(sin catálogo)"))</f>
        <v/>
      </c>
      <c r="AC1071" s="20">
        <f>IF($J1071="","",TODAY()-$J1071)</f>
        <v/>
      </c>
      <c r="AD1071" s="20">
        <f>IF($J1071="","",IF($J1071&lt;=TODAY(),COUNTIFS(cal_fechas,"&gt;="&amp;$J1071,cal_fechas,"&lt;"&amp;TODAY(),cal_habil,"sí"),-COUNTIFS(cal_fechas,"&gt;="&amp;TODAY(),cal_fechas,"&lt;"&amp;$J1071,cal_habil,"sí")))</f>
        <v/>
      </c>
      <c r="AE1071" s="5">
        <f>IF($AD1071="","",IF($AD1071&lt;0,"FUTURO",IF($AD1071&gt;p_dias_backlog_max,"BACKLOG","MES CORRIENTE")))</f>
        <v/>
      </c>
      <c r="AF1071" s="5">
        <f>IF($AD1071="",FALSE,AND($AD1071&gt;p_dias_backlog_min,$AD1071&lt;=p_dias_backlog_max))</f>
        <v/>
      </c>
      <c r="AG1071" s="4" t="n"/>
      <c r="AH1071" s="5">
        <f>IF($AG1071="","",IF((IFERROR(INDEX('ASIGNACIONES'!$J$4:$J$451,MATCH($O1071&amp;"|"&amp;$S1071&amp;"|"&amp;$AG1071,'ASIGNACIONES'!$N$4:$N$451,0)),""))=0,"",IFERROR(INDEX('ASIGNACIONES'!$J$4:$J$451,MATCH($O1071&amp;"|"&amp;$S1071&amp;"|"&amp;$AG1071,'ASIGNACIONES'!$N$4:$N$451,0)),"")))</f>
        <v/>
      </c>
      <c r="AI1071" s="25">
        <f>IF($AG1071="","",SUMIFS('ORDENES'!$M$4:$M$1203,'ORDENES'!$AG$4:$AG$1203,$AG1071,'ORDENES'!$O$4:$O$1203,$O1071,'ORDENES'!$S$4:$S$1203,$S1071))</f>
        <v/>
      </c>
      <c r="AJ1071" s="25">
        <f>IF($AI1071="","",p_factor_productividad*IFERROR(INDEX('ASIGNACIONES'!$M$4:$M$451,MATCH($O1071&amp;"|"&amp;$S1071&amp;"|"&amp;$AG1071,'ASIGNACIONES'!$N$4:$N$451,0)),0)-$AI1071)</f>
        <v/>
      </c>
      <c r="AK1071" s="18">
        <f>IF($A1071="","",IFERROR(INDEX('2_IMPORTAR_EJECUCION'!$F$9:$F$1208,MATCH($AT1071,'2_IMPORTAR_EJECUCION'!$J$9:$J$1208,0)),0))</f>
        <v/>
      </c>
      <c r="AL1071" s="18">
        <f>IF($A1071="","",MAX(0,IFERROR(INDEX('2_IMPORTAR_EJECUCION'!$H$9:$H$1208,MATCH($AT1071,'2_IMPORTAR_EJECUCION'!$J$9:$J$1208,0)),0)-$AK1071))</f>
        <v/>
      </c>
      <c r="AM1071" s="18">
        <f>IF($A1071="","",$AK1071+$AL1071)</f>
        <v/>
      </c>
      <c r="AN1071" s="5">
        <f>IF($A1071="","",IF(OR((IFERROR(INDEX('CAT_ACTIVIDADES'!$D$4:$D$11,MATCH($H1071,'CAT_ACTIVIDADES'!$A$4:$A$11,0)),""))=0,(IFERROR(INDEX('CAT_ACTIVIDADES'!$D$4:$D$11,MATCH($H1071,'CAT_ACTIVIDADES'!$A$4:$A$11,0)),""))=""),"SIN CLASIFICAR",IFERROR(INDEX('CAT_ACTIVIDADES'!$D$4:$D$11,MATCH($H1071,'CAT_ACTIVIDADES'!$A$4:$A$11,0)),"")))</f>
        <v/>
      </c>
      <c r="AO1071" s="4" t="n"/>
      <c r="AP1071" s="4" t="n"/>
      <c r="AQ1071" s="4" t="n"/>
      <c r="AR1071" s="5">
        <f>IF($AQ1071="","",HYPERLINK(p_ruta_base_checklists&amp;$AQ1071,"abrir"))</f>
        <v/>
      </c>
      <c r="AS1071" s="4" t="n"/>
      <c r="AT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2" t="n"/>
      <c r="K1072" s="5" t="n"/>
      <c r="L1072" s="18" t="n"/>
      <c r="M1072" s="5">
        <f>IF($A1072="","",IFERROR(INDEX('AJUSTES'!$B$4:$B$303,MATCH($AT1072,'AJUSTES'!$A$4:$A$303,0)),IF($K1072="","",$K1072)))</f>
        <v/>
      </c>
      <c r="N1072" s="5">
        <f>IF($A1072="","",IFERROR(INDEX('CAT_ESTADOS_ERP'!$B$4:$B$7,MATCH(IFERROR(INDEX('2_IMPORTAR_EJECUCION'!$C$9:$C$1208,MATCH($AT1072,'2_IMPORTAR_EJECUCION'!$J$9:$J$1208,0)),""),'CAT_ESTADOS_ERP'!$A$4:$A$7,0)),"Pendiente"))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IF($J1072="","",$P1072&amp;"-"&amp;TEXT($Q1072,"00"))</f>
        <v/>
      </c>
      <c r="S1072" s="5">
        <f>IF($J1072="","",INDEX(lista_dias,WEEKDAY($J1072,2)))</f>
        <v/>
      </c>
      <c r="T1072" s="5">
        <f>IF($J1072="","",IFERROR(INDEX('CALENDARIO'!$C$15:$C$214,MATCH(TEXT($J1072,"yyyy-mm-dd")&amp;"|"&amp;$X1072&amp;"|"&amp;$Y1072,'CALENDARIO'!$G$15:$G$214,0)),IFERROR(INDEX('CALENDARIO'!$C$15:$C$214,MATCH(TEXT($J1072,"yyyy-mm-dd")&amp;"|"&amp;$X1072&amp;"|",'CALENDARIO'!$G$15:$G$214,0)),IFERROR(INDEX('CALENDARIO'!$C$15:$C$214,MATCH(TEXT($J1072,"yyyy-mm-dd")&amp;"||",'CALENDARIO'!$G$15:$G$214,0)),INDEX(patronHabil,WEEKDAY($J1072,2))))))</f>
        <v/>
      </c>
      <c r="U1072" s="5">
        <f>IF($I1072="","",IFERROR(INDEX('CAT_TIPOS_OT'!$C$4:$C$8,MATCH($I1072,'CAT_TIPOS_OT'!$A$4:$A$8,0)),"sin_clasificar"))</f>
        <v/>
      </c>
      <c r="V1072" s="5">
        <f>IF($I1072="","",IF(IFERROR(INDEX('CAT_TIPOS_OT'!$D$4:$D$8,MATCH($I1072,'CAT_TIPOS_OT'!$A$4:$A$8,0)),"SIN CLASIFICAR")="","SIN CLASIFICAR",IFERROR(INDEX('CAT_TIPOS_OT'!$D$4:$D$8,MATCH($I1072,'CAT_TIPOS_OT'!$A$4:$A$8,0)),"SIN CLASIFICAR")))</f>
        <v/>
      </c>
      <c r="W1072" s="5">
        <f>IF($F1072="","",IFERROR(INDEX('CAT_CENTROS_COSTO'!$F$4:$F$13,MATCH($F1072,'CAT_CENTROS_COSTO'!$A$4:$A$13,0)),"(sin catálogo)"))</f>
        <v/>
      </c>
      <c r="X1072" s="5">
        <f>IF($F1072="","",IFERROR(INDEX('CAT_CENTROS_COSTO'!$D$4:$D$13,MATCH($F1072,'CAT_CENTROS_COSTO'!$A$4:$A$13,0)),"(sin catálogo)"))</f>
        <v/>
      </c>
      <c r="Y1072" s="5">
        <f>IF($F1072="","",IF((IFERROR(INDEX('CAT_CENTROS_COSTO'!$E$4:$E$13,MATCH($F1072,'CAT_CENTROS_COSTO'!$A$4:$A$13,0)),""))&lt;&gt;"",IFERROR(INDEX('CAT_CENTROS_COSTO'!$E$4:$E$13,MATCH($F1072,'CAT_CENTROS_COSTO'!$A$4:$A$13,0)),""),$X1072))</f>
        <v/>
      </c>
      <c r="Z1072" s="5">
        <f>IF($F1072="","",IFERROR(INDEX('CAT_CENTROS_COSTO'!$G$4:$G$13,MATCH($F1072,'CAT_CENTROS_COSTO'!$A$4:$A$13,0)),"(sin catálogo)"))</f>
        <v/>
      </c>
      <c r="AA1072" s="5">
        <f>IF($G1072="","",IFERROR(INDEX('CAT_PUESTOS'!$B$4:$B$8,MATCH($G1072,'CAT_PUESTOS'!$A$4:$A$8,0)),"(sin catálogo)"))</f>
        <v/>
      </c>
      <c r="AB1072" s="5">
        <f>IF($H1072="","",IFERROR(INDEX('CAT_ACTIVIDADES'!$B$4:$B$11,MATCH($H1072,'CAT_ACTIVIDADES'!$A$4:$A$11,0)),"(sin catálogo)"))</f>
        <v/>
      </c>
      <c r="AC1072" s="20">
        <f>IF($J1072="","",TODAY()-$J1072)</f>
        <v/>
      </c>
      <c r="AD1072" s="20">
        <f>IF($J1072="","",IF($J1072&lt;=TODAY(),COUNTIFS(cal_fechas,"&gt;="&amp;$J1072,cal_fechas,"&lt;"&amp;TODAY(),cal_habil,"sí"),-COUNTIFS(cal_fechas,"&gt;="&amp;TODAY(),cal_fechas,"&lt;"&amp;$J1072,cal_habil,"sí")))</f>
        <v/>
      </c>
      <c r="AE1072" s="5">
        <f>IF($AD1072="","",IF($AD1072&lt;0,"FUTURO",IF($AD1072&gt;p_dias_backlog_max,"BACKLOG","MES CORRIENTE")))</f>
        <v/>
      </c>
      <c r="AF1072" s="5">
        <f>IF($AD1072="",FALSE,AND($AD1072&gt;p_dias_backlog_min,$AD1072&lt;=p_dias_backlog_max))</f>
        <v/>
      </c>
      <c r="AG1072" s="4" t="n"/>
      <c r="AH1072" s="5">
        <f>IF($AG1072="","",IF((IFERROR(INDEX('ASIGNACIONES'!$J$4:$J$451,MATCH($O1072&amp;"|"&amp;$S1072&amp;"|"&amp;$AG1072,'ASIGNACIONES'!$N$4:$N$451,0)),""))=0,"",IFERROR(INDEX('ASIGNACIONES'!$J$4:$J$451,MATCH($O1072&amp;"|"&amp;$S1072&amp;"|"&amp;$AG1072,'ASIGNACIONES'!$N$4:$N$451,0)),"")))</f>
        <v/>
      </c>
      <c r="AI1072" s="25">
        <f>IF($AG1072="","",SUMIFS('ORDENES'!$M$4:$M$1203,'ORDENES'!$AG$4:$AG$1203,$AG1072,'ORDENES'!$O$4:$O$1203,$O1072,'ORDENES'!$S$4:$S$1203,$S1072))</f>
        <v/>
      </c>
      <c r="AJ1072" s="25">
        <f>IF($AI1072="","",p_factor_productividad*IFERROR(INDEX('ASIGNACIONES'!$M$4:$M$451,MATCH($O1072&amp;"|"&amp;$S1072&amp;"|"&amp;$AG1072,'ASIGNACIONES'!$N$4:$N$451,0)),0)-$AI1072)</f>
        <v/>
      </c>
      <c r="AK1072" s="18">
        <f>IF($A1072="","",IFERROR(INDEX('2_IMPORTAR_EJECUCION'!$F$9:$F$1208,MATCH($AT1072,'2_IMPORTAR_EJECUCION'!$J$9:$J$1208,0)),0))</f>
        <v/>
      </c>
      <c r="AL1072" s="18">
        <f>IF($A1072="","",MAX(0,IFERROR(INDEX('2_IMPORTAR_EJECUCION'!$H$9:$H$1208,MATCH($AT1072,'2_IMPORTAR_EJECUCION'!$J$9:$J$1208,0)),0)-$AK1072))</f>
        <v/>
      </c>
      <c r="AM1072" s="18">
        <f>IF($A1072="","",$AK1072+$AL1072)</f>
        <v/>
      </c>
      <c r="AN1072" s="5">
        <f>IF($A1072="","",IF(OR((IFERROR(INDEX('CAT_ACTIVIDADES'!$D$4:$D$11,MATCH($H1072,'CAT_ACTIVIDADES'!$A$4:$A$11,0)),""))=0,(IFERROR(INDEX('CAT_ACTIVIDADES'!$D$4:$D$11,MATCH($H1072,'CAT_ACTIVIDADES'!$A$4:$A$11,0)),""))=""),"SIN CLASIFICAR",IFERROR(INDEX('CAT_ACTIVIDADES'!$D$4:$D$11,MATCH($H1072,'CAT_ACTIVIDADES'!$A$4:$A$11,0)),"")))</f>
        <v/>
      </c>
      <c r="AO1072" s="4" t="n"/>
      <c r="AP1072" s="4" t="n"/>
      <c r="AQ1072" s="4" t="n"/>
      <c r="AR1072" s="5">
        <f>IF($AQ1072="","",HYPERLINK(p_ruta_base_checklists&amp;$AQ1072,"abrir"))</f>
        <v/>
      </c>
      <c r="AS1072" s="4" t="n"/>
      <c r="AT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2" t="n"/>
      <c r="K1073" s="5" t="n"/>
      <c r="L1073" s="18" t="n"/>
      <c r="M1073" s="5">
        <f>IF($A1073="","",IFERROR(INDEX('AJUSTES'!$B$4:$B$303,MATCH($AT1073,'AJUSTES'!$A$4:$A$303,0)),IF($K1073="","",$K1073)))</f>
        <v/>
      </c>
      <c r="N1073" s="5">
        <f>IF($A1073="","",IFERROR(INDEX('CAT_ESTADOS_ERP'!$B$4:$B$7,MATCH(IFERROR(INDEX('2_IMPORTAR_EJECUCION'!$C$9:$C$1208,MATCH($AT1073,'2_IMPORTAR_EJECUCION'!$J$9:$J$1208,0)),""),'CAT_ESTADOS_ERP'!$A$4:$A$7,0)),"Pendiente"))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IF($J1073="","",$P1073&amp;"-"&amp;TEXT($Q1073,"00"))</f>
        <v/>
      </c>
      <c r="S1073" s="5">
        <f>IF($J1073="","",INDEX(lista_dias,WEEKDAY($J1073,2)))</f>
        <v/>
      </c>
      <c r="T1073" s="5">
        <f>IF($J1073="","",IFERROR(INDEX('CALENDARIO'!$C$15:$C$214,MATCH(TEXT($J1073,"yyyy-mm-dd")&amp;"|"&amp;$X1073&amp;"|"&amp;$Y1073,'CALENDARIO'!$G$15:$G$214,0)),IFERROR(INDEX('CALENDARIO'!$C$15:$C$214,MATCH(TEXT($J1073,"yyyy-mm-dd")&amp;"|"&amp;$X1073&amp;"|",'CALENDARIO'!$G$15:$G$214,0)),IFERROR(INDEX('CALENDARIO'!$C$15:$C$214,MATCH(TEXT($J1073,"yyyy-mm-dd")&amp;"||",'CALENDARIO'!$G$15:$G$214,0)),INDEX(patronHabil,WEEKDAY($J1073,2))))))</f>
        <v/>
      </c>
      <c r="U1073" s="5">
        <f>IF($I1073="","",IFERROR(INDEX('CAT_TIPOS_OT'!$C$4:$C$8,MATCH($I1073,'CAT_TIPOS_OT'!$A$4:$A$8,0)),"sin_clasificar"))</f>
        <v/>
      </c>
      <c r="V1073" s="5">
        <f>IF($I1073="","",IF(IFERROR(INDEX('CAT_TIPOS_OT'!$D$4:$D$8,MATCH($I1073,'CAT_TIPOS_OT'!$A$4:$A$8,0)),"SIN CLASIFICAR")="","SIN CLASIFICAR",IFERROR(INDEX('CAT_TIPOS_OT'!$D$4:$D$8,MATCH($I1073,'CAT_TIPOS_OT'!$A$4:$A$8,0)),"SIN CLASIFICAR")))</f>
        <v/>
      </c>
      <c r="W1073" s="5">
        <f>IF($F1073="","",IFERROR(INDEX('CAT_CENTROS_COSTO'!$F$4:$F$13,MATCH($F1073,'CAT_CENTROS_COSTO'!$A$4:$A$13,0)),"(sin catálogo)"))</f>
        <v/>
      </c>
      <c r="X1073" s="5">
        <f>IF($F1073="","",IFERROR(INDEX('CAT_CENTROS_COSTO'!$D$4:$D$13,MATCH($F1073,'CAT_CENTROS_COSTO'!$A$4:$A$13,0)),"(sin catálogo)"))</f>
        <v/>
      </c>
      <c r="Y1073" s="5">
        <f>IF($F1073="","",IF((IFERROR(INDEX('CAT_CENTROS_COSTO'!$E$4:$E$13,MATCH($F1073,'CAT_CENTROS_COSTO'!$A$4:$A$13,0)),""))&lt;&gt;"",IFERROR(INDEX('CAT_CENTROS_COSTO'!$E$4:$E$13,MATCH($F1073,'CAT_CENTROS_COSTO'!$A$4:$A$13,0)),""),$X1073))</f>
        <v/>
      </c>
      <c r="Z1073" s="5">
        <f>IF($F1073="","",IFERROR(INDEX('CAT_CENTROS_COSTO'!$G$4:$G$13,MATCH($F1073,'CAT_CENTROS_COSTO'!$A$4:$A$13,0)),"(sin catálogo)"))</f>
        <v/>
      </c>
      <c r="AA1073" s="5">
        <f>IF($G1073="","",IFERROR(INDEX('CAT_PUESTOS'!$B$4:$B$8,MATCH($G1073,'CAT_PUESTOS'!$A$4:$A$8,0)),"(sin catálogo)"))</f>
        <v/>
      </c>
      <c r="AB1073" s="5">
        <f>IF($H1073="","",IFERROR(INDEX('CAT_ACTIVIDADES'!$B$4:$B$11,MATCH($H1073,'CAT_ACTIVIDADES'!$A$4:$A$11,0)),"(sin catálogo)"))</f>
        <v/>
      </c>
      <c r="AC1073" s="20">
        <f>IF($J1073="","",TODAY()-$J1073)</f>
        <v/>
      </c>
      <c r="AD1073" s="20">
        <f>IF($J1073="","",IF($J1073&lt;=TODAY(),COUNTIFS(cal_fechas,"&gt;="&amp;$J1073,cal_fechas,"&lt;"&amp;TODAY(),cal_habil,"sí"),-COUNTIFS(cal_fechas,"&gt;="&amp;TODAY(),cal_fechas,"&lt;"&amp;$J1073,cal_habil,"sí")))</f>
        <v/>
      </c>
      <c r="AE1073" s="5">
        <f>IF($AD1073="","",IF($AD1073&lt;0,"FUTURO",IF($AD1073&gt;p_dias_backlog_max,"BACKLOG","MES CORRIENTE")))</f>
        <v/>
      </c>
      <c r="AF1073" s="5">
        <f>IF($AD1073="",FALSE,AND($AD1073&gt;p_dias_backlog_min,$AD1073&lt;=p_dias_backlog_max))</f>
        <v/>
      </c>
      <c r="AG1073" s="4" t="n"/>
      <c r="AH1073" s="5">
        <f>IF($AG1073="","",IF((IFERROR(INDEX('ASIGNACIONES'!$J$4:$J$451,MATCH($O1073&amp;"|"&amp;$S1073&amp;"|"&amp;$AG1073,'ASIGNACIONES'!$N$4:$N$451,0)),""))=0,"",IFERROR(INDEX('ASIGNACIONES'!$J$4:$J$451,MATCH($O1073&amp;"|"&amp;$S1073&amp;"|"&amp;$AG1073,'ASIGNACIONES'!$N$4:$N$451,0)),"")))</f>
        <v/>
      </c>
      <c r="AI1073" s="25">
        <f>IF($AG1073="","",SUMIFS('ORDENES'!$M$4:$M$1203,'ORDENES'!$AG$4:$AG$1203,$AG1073,'ORDENES'!$O$4:$O$1203,$O1073,'ORDENES'!$S$4:$S$1203,$S1073))</f>
        <v/>
      </c>
      <c r="AJ1073" s="25">
        <f>IF($AI1073="","",p_factor_productividad*IFERROR(INDEX('ASIGNACIONES'!$M$4:$M$451,MATCH($O1073&amp;"|"&amp;$S1073&amp;"|"&amp;$AG1073,'ASIGNACIONES'!$N$4:$N$451,0)),0)-$AI1073)</f>
        <v/>
      </c>
      <c r="AK1073" s="18">
        <f>IF($A1073="","",IFERROR(INDEX('2_IMPORTAR_EJECUCION'!$F$9:$F$1208,MATCH($AT1073,'2_IMPORTAR_EJECUCION'!$J$9:$J$1208,0)),0))</f>
        <v/>
      </c>
      <c r="AL1073" s="18">
        <f>IF($A1073="","",MAX(0,IFERROR(INDEX('2_IMPORTAR_EJECUCION'!$H$9:$H$1208,MATCH($AT1073,'2_IMPORTAR_EJECUCION'!$J$9:$J$1208,0)),0)-$AK1073))</f>
        <v/>
      </c>
      <c r="AM1073" s="18">
        <f>IF($A1073="","",$AK1073+$AL1073)</f>
        <v/>
      </c>
      <c r="AN1073" s="5">
        <f>IF($A1073="","",IF(OR((IFERROR(INDEX('CAT_ACTIVIDADES'!$D$4:$D$11,MATCH($H1073,'CAT_ACTIVIDADES'!$A$4:$A$11,0)),""))=0,(IFERROR(INDEX('CAT_ACTIVIDADES'!$D$4:$D$11,MATCH($H1073,'CAT_ACTIVIDADES'!$A$4:$A$11,0)),""))=""),"SIN CLASIFICAR",IFERROR(INDEX('CAT_ACTIVIDADES'!$D$4:$D$11,MATCH($H1073,'CAT_ACTIVIDADES'!$A$4:$A$11,0)),"")))</f>
        <v/>
      </c>
      <c r="AO1073" s="4" t="n"/>
      <c r="AP1073" s="4" t="n"/>
      <c r="AQ1073" s="4" t="n"/>
      <c r="AR1073" s="5">
        <f>IF($AQ1073="","",HYPERLINK(p_ruta_base_checklists&amp;$AQ1073,"abrir"))</f>
        <v/>
      </c>
      <c r="AS1073" s="4" t="n"/>
      <c r="AT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2" t="n"/>
      <c r="K1074" s="5" t="n"/>
      <c r="L1074" s="18" t="n"/>
      <c r="M1074" s="5">
        <f>IF($A1074="","",IFERROR(INDEX('AJUSTES'!$B$4:$B$303,MATCH($AT1074,'AJUSTES'!$A$4:$A$303,0)),IF($K1074="","",$K1074)))</f>
        <v/>
      </c>
      <c r="N1074" s="5">
        <f>IF($A1074="","",IFERROR(INDEX('CAT_ESTADOS_ERP'!$B$4:$B$7,MATCH(IFERROR(INDEX('2_IMPORTAR_EJECUCION'!$C$9:$C$1208,MATCH($AT1074,'2_IMPORTAR_EJECUCION'!$J$9:$J$1208,0)),""),'CAT_ESTADOS_ERP'!$A$4:$A$7,0)),"Pendiente"))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IF($J1074="","",$P1074&amp;"-"&amp;TEXT($Q1074,"00"))</f>
        <v/>
      </c>
      <c r="S1074" s="5">
        <f>IF($J1074="","",INDEX(lista_dias,WEEKDAY($J1074,2)))</f>
        <v/>
      </c>
      <c r="T1074" s="5">
        <f>IF($J1074="","",IFERROR(INDEX('CALENDARIO'!$C$15:$C$214,MATCH(TEXT($J1074,"yyyy-mm-dd")&amp;"|"&amp;$X1074&amp;"|"&amp;$Y1074,'CALENDARIO'!$G$15:$G$214,0)),IFERROR(INDEX('CALENDARIO'!$C$15:$C$214,MATCH(TEXT($J1074,"yyyy-mm-dd")&amp;"|"&amp;$X1074&amp;"|",'CALENDARIO'!$G$15:$G$214,0)),IFERROR(INDEX('CALENDARIO'!$C$15:$C$214,MATCH(TEXT($J1074,"yyyy-mm-dd")&amp;"||",'CALENDARIO'!$G$15:$G$214,0)),INDEX(patronHabil,WEEKDAY($J1074,2))))))</f>
        <v/>
      </c>
      <c r="U1074" s="5">
        <f>IF($I1074="","",IFERROR(INDEX('CAT_TIPOS_OT'!$C$4:$C$8,MATCH($I1074,'CAT_TIPOS_OT'!$A$4:$A$8,0)),"sin_clasificar"))</f>
        <v/>
      </c>
      <c r="V1074" s="5">
        <f>IF($I1074="","",IF(IFERROR(INDEX('CAT_TIPOS_OT'!$D$4:$D$8,MATCH($I1074,'CAT_TIPOS_OT'!$A$4:$A$8,0)),"SIN CLASIFICAR")="","SIN CLASIFICAR",IFERROR(INDEX('CAT_TIPOS_OT'!$D$4:$D$8,MATCH($I1074,'CAT_TIPOS_OT'!$A$4:$A$8,0)),"SIN CLASIFICAR")))</f>
        <v/>
      </c>
      <c r="W1074" s="5">
        <f>IF($F1074="","",IFERROR(INDEX('CAT_CENTROS_COSTO'!$F$4:$F$13,MATCH($F1074,'CAT_CENTROS_COSTO'!$A$4:$A$13,0)),"(sin catálogo)"))</f>
        <v/>
      </c>
      <c r="X1074" s="5">
        <f>IF($F1074="","",IFERROR(INDEX('CAT_CENTROS_COSTO'!$D$4:$D$13,MATCH($F1074,'CAT_CENTROS_COSTO'!$A$4:$A$13,0)),"(sin catálogo)"))</f>
        <v/>
      </c>
      <c r="Y1074" s="5">
        <f>IF($F1074="","",IF((IFERROR(INDEX('CAT_CENTROS_COSTO'!$E$4:$E$13,MATCH($F1074,'CAT_CENTROS_COSTO'!$A$4:$A$13,0)),""))&lt;&gt;"",IFERROR(INDEX('CAT_CENTROS_COSTO'!$E$4:$E$13,MATCH($F1074,'CAT_CENTROS_COSTO'!$A$4:$A$13,0)),""),$X1074))</f>
        <v/>
      </c>
      <c r="Z1074" s="5">
        <f>IF($F1074="","",IFERROR(INDEX('CAT_CENTROS_COSTO'!$G$4:$G$13,MATCH($F1074,'CAT_CENTROS_COSTO'!$A$4:$A$13,0)),"(sin catálogo)"))</f>
        <v/>
      </c>
      <c r="AA1074" s="5">
        <f>IF($G1074="","",IFERROR(INDEX('CAT_PUESTOS'!$B$4:$B$8,MATCH($G1074,'CAT_PUESTOS'!$A$4:$A$8,0)),"(sin catálogo)"))</f>
        <v/>
      </c>
      <c r="AB1074" s="5">
        <f>IF($H1074="","",IFERROR(INDEX('CAT_ACTIVIDADES'!$B$4:$B$11,MATCH($H1074,'CAT_ACTIVIDADES'!$A$4:$A$11,0)),"(sin catálogo)"))</f>
        <v/>
      </c>
      <c r="AC1074" s="20">
        <f>IF($J1074="","",TODAY()-$J1074)</f>
        <v/>
      </c>
      <c r="AD1074" s="20">
        <f>IF($J1074="","",IF($J1074&lt;=TODAY(),COUNTIFS(cal_fechas,"&gt;="&amp;$J1074,cal_fechas,"&lt;"&amp;TODAY(),cal_habil,"sí"),-COUNTIFS(cal_fechas,"&gt;="&amp;TODAY(),cal_fechas,"&lt;"&amp;$J1074,cal_habil,"sí")))</f>
        <v/>
      </c>
      <c r="AE1074" s="5">
        <f>IF($AD1074="","",IF($AD1074&lt;0,"FUTURO",IF($AD1074&gt;p_dias_backlog_max,"BACKLOG","MES CORRIENTE")))</f>
        <v/>
      </c>
      <c r="AF1074" s="5">
        <f>IF($AD1074="",FALSE,AND($AD1074&gt;p_dias_backlog_min,$AD1074&lt;=p_dias_backlog_max))</f>
        <v/>
      </c>
      <c r="AG1074" s="4" t="n"/>
      <c r="AH1074" s="5">
        <f>IF($AG1074="","",IF((IFERROR(INDEX('ASIGNACIONES'!$J$4:$J$451,MATCH($O1074&amp;"|"&amp;$S1074&amp;"|"&amp;$AG1074,'ASIGNACIONES'!$N$4:$N$451,0)),""))=0,"",IFERROR(INDEX('ASIGNACIONES'!$J$4:$J$451,MATCH($O1074&amp;"|"&amp;$S1074&amp;"|"&amp;$AG1074,'ASIGNACIONES'!$N$4:$N$451,0)),"")))</f>
        <v/>
      </c>
      <c r="AI1074" s="25">
        <f>IF($AG1074="","",SUMIFS('ORDENES'!$M$4:$M$1203,'ORDENES'!$AG$4:$AG$1203,$AG1074,'ORDENES'!$O$4:$O$1203,$O1074,'ORDENES'!$S$4:$S$1203,$S1074))</f>
        <v/>
      </c>
      <c r="AJ1074" s="25">
        <f>IF($AI1074="","",p_factor_productividad*IFERROR(INDEX('ASIGNACIONES'!$M$4:$M$451,MATCH($O1074&amp;"|"&amp;$S1074&amp;"|"&amp;$AG1074,'ASIGNACIONES'!$N$4:$N$451,0)),0)-$AI1074)</f>
        <v/>
      </c>
      <c r="AK1074" s="18">
        <f>IF($A1074="","",IFERROR(INDEX('2_IMPORTAR_EJECUCION'!$F$9:$F$1208,MATCH($AT1074,'2_IMPORTAR_EJECUCION'!$J$9:$J$1208,0)),0))</f>
        <v/>
      </c>
      <c r="AL1074" s="18">
        <f>IF($A1074="","",MAX(0,IFERROR(INDEX('2_IMPORTAR_EJECUCION'!$H$9:$H$1208,MATCH($AT1074,'2_IMPORTAR_EJECUCION'!$J$9:$J$1208,0)),0)-$AK1074))</f>
        <v/>
      </c>
      <c r="AM1074" s="18">
        <f>IF($A1074="","",$AK1074+$AL1074)</f>
        <v/>
      </c>
      <c r="AN1074" s="5">
        <f>IF($A1074="","",IF(OR((IFERROR(INDEX('CAT_ACTIVIDADES'!$D$4:$D$11,MATCH($H1074,'CAT_ACTIVIDADES'!$A$4:$A$11,0)),""))=0,(IFERROR(INDEX('CAT_ACTIVIDADES'!$D$4:$D$11,MATCH($H1074,'CAT_ACTIVIDADES'!$A$4:$A$11,0)),""))=""),"SIN CLASIFICAR",IFERROR(INDEX('CAT_ACTIVIDADES'!$D$4:$D$11,MATCH($H1074,'CAT_ACTIVIDADES'!$A$4:$A$11,0)),"")))</f>
        <v/>
      </c>
      <c r="AO1074" s="4" t="n"/>
      <c r="AP1074" s="4" t="n"/>
      <c r="AQ1074" s="4" t="n"/>
      <c r="AR1074" s="5">
        <f>IF($AQ1074="","",HYPERLINK(p_ruta_base_checklists&amp;$AQ1074,"abrir"))</f>
        <v/>
      </c>
      <c r="AS1074" s="4" t="n"/>
      <c r="AT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2" t="n"/>
      <c r="K1075" s="5" t="n"/>
      <c r="L1075" s="18" t="n"/>
      <c r="M1075" s="5">
        <f>IF($A1075="","",IFERROR(INDEX('AJUSTES'!$B$4:$B$303,MATCH($AT1075,'AJUSTES'!$A$4:$A$303,0)),IF($K1075="","",$K1075)))</f>
        <v/>
      </c>
      <c r="N1075" s="5">
        <f>IF($A1075="","",IFERROR(INDEX('CAT_ESTADOS_ERP'!$B$4:$B$7,MATCH(IFERROR(INDEX('2_IMPORTAR_EJECUCION'!$C$9:$C$1208,MATCH($AT1075,'2_IMPORTAR_EJECUCION'!$J$9:$J$1208,0)),""),'CAT_ESTADOS_ERP'!$A$4:$A$7,0)),"Pendiente"))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IF($J1075="","",$P1075&amp;"-"&amp;TEXT($Q1075,"00"))</f>
        <v/>
      </c>
      <c r="S1075" s="5">
        <f>IF($J1075="","",INDEX(lista_dias,WEEKDAY($J1075,2)))</f>
        <v/>
      </c>
      <c r="T1075" s="5">
        <f>IF($J1075="","",IFERROR(INDEX('CALENDARIO'!$C$15:$C$214,MATCH(TEXT($J1075,"yyyy-mm-dd")&amp;"|"&amp;$X1075&amp;"|"&amp;$Y1075,'CALENDARIO'!$G$15:$G$214,0)),IFERROR(INDEX('CALENDARIO'!$C$15:$C$214,MATCH(TEXT($J1075,"yyyy-mm-dd")&amp;"|"&amp;$X1075&amp;"|",'CALENDARIO'!$G$15:$G$214,0)),IFERROR(INDEX('CALENDARIO'!$C$15:$C$214,MATCH(TEXT($J1075,"yyyy-mm-dd")&amp;"||",'CALENDARIO'!$G$15:$G$214,0)),INDEX(patronHabil,WEEKDAY($J1075,2))))))</f>
        <v/>
      </c>
      <c r="U1075" s="5">
        <f>IF($I1075="","",IFERROR(INDEX('CAT_TIPOS_OT'!$C$4:$C$8,MATCH($I1075,'CAT_TIPOS_OT'!$A$4:$A$8,0)),"sin_clasificar"))</f>
        <v/>
      </c>
      <c r="V1075" s="5">
        <f>IF($I1075="","",IF(IFERROR(INDEX('CAT_TIPOS_OT'!$D$4:$D$8,MATCH($I1075,'CAT_TIPOS_OT'!$A$4:$A$8,0)),"SIN CLASIFICAR")="","SIN CLASIFICAR",IFERROR(INDEX('CAT_TIPOS_OT'!$D$4:$D$8,MATCH($I1075,'CAT_TIPOS_OT'!$A$4:$A$8,0)),"SIN CLASIFICAR")))</f>
        <v/>
      </c>
      <c r="W1075" s="5">
        <f>IF($F1075="","",IFERROR(INDEX('CAT_CENTROS_COSTO'!$F$4:$F$13,MATCH($F1075,'CAT_CENTROS_COSTO'!$A$4:$A$13,0)),"(sin catálogo)"))</f>
        <v/>
      </c>
      <c r="X1075" s="5">
        <f>IF($F1075="","",IFERROR(INDEX('CAT_CENTROS_COSTO'!$D$4:$D$13,MATCH($F1075,'CAT_CENTROS_COSTO'!$A$4:$A$13,0)),"(sin catálogo)"))</f>
        <v/>
      </c>
      <c r="Y1075" s="5">
        <f>IF($F1075="","",IF((IFERROR(INDEX('CAT_CENTROS_COSTO'!$E$4:$E$13,MATCH($F1075,'CAT_CENTROS_COSTO'!$A$4:$A$13,0)),""))&lt;&gt;"",IFERROR(INDEX('CAT_CENTROS_COSTO'!$E$4:$E$13,MATCH($F1075,'CAT_CENTROS_COSTO'!$A$4:$A$13,0)),""),$X1075))</f>
        <v/>
      </c>
      <c r="Z1075" s="5">
        <f>IF($F1075="","",IFERROR(INDEX('CAT_CENTROS_COSTO'!$G$4:$G$13,MATCH($F1075,'CAT_CENTROS_COSTO'!$A$4:$A$13,0)),"(sin catálogo)"))</f>
        <v/>
      </c>
      <c r="AA1075" s="5">
        <f>IF($G1075="","",IFERROR(INDEX('CAT_PUESTOS'!$B$4:$B$8,MATCH($G1075,'CAT_PUESTOS'!$A$4:$A$8,0)),"(sin catálogo)"))</f>
        <v/>
      </c>
      <c r="AB1075" s="5">
        <f>IF($H1075="","",IFERROR(INDEX('CAT_ACTIVIDADES'!$B$4:$B$11,MATCH($H1075,'CAT_ACTIVIDADES'!$A$4:$A$11,0)),"(sin catálogo)"))</f>
        <v/>
      </c>
      <c r="AC1075" s="20">
        <f>IF($J1075="","",TODAY()-$J1075)</f>
        <v/>
      </c>
      <c r="AD1075" s="20">
        <f>IF($J1075="","",IF($J1075&lt;=TODAY(),COUNTIFS(cal_fechas,"&gt;="&amp;$J1075,cal_fechas,"&lt;"&amp;TODAY(),cal_habil,"sí"),-COUNTIFS(cal_fechas,"&gt;="&amp;TODAY(),cal_fechas,"&lt;"&amp;$J1075,cal_habil,"sí")))</f>
        <v/>
      </c>
      <c r="AE1075" s="5">
        <f>IF($AD1075="","",IF($AD1075&lt;0,"FUTURO",IF($AD1075&gt;p_dias_backlog_max,"BACKLOG","MES CORRIENTE")))</f>
        <v/>
      </c>
      <c r="AF1075" s="5">
        <f>IF($AD1075="",FALSE,AND($AD1075&gt;p_dias_backlog_min,$AD1075&lt;=p_dias_backlog_max))</f>
        <v/>
      </c>
      <c r="AG1075" s="4" t="n"/>
      <c r="AH1075" s="5">
        <f>IF($AG1075="","",IF((IFERROR(INDEX('ASIGNACIONES'!$J$4:$J$451,MATCH($O1075&amp;"|"&amp;$S1075&amp;"|"&amp;$AG1075,'ASIGNACIONES'!$N$4:$N$451,0)),""))=0,"",IFERROR(INDEX('ASIGNACIONES'!$J$4:$J$451,MATCH($O1075&amp;"|"&amp;$S1075&amp;"|"&amp;$AG1075,'ASIGNACIONES'!$N$4:$N$451,0)),"")))</f>
        <v/>
      </c>
      <c r="AI1075" s="25">
        <f>IF($AG1075="","",SUMIFS('ORDENES'!$M$4:$M$1203,'ORDENES'!$AG$4:$AG$1203,$AG1075,'ORDENES'!$O$4:$O$1203,$O1075,'ORDENES'!$S$4:$S$1203,$S1075))</f>
        <v/>
      </c>
      <c r="AJ1075" s="25">
        <f>IF($AI1075="","",p_factor_productividad*IFERROR(INDEX('ASIGNACIONES'!$M$4:$M$451,MATCH($O1075&amp;"|"&amp;$S1075&amp;"|"&amp;$AG1075,'ASIGNACIONES'!$N$4:$N$451,0)),0)-$AI1075)</f>
        <v/>
      </c>
      <c r="AK1075" s="18">
        <f>IF($A1075="","",IFERROR(INDEX('2_IMPORTAR_EJECUCION'!$F$9:$F$1208,MATCH($AT1075,'2_IMPORTAR_EJECUCION'!$J$9:$J$1208,0)),0))</f>
        <v/>
      </c>
      <c r="AL1075" s="18">
        <f>IF($A1075="","",MAX(0,IFERROR(INDEX('2_IMPORTAR_EJECUCION'!$H$9:$H$1208,MATCH($AT1075,'2_IMPORTAR_EJECUCION'!$J$9:$J$1208,0)),0)-$AK1075))</f>
        <v/>
      </c>
      <c r="AM1075" s="18">
        <f>IF($A1075="","",$AK1075+$AL1075)</f>
        <v/>
      </c>
      <c r="AN1075" s="5">
        <f>IF($A1075="","",IF(OR((IFERROR(INDEX('CAT_ACTIVIDADES'!$D$4:$D$11,MATCH($H1075,'CAT_ACTIVIDADES'!$A$4:$A$11,0)),""))=0,(IFERROR(INDEX('CAT_ACTIVIDADES'!$D$4:$D$11,MATCH($H1075,'CAT_ACTIVIDADES'!$A$4:$A$11,0)),""))=""),"SIN CLASIFICAR",IFERROR(INDEX('CAT_ACTIVIDADES'!$D$4:$D$11,MATCH($H1075,'CAT_ACTIVIDADES'!$A$4:$A$11,0)),"")))</f>
        <v/>
      </c>
      <c r="AO1075" s="4" t="n"/>
      <c r="AP1075" s="4" t="n"/>
      <c r="AQ1075" s="4" t="n"/>
      <c r="AR1075" s="5">
        <f>IF($AQ1075="","",HYPERLINK(p_ruta_base_checklists&amp;$AQ1075,"abrir"))</f>
        <v/>
      </c>
      <c r="AS1075" s="4" t="n"/>
      <c r="AT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2" t="n"/>
      <c r="K1076" s="5" t="n"/>
      <c r="L1076" s="18" t="n"/>
      <c r="M1076" s="5">
        <f>IF($A1076="","",IFERROR(INDEX('AJUSTES'!$B$4:$B$303,MATCH($AT1076,'AJUSTES'!$A$4:$A$303,0)),IF($K1076="","",$K1076)))</f>
        <v/>
      </c>
      <c r="N1076" s="5">
        <f>IF($A1076="","",IFERROR(INDEX('CAT_ESTADOS_ERP'!$B$4:$B$7,MATCH(IFERROR(INDEX('2_IMPORTAR_EJECUCION'!$C$9:$C$1208,MATCH($AT1076,'2_IMPORTAR_EJECUCION'!$J$9:$J$1208,0)),""),'CAT_ESTADOS_ERP'!$A$4:$A$7,0)),"Pendiente"))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IF($J1076="","",$P1076&amp;"-"&amp;TEXT($Q1076,"00"))</f>
        <v/>
      </c>
      <c r="S1076" s="5">
        <f>IF($J1076="","",INDEX(lista_dias,WEEKDAY($J1076,2)))</f>
        <v/>
      </c>
      <c r="T1076" s="5">
        <f>IF($J1076="","",IFERROR(INDEX('CALENDARIO'!$C$15:$C$214,MATCH(TEXT($J1076,"yyyy-mm-dd")&amp;"|"&amp;$X1076&amp;"|"&amp;$Y1076,'CALENDARIO'!$G$15:$G$214,0)),IFERROR(INDEX('CALENDARIO'!$C$15:$C$214,MATCH(TEXT($J1076,"yyyy-mm-dd")&amp;"|"&amp;$X1076&amp;"|",'CALENDARIO'!$G$15:$G$214,0)),IFERROR(INDEX('CALENDARIO'!$C$15:$C$214,MATCH(TEXT($J1076,"yyyy-mm-dd")&amp;"||",'CALENDARIO'!$G$15:$G$214,0)),INDEX(patronHabil,WEEKDAY($J1076,2))))))</f>
        <v/>
      </c>
      <c r="U1076" s="5">
        <f>IF($I1076="","",IFERROR(INDEX('CAT_TIPOS_OT'!$C$4:$C$8,MATCH($I1076,'CAT_TIPOS_OT'!$A$4:$A$8,0)),"sin_clasificar"))</f>
        <v/>
      </c>
      <c r="V1076" s="5">
        <f>IF($I1076="","",IF(IFERROR(INDEX('CAT_TIPOS_OT'!$D$4:$D$8,MATCH($I1076,'CAT_TIPOS_OT'!$A$4:$A$8,0)),"SIN CLASIFICAR")="","SIN CLASIFICAR",IFERROR(INDEX('CAT_TIPOS_OT'!$D$4:$D$8,MATCH($I1076,'CAT_TIPOS_OT'!$A$4:$A$8,0)),"SIN CLASIFICAR")))</f>
        <v/>
      </c>
      <c r="W1076" s="5">
        <f>IF($F1076="","",IFERROR(INDEX('CAT_CENTROS_COSTO'!$F$4:$F$13,MATCH($F1076,'CAT_CENTROS_COSTO'!$A$4:$A$13,0)),"(sin catálogo)"))</f>
        <v/>
      </c>
      <c r="X1076" s="5">
        <f>IF($F1076="","",IFERROR(INDEX('CAT_CENTROS_COSTO'!$D$4:$D$13,MATCH($F1076,'CAT_CENTROS_COSTO'!$A$4:$A$13,0)),"(sin catálogo)"))</f>
        <v/>
      </c>
      <c r="Y1076" s="5">
        <f>IF($F1076="","",IF((IFERROR(INDEX('CAT_CENTROS_COSTO'!$E$4:$E$13,MATCH($F1076,'CAT_CENTROS_COSTO'!$A$4:$A$13,0)),""))&lt;&gt;"",IFERROR(INDEX('CAT_CENTROS_COSTO'!$E$4:$E$13,MATCH($F1076,'CAT_CENTROS_COSTO'!$A$4:$A$13,0)),""),$X1076))</f>
        <v/>
      </c>
      <c r="Z1076" s="5">
        <f>IF($F1076="","",IFERROR(INDEX('CAT_CENTROS_COSTO'!$G$4:$G$13,MATCH($F1076,'CAT_CENTROS_COSTO'!$A$4:$A$13,0)),"(sin catálogo)"))</f>
        <v/>
      </c>
      <c r="AA1076" s="5">
        <f>IF($G1076="","",IFERROR(INDEX('CAT_PUESTOS'!$B$4:$B$8,MATCH($G1076,'CAT_PUESTOS'!$A$4:$A$8,0)),"(sin catálogo)"))</f>
        <v/>
      </c>
      <c r="AB1076" s="5">
        <f>IF($H1076="","",IFERROR(INDEX('CAT_ACTIVIDADES'!$B$4:$B$11,MATCH($H1076,'CAT_ACTIVIDADES'!$A$4:$A$11,0)),"(sin catálogo)"))</f>
        <v/>
      </c>
      <c r="AC1076" s="20">
        <f>IF($J1076="","",TODAY()-$J1076)</f>
        <v/>
      </c>
      <c r="AD1076" s="20">
        <f>IF($J1076="","",IF($J1076&lt;=TODAY(),COUNTIFS(cal_fechas,"&gt;="&amp;$J1076,cal_fechas,"&lt;"&amp;TODAY(),cal_habil,"sí"),-COUNTIFS(cal_fechas,"&gt;="&amp;TODAY(),cal_fechas,"&lt;"&amp;$J1076,cal_habil,"sí")))</f>
        <v/>
      </c>
      <c r="AE1076" s="5">
        <f>IF($AD1076="","",IF($AD1076&lt;0,"FUTURO",IF($AD1076&gt;p_dias_backlog_max,"BACKLOG","MES CORRIENTE")))</f>
        <v/>
      </c>
      <c r="AF1076" s="5">
        <f>IF($AD1076="",FALSE,AND($AD1076&gt;p_dias_backlog_min,$AD1076&lt;=p_dias_backlog_max))</f>
        <v/>
      </c>
      <c r="AG1076" s="4" t="n"/>
      <c r="AH1076" s="5">
        <f>IF($AG1076="","",IF((IFERROR(INDEX('ASIGNACIONES'!$J$4:$J$451,MATCH($O1076&amp;"|"&amp;$S1076&amp;"|"&amp;$AG1076,'ASIGNACIONES'!$N$4:$N$451,0)),""))=0,"",IFERROR(INDEX('ASIGNACIONES'!$J$4:$J$451,MATCH($O1076&amp;"|"&amp;$S1076&amp;"|"&amp;$AG1076,'ASIGNACIONES'!$N$4:$N$451,0)),"")))</f>
        <v/>
      </c>
      <c r="AI1076" s="25">
        <f>IF($AG1076="","",SUMIFS('ORDENES'!$M$4:$M$1203,'ORDENES'!$AG$4:$AG$1203,$AG1076,'ORDENES'!$O$4:$O$1203,$O1076,'ORDENES'!$S$4:$S$1203,$S1076))</f>
        <v/>
      </c>
      <c r="AJ1076" s="25">
        <f>IF($AI1076="","",p_factor_productividad*IFERROR(INDEX('ASIGNACIONES'!$M$4:$M$451,MATCH($O1076&amp;"|"&amp;$S1076&amp;"|"&amp;$AG1076,'ASIGNACIONES'!$N$4:$N$451,0)),0)-$AI1076)</f>
        <v/>
      </c>
      <c r="AK1076" s="18">
        <f>IF($A1076="","",IFERROR(INDEX('2_IMPORTAR_EJECUCION'!$F$9:$F$1208,MATCH($AT1076,'2_IMPORTAR_EJECUCION'!$J$9:$J$1208,0)),0))</f>
        <v/>
      </c>
      <c r="AL1076" s="18">
        <f>IF($A1076="","",MAX(0,IFERROR(INDEX('2_IMPORTAR_EJECUCION'!$H$9:$H$1208,MATCH($AT1076,'2_IMPORTAR_EJECUCION'!$J$9:$J$1208,0)),0)-$AK1076))</f>
        <v/>
      </c>
      <c r="AM1076" s="18">
        <f>IF($A1076="","",$AK1076+$AL1076)</f>
        <v/>
      </c>
      <c r="AN1076" s="5">
        <f>IF($A1076="","",IF(OR((IFERROR(INDEX('CAT_ACTIVIDADES'!$D$4:$D$11,MATCH($H1076,'CAT_ACTIVIDADES'!$A$4:$A$11,0)),""))=0,(IFERROR(INDEX('CAT_ACTIVIDADES'!$D$4:$D$11,MATCH($H1076,'CAT_ACTIVIDADES'!$A$4:$A$11,0)),""))=""),"SIN CLASIFICAR",IFERROR(INDEX('CAT_ACTIVIDADES'!$D$4:$D$11,MATCH($H1076,'CAT_ACTIVIDADES'!$A$4:$A$11,0)),"")))</f>
        <v/>
      </c>
      <c r="AO1076" s="4" t="n"/>
      <c r="AP1076" s="4" t="n"/>
      <c r="AQ1076" s="4" t="n"/>
      <c r="AR1076" s="5">
        <f>IF($AQ1076="","",HYPERLINK(p_ruta_base_checklists&amp;$AQ1076,"abrir"))</f>
        <v/>
      </c>
      <c r="AS1076" s="4" t="n"/>
      <c r="AT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2" t="n"/>
      <c r="K1077" s="5" t="n"/>
      <c r="L1077" s="18" t="n"/>
      <c r="M1077" s="5">
        <f>IF($A1077="","",IFERROR(INDEX('AJUSTES'!$B$4:$B$303,MATCH($AT1077,'AJUSTES'!$A$4:$A$303,0)),IF($K1077="","",$K1077)))</f>
        <v/>
      </c>
      <c r="N1077" s="5">
        <f>IF($A1077="","",IFERROR(INDEX('CAT_ESTADOS_ERP'!$B$4:$B$7,MATCH(IFERROR(INDEX('2_IMPORTAR_EJECUCION'!$C$9:$C$1208,MATCH($AT1077,'2_IMPORTAR_EJECUCION'!$J$9:$J$1208,0)),""),'CAT_ESTADOS_ERP'!$A$4:$A$7,0)),"Pendiente"))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IF($J1077="","",$P1077&amp;"-"&amp;TEXT($Q1077,"00"))</f>
        <v/>
      </c>
      <c r="S1077" s="5">
        <f>IF($J1077="","",INDEX(lista_dias,WEEKDAY($J1077,2)))</f>
        <v/>
      </c>
      <c r="T1077" s="5">
        <f>IF($J1077="","",IFERROR(INDEX('CALENDARIO'!$C$15:$C$214,MATCH(TEXT($J1077,"yyyy-mm-dd")&amp;"|"&amp;$X1077&amp;"|"&amp;$Y1077,'CALENDARIO'!$G$15:$G$214,0)),IFERROR(INDEX('CALENDARIO'!$C$15:$C$214,MATCH(TEXT($J1077,"yyyy-mm-dd")&amp;"|"&amp;$X1077&amp;"|",'CALENDARIO'!$G$15:$G$214,0)),IFERROR(INDEX('CALENDARIO'!$C$15:$C$214,MATCH(TEXT($J1077,"yyyy-mm-dd")&amp;"||",'CALENDARIO'!$G$15:$G$214,0)),INDEX(patronHabil,WEEKDAY($J1077,2))))))</f>
        <v/>
      </c>
      <c r="U1077" s="5">
        <f>IF($I1077="","",IFERROR(INDEX('CAT_TIPOS_OT'!$C$4:$C$8,MATCH($I1077,'CAT_TIPOS_OT'!$A$4:$A$8,0)),"sin_clasificar"))</f>
        <v/>
      </c>
      <c r="V1077" s="5">
        <f>IF($I1077="","",IF(IFERROR(INDEX('CAT_TIPOS_OT'!$D$4:$D$8,MATCH($I1077,'CAT_TIPOS_OT'!$A$4:$A$8,0)),"SIN CLASIFICAR")="","SIN CLASIFICAR",IFERROR(INDEX('CAT_TIPOS_OT'!$D$4:$D$8,MATCH($I1077,'CAT_TIPOS_OT'!$A$4:$A$8,0)),"SIN CLASIFICAR")))</f>
        <v/>
      </c>
      <c r="W1077" s="5">
        <f>IF($F1077="","",IFERROR(INDEX('CAT_CENTROS_COSTO'!$F$4:$F$13,MATCH($F1077,'CAT_CENTROS_COSTO'!$A$4:$A$13,0)),"(sin catálogo)"))</f>
        <v/>
      </c>
      <c r="X1077" s="5">
        <f>IF($F1077="","",IFERROR(INDEX('CAT_CENTROS_COSTO'!$D$4:$D$13,MATCH($F1077,'CAT_CENTROS_COSTO'!$A$4:$A$13,0)),"(sin catálogo)"))</f>
        <v/>
      </c>
      <c r="Y1077" s="5">
        <f>IF($F1077="","",IF((IFERROR(INDEX('CAT_CENTROS_COSTO'!$E$4:$E$13,MATCH($F1077,'CAT_CENTROS_COSTO'!$A$4:$A$13,0)),""))&lt;&gt;"",IFERROR(INDEX('CAT_CENTROS_COSTO'!$E$4:$E$13,MATCH($F1077,'CAT_CENTROS_COSTO'!$A$4:$A$13,0)),""),$X1077))</f>
        <v/>
      </c>
      <c r="Z1077" s="5">
        <f>IF($F1077="","",IFERROR(INDEX('CAT_CENTROS_COSTO'!$G$4:$G$13,MATCH($F1077,'CAT_CENTROS_COSTO'!$A$4:$A$13,0)),"(sin catálogo)"))</f>
        <v/>
      </c>
      <c r="AA1077" s="5">
        <f>IF($G1077="","",IFERROR(INDEX('CAT_PUESTOS'!$B$4:$B$8,MATCH($G1077,'CAT_PUESTOS'!$A$4:$A$8,0)),"(sin catálogo)"))</f>
        <v/>
      </c>
      <c r="AB1077" s="5">
        <f>IF($H1077="","",IFERROR(INDEX('CAT_ACTIVIDADES'!$B$4:$B$11,MATCH($H1077,'CAT_ACTIVIDADES'!$A$4:$A$11,0)),"(sin catálogo)"))</f>
        <v/>
      </c>
      <c r="AC1077" s="20">
        <f>IF($J1077="","",TODAY()-$J1077)</f>
        <v/>
      </c>
      <c r="AD1077" s="20">
        <f>IF($J1077="","",IF($J1077&lt;=TODAY(),COUNTIFS(cal_fechas,"&gt;="&amp;$J1077,cal_fechas,"&lt;"&amp;TODAY(),cal_habil,"sí"),-COUNTIFS(cal_fechas,"&gt;="&amp;TODAY(),cal_fechas,"&lt;"&amp;$J1077,cal_habil,"sí")))</f>
        <v/>
      </c>
      <c r="AE1077" s="5">
        <f>IF($AD1077="","",IF($AD1077&lt;0,"FUTURO",IF($AD1077&gt;p_dias_backlog_max,"BACKLOG","MES CORRIENTE")))</f>
        <v/>
      </c>
      <c r="AF1077" s="5">
        <f>IF($AD1077="",FALSE,AND($AD1077&gt;p_dias_backlog_min,$AD1077&lt;=p_dias_backlog_max))</f>
        <v/>
      </c>
      <c r="AG1077" s="4" t="n"/>
      <c r="AH1077" s="5">
        <f>IF($AG1077="","",IF((IFERROR(INDEX('ASIGNACIONES'!$J$4:$J$451,MATCH($O1077&amp;"|"&amp;$S1077&amp;"|"&amp;$AG1077,'ASIGNACIONES'!$N$4:$N$451,0)),""))=0,"",IFERROR(INDEX('ASIGNACIONES'!$J$4:$J$451,MATCH($O1077&amp;"|"&amp;$S1077&amp;"|"&amp;$AG1077,'ASIGNACIONES'!$N$4:$N$451,0)),"")))</f>
        <v/>
      </c>
      <c r="AI1077" s="25">
        <f>IF($AG1077="","",SUMIFS('ORDENES'!$M$4:$M$1203,'ORDENES'!$AG$4:$AG$1203,$AG1077,'ORDENES'!$O$4:$O$1203,$O1077,'ORDENES'!$S$4:$S$1203,$S1077))</f>
        <v/>
      </c>
      <c r="AJ1077" s="25">
        <f>IF($AI1077="","",p_factor_productividad*IFERROR(INDEX('ASIGNACIONES'!$M$4:$M$451,MATCH($O1077&amp;"|"&amp;$S1077&amp;"|"&amp;$AG1077,'ASIGNACIONES'!$N$4:$N$451,0)),0)-$AI1077)</f>
        <v/>
      </c>
      <c r="AK1077" s="18">
        <f>IF($A1077="","",IFERROR(INDEX('2_IMPORTAR_EJECUCION'!$F$9:$F$1208,MATCH($AT1077,'2_IMPORTAR_EJECUCION'!$J$9:$J$1208,0)),0))</f>
        <v/>
      </c>
      <c r="AL1077" s="18">
        <f>IF($A1077="","",MAX(0,IFERROR(INDEX('2_IMPORTAR_EJECUCION'!$H$9:$H$1208,MATCH($AT1077,'2_IMPORTAR_EJECUCION'!$J$9:$J$1208,0)),0)-$AK1077))</f>
        <v/>
      </c>
      <c r="AM1077" s="18">
        <f>IF($A1077="","",$AK1077+$AL1077)</f>
        <v/>
      </c>
      <c r="AN1077" s="5">
        <f>IF($A1077="","",IF(OR((IFERROR(INDEX('CAT_ACTIVIDADES'!$D$4:$D$11,MATCH($H1077,'CAT_ACTIVIDADES'!$A$4:$A$11,0)),""))=0,(IFERROR(INDEX('CAT_ACTIVIDADES'!$D$4:$D$11,MATCH($H1077,'CAT_ACTIVIDADES'!$A$4:$A$11,0)),""))=""),"SIN CLASIFICAR",IFERROR(INDEX('CAT_ACTIVIDADES'!$D$4:$D$11,MATCH($H1077,'CAT_ACTIVIDADES'!$A$4:$A$11,0)),"")))</f>
        <v/>
      </c>
      <c r="AO1077" s="4" t="n"/>
      <c r="AP1077" s="4" t="n"/>
      <c r="AQ1077" s="4" t="n"/>
      <c r="AR1077" s="5">
        <f>IF($AQ1077="","",HYPERLINK(p_ruta_base_checklists&amp;$AQ1077,"abrir"))</f>
        <v/>
      </c>
      <c r="AS1077" s="4" t="n"/>
      <c r="AT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2" t="n"/>
      <c r="K1078" s="5" t="n"/>
      <c r="L1078" s="18" t="n"/>
      <c r="M1078" s="5">
        <f>IF($A1078="","",IFERROR(INDEX('AJUSTES'!$B$4:$B$303,MATCH($AT1078,'AJUSTES'!$A$4:$A$303,0)),IF($K1078="","",$K1078)))</f>
        <v/>
      </c>
      <c r="N1078" s="5">
        <f>IF($A1078="","",IFERROR(INDEX('CAT_ESTADOS_ERP'!$B$4:$B$7,MATCH(IFERROR(INDEX('2_IMPORTAR_EJECUCION'!$C$9:$C$1208,MATCH($AT1078,'2_IMPORTAR_EJECUCION'!$J$9:$J$1208,0)),""),'CAT_ESTADOS_ERP'!$A$4:$A$7,0)),"Pendiente"))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IF($J1078="","",$P1078&amp;"-"&amp;TEXT($Q1078,"00"))</f>
        <v/>
      </c>
      <c r="S1078" s="5">
        <f>IF($J1078="","",INDEX(lista_dias,WEEKDAY($J1078,2)))</f>
        <v/>
      </c>
      <c r="T1078" s="5">
        <f>IF($J1078="","",IFERROR(INDEX('CALENDARIO'!$C$15:$C$214,MATCH(TEXT($J1078,"yyyy-mm-dd")&amp;"|"&amp;$X1078&amp;"|"&amp;$Y1078,'CALENDARIO'!$G$15:$G$214,0)),IFERROR(INDEX('CALENDARIO'!$C$15:$C$214,MATCH(TEXT($J1078,"yyyy-mm-dd")&amp;"|"&amp;$X1078&amp;"|",'CALENDARIO'!$G$15:$G$214,0)),IFERROR(INDEX('CALENDARIO'!$C$15:$C$214,MATCH(TEXT($J1078,"yyyy-mm-dd")&amp;"||",'CALENDARIO'!$G$15:$G$214,0)),INDEX(patronHabil,WEEKDAY($J1078,2))))))</f>
        <v/>
      </c>
      <c r="U1078" s="5">
        <f>IF($I1078="","",IFERROR(INDEX('CAT_TIPOS_OT'!$C$4:$C$8,MATCH($I1078,'CAT_TIPOS_OT'!$A$4:$A$8,0)),"sin_clasificar"))</f>
        <v/>
      </c>
      <c r="V1078" s="5">
        <f>IF($I1078="","",IF(IFERROR(INDEX('CAT_TIPOS_OT'!$D$4:$D$8,MATCH($I1078,'CAT_TIPOS_OT'!$A$4:$A$8,0)),"SIN CLASIFICAR")="","SIN CLASIFICAR",IFERROR(INDEX('CAT_TIPOS_OT'!$D$4:$D$8,MATCH($I1078,'CAT_TIPOS_OT'!$A$4:$A$8,0)),"SIN CLASIFICAR")))</f>
        <v/>
      </c>
      <c r="W1078" s="5">
        <f>IF($F1078="","",IFERROR(INDEX('CAT_CENTROS_COSTO'!$F$4:$F$13,MATCH($F1078,'CAT_CENTROS_COSTO'!$A$4:$A$13,0)),"(sin catálogo)"))</f>
        <v/>
      </c>
      <c r="X1078" s="5">
        <f>IF($F1078="","",IFERROR(INDEX('CAT_CENTROS_COSTO'!$D$4:$D$13,MATCH($F1078,'CAT_CENTROS_COSTO'!$A$4:$A$13,0)),"(sin catálogo)"))</f>
        <v/>
      </c>
      <c r="Y1078" s="5">
        <f>IF($F1078="","",IF((IFERROR(INDEX('CAT_CENTROS_COSTO'!$E$4:$E$13,MATCH($F1078,'CAT_CENTROS_COSTO'!$A$4:$A$13,0)),""))&lt;&gt;"",IFERROR(INDEX('CAT_CENTROS_COSTO'!$E$4:$E$13,MATCH($F1078,'CAT_CENTROS_COSTO'!$A$4:$A$13,0)),""),$X1078))</f>
        <v/>
      </c>
      <c r="Z1078" s="5">
        <f>IF($F1078="","",IFERROR(INDEX('CAT_CENTROS_COSTO'!$G$4:$G$13,MATCH($F1078,'CAT_CENTROS_COSTO'!$A$4:$A$13,0)),"(sin catálogo)"))</f>
        <v/>
      </c>
      <c r="AA1078" s="5">
        <f>IF($G1078="","",IFERROR(INDEX('CAT_PUESTOS'!$B$4:$B$8,MATCH($G1078,'CAT_PUESTOS'!$A$4:$A$8,0)),"(sin catálogo)"))</f>
        <v/>
      </c>
      <c r="AB1078" s="5">
        <f>IF($H1078="","",IFERROR(INDEX('CAT_ACTIVIDADES'!$B$4:$B$11,MATCH($H1078,'CAT_ACTIVIDADES'!$A$4:$A$11,0)),"(sin catálogo)"))</f>
        <v/>
      </c>
      <c r="AC1078" s="20">
        <f>IF($J1078="","",TODAY()-$J1078)</f>
        <v/>
      </c>
      <c r="AD1078" s="20">
        <f>IF($J1078="","",IF($J1078&lt;=TODAY(),COUNTIFS(cal_fechas,"&gt;="&amp;$J1078,cal_fechas,"&lt;"&amp;TODAY(),cal_habil,"sí"),-COUNTIFS(cal_fechas,"&gt;="&amp;TODAY(),cal_fechas,"&lt;"&amp;$J1078,cal_habil,"sí")))</f>
        <v/>
      </c>
      <c r="AE1078" s="5">
        <f>IF($AD1078="","",IF($AD1078&lt;0,"FUTURO",IF($AD1078&gt;p_dias_backlog_max,"BACKLOG","MES CORRIENTE")))</f>
        <v/>
      </c>
      <c r="AF1078" s="5">
        <f>IF($AD1078="",FALSE,AND($AD1078&gt;p_dias_backlog_min,$AD1078&lt;=p_dias_backlog_max))</f>
        <v/>
      </c>
      <c r="AG1078" s="4" t="n"/>
      <c r="AH1078" s="5">
        <f>IF($AG1078="","",IF((IFERROR(INDEX('ASIGNACIONES'!$J$4:$J$451,MATCH($O1078&amp;"|"&amp;$S1078&amp;"|"&amp;$AG1078,'ASIGNACIONES'!$N$4:$N$451,0)),""))=0,"",IFERROR(INDEX('ASIGNACIONES'!$J$4:$J$451,MATCH($O1078&amp;"|"&amp;$S1078&amp;"|"&amp;$AG1078,'ASIGNACIONES'!$N$4:$N$451,0)),"")))</f>
        <v/>
      </c>
      <c r="AI1078" s="25">
        <f>IF($AG1078="","",SUMIFS('ORDENES'!$M$4:$M$1203,'ORDENES'!$AG$4:$AG$1203,$AG1078,'ORDENES'!$O$4:$O$1203,$O1078,'ORDENES'!$S$4:$S$1203,$S1078))</f>
        <v/>
      </c>
      <c r="AJ1078" s="25">
        <f>IF($AI1078="","",p_factor_productividad*IFERROR(INDEX('ASIGNACIONES'!$M$4:$M$451,MATCH($O1078&amp;"|"&amp;$S1078&amp;"|"&amp;$AG1078,'ASIGNACIONES'!$N$4:$N$451,0)),0)-$AI1078)</f>
        <v/>
      </c>
      <c r="AK1078" s="18">
        <f>IF($A1078="","",IFERROR(INDEX('2_IMPORTAR_EJECUCION'!$F$9:$F$1208,MATCH($AT1078,'2_IMPORTAR_EJECUCION'!$J$9:$J$1208,0)),0))</f>
        <v/>
      </c>
      <c r="AL1078" s="18">
        <f>IF($A1078="","",MAX(0,IFERROR(INDEX('2_IMPORTAR_EJECUCION'!$H$9:$H$1208,MATCH($AT1078,'2_IMPORTAR_EJECUCION'!$J$9:$J$1208,0)),0)-$AK1078))</f>
        <v/>
      </c>
      <c r="AM1078" s="18">
        <f>IF($A1078="","",$AK1078+$AL1078)</f>
        <v/>
      </c>
      <c r="AN1078" s="5">
        <f>IF($A1078="","",IF(OR((IFERROR(INDEX('CAT_ACTIVIDADES'!$D$4:$D$11,MATCH($H1078,'CAT_ACTIVIDADES'!$A$4:$A$11,0)),""))=0,(IFERROR(INDEX('CAT_ACTIVIDADES'!$D$4:$D$11,MATCH($H1078,'CAT_ACTIVIDADES'!$A$4:$A$11,0)),""))=""),"SIN CLASIFICAR",IFERROR(INDEX('CAT_ACTIVIDADES'!$D$4:$D$11,MATCH($H1078,'CAT_ACTIVIDADES'!$A$4:$A$11,0)),"")))</f>
        <v/>
      </c>
      <c r="AO1078" s="4" t="n"/>
      <c r="AP1078" s="4" t="n"/>
      <c r="AQ1078" s="4" t="n"/>
      <c r="AR1078" s="5">
        <f>IF($AQ1078="","",HYPERLINK(p_ruta_base_checklists&amp;$AQ1078,"abrir"))</f>
        <v/>
      </c>
      <c r="AS1078" s="4" t="n"/>
      <c r="AT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2" t="n"/>
      <c r="K1079" s="5" t="n"/>
      <c r="L1079" s="18" t="n"/>
      <c r="M1079" s="5">
        <f>IF($A1079="","",IFERROR(INDEX('AJUSTES'!$B$4:$B$303,MATCH($AT1079,'AJUSTES'!$A$4:$A$303,0)),IF($K1079="","",$K1079)))</f>
        <v/>
      </c>
      <c r="N1079" s="5">
        <f>IF($A1079="","",IFERROR(INDEX('CAT_ESTADOS_ERP'!$B$4:$B$7,MATCH(IFERROR(INDEX('2_IMPORTAR_EJECUCION'!$C$9:$C$1208,MATCH($AT1079,'2_IMPORTAR_EJECUCION'!$J$9:$J$1208,0)),""),'CAT_ESTADOS_ERP'!$A$4:$A$7,0)),"Pendiente"))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IF($J1079="","",$P1079&amp;"-"&amp;TEXT($Q1079,"00"))</f>
        <v/>
      </c>
      <c r="S1079" s="5">
        <f>IF($J1079="","",INDEX(lista_dias,WEEKDAY($J1079,2)))</f>
        <v/>
      </c>
      <c r="T1079" s="5">
        <f>IF($J1079="","",IFERROR(INDEX('CALENDARIO'!$C$15:$C$214,MATCH(TEXT($J1079,"yyyy-mm-dd")&amp;"|"&amp;$X1079&amp;"|"&amp;$Y1079,'CALENDARIO'!$G$15:$G$214,0)),IFERROR(INDEX('CALENDARIO'!$C$15:$C$214,MATCH(TEXT($J1079,"yyyy-mm-dd")&amp;"|"&amp;$X1079&amp;"|",'CALENDARIO'!$G$15:$G$214,0)),IFERROR(INDEX('CALENDARIO'!$C$15:$C$214,MATCH(TEXT($J1079,"yyyy-mm-dd")&amp;"||",'CALENDARIO'!$G$15:$G$214,0)),INDEX(patronHabil,WEEKDAY($J1079,2))))))</f>
        <v/>
      </c>
      <c r="U1079" s="5">
        <f>IF($I1079="","",IFERROR(INDEX('CAT_TIPOS_OT'!$C$4:$C$8,MATCH($I1079,'CAT_TIPOS_OT'!$A$4:$A$8,0)),"sin_clasificar"))</f>
        <v/>
      </c>
      <c r="V1079" s="5">
        <f>IF($I1079="","",IF(IFERROR(INDEX('CAT_TIPOS_OT'!$D$4:$D$8,MATCH($I1079,'CAT_TIPOS_OT'!$A$4:$A$8,0)),"SIN CLASIFICAR")="","SIN CLASIFICAR",IFERROR(INDEX('CAT_TIPOS_OT'!$D$4:$D$8,MATCH($I1079,'CAT_TIPOS_OT'!$A$4:$A$8,0)),"SIN CLASIFICAR")))</f>
        <v/>
      </c>
      <c r="W1079" s="5">
        <f>IF($F1079="","",IFERROR(INDEX('CAT_CENTROS_COSTO'!$F$4:$F$13,MATCH($F1079,'CAT_CENTROS_COSTO'!$A$4:$A$13,0)),"(sin catálogo)"))</f>
        <v/>
      </c>
      <c r="X1079" s="5">
        <f>IF($F1079="","",IFERROR(INDEX('CAT_CENTROS_COSTO'!$D$4:$D$13,MATCH($F1079,'CAT_CENTROS_COSTO'!$A$4:$A$13,0)),"(sin catálogo)"))</f>
        <v/>
      </c>
      <c r="Y1079" s="5">
        <f>IF($F1079="","",IF((IFERROR(INDEX('CAT_CENTROS_COSTO'!$E$4:$E$13,MATCH($F1079,'CAT_CENTROS_COSTO'!$A$4:$A$13,0)),""))&lt;&gt;"",IFERROR(INDEX('CAT_CENTROS_COSTO'!$E$4:$E$13,MATCH($F1079,'CAT_CENTROS_COSTO'!$A$4:$A$13,0)),""),$X1079))</f>
        <v/>
      </c>
      <c r="Z1079" s="5">
        <f>IF($F1079="","",IFERROR(INDEX('CAT_CENTROS_COSTO'!$G$4:$G$13,MATCH($F1079,'CAT_CENTROS_COSTO'!$A$4:$A$13,0)),"(sin catálogo)"))</f>
        <v/>
      </c>
      <c r="AA1079" s="5">
        <f>IF($G1079="","",IFERROR(INDEX('CAT_PUESTOS'!$B$4:$B$8,MATCH($G1079,'CAT_PUESTOS'!$A$4:$A$8,0)),"(sin catálogo)"))</f>
        <v/>
      </c>
      <c r="AB1079" s="5">
        <f>IF($H1079="","",IFERROR(INDEX('CAT_ACTIVIDADES'!$B$4:$B$11,MATCH($H1079,'CAT_ACTIVIDADES'!$A$4:$A$11,0)),"(sin catálogo)"))</f>
        <v/>
      </c>
      <c r="AC1079" s="20">
        <f>IF($J1079="","",TODAY()-$J1079)</f>
        <v/>
      </c>
      <c r="AD1079" s="20">
        <f>IF($J1079="","",IF($J1079&lt;=TODAY(),COUNTIFS(cal_fechas,"&gt;="&amp;$J1079,cal_fechas,"&lt;"&amp;TODAY(),cal_habil,"sí"),-COUNTIFS(cal_fechas,"&gt;="&amp;TODAY(),cal_fechas,"&lt;"&amp;$J1079,cal_habil,"sí")))</f>
        <v/>
      </c>
      <c r="AE1079" s="5">
        <f>IF($AD1079="","",IF($AD1079&lt;0,"FUTURO",IF($AD1079&gt;p_dias_backlog_max,"BACKLOG","MES CORRIENTE")))</f>
        <v/>
      </c>
      <c r="AF1079" s="5">
        <f>IF($AD1079="",FALSE,AND($AD1079&gt;p_dias_backlog_min,$AD1079&lt;=p_dias_backlog_max))</f>
        <v/>
      </c>
      <c r="AG1079" s="4" t="n"/>
      <c r="AH1079" s="5">
        <f>IF($AG1079="","",IF((IFERROR(INDEX('ASIGNACIONES'!$J$4:$J$451,MATCH($O1079&amp;"|"&amp;$S1079&amp;"|"&amp;$AG1079,'ASIGNACIONES'!$N$4:$N$451,0)),""))=0,"",IFERROR(INDEX('ASIGNACIONES'!$J$4:$J$451,MATCH($O1079&amp;"|"&amp;$S1079&amp;"|"&amp;$AG1079,'ASIGNACIONES'!$N$4:$N$451,0)),"")))</f>
        <v/>
      </c>
      <c r="AI1079" s="25">
        <f>IF($AG1079="","",SUMIFS('ORDENES'!$M$4:$M$1203,'ORDENES'!$AG$4:$AG$1203,$AG1079,'ORDENES'!$O$4:$O$1203,$O1079,'ORDENES'!$S$4:$S$1203,$S1079))</f>
        <v/>
      </c>
      <c r="AJ1079" s="25">
        <f>IF($AI1079="","",p_factor_productividad*IFERROR(INDEX('ASIGNACIONES'!$M$4:$M$451,MATCH($O1079&amp;"|"&amp;$S1079&amp;"|"&amp;$AG1079,'ASIGNACIONES'!$N$4:$N$451,0)),0)-$AI1079)</f>
        <v/>
      </c>
      <c r="AK1079" s="18">
        <f>IF($A1079="","",IFERROR(INDEX('2_IMPORTAR_EJECUCION'!$F$9:$F$1208,MATCH($AT1079,'2_IMPORTAR_EJECUCION'!$J$9:$J$1208,0)),0))</f>
        <v/>
      </c>
      <c r="AL1079" s="18">
        <f>IF($A1079="","",MAX(0,IFERROR(INDEX('2_IMPORTAR_EJECUCION'!$H$9:$H$1208,MATCH($AT1079,'2_IMPORTAR_EJECUCION'!$J$9:$J$1208,0)),0)-$AK1079))</f>
        <v/>
      </c>
      <c r="AM1079" s="18">
        <f>IF($A1079="","",$AK1079+$AL1079)</f>
        <v/>
      </c>
      <c r="AN1079" s="5">
        <f>IF($A1079="","",IF(OR((IFERROR(INDEX('CAT_ACTIVIDADES'!$D$4:$D$11,MATCH($H1079,'CAT_ACTIVIDADES'!$A$4:$A$11,0)),""))=0,(IFERROR(INDEX('CAT_ACTIVIDADES'!$D$4:$D$11,MATCH($H1079,'CAT_ACTIVIDADES'!$A$4:$A$11,0)),""))=""),"SIN CLASIFICAR",IFERROR(INDEX('CAT_ACTIVIDADES'!$D$4:$D$11,MATCH($H1079,'CAT_ACTIVIDADES'!$A$4:$A$11,0)),"")))</f>
        <v/>
      </c>
      <c r="AO1079" s="4" t="n"/>
      <c r="AP1079" s="4" t="n"/>
      <c r="AQ1079" s="4" t="n"/>
      <c r="AR1079" s="5">
        <f>IF($AQ1079="","",HYPERLINK(p_ruta_base_checklists&amp;$AQ1079,"abrir"))</f>
        <v/>
      </c>
      <c r="AS1079" s="4" t="n"/>
      <c r="AT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2" t="n"/>
      <c r="K1080" s="5" t="n"/>
      <c r="L1080" s="18" t="n"/>
      <c r="M1080" s="5">
        <f>IF($A1080="","",IFERROR(INDEX('AJUSTES'!$B$4:$B$303,MATCH($AT1080,'AJUSTES'!$A$4:$A$303,0)),IF($K1080="","",$K1080)))</f>
        <v/>
      </c>
      <c r="N1080" s="5">
        <f>IF($A1080="","",IFERROR(INDEX('CAT_ESTADOS_ERP'!$B$4:$B$7,MATCH(IFERROR(INDEX('2_IMPORTAR_EJECUCION'!$C$9:$C$1208,MATCH($AT1080,'2_IMPORTAR_EJECUCION'!$J$9:$J$1208,0)),""),'CAT_ESTADOS_ERP'!$A$4:$A$7,0)),"Pendiente"))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IF($J1080="","",$P1080&amp;"-"&amp;TEXT($Q1080,"00"))</f>
        <v/>
      </c>
      <c r="S1080" s="5">
        <f>IF($J1080="","",INDEX(lista_dias,WEEKDAY($J1080,2)))</f>
        <v/>
      </c>
      <c r="T1080" s="5">
        <f>IF($J1080="","",IFERROR(INDEX('CALENDARIO'!$C$15:$C$214,MATCH(TEXT($J1080,"yyyy-mm-dd")&amp;"|"&amp;$X1080&amp;"|"&amp;$Y1080,'CALENDARIO'!$G$15:$G$214,0)),IFERROR(INDEX('CALENDARIO'!$C$15:$C$214,MATCH(TEXT($J1080,"yyyy-mm-dd")&amp;"|"&amp;$X1080&amp;"|",'CALENDARIO'!$G$15:$G$214,0)),IFERROR(INDEX('CALENDARIO'!$C$15:$C$214,MATCH(TEXT($J1080,"yyyy-mm-dd")&amp;"||",'CALENDARIO'!$G$15:$G$214,0)),INDEX(patronHabil,WEEKDAY($J1080,2))))))</f>
        <v/>
      </c>
      <c r="U1080" s="5">
        <f>IF($I1080="","",IFERROR(INDEX('CAT_TIPOS_OT'!$C$4:$C$8,MATCH($I1080,'CAT_TIPOS_OT'!$A$4:$A$8,0)),"sin_clasificar"))</f>
        <v/>
      </c>
      <c r="V1080" s="5">
        <f>IF($I1080="","",IF(IFERROR(INDEX('CAT_TIPOS_OT'!$D$4:$D$8,MATCH($I1080,'CAT_TIPOS_OT'!$A$4:$A$8,0)),"SIN CLASIFICAR")="","SIN CLASIFICAR",IFERROR(INDEX('CAT_TIPOS_OT'!$D$4:$D$8,MATCH($I1080,'CAT_TIPOS_OT'!$A$4:$A$8,0)),"SIN CLASIFICAR")))</f>
        <v/>
      </c>
      <c r="W1080" s="5">
        <f>IF($F1080="","",IFERROR(INDEX('CAT_CENTROS_COSTO'!$F$4:$F$13,MATCH($F1080,'CAT_CENTROS_COSTO'!$A$4:$A$13,0)),"(sin catálogo)"))</f>
        <v/>
      </c>
      <c r="X1080" s="5">
        <f>IF($F1080="","",IFERROR(INDEX('CAT_CENTROS_COSTO'!$D$4:$D$13,MATCH($F1080,'CAT_CENTROS_COSTO'!$A$4:$A$13,0)),"(sin catálogo)"))</f>
        <v/>
      </c>
      <c r="Y1080" s="5">
        <f>IF($F1080="","",IF((IFERROR(INDEX('CAT_CENTROS_COSTO'!$E$4:$E$13,MATCH($F1080,'CAT_CENTROS_COSTO'!$A$4:$A$13,0)),""))&lt;&gt;"",IFERROR(INDEX('CAT_CENTROS_COSTO'!$E$4:$E$13,MATCH($F1080,'CAT_CENTROS_COSTO'!$A$4:$A$13,0)),""),$X1080))</f>
        <v/>
      </c>
      <c r="Z1080" s="5">
        <f>IF($F1080="","",IFERROR(INDEX('CAT_CENTROS_COSTO'!$G$4:$G$13,MATCH($F1080,'CAT_CENTROS_COSTO'!$A$4:$A$13,0)),"(sin catálogo)"))</f>
        <v/>
      </c>
      <c r="AA1080" s="5">
        <f>IF($G1080="","",IFERROR(INDEX('CAT_PUESTOS'!$B$4:$B$8,MATCH($G1080,'CAT_PUESTOS'!$A$4:$A$8,0)),"(sin catálogo)"))</f>
        <v/>
      </c>
      <c r="AB1080" s="5">
        <f>IF($H1080="","",IFERROR(INDEX('CAT_ACTIVIDADES'!$B$4:$B$11,MATCH($H1080,'CAT_ACTIVIDADES'!$A$4:$A$11,0)),"(sin catálogo)"))</f>
        <v/>
      </c>
      <c r="AC1080" s="20">
        <f>IF($J1080="","",TODAY()-$J1080)</f>
        <v/>
      </c>
      <c r="AD1080" s="20">
        <f>IF($J1080="","",IF($J1080&lt;=TODAY(),COUNTIFS(cal_fechas,"&gt;="&amp;$J1080,cal_fechas,"&lt;"&amp;TODAY(),cal_habil,"sí"),-COUNTIFS(cal_fechas,"&gt;="&amp;TODAY(),cal_fechas,"&lt;"&amp;$J1080,cal_habil,"sí")))</f>
        <v/>
      </c>
      <c r="AE1080" s="5">
        <f>IF($AD1080="","",IF($AD1080&lt;0,"FUTURO",IF($AD1080&gt;p_dias_backlog_max,"BACKLOG","MES CORRIENTE")))</f>
        <v/>
      </c>
      <c r="AF1080" s="5">
        <f>IF($AD1080="",FALSE,AND($AD1080&gt;p_dias_backlog_min,$AD1080&lt;=p_dias_backlog_max))</f>
        <v/>
      </c>
      <c r="AG1080" s="4" t="n"/>
      <c r="AH1080" s="5">
        <f>IF($AG1080="","",IF((IFERROR(INDEX('ASIGNACIONES'!$J$4:$J$451,MATCH($O1080&amp;"|"&amp;$S1080&amp;"|"&amp;$AG1080,'ASIGNACIONES'!$N$4:$N$451,0)),""))=0,"",IFERROR(INDEX('ASIGNACIONES'!$J$4:$J$451,MATCH($O1080&amp;"|"&amp;$S1080&amp;"|"&amp;$AG1080,'ASIGNACIONES'!$N$4:$N$451,0)),"")))</f>
        <v/>
      </c>
      <c r="AI1080" s="25">
        <f>IF($AG1080="","",SUMIFS('ORDENES'!$M$4:$M$1203,'ORDENES'!$AG$4:$AG$1203,$AG1080,'ORDENES'!$O$4:$O$1203,$O1080,'ORDENES'!$S$4:$S$1203,$S1080))</f>
        <v/>
      </c>
      <c r="AJ1080" s="25">
        <f>IF($AI1080="","",p_factor_productividad*IFERROR(INDEX('ASIGNACIONES'!$M$4:$M$451,MATCH($O1080&amp;"|"&amp;$S1080&amp;"|"&amp;$AG1080,'ASIGNACIONES'!$N$4:$N$451,0)),0)-$AI1080)</f>
        <v/>
      </c>
      <c r="AK1080" s="18">
        <f>IF($A1080="","",IFERROR(INDEX('2_IMPORTAR_EJECUCION'!$F$9:$F$1208,MATCH($AT1080,'2_IMPORTAR_EJECUCION'!$J$9:$J$1208,0)),0))</f>
        <v/>
      </c>
      <c r="AL1080" s="18">
        <f>IF($A1080="","",MAX(0,IFERROR(INDEX('2_IMPORTAR_EJECUCION'!$H$9:$H$1208,MATCH($AT1080,'2_IMPORTAR_EJECUCION'!$J$9:$J$1208,0)),0)-$AK1080))</f>
        <v/>
      </c>
      <c r="AM1080" s="18">
        <f>IF($A1080="","",$AK1080+$AL1080)</f>
        <v/>
      </c>
      <c r="AN1080" s="5">
        <f>IF($A1080="","",IF(OR((IFERROR(INDEX('CAT_ACTIVIDADES'!$D$4:$D$11,MATCH($H1080,'CAT_ACTIVIDADES'!$A$4:$A$11,0)),""))=0,(IFERROR(INDEX('CAT_ACTIVIDADES'!$D$4:$D$11,MATCH($H1080,'CAT_ACTIVIDADES'!$A$4:$A$11,0)),""))=""),"SIN CLASIFICAR",IFERROR(INDEX('CAT_ACTIVIDADES'!$D$4:$D$11,MATCH($H1080,'CAT_ACTIVIDADES'!$A$4:$A$11,0)),"")))</f>
        <v/>
      </c>
      <c r="AO1080" s="4" t="n"/>
      <c r="AP1080" s="4" t="n"/>
      <c r="AQ1080" s="4" t="n"/>
      <c r="AR1080" s="5">
        <f>IF($AQ1080="","",HYPERLINK(p_ruta_base_checklists&amp;$AQ1080,"abrir"))</f>
        <v/>
      </c>
      <c r="AS1080" s="4" t="n"/>
      <c r="AT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2" t="n"/>
      <c r="K1081" s="5" t="n"/>
      <c r="L1081" s="18" t="n"/>
      <c r="M1081" s="5">
        <f>IF($A1081="","",IFERROR(INDEX('AJUSTES'!$B$4:$B$303,MATCH($AT1081,'AJUSTES'!$A$4:$A$303,0)),IF($K1081="","",$K1081)))</f>
        <v/>
      </c>
      <c r="N1081" s="5">
        <f>IF($A1081="","",IFERROR(INDEX('CAT_ESTADOS_ERP'!$B$4:$B$7,MATCH(IFERROR(INDEX('2_IMPORTAR_EJECUCION'!$C$9:$C$1208,MATCH($AT1081,'2_IMPORTAR_EJECUCION'!$J$9:$J$1208,0)),""),'CAT_ESTADOS_ERP'!$A$4:$A$7,0)),"Pendiente"))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IF($J1081="","",$P1081&amp;"-"&amp;TEXT($Q1081,"00"))</f>
        <v/>
      </c>
      <c r="S1081" s="5">
        <f>IF($J1081="","",INDEX(lista_dias,WEEKDAY($J1081,2)))</f>
        <v/>
      </c>
      <c r="T1081" s="5">
        <f>IF($J1081="","",IFERROR(INDEX('CALENDARIO'!$C$15:$C$214,MATCH(TEXT($J1081,"yyyy-mm-dd")&amp;"|"&amp;$X1081&amp;"|"&amp;$Y1081,'CALENDARIO'!$G$15:$G$214,0)),IFERROR(INDEX('CALENDARIO'!$C$15:$C$214,MATCH(TEXT($J1081,"yyyy-mm-dd")&amp;"|"&amp;$X1081&amp;"|",'CALENDARIO'!$G$15:$G$214,0)),IFERROR(INDEX('CALENDARIO'!$C$15:$C$214,MATCH(TEXT($J1081,"yyyy-mm-dd")&amp;"||",'CALENDARIO'!$G$15:$G$214,0)),INDEX(patronHabil,WEEKDAY($J1081,2))))))</f>
        <v/>
      </c>
      <c r="U1081" s="5">
        <f>IF($I1081="","",IFERROR(INDEX('CAT_TIPOS_OT'!$C$4:$C$8,MATCH($I1081,'CAT_TIPOS_OT'!$A$4:$A$8,0)),"sin_clasificar"))</f>
        <v/>
      </c>
      <c r="V1081" s="5">
        <f>IF($I1081="","",IF(IFERROR(INDEX('CAT_TIPOS_OT'!$D$4:$D$8,MATCH($I1081,'CAT_TIPOS_OT'!$A$4:$A$8,0)),"SIN CLASIFICAR")="","SIN CLASIFICAR",IFERROR(INDEX('CAT_TIPOS_OT'!$D$4:$D$8,MATCH($I1081,'CAT_TIPOS_OT'!$A$4:$A$8,0)),"SIN CLASIFICAR")))</f>
        <v/>
      </c>
      <c r="W1081" s="5">
        <f>IF($F1081="","",IFERROR(INDEX('CAT_CENTROS_COSTO'!$F$4:$F$13,MATCH($F1081,'CAT_CENTROS_COSTO'!$A$4:$A$13,0)),"(sin catálogo)"))</f>
        <v/>
      </c>
      <c r="X1081" s="5">
        <f>IF($F1081="","",IFERROR(INDEX('CAT_CENTROS_COSTO'!$D$4:$D$13,MATCH($F1081,'CAT_CENTROS_COSTO'!$A$4:$A$13,0)),"(sin catálogo)"))</f>
        <v/>
      </c>
      <c r="Y1081" s="5">
        <f>IF($F1081="","",IF((IFERROR(INDEX('CAT_CENTROS_COSTO'!$E$4:$E$13,MATCH($F1081,'CAT_CENTROS_COSTO'!$A$4:$A$13,0)),""))&lt;&gt;"",IFERROR(INDEX('CAT_CENTROS_COSTO'!$E$4:$E$13,MATCH($F1081,'CAT_CENTROS_COSTO'!$A$4:$A$13,0)),""),$X1081))</f>
        <v/>
      </c>
      <c r="Z1081" s="5">
        <f>IF($F1081="","",IFERROR(INDEX('CAT_CENTROS_COSTO'!$G$4:$G$13,MATCH($F1081,'CAT_CENTROS_COSTO'!$A$4:$A$13,0)),"(sin catálogo)"))</f>
        <v/>
      </c>
      <c r="AA1081" s="5">
        <f>IF($G1081="","",IFERROR(INDEX('CAT_PUESTOS'!$B$4:$B$8,MATCH($G1081,'CAT_PUESTOS'!$A$4:$A$8,0)),"(sin catálogo)"))</f>
        <v/>
      </c>
      <c r="AB1081" s="5">
        <f>IF($H1081="","",IFERROR(INDEX('CAT_ACTIVIDADES'!$B$4:$B$11,MATCH($H1081,'CAT_ACTIVIDADES'!$A$4:$A$11,0)),"(sin catálogo)"))</f>
        <v/>
      </c>
      <c r="AC1081" s="20">
        <f>IF($J1081="","",TODAY()-$J1081)</f>
        <v/>
      </c>
      <c r="AD1081" s="20">
        <f>IF($J1081="","",IF($J1081&lt;=TODAY(),COUNTIFS(cal_fechas,"&gt;="&amp;$J1081,cal_fechas,"&lt;"&amp;TODAY(),cal_habil,"sí"),-COUNTIFS(cal_fechas,"&gt;="&amp;TODAY(),cal_fechas,"&lt;"&amp;$J1081,cal_habil,"sí")))</f>
        <v/>
      </c>
      <c r="AE1081" s="5">
        <f>IF($AD1081="","",IF($AD1081&lt;0,"FUTURO",IF($AD1081&gt;p_dias_backlog_max,"BACKLOG","MES CORRIENTE")))</f>
        <v/>
      </c>
      <c r="AF1081" s="5">
        <f>IF($AD1081="",FALSE,AND($AD1081&gt;p_dias_backlog_min,$AD1081&lt;=p_dias_backlog_max))</f>
        <v/>
      </c>
      <c r="AG1081" s="4" t="n"/>
      <c r="AH1081" s="5">
        <f>IF($AG1081="","",IF((IFERROR(INDEX('ASIGNACIONES'!$J$4:$J$451,MATCH($O1081&amp;"|"&amp;$S1081&amp;"|"&amp;$AG1081,'ASIGNACIONES'!$N$4:$N$451,0)),""))=0,"",IFERROR(INDEX('ASIGNACIONES'!$J$4:$J$451,MATCH($O1081&amp;"|"&amp;$S1081&amp;"|"&amp;$AG1081,'ASIGNACIONES'!$N$4:$N$451,0)),"")))</f>
        <v/>
      </c>
      <c r="AI1081" s="25">
        <f>IF($AG1081="","",SUMIFS('ORDENES'!$M$4:$M$1203,'ORDENES'!$AG$4:$AG$1203,$AG1081,'ORDENES'!$O$4:$O$1203,$O1081,'ORDENES'!$S$4:$S$1203,$S1081))</f>
        <v/>
      </c>
      <c r="AJ1081" s="25">
        <f>IF($AI1081="","",p_factor_productividad*IFERROR(INDEX('ASIGNACIONES'!$M$4:$M$451,MATCH($O1081&amp;"|"&amp;$S1081&amp;"|"&amp;$AG1081,'ASIGNACIONES'!$N$4:$N$451,0)),0)-$AI1081)</f>
        <v/>
      </c>
      <c r="AK1081" s="18">
        <f>IF($A1081="","",IFERROR(INDEX('2_IMPORTAR_EJECUCION'!$F$9:$F$1208,MATCH($AT1081,'2_IMPORTAR_EJECUCION'!$J$9:$J$1208,0)),0))</f>
        <v/>
      </c>
      <c r="AL1081" s="18">
        <f>IF($A1081="","",MAX(0,IFERROR(INDEX('2_IMPORTAR_EJECUCION'!$H$9:$H$1208,MATCH($AT1081,'2_IMPORTAR_EJECUCION'!$J$9:$J$1208,0)),0)-$AK1081))</f>
        <v/>
      </c>
      <c r="AM1081" s="18">
        <f>IF($A1081="","",$AK1081+$AL1081)</f>
        <v/>
      </c>
      <c r="AN1081" s="5">
        <f>IF($A1081="","",IF(OR((IFERROR(INDEX('CAT_ACTIVIDADES'!$D$4:$D$11,MATCH($H1081,'CAT_ACTIVIDADES'!$A$4:$A$11,0)),""))=0,(IFERROR(INDEX('CAT_ACTIVIDADES'!$D$4:$D$11,MATCH($H1081,'CAT_ACTIVIDADES'!$A$4:$A$11,0)),""))=""),"SIN CLASIFICAR",IFERROR(INDEX('CAT_ACTIVIDADES'!$D$4:$D$11,MATCH($H1081,'CAT_ACTIVIDADES'!$A$4:$A$11,0)),"")))</f>
        <v/>
      </c>
      <c r="AO1081" s="4" t="n"/>
      <c r="AP1081" s="4" t="n"/>
      <c r="AQ1081" s="4" t="n"/>
      <c r="AR1081" s="5">
        <f>IF($AQ1081="","",HYPERLINK(p_ruta_base_checklists&amp;$AQ1081,"abrir"))</f>
        <v/>
      </c>
      <c r="AS1081" s="4" t="n"/>
      <c r="AT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2" t="n"/>
      <c r="K1082" s="5" t="n"/>
      <c r="L1082" s="18" t="n"/>
      <c r="M1082" s="5">
        <f>IF($A1082="","",IFERROR(INDEX('AJUSTES'!$B$4:$B$303,MATCH($AT1082,'AJUSTES'!$A$4:$A$303,0)),IF($K1082="","",$K1082)))</f>
        <v/>
      </c>
      <c r="N1082" s="5">
        <f>IF($A1082="","",IFERROR(INDEX('CAT_ESTADOS_ERP'!$B$4:$B$7,MATCH(IFERROR(INDEX('2_IMPORTAR_EJECUCION'!$C$9:$C$1208,MATCH($AT1082,'2_IMPORTAR_EJECUCION'!$J$9:$J$1208,0)),""),'CAT_ESTADOS_ERP'!$A$4:$A$7,0)),"Pendiente"))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IF($J1082="","",$P1082&amp;"-"&amp;TEXT($Q1082,"00"))</f>
        <v/>
      </c>
      <c r="S1082" s="5">
        <f>IF($J1082="","",INDEX(lista_dias,WEEKDAY($J1082,2)))</f>
        <v/>
      </c>
      <c r="T1082" s="5">
        <f>IF($J1082="","",IFERROR(INDEX('CALENDARIO'!$C$15:$C$214,MATCH(TEXT($J1082,"yyyy-mm-dd")&amp;"|"&amp;$X1082&amp;"|"&amp;$Y1082,'CALENDARIO'!$G$15:$G$214,0)),IFERROR(INDEX('CALENDARIO'!$C$15:$C$214,MATCH(TEXT($J1082,"yyyy-mm-dd")&amp;"|"&amp;$X1082&amp;"|",'CALENDARIO'!$G$15:$G$214,0)),IFERROR(INDEX('CALENDARIO'!$C$15:$C$214,MATCH(TEXT($J1082,"yyyy-mm-dd")&amp;"||",'CALENDARIO'!$G$15:$G$214,0)),INDEX(patronHabil,WEEKDAY($J1082,2))))))</f>
        <v/>
      </c>
      <c r="U1082" s="5">
        <f>IF($I1082="","",IFERROR(INDEX('CAT_TIPOS_OT'!$C$4:$C$8,MATCH($I1082,'CAT_TIPOS_OT'!$A$4:$A$8,0)),"sin_clasificar"))</f>
        <v/>
      </c>
      <c r="V1082" s="5">
        <f>IF($I1082="","",IF(IFERROR(INDEX('CAT_TIPOS_OT'!$D$4:$D$8,MATCH($I1082,'CAT_TIPOS_OT'!$A$4:$A$8,0)),"SIN CLASIFICAR")="","SIN CLASIFICAR",IFERROR(INDEX('CAT_TIPOS_OT'!$D$4:$D$8,MATCH($I1082,'CAT_TIPOS_OT'!$A$4:$A$8,0)),"SIN CLASIFICAR")))</f>
        <v/>
      </c>
      <c r="W1082" s="5">
        <f>IF($F1082="","",IFERROR(INDEX('CAT_CENTROS_COSTO'!$F$4:$F$13,MATCH($F1082,'CAT_CENTROS_COSTO'!$A$4:$A$13,0)),"(sin catálogo)"))</f>
        <v/>
      </c>
      <c r="X1082" s="5">
        <f>IF($F1082="","",IFERROR(INDEX('CAT_CENTROS_COSTO'!$D$4:$D$13,MATCH($F1082,'CAT_CENTROS_COSTO'!$A$4:$A$13,0)),"(sin catálogo)"))</f>
        <v/>
      </c>
      <c r="Y1082" s="5">
        <f>IF($F1082="","",IF((IFERROR(INDEX('CAT_CENTROS_COSTO'!$E$4:$E$13,MATCH($F1082,'CAT_CENTROS_COSTO'!$A$4:$A$13,0)),""))&lt;&gt;"",IFERROR(INDEX('CAT_CENTROS_COSTO'!$E$4:$E$13,MATCH($F1082,'CAT_CENTROS_COSTO'!$A$4:$A$13,0)),""),$X1082))</f>
        <v/>
      </c>
      <c r="Z1082" s="5">
        <f>IF($F1082="","",IFERROR(INDEX('CAT_CENTROS_COSTO'!$G$4:$G$13,MATCH($F1082,'CAT_CENTROS_COSTO'!$A$4:$A$13,0)),"(sin catálogo)"))</f>
        <v/>
      </c>
      <c r="AA1082" s="5">
        <f>IF($G1082="","",IFERROR(INDEX('CAT_PUESTOS'!$B$4:$B$8,MATCH($G1082,'CAT_PUESTOS'!$A$4:$A$8,0)),"(sin catálogo)"))</f>
        <v/>
      </c>
      <c r="AB1082" s="5">
        <f>IF($H1082="","",IFERROR(INDEX('CAT_ACTIVIDADES'!$B$4:$B$11,MATCH($H1082,'CAT_ACTIVIDADES'!$A$4:$A$11,0)),"(sin catálogo)"))</f>
        <v/>
      </c>
      <c r="AC1082" s="20">
        <f>IF($J1082="","",TODAY()-$J1082)</f>
        <v/>
      </c>
      <c r="AD1082" s="20">
        <f>IF($J1082="","",IF($J1082&lt;=TODAY(),COUNTIFS(cal_fechas,"&gt;="&amp;$J1082,cal_fechas,"&lt;"&amp;TODAY(),cal_habil,"sí"),-COUNTIFS(cal_fechas,"&gt;="&amp;TODAY(),cal_fechas,"&lt;"&amp;$J1082,cal_habil,"sí")))</f>
        <v/>
      </c>
      <c r="AE1082" s="5">
        <f>IF($AD1082="","",IF($AD1082&lt;0,"FUTURO",IF($AD1082&gt;p_dias_backlog_max,"BACKLOG","MES CORRIENTE")))</f>
        <v/>
      </c>
      <c r="AF1082" s="5">
        <f>IF($AD1082="",FALSE,AND($AD1082&gt;p_dias_backlog_min,$AD1082&lt;=p_dias_backlog_max))</f>
        <v/>
      </c>
      <c r="AG1082" s="4" t="n"/>
      <c r="AH1082" s="5">
        <f>IF($AG1082="","",IF((IFERROR(INDEX('ASIGNACIONES'!$J$4:$J$451,MATCH($O1082&amp;"|"&amp;$S1082&amp;"|"&amp;$AG1082,'ASIGNACIONES'!$N$4:$N$451,0)),""))=0,"",IFERROR(INDEX('ASIGNACIONES'!$J$4:$J$451,MATCH($O1082&amp;"|"&amp;$S1082&amp;"|"&amp;$AG1082,'ASIGNACIONES'!$N$4:$N$451,0)),"")))</f>
        <v/>
      </c>
      <c r="AI1082" s="25">
        <f>IF($AG1082="","",SUMIFS('ORDENES'!$M$4:$M$1203,'ORDENES'!$AG$4:$AG$1203,$AG1082,'ORDENES'!$O$4:$O$1203,$O1082,'ORDENES'!$S$4:$S$1203,$S1082))</f>
        <v/>
      </c>
      <c r="AJ1082" s="25">
        <f>IF($AI1082="","",p_factor_productividad*IFERROR(INDEX('ASIGNACIONES'!$M$4:$M$451,MATCH($O1082&amp;"|"&amp;$S1082&amp;"|"&amp;$AG1082,'ASIGNACIONES'!$N$4:$N$451,0)),0)-$AI1082)</f>
        <v/>
      </c>
      <c r="AK1082" s="18">
        <f>IF($A1082="","",IFERROR(INDEX('2_IMPORTAR_EJECUCION'!$F$9:$F$1208,MATCH($AT1082,'2_IMPORTAR_EJECUCION'!$J$9:$J$1208,0)),0))</f>
        <v/>
      </c>
      <c r="AL1082" s="18">
        <f>IF($A1082="","",MAX(0,IFERROR(INDEX('2_IMPORTAR_EJECUCION'!$H$9:$H$1208,MATCH($AT1082,'2_IMPORTAR_EJECUCION'!$J$9:$J$1208,0)),0)-$AK1082))</f>
        <v/>
      </c>
      <c r="AM1082" s="18">
        <f>IF($A1082="","",$AK1082+$AL1082)</f>
        <v/>
      </c>
      <c r="AN1082" s="5">
        <f>IF($A1082="","",IF(OR((IFERROR(INDEX('CAT_ACTIVIDADES'!$D$4:$D$11,MATCH($H1082,'CAT_ACTIVIDADES'!$A$4:$A$11,0)),""))=0,(IFERROR(INDEX('CAT_ACTIVIDADES'!$D$4:$D$11,MATCH($H1082,'CAT_ACTIVIDADES'!$A$4:$A$11,0)),""))=""),"SIN CLASIFICAR",IFERROR(INDEX('CAT_ACTIVIDADES'!$D$4:$D$11,MATCH($H1082,'CAT_ACTIVIDADES'!$A$4:$A$11,0)),"")))</f>
        <v/>
      </c>
      <c r="AO1082" s="4" t="n"/>
      <c r="AP1082" s="4" t="n"/>
      <c r="AQ1082" s="4" t="n"/>
      <c r="AR1082" s="5">
        <f>IF($AQ1082="","",HYPERLINK(p_ruta_base_checklists&amp;$AQ1082,"abrir"))</f>
        <v/>
      </c>
      <c r="AS1082" s="4" t="n"/>
      <c r="AT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2" t="n"/>
      <c r="K1083" s="5" t="n"/>
      <c r="L1083" s="18" t="n"/>
      <c r="M1083" s="5">
        <f>IF($A1083="","",IFERROR(INDEX('AJUSTES'!$B$4:$B$303,MATCH($AT1083,'AJUSTES'!$A$4:$A$303,0)),IF($K1083="","",$K1083)))</f>
        <v/>
      </c>
      <c r="N1083" s="5">
        <f>IF($A1083="","",IFERROR(INDEX('CAT_ESTADOS_ERP'!$B$4:$B$7,MATCH(IFERROR(INDEX('2_IMPORTAR_EJECUCION'!$C$9:$C$1208,MATCH($AT1083,'2_IMPORTAR_EJECUCION'!$J$9:$J$1208,0)),""),'CAT_ESTADOS_ERP'!$A$4:$A$7,0)),"Pendiente"))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IF($J1083="","",$P1083&amp;"-"&amp;TEXT($Q1083,"00"))</f>
        <v/>
      </c>
      <c r="S1083" s="5">
        <f>IF($J1083="","",INDEX(lista_dias,WEEKDAY($J1083,2)))</f>
        <v/>
      </c>
      <c r="T1083" s="5">
        <f>IF($J1083="","",IFERROR(INDEX('CALENDARIO'!$C$15:$C$214,MATCH(TEXT($J1083,"yyyy-mm-dd")&amp;"|"&amp;$X1083&amp;"|"&amp;$Y1083,'CALENDARIO'!$G$15:$G$214,0)),IFERROR(INDEX('CALENDARIO'!$C$15:$C$214,MATCH(TEXT($J1083,"yyyy-mm-dd")&amp;"|"&amp;$X1083&amp;"|",'CALENDARIO'!$G$15:$G$214,0)),IFERROR(INDEX('CALENDARIO'!$C$15:$C$214,MATCH(TEXT($J1083,"yyyy-mm-dd")&amp;"||",'CALENDARIO'!$G$15:$G$214,0)),INDEX(patronHabil,WEEKDAY($J1083,2))))))</f>
        <v/>
      </c>
      <c r="U1083" s="5">
        <f>IF($I1083="","",IFERROR(INDEX('CAT_TIPOS_OT'!$C$4:$C$8,MATCH($I1083,'CAT_TIPOS_OT'!$A$4:$A$8,0)),"sin_clasificar"))</f>
        <v/>
      </c>
      <c r="V1083" s="5">
        <f>IF($I1083="","",IF(IFERROR(INDEX('CAT_TIPOS_OT'!$D$4:$D$8,MATCH($I1083,'CAT_TIPOS_OT'!$A$4:$A$8,0)),"SIN CLASIFICAR")="","SIN CLASIFICAR",IFERROR(INDEX('CAT_TIPOS_OT'!$D$4:$D$8,MATCH($I1083,'CAT_TIPOS_OT'!$A$4:$A$8,0)),"SIN CLASIFICAR")))</f>
        <v/>
      </c>
      <c r="W1083" s="5">
        <f>IF($F1083="","",IFERROR(INDEX('CAT_CENTROS_COSTO'!$F$4:$F$13,MATCH($F1083,'CAT_CENTROS_COSTO'!$A$4:$A$13,0)),"(sin catálogo)"))</f>
        <v/>
      </c>
      <c r="X1083" s="5">
        <f>IF($F1083="","",IFERROR(INDEX('CAT_CENTROS_COSTO'!$D$4:$D$13,MATCH($F1083,'CAT_CENTROS_COSTO'!$A$4:$A$13,0)),"(sin catálogo)"))</f>
        <v/>
      </c>
      <c r="Y1083" s="5">
        <f>IF($F1083="","",IF((IFERROR(INDEX('CAT_CENTROS_COSTO'!$E$4:$E$13,MATCH($F1083,'CAT_CENTROS_COSTO'!$A$4:$A$13,0)),""))&lt;&gt;"",IFERROR(INDEX('CAT_CENTROS_COSTO'!$E$4:$E$13,MATCH($F1083,'CAT_CENTROS_COSTO'!$A$4:$A$13,0)),""),$X1083))</f>
        <v/>
      </c>
      <c r="Z1083" s="5">
        <f>IF($F1083="","",IFERROR(INDEX('CAT_CENTROS_COSTO'!$G$4:$G$13,MATCH($F1083,'CAT_CENTROS_COSTO'!$A$4:$A$13,0)),"(sin catálogo)"))</f>
        <v/>
      </c>
      <c r="AA1083" s="5">
        <f>IF($G1083="","",IFERROR(INDEX('CAT_PUESTOS'!$B$4:$B$8,MATCH($G1083,'CAT_PUESTOS'!$A$4:$A$8,0)),"(sin catálogo)"))</f>
        <v/>
      </c>
      <c r="AB1083" s="5">
        <f>IF($H1083="","",IFERROR(INDEX('CAT_ACTIVIDADES'!$B$4:$B$11,MATCH($H1083,'CAT_ACTIVIDADES'!$A$4:$A$11,0)),"(sin catálogo)"))</f>
        <v/>
      </c>
      <c r="AC1083" s="20">
        <f>IF($J1083="","",TODAY()-$J1083)</f>
        <v/>
      </c>
      <c r="AD1083" s="20">
        <f>IF($J1083="","",IF($J1083&lt;=TODAY(),COUNTIFS(cal_fechas,"&gt;="&amp;$J1083,cal_fechas,"&lt;"&amp;TODAY(),cal_habil,"sí"),-COUNTIFS(cal_fechas,"&gt;="&amp;TODAY(),cal_fechas,"&lt;"&amp;$J1083,cal_habil,"sí")))</f>
        <v/>
      </c>
      <c r="AE1083" s="5">
        <f>IF($AD1083="","",IF($AD1083&lt;0,"FUTURO",IF($AD1083&gt;p_dias_backlog_max,"BACKLOG","MES CORRIENTE")))</f>
        <v/>
      </c>
      <c r="AF1083" s="5">
        <f>IF($AD1083="",FALSE,AND($AD1083&gt;p_dias_backlog_min,$AD1083&lt;=p_dias_backlog_max))</f>
        <v/>
      </c>
      <c r="AG1083" s="4" t="n"/>
      <c r="AH1083" s="5">
        <f>IF($AG1083="","",IF((IFERROR(INDEX('ASIGNACIONES'!$J$4:$J$451,MATCH($O1083&amp;"|"&amp;$S1083&amp;"|"&amp;$AG1083,'ASIGNACIONES'!$N$4:$N$451,0)),""))=0,"",IFERROR(INDEX('ASIGNACIONES'!$J$4:$J$451,MATCH($O1083&amp;"|"&amp;$S1083&amp;"|"&amp;$AG1083,'ASIGNACIONES'!$N$4:$N$451,0)),"")))</f>
        <v/>
      </c>
      <c r="AI1083" s="25">
        <f>IF($AG1083="","",SUMIFS('ORDENES'!$M$4:$M$1203,'ORDENES'!$AG$4:$AG$1203,$AG1083,'ORDENES'!$O$4:$O$1203,$O1083,'ORDENES'!$S$4:$S$1203,$S1083))</f>
        <v/>
      </c>
      <c r="AJ1083" s="25">
        <f>IF($AI1083="","",p_factor_productividad*IFERROR(INDEX('ASIGNACIONES'!$M$4:$M$451,MATCH($O1083&amp;"|"&amp;$S1083&amp;"|"&amp;$AG1083,'ASIGNACIONES'!$N$4:$N$451,0)),0)-$AI1083)</f>
        <v/>
      </c>
      <c r="AK1083" s="18">
        <f>IF($A1083="","",IFERROR(INDEX('2_IMPORTAR_EJECUCION'!$F$9:$F$1208,MATCH($AT1083,'2_IMPORTAR_EJECUCION'!$J$9:$J$1208,0)),0))</f>
        <v/>
      </c>
      <c r="AL1083" s="18">
        <f>IF($A1083="","",MAX(0,IFERROR(INDEX('2_IMPORTAR_EJECUCION'!$H$9:$H$1208,MATCH($AT1083,'2_IMPORTAR_EJECUCION'!$J$9:$J$1208,0)),0)-$AK1083))</f>
        <v/>
      </c>
      <c r="AM1083" s="18">
        <f>IF($A1083="","",$AK1083+$AL1083)</f>
        <v/>
      </c>
      <c r="AN1083" s="5">
        <f>IF($A1083="","",IF(OR((IFERROR(INDEX('CAT_ACTIVIDADES'!$D$4:$D$11,MATCH($H1083,'CAT_ACTIVIDADES'!$A$4:$A$11,0)),""))=0,(IFERROR(INDEX('CAT_ACTIVIDADES'!$D$4:$D$11,MATCH($H1083,'CAT_ACTIVIDADES'!$A$4:$A$11,0)),""))=""),"SIN CLASIFICAR",IFERROR(INDEX('CAT_ACTIVIDADES'!$D$4:$D$11,MATCH($H1083,'CAT_ACTIVIDADES'!$A$4:$A$11,0)),"")))</f>
        <v/>
      </c>
      <c r="AO1083" s="4" t="n"/>
      <c r="AP1083" s="4" t="n"/>
      <c r="AQ1083" s="4" t="n"/>
      <c r="AR1083" s="5">
        <f>IF($AQ1083="","",HYPERLINK(p_ruta_base_checklists&amp;$AQ1083,"abrir"))</f>
        <v/>
      </c>
      <c r="AS1083" s="4" t="n"/>
      <c r="AT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2" t="n"/>
      <c r="K1084" s="5" t="n"/>
      <c r="L1084" s="18" t="n"/>
      <c r="M1084" s="5">
        <f>IF($A1084="","",IFERROR(INDEX('AJUSTES'!$B$4:$B$303,MATCH($AT1084,'AJUSTES'!$A$4:$A$303,0)),IF($K1084="","",$K1084)))</f>
        <v/>
      </c>
      <c r="N1084" s="5">
        <f>IF($A1084="","",IFERROR(INDEX('CAT_ESTADOS_ERP'!$B$4:$B$7,MATCH(IFERROR(INDEX('2_IMPORTAR_EJECUCION'!$C$9:$C$1208,MATCH($AT1084,'2_IMPORTAR_EJECUCION'!$J$9:$J$1208,0)),""),'CAT_ESTADOS_ERP'!$A$4:$A$7,0)),"Pendiente"))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IF($J1084="","",$P1084&amp;"-"&amp;TEXT($Q1084,"00"))</f>
        <v/>
      </c>
      <c r="S1084" s="5">
        <f>IF($J1084="","",INDEX(lista_dias,WEEKDAY($J1084,2)))</f>
        <v/>
      </c>
      <c r="T1084" s="5">
        <f>IF($J1084="","",IFERROR(INDEX('CALENDARIO'!$C$15:$C$214,MATCH(TEXT($J1084,"yyyy-mm-dd")&amp;"|"&amp;$X1084&amp;"|"&amp;$Y1084,'CALENDARIO'!$G$15:$G$214,0)),IFERROR(INDEX('CALENDARIO'!$C$15:$C$214,MATCH(TEXT($J1084,"yyyy-mm-dd")&amp;"|"&amp;$X1084&amp;"|",'CALENDARIO'!$G$15:$G$214,0)),IFERROR(INDEX('CALENDARIO'!$C$15:$C$214,MATCH(TEXT($J1084,"yyyy-mm-dd")&amp;"||",'CALENDARIO'!$G$15:$G$214,0)),INDEX(patronHabil,WEEKDAY($J1084,2))))))</f>
        <v/>
      </c>
      <c r="U1084" s="5">
        <f>IF($I1084="","",IFERROR(INDEX('CAT_TIPOS_OT'!$C$4:$C$8,MATCH($I1084,'CAT_TIPOS_OT'!$A$4:$A$8,0)),"sin_clasificar"))</f>
        <v/>
      </c>
      <c r="V1084" s="5">
        <f>IF($I1084="","",IF(IFERROR(INDEX('CAT_TIPOS_OT'!$D$4:$D$8,MATCH($I1084,'CAT_TIPOS_OT'!$A$4:$A$8,0)),"SIN CLASIFICAR")="","SIN CLASIFICAR",IFERROR(INDEX('CAT_TIPOS_OT'!$D$4:$D$8,MATCH($I1084,'CAT_TIPOS_OT'!$A$4:$A$8,0)),"SIN CLASIFICAR")))</f>
        <v/>
      </c>
      <c r="W1084" s="5">
        <f>IF($F1084="","",IFERROR(INDEX('CAT_CENTROS_COSTO'!$F$4:$F$13,MATCH($F1084,'CAT_CENTROS_COSTO'!$A$4:$A$13,0)),"(sin catálogo)"))</f>
        <v/>
      </c>
      <c r="X1084" s="5">
        <f>IF($F1084="","",IFERROR(INDEX('CAT_CENTROS_COSTO'!$D$4:$D$13,MATCH($F1084,'CAT_CENTROS_COSTO'!$A$4:$A$13,0)),"(sin catálogo)"))</f>
        <v/>
      </c>
      <c r="Y1084" s="5">
        <f>IF($F1084="","",IF((IFERROR(INDEX('CAT_CENTROS_COSTO'!$E$4:$E$13,MATCH($F1084,'CAT_CENTROS_COSTO'!$A$4:$A$13,0)),""))&lt;&gt;"",IFERROR(INDEX('CAT_CENTROS_COSTO'!$E$4:$E$13,MATCH($F1084,'CAT_CENTROS_COSTO'!$A$4:$A$13,0)),""),$X1084))</f>
        <v/>
      </c>
      <c r="Z1084" s="5">
        <f>IF($F1084="","",IFERROR(INDEX('CAT_CENTROS_COSTO'!$G$4:$G$13,MATCH($F1084,'CAT_CENTROS_COSTO'!$A$4:$A$13,0)),"(sin catálogo)"))</f>
        <v/>
      </c>
      <c r="AA1084" s="5">
        <f>IF($G1084="","",IFERROR(INDEX('CAT_PUESTOS'!$B$4:$B$8,MATCH($G1084,'CAT_PUESTOS'!$A$4:$A$8,0)),"(sin catálogo)"))</f>
        <v/>
      </c>
      <c r="AB1084" s="5">
        <f>IF($H1084="","",IFERROR(INDEX('CAT_ACTIVIDADES'!$B$4:$B$11,MATCH($H1084,'CAT_ACTIVIDADES'!$A$4:$A$11,0)),"(sin catálogo)"))</f>
        <v/>
      </c>
      <c r="AC1084" s="20">
        <f>IF($J1084="","",TODAY()-$J1084)</f>
        <v/>
      </c>
      <c r="AD1084" s="20">
        <f>IF($J1084="","",IF($J1084&lt;=TODAY(),COUNTIFS(cal_fechas,"&gt;="&amp;$J1084,cal_fechas,"&lt;"&amp;TODAY(),cal_habil,"sí"),-COUNTIFS(cal_fechas,"&gt;="&amp;TODAY(),cal_fechas,"&lt;"&amp;$J1084,cal_habil,"sí")))</f>
        <v/>
      </c>
      <c r="AE1084" s="5">
        <f>IF($AD1084="","",IF($AD1084&lt;0,"FUTURO",IF($AD1084&gt;p_dias_backlog_max,"BACKLOG","MES CORRIENTE")))</f>
        <v/>
      </c>
      <c r="AF1084" s="5">
        <f>IF($AD1084="",FALSE,AND($AD1084&gt;p_dias_backlog_min,$AD1084&lt;=p_dias_backlog_max))</f>
        <v/>
      </c>
      <c r="AG1084" s="4" t="n"/>
      <c r="AH1084" s="5">
        <f>IF($AG1084="","",IF((IFERROR(INDEX('ASIGNACIONES'!$J$4:$J$451,MATCH($O1084&amp;"|"&amp;$S1084&amp;"|"&amp;$AG1084,'ASIGNACIONES'!$N$4:$N$451,0)),""))=0,"",IFERROR(INDEX('ASIGNACIONES'!$J$4:$J$451,MATCH($O1084&amp;"|"&amp;$S1084&amp;"|"&amp;$AG1084,'ASIGNACIONES'!$N$4:$N$451,0)),"")))</f>
        <v/>
      </c>
      <c r="AI1084" s="25">
        <f>IF($AG1084="","",SUMIFS('ORDENES'!$M$4:$M$1203,'ORDENES'!$AG$4:$AG$1203,$AG1084,'ORDENES'!$O$4:$O$1203,$O1084,'ORDENES'!$S$4:$S$1203,$S1084))</f>
        <v/>
      </c>
      <c r="AJ1084" s="25">
        <f>IF($AI1084="","",p_factor_productividad*IFERROR(INDEX('ASIGNACIONES'!$M$4:$M$451,MATCH($O1084&amp;"|"&amp;$S1084&amp;"|"&amp;$AG1084,'ASIGNACIONES'!$N$4:$N$451,0)),0)-$AI1084)</f>
        <v/>
      </c>
      <c r="AK1084" s="18">
        <f>IF($A1084="","",IFERROR(INDEX('2_IMPORTAR_EJECUCION'!$F$9:$F$1208,MATCH($AT1084,'2_IMPORTAR_EJECUCION'!$J$9:$J$1208,0)),0))</f>
        <v/>
      </c>
      <c r="AL1084" s="18">
        <f>IF($A1084="","",MAX(0,IFERROR(INDEX('2_IMPORTAR_EJECUCION'!$H$9:$H$1208,MATCH($AT1084,'2_IMPORTAR_EJECUCION'!$J$9:$J$1208,0)),0)-$AK1084))</f>
        <v/>
      </c>
      <c r="AM1084" s="18">
        <f>IF($A1084="","",$AK1084+$AL1084)</f>
        <v/>
      </c>
      <c r="AN1084" s="5">
        <f>IF($A1084="","",IF(OR((IFERROR(INDEX('CAT_ACTIVIDADES'!$D$4:$D$11,MATCH($H1084,'CAT_ACTIVIDADES'!$A$4:$A$11,0)),""))=0,(IFERROR(INDEX('CAT_ACTIVIDADES'!$D$4:$D$11,MATCH($H1084,'CAT_ACTIVIDADES'!$A$4:$A$11,0)),""))=""),"SIN CLASIFICAR",IFERROR(INDEX('CAT_ACTIVIDADES'!$D$4:$D$11,MATCH($H1084,'CAT_ACTIVIDADES'!$A$4:$A$11,0)),"")))</f>
        <v/>
      </c>
      <c r="AO1084" s="4" t="n"/>
      <c r="AP1084" s="4" t="n"/>
      <c r="AQ1084" s="4" t="n"/>
      <c r="AR1084" s="5">
        <f>IF($AQ1084="","",HYPERLINK(p_ruta_base_checklists&amp;$AQ1084,"abrir"))</f>
        <v/>
      </c>
      <c r="AS1084" s="4" t="n"/>
      <c r="AT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2" t="n"/>
      <c r="K1085" s="5" t="n"/>
      <c r="L1085" s="18" t="n"/>
      <c r="M1085" s="5">
        <f>IF($A1085="","",IFERROR(INDEX('AJUSTES'!$B$4:$B$303,MATCH($AT1085,'AJUSTES'!$A$4:$A$303,0)),IF($K1085="","",$K1085)))</f>
        <v/>
      </c>
      <c r="N1085" s="5">
        <f>IF($A1085="","",IFERROR(INDEX('CAT_ESTADOS_ERP'!$B$4:$B$7,MATCH(IFERROR(INDEX('2_IMPORTAR_EJECUCION'!$C$9:$C$1208,MATCH($AT1085,'2_IMPORTAR_EJECUCION'!$J$9:$J$1208,0)),""),'CAT_ESTADOS_ERP'!$A$4:$A$7,0)),"Pendiente"))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IF($J1085="","",$P1085&amp;"-"&amp;TEXT($Q1085,"00"))</f>
        <v/>
      </c>
      <c r="S1085" s="5">
        <f>IF($J1085="","",INDEX(lista_dias,WEEKDAY($J1085,2)))</f>
        <v/>
      </c>
      <c r="T1085" s="5">
        <f>IF($J1085="","",IFERROR(INDEX('CALENDARIO'!$C$15:$C$214,MATCH(TEXT($J1085,"yyyy-mm-dd")&amp;"|"&amp;$X1085&amp;"|"&amp;$Y1085,'CALENDARIO'!$G$15:$G$214,0)),IFERROR(INDEX('CALENDARIO'!$C$15:$C$214,MATCH(TEXT($J1085,"yyyy-mm-dd")&amp;"|"&amp;$X1085&amp;"|",'CALENDARIO'!$G$15:$G$214,0)),IFERROR(INDEX('CALENDARIO'!$C$15:$C$214,MATCH(TEXT($J1085,"yyyy-mm-dd")&amp;"||",'CALENDARIO'!$G$15:$G$214,0)),INDEX(patronHabil,WEEKDAY($J1085,2))))))</f>
        <v/>
      </c>
      <c r="U1085" s="5">
        <f>IF($I1085="","",IFERROR(INDEX('CAT_TIPOS_OT'!$C$4:$C$8,MATCH($I1085,'CAT_TIPOS_OT'!$A$4:$A$8,0)),"sin_clasificar"))</f>
        <v/>
      </c>
      <c r="V1085" s="5">
        <f>IF($I1085="","",IF(IFERROR(INDEX('CAT_TIPOS_OT'!$D$4:$D$8,MATCH($I1085,'CAT_TIPOS_OT'!$A$4:$A$8,0)),"SIN CLASIFICAR")="","SIN CLASIFICAR",IFERROR(INDEX('CAT_TIPOS_OT'!$D$4:$D$8,MATCH($I1085,'CAT_TIPOS_OT'!$A$4:$A$8,0)),"SIN CLASIFICAR")))</f>
        <v/>
      </c>
      <c r="W1085" s="5">
        <f>IF($F1085="","",IFERROR(INDEX('CAT_CENTROS_COSTO'!$F$4:$F$13,MATCH($F1085,'CAT_CENTROS_COSTO'!$A$4:$A$13,0)),"(sin catálogo)"))</f>
        <v/>
      </c>
      <c r="X1085" s="5">
        <f>IF($F1085="","",IFERROR(INDEX('CAT_CENTROS_COSTO'!$D$4:$D$13,MATCH($F1085,'CAT_CENTROS_COSTO'!$A$4:$A$13,0)),"(sin catálogo)"))</f>
        <v/>
      </c>
      <c r="Y1085" s="5">
        <f>IF($F1085="","",IF((IFERROR(INDEX('CAT_CENTROS_COSTO'!$E$4:$E$13,MATCH($F1085,'CAT_CENTROS_COSTO'!$A$4:$A$13,0)),""))&lt;&gt;"",IFERROR(INDEX('CAT_CENTROS_COSTO'!$E$4:$E$13,MATCH($F1085,'CAT_CENTROS_COSTO'!$A$4:$A$13,0)),""),$X1085))</f>
        <v/>
      </c>
      <c r="Z1085" s="5">
        <f>IF($F1085="","",IFERROR(INDEX('CAT_CENTROS_COSTO'!$G$4:$G$13,MATCH($F1085,'CAT_CENTROS_COSTO'!$A$4:$A$13,0)),"(sin catálogo)"))</f>
        <v/>
      </c>
      <c r="AA1085" s="5">
        <f>IF($G1085="","",IFERROR(INDEX('CAT_PUESTOS'!$B$4:$B$8,MATCH($G1085,'CAT_PUESTOS'!$A$4:$A$8,0)),"(sin catálogo)"))</f>
        <v/>
      </c>
      <c r="AB1085" s="5">
        <f>IF($H1085="","",IFERROR(INDEX('CAT_ACTIVIDADES'!$B$4:$B$11,MATCH($H1085,'CAT_ACTIVIDADES'!$A$4:$A$11,0)),"(sin catálogo)"))</f>
        <v/>
      </c>
      <c r="AC1085" s="20">
        <f>IF($J1085="","",TODAY()-$J1085)</f>
        <v/>
      </c>
      <c r="AD1085" s="20">
        <f>IF($J1085="","",IF($J1085&lt;=TODAY(),COUNTIFS(cal_fechas,"&gt;="&amp;$J1085,cal_fechas,"&lt;"&amp;TODAY(),cal_habil,"sí"),-COUNTIFS(cal_fechas,"&gt;="&amp;TODAY(),cal_fechas,"&lt;"&amp;$J1085,cal_habil,"sí")))</f>
        <v/>
      </c>
      <c r="AE1085" s="5">
        <f>IF($AD1085="","",IF($AD1085&lt;0,"FUTURO",IF($AD1085&gt;p_dias_backlog_max,"BACKLOG","MES CORRIENTE")))</f>
        <v/>
      </c>
      <c r="AF1085" s="5">
        <f>IF($AD1085="",FALSE,AND($AD1085&gt;p_dias_backlog_min,$AD1085&lt;=p_dias_backlog_max))</f>
        <v/>
      </c>
      <c r="AG1085" s="4" t="n"/>
      <c r="AH1085" s="5">
        <f>IF($AG1085="","",IF((IFERROR(INDEX('ASIGNACIONES'!$J$4:$J$451,MATCH($O1085&amp;"|"&amp;$S1085&amp;"|"&amp;$AG1085,'ASIGNACIONES'!$N$4:$N$451,0)),""))=0,"",IFERROR(INDEX('ASIGNACIONES'!$J$4:$J$451,MATCH($O1085&amp;"|"&amp;$S1085&amp;"|"&amp;$AG1085,'ASIGNACIONES'!$N$4:$N$451,0)),"")))</f>
        <v/>
      </c>
      <c r="AI1085" s="25">
        <f>IF($AG1085="","",SUMIFS('ORDENES'!$M$4:$M$1203,'ORDENES'!$AG$4:$AG$1203,$AG1085,'ORDENES'!$O$4:$O$1203,$O1085,'ORDENES'!$S$4:$S$1203,$S1085))</f>
        <v/>
      </c>
      <c r="AJ1085" s="25">
        <f>IF($AI1085="","",p_factor_productividad*IFERROR(INDEX('ASIGNACIONES'!$M$4:$M$451,MATCH($O1085&amp;"|"&amp;$S1085&amp;"|"&amp;$AG1085,'ASIGNACIONES'!$N$4:$N$451,0)),0)-$AI1085)</f>
        <v/>
      </c>
      <c r="AK1085" s="18">
        <f>IF($A1085="","",IFERROR(INDEX('2_IMPORTAR_EJECUCION'!$F$9:$F$1208,MATCH($AT1085,'2_IMPORTAR_EJECUCION'!$J$9:$J$1208,0)),0))</f>
        <v/>
      </c>
      <c r="AL1085" s="18">
        <f>IF($A1085="","",MAX(0,IFERROR(INDEX('2_IMPORTAR_EJECUCION'!$H$9:$H$1208,MATCH($AT1085,'2_IMPORTAR_EJECUCION'!$J$9:$J$1208,0)),0)-$AK1085))</f>
        <v/>
      </c>
      <c r="AM1085" s="18">
        <f>IF($A1085="","",$AK1085+$AL1085)</f>
        <v/>
      </c>
      <c r="AN1085" s="5">
        <f>IF($A1085="","",IF(OR((IFERROR(INDEX('CAT_ACTIVIDADES'!$D$4:$D$11,MATCH($H1085,'CAT_ACTIVIDADES'!$A$4:$A$11,0)),""))=0,(IFERROR(INDEX('CAT_ACTIVIDADES'!$D$4:$D$11,MATCH($H1085,'CAT_ACTIVIDADES'!$A$4:$A$11,0)),""))=""),"SIN CLASIFICAR",IFERROR(INDEX('CAT_ACTIVIDADES'!$D$4:$D$11,MATCH($H1085,'CAT_ACTIVIDADES'!$A$4:$A$11,0)),"")))</f>
        <v/>
      </c>
      <c r="AO1085" s="4" t="n"/>
      <c r="AP1085" s="4" t="n"/>
      <c r="AQ1085" s="4" t="n"/>
      <c r="AR1085" s="5">
        <f>IF($AQ1085="","",HYPERLINK(p_ruta_base_checklists&amp;$AQ1085,"abrir"))</f>
        <v/>
      </c>
      <c r="AS1085" s="4" t="n"/>
      <c r="AT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2" t="n"/>
      <c r="K1086" s="5" t="n"/>
      <c r="L1086" s="18" t="n"/>
      <c r="M1086" s="5">
        <f>IF($A1086="","",IFERROR(INDEX('AJUSTES'!$B$4:$B$303,MATCH($AT1086,'AJUSTES'!$A$4:$A$303,0)),IF($K1086="","",$K1086)))</f>
        <v/>
      </c>
      <c r="N1086" s="5">
        <f>IF($A1086="","",IFERROR(INDEX('CAT_ESTADOS_ERP'!$B$4:$B$7,MATCH(IFERROR(INDEX('2_IMPORTAR_EJECUCION'!$C$9:$C$1208,MATCH($AT1086,'2_IMPORTAR_EJECUCION'!$J$9:$J$1208,0)),""),'CAT_ESTADOS_ERP'!$A$4:$A$7,0)),"Pendiente"))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IF($J1086="","",$P1086&amp;"-"&amp;TEXT($Q1086,"00"))</f>
        <v/>
      </c>
      <c r="S1086" s="5">
        <f>IF($J1086="","",INDEX(lista_dias,WEEKDAY($J1086,2)))</f>
        <v/>
      </c>
      <c r="T1086" s="5">
        <f>IF($J1086="","",IFERROR(INDEX('CALENDARIO'!$C$15:$C$214,MATCH(TEXT($J1086,"yyyy-mm-dd")&amp;"|"&amp;$X1086&amp;"|"&amp;$Y1086,'CALENDARIO'!$G$15:$G$214,0)),IFERROR(INDEX('CALENDARIO'!$C$15:$C$214,MATCH(TEXT($J1086,"yyyy-mm-dd")&amp;"|"&amp;$X1086&amp;"|",'CALENDARIO'!$G$15:$G$214,0)),IFERROR(INDEX('CALENDARIO'!$C$15:$C$214,MATCH(TEXT($J1086,"yyyy-mm-dd")&amp;"||",'CALENDARIO'!$G$15:$G$214,0)),INDEX(patronHabil,WEEKDAY($J1086,2))))))</f>
        <v/>
      </c>
      <c r="U1086" s="5">
        <f>IF($I1086="","",IFERROR(INDEX('CAT_TIPOS_OT'!$C$4:$C$8,MATCH($I1086,'CAT_TIPOS_OT'!$A$4:$A$8,0)),"sin_clasificar"))</f>
        <v/>
      </c>
      <c r="V1086" s="5">
        <f>IF($I1086="","",IF(IFERROR(INDEX('CAT_TIPOS_OT'!$D$4:$D$8,MATCH($I1086,'CAT_TIPOS_OT'!$A$4:$A$8,0)),"SIN CLASIFICAR")="","SIN CLASIFICAR",IFERROR(INDEX('CAT_TIPOS_OT'!$D$4:$D$8,MATCH($I1086,'CAT_TIPOS_OT'!$A$4:$A$8,0)),"SIN CLASIFICAR")))</f>
        <v/>
      </c>
      <c r="W1086" s="5">
        <f>IF($F1086="","",IFERROR(INDEX('CAT_CENTROS_COSTO'!$F$4:$F$13,MATCH($F1086,'CAT_CENTROS_COSTO'!$A$4:$A$13,0)),"(sin catálogo)"))</f>
        <v/>
      </c>
      <c r="X1086" s="5">
        <f>IF($F1086="","",IFERROR(INDEX('CAT_CENTROS_COSTO'!$D$4:$D$13,MATCH($F1086,'CAT_CENTROS_COSTO'!$A$4:$A$13,0)),"(sin catálogo)"))</f>
        <v/>
      </c>
      <c r="Y1086" s="5">
        <f>IF($F1086="","",IF((IFERROR(INDEX('CAT_CENTROS_COSTO'!$E$4:$E$13,MATCH($F1086,'CAT_CENTROS_COSTO'!$A$4:$A$13,0)),""))&lt;&gt;"",IFERROR(INDEX('CAT_CENTROS_COSTO'!$E$4:$E$13,MATCH($F1086,'CAT_CENTROS_COSTO'!$A$4:$A$13,0)),""),$X1086))</f>
        <v/>
      </c>
      <c r="Z1086" s="5">
        <f>IF($F1086="","",IFERROR(INDEX('CAT_CENTROS_COSTO'!$G$4:$G$13,MATCH($F1086,'CAT_CENTROS_COSTO'!$A$4:$A$13,0)),"(sin catálogo)"))</f>
        <v/>
      </c>
      <c r="AA1086" s="5">
        <f>IF($G1086="","",IFERROR(INDEX('CAT_PUESTOS'!$B$4:$B$8,MATCH($G1086,'CAT_PUESTOS'!$A$4:$A$8,0)),"(sin catálogo)"))</f>
        <v/>
      </c>
      <c r="AB1086" s="5">
        <f>IF($H1086="","",IFERROR(INDEX('CAT_ACTIVIDADES'!$B$4:$B$11,MATCH($H1086,'CAT_ACTIVIDADES'!$A$4:$A$11,0)),"(sin catálogo)"))</f>
        <v/>
      </c>
      <c r="AC1086" s="20">
        <f>IF($J1086="","",TODAY()-$J1086)</f>
        <v/>
      </c>
      <c r="AD1086" s="20">
        <f>IF($J1086="","",IF($J1086&lt;=TODAY(),COUNTIFS(cal_fechas,"&gt;="&amp;$J1086,cal_fechas,"&lt;"&amp;TODAY(),cal_habil,"sí"),-COUNTIFS(cal_fechas,"&gt;="&amp;TODAY(),cal_fechas,"&lt;"&amp;$J1086,cal_habil,"sí")))</f>
        <v/>
      </c>
      <c r="AE1086" s="5">
        <f>IF($AD1086="","",IF($AD1086&lt;0,"FUTURO",IF($AD1086&gt;p_dias_backlog_max,"BACKLOG","MES CORRIENTE")))</f>
        <v/>
      </c>
      <c r="AF1086" s="5">
        <f>IF($AD1086="",FALSE,AND($AD1086&gt;p_dias_backlog_min,$AD1086&lt;=p_dias_backlog_max))</f>
        <v/>
      </c>
      <c r="AG1086" s="4" t="n"/>
      <c r="AH1086" s="5">
        <f>IF($AG1086="","",IF((IFERROR(INDEX('ASIGNACIONES'!$J$4:$J$451,MATCH($O1086&amp;"|"&amp;$S1086&amp;"|"&amp;$AG1086,'ASIGNACIONES'!$N$4:$N$451,0)),""))=0,"",IFERROR(INDEX('ASIGNACIONES'!$J$4:$J$451,MATCH($O1086&amp;"|"&amp;$S1086&amp;"|"&amp;$AG1086,'ASIGNACIONES'!$N$4:$N$451,0)),"")))</f>
        <v/>
      </c>
      <c r="AI1086" s="25">
        <f>IF($AG1086="","",SUMIFS('ORDENES'!$M$4:$M$1203,'ORDENES'!$AG$4:$AG$1203,$AG1086,'ORDENES'!$O$4:$O$1203,$O1086,'ORDENES'!$S$4:$S$1203,$S1086))</f>
        <v/>
      </c>
      <c r="AJ1086" s="25">
        <f>IF($AI1086="","",p_factor_productividad*IFERROR(INDEX('ASIGNACIONES'!$M$4:$M$451,MATCH($O1086&amp;"|"&amp;$S1086&amp;"|"&amp;$AG1086,'ASIGNACIONES'!$N$4:$N$451,0)),0)-$AI1086)</f>
        <v/>
      </c>
      <c r="AK1086" s="18">
        <f>IF($A1086="","",IFERROR(INDEX('2_IMPORTAR_EJECUCION'!$F$9:$F$1208,MATCH($AT1086,'2_IMPORTAR_EJECUCION'!$J$9:$J$1208,0)),0))</f>
        <v/>
      </c>
      <c r="AL1086" s="18">
        <f>IF($A1086="","",MAX(0,IFERROR(INDEX('2_IMPORTAR_EJECUCION'!$H$9:$H$1208,MATCH($AT1086,'2_IMPORTAR_EJECUCION'!$J$9:$J$1208,0)),0)-$AK1086))</f>
        <v/>
      </c>
      <c r="AM1086" s="18">
        <f>IF($A1086="","",$AK1086+$AL1086)</f>
        <v/>
      </c>
      <c r="AN1086" s="5">
        <f>IF($A1086="","",IF(OR((IFERROR(INDEX('CAT_ACTIVIDADES'!$D$4:$D$11,MATCH($H1086,'CAT_ACTIVIDADES'!$A$4:$A$11,0)),""))=0,(IFERROR(INDEX('CAT_ACTIVIDADES'!$D$4:$D$11,MATCH($H1086,'CAT_ACTIVIDADES'!$A$4:$A$11,0)),""))=""),"SIN CLASIFICAR",IFERROR(INDEX('CAT_ACTIVIDADES'!$D$4:$D$11,MATCH($H1086,'CAT_ACTIVIDADES'!$A$4:$A$11,0)),"")))</f>
        <v/>
      </c>
      <c r="AO1086" s="4" t="n"/>
      <c r="AP1086" s="4" t="n"/>
      <c r="AQ1086" s="4" t="n"/>
      <c r="AR1086" s="5">
        <f>IF($AQ1086="","",HYPERLINK(p_ruta_base_checklists&amp;$AQ1086,"abrir"))</f>
        <v/>
      </c>
      <c r="AS1086" s="4" t="n"/>
      <c r="AT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2" t="n"/>
      <c r="K1087" s="5" t="n"/>
      <c r="L1087" s="18" t="n"/>
      <c r="M1087" s="5">
        <f>IF($A1087="","",IFERROR(INDEX('AJUSTES'!$B$4:$B$303,MATCH($AT1087,'AJUSTES'!$A$4:$A$303,0)),IF($K1087="","",$K1087)))</f>
        <v/>
      </c>
      <c r="N1087" s="5">
        <f>IF($A1087="","",IFERROR(INDEX('CAT_ESTADOS_ERP'!$B$4:$B$7,MATCH(IFERROR(INDEX('2_IMPORTAR_EJECUCION'!$C$9:$C$1208,MATCH($AT1087,'2_IMPORTAR_EJECUCION'!$J$9:$J$1208,0)),""),'CAT_ESTADOS_ERP'!$A$4:$A$7,0)),"Pendiente"))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IF($J1087="","",$P1087&amp;"-"&amp;TEXT($Q1087,"00"))</f>
        <v/>
      </c>
      <c r="S1087" s="5">
        <f>IF($J1087="","",INDEX(lista_dias,WEEKDAY($J1087,2)))</f>
        <v/>
      </c>
      <c r="T1087" s="5">
        <f>IF($J1087="","",IFERROR(INDEX('CALENDARIO'!$C$15:$C$214,MATCH(TEXT($J1087,"yyyy-mm-dd")&amp;"|"&amp;$X1087&amp;"|"&amp;$Y1087,'CALENDARIO'!$G$15:$G$214,0)),IFERROR(INDEX('CALENDARIO'!$C$15:$C$214,MATCH(TEXT($J1087,"yyyy-mm-dd")&amp;"|"&amp;$X1087&amp;"|",'CALENDARIO'!$G$15:$G$214,0)),IFERROR(INDEX('CALENDARIO'!$C$15:$C$214,MATCH(TEXT($J1087,"yyyy-mm-dd")&amp;"||",'CALENDARIO'!$G$15:$G$214,0)),INDEX(patronHabil,WEEKDAY($J1087,2))))))</f>
        <v/>
      </c>
      <c r="U1087" s="5">
        <f>IF($I1087="","",IFERROR(INDEX('CAT_TIPOS_OT'!$C$4:$C$8,MATCH($I1087,'CAT_TIPOS_OT'!$A$4:$A$8,0)),"sin_clasificar"))</f>
        <v/>
      </c>
      <c r="V1087" s="5">
        <f>IF($I1087="","",IF(IFERROR(INDEX('CAT_TIPOS_OT'!$D$4:$D$8,MATCH($I1087,'CAT_TIPOS_OT'!$A$4:$A$8,0)),"SIN CLASIFICAR")="","SIN CLASIFICAR",IFERROR(INDEX('CAT_TIPOS_OT'!$D$4:$D$8,MATCH($I1087,'CAT_TIPOS_OT'!$A$4:$A$8,0)),"SIN CLASIFICAR")))</f>
        <v/>
      </c>
      <c r="W1087" s="5">
        <f>IF($F1087="","",IFERROR(INDEX('CAT_CENTROS_COSTO'!$F$4:$F$13,MATCH($F1087,'CAT_CENTROS_COSTO'!$A$4:$A$13,0)),"(sin catálogo)"))</f>
        <v/>
      </c>
      <c r="X1087" s="5">
        <f>IF($F1087="","",IFERROR(INDEX('CAT_CENTROS_COSTO'!$D$4:$D$13,MATCH($F1087,'CAT_CENTROS_COSTO'!$A$4:$A$13,0)),"(sin catálogo)"))</f>
        <v/>
      </c>
      <c r="Y1087" s="5">
        <f>IF($F1087="","",IF((IFERROR(INDEX('CAT_CENTROS_COSTO'!$E$4:$E$13,MATCH($F1087,'CAT_CENTROS_COSTO'!$A$4:$A$13,0)),""))&lt;&gt;"",IFERROR(INDEX('CAT_CENTROS_COSTO'!$E$4:$E$13,MATCH($F1087,'CAT_CENTROS_COSTO'!$A$4:$A$13,0)),""),$X1087))</f>
        <v/>
      </c>
      <c r="Z1087" s="5">
        <f>IF($F1087="","",IFERROR(INDEX('CAT_CENTROS_COSTO'!$G$4:$G$13,MATCH($F1087,'CAT_CENTROS_COSTO'!$A$4:$A$13,0)),"(sin catálogo)"))</f>
        <v/>
      </c>
      <c r="AA1087" s="5">
        <f>IF($G1087="","",IFERROR(INDEX('CAT_PUESTOS'!$B$4:$B$8,MATCH($G1087,'CAT_PUESTOS'!$A$4:$A$8,0)),"(sin catálogo)"))</f>
        <v/>
      </c>
      <c r="AB1087" s="5">
        <f>IF($H1087="","",IFERROR(INDEX('CAT_ACTIVIDADES'!$B$4:$B$11,MATCH($H1087,'CAT_ACTIVIDADES'!$A$4:$A$11,0)),"(sin catálogo)"))</f>
        <v/>
      </c>
      <c r="AC1087" s="20">
        <f>IF($J1087="","",TODAY()-$J1087)</f>
        <v/>
      </c>
      <c r="AD1087" s="20">
        <f>IF($J1087="","",IF($J1087&lt;=TODAY(),COUNTIFS(cal_fechas,"&gt;="&amp;$J1087,cal_fechas,"&lt;"&amp;TODAY(),cal_habil,"sí"),-COUNTIFS(cal_fechas,"&gt;="&amp;TODAY(),cal_fechas,"&lt;"&amp;$J1087,cal_habil,"sí")))</f>
        <v/>
      </c>
      <c r="AE1087" s="5">
        <f>IF($AD1087="","",IF($AD1087&lt;0,"FUTURO",IF($AD1087&gt;p_dias_backlog_max,"BACKLOG","MES CORRIENTE")))</f>
        <v/>
      </c>
      <c r="AF1087" s="5">
        <f>IF($AD1087="",FALSE,AND($AD1087&gt;p_dias_backlog_min,$AD1087&lt;=p_dias_backlog_max))</f>
        <v/>
      </c>
      <c r="AG1087" s="4" t="n"/>
      <c r="AH1087" s="5">
        <f>IF($AG1087="","",IF((IFERROR(INDEX('ASIGNACIONES'!$J$4:$J$451,MATCH($O1087&amp;"|"&amp;$S1087&amp;"|"&amp;$AG1087,'ASIGNACIONES'!$N$4:$N$451,0)),""))=0,"",IFERROR(INDEX('ASIGNACIONES'!$J$4:$J$451,MATCH($O1087&amp;"|"&amp;$S1087&amp;"|"&amp;$AG1087,'ASIGNACIONES'!$N$4:$N$451,0)),"")))</f>
        <v/>
      </c>
      <c r="AI1087" s="25">
        <f>IF($AG1087="","",SUMIFS('ORDENES'!$M$4:$M$1203,'ORDENES'!$AG$4:$AG$1203,$AG1087,'ORDENES'!$O$4:$O$1203,$O1087,'ORDENES'!$S$4:$S$1203,$S1087))</f>
        <v/>
      </c>
      <c r="AJ1087" s="25">
        <f>IF($AI1087="","",p_factor_productividad*IFERROR(INDEX('ASIGNACIONES'!$M$4:$M$451,MATCH($O1087&amp;"|"&amp;$S1087&amp;"|"&amp;$AG1087,'ASIGNACIONES'!$N$4:$N$451,0)),0)-$AI1087)</f>
        <v/>
      </c>
      <c r="AK1087" s="18">
        <f>IF($A1087="","",IFERROR(INDEX('2_IMPORTAR_EJECUCION'!$F$9:$F$1208,MATCH($AT1087,'2_IMPORTAR_EJECUCION'!$J$9:$J$1208,0)),0))</f>
        <v/>
      </c>
      <c r="AL1087" s="18">
        <f>IF($A1087="","",MAX(0,IFERROR(INDEX('2_IMPORTAR_EJECUCION'!$H$9:$H$1208,MATCH($AT1087,'2_IMPORTAR_EJECUCION'!$J$9:$J$1208,0)),0)-$AK1087))</f>
        <v/>
      </c>
      <c r="AM1087" s="18">
        <f>IF($A1087="","",$AK1087+$AL1087)</f>
        <v/>
      </c>
      <c r="AN1087" s="5">
        <f>IF($A1087="","",IF(OR((IFERROR(INDEX('CAT_ACTIVIDADES'!$D$4:$D$11,MATCH($H1087,'CAT_ACTIVIDADES'!$A$4:$A$11,0)),""))=0,(IFERROR(INDEX('CAT_ACTIVIDADES'!$D$4:$D$11,MATCH($H1087,'CAT_ACTIVIDADES'!$A$4:$A$11,0)),""))=""),"SIN CLASIFICAR",IFERROR(INDEX('CAT_ACTIVIDADES'!$D$4:$D$11,MATCH($H1087,'CAT_ACTIVIDADES'!$A$4:$A$11,0)),"")))</f>
        <v/>
      </c>
      <c r="AO1087" s="4" t="n"/>
      <c r="AP1087" s="4" t="n"/>
      <c r="AQ1087" s="4" t="n"/>
      <c r="AR1087" s="5">
        <f>IF($AQ1087="","",HYPERLINK(p_ruta_base_checklists&amp;$AQ1087,"abrir"))</f>
        <v/>
      </c>
      <c r="AS1087" s="4" t="n"/>
      <c r="AT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2" t="n"/>
      <c r="K1088" s="5" t="n"/>
      <c r="L1088" s="18" t="n"/>
      <c r="M1088" s="5">
        <f>IF($A1088="","",IFERROR(INDEX('AJUSTES'!$B$4:$B$303,MATCH($AT1088,'AJUSTES'!$A$4:$A$303,0)),IF($K1088="","",$K1088)))</f>
        <v/>
      </c>
      <c r="N1088" s="5">
        <f>IF($A1088="","",IFERROR(INDEX('CAT_ESTADOS_ERP'!$B$4:$B$7,MATCH(IFERROR(INDEX('2_IMPORTAR_EJECUCION'!$C$9:$C$1208,MATCH($AT1088,'2_IMPORTAR_EJECUCION'!$J$9:$J$1208,0)),""),'CAT_ESTADOS_ERP'!$A$4:$A$7,0)),"Pendiente"))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IF($J1088="","",$P1088&amp;"-"&amp;TEXT($Q1088,"00"))</f>
        <v/>
      </c>
      <c r="S1088" s="5">
        <f>IF($J1088="","",INDEX(lista_dias,WEEKDAY($J1088,2)))</f>
        <v/>
      </c>
      <c r="T1088" s="5">
        <f>IF($J1088="","",IFERROR(INDEX('CALENDARIO'!$C$15:$C$214,MATCH(TEXT($J1088,"yyyy-mm-dd")&amp;"|"&amp;$X1088&amp;"|"&amp;$Y1088,'CALENDARIO'!$G$15:$G$214,0)),IFERROR(INDEX('CALENDARIO'!$C$15:$C$214,MATCH(TEXT($J1088,"yyyy-mm-dd")&amp;"|"&amp;$X1088&amp;"|",'CALENDARIO'!$G$15:$G$214,0)),IFERROR(INDEX('CALENDARIO'!$C$15:$C$214,MATCH(TEXT($J1088,"yyyy-mm-dd")&amp;"||",'CALENDARIO'!$G$15:$G$214,0)),INDEX(patronHabil,WEEKDAY($J1088,2))))))</f>
        <v/>
      </c>
      <c r="U1088" s="5">
        <f>IF($I1088="","",IFERROR(INDEX('CAT_TIPOS_OT'!$C$4:$C$8,MATCH($I1088,'CAT_TIPOS_OT'!$A$4:$A$8,0)),"sin_clasificar"))</f>
        <v/>
      </c>
      <c r="V1088" s="5">
        <f>IF($I1088="","",IF(IFERROR(INDEX('CAT_TIPOS_OT'!$D$4:$D$8,MATCH($I1088,'CAT_TIPOS_OT'!$A$4:$A$8,0)),"SIN CLASIFICAR")="","SIN CLASIFICAR",IFERROR(INDEX('CAT_TIPOS_OT'!$D$4:$D$8,MATCH($I1088,'CAT_TIPOS_OT'!$A$4:$A$8,0)),"SIN CLASIFICAR")))</f>
        <v/>
      </c>
      <c r="W1088" s="5">
        <f>IF($F1088="","",IFERROR(INDEX('CAT_CENTROS_COSTO'!$F$4:$F$13,MATCH($F1088,'CAT_CENTROS_COSTO'!$A$4:$A$13,0)),"(sin catálogo)"))</f>
        <v/>
      </c>
      <c r="X1088" s="5">
        <f>IF($F1088="","",IFERROR(INDEX('CAT_CENTROS_COSTO'!$D$4:$D$13,MATCH($F1088,'CAT_CENTROS_COSTO'!$A$4:$A$13,0)),"(sin catálogo)"))</f>
        <v/>
      </c>
      <c r="Y1088" s="5">
        <f>IF($F1088="","",IF((IFERROR(INDEX('CAT_CENTROS_COSTO'!$E$4:$E$13,MATCH($F1088,'CAT_CENTROS_COSTO'!$A$4:$A$13,0)),""))&lt;&gt;"",IFERROR(INDEX('CAT_CENTROS_COSTO'!$E$4:$E$13,MATCH($F1088,'CAT_CENTROS_COSTO'!$A$4:$A$13,0)),""),$X1088))</f>
        <v/>
      </c>
      <c r="Z1088" s="5">
        <f>IF($F1088="","",IFERROR(INDEX('CAT_CENTROS_COSTO'!$G$4:$G$13,MATCH($F1088,'CAT_CENTROS_COSTO'!$A$4:$A$13,0)),"(sin catálogo)"))</f>
        <v/>
      </c>
      <c r="AA1088" s="5">
        <f>IF($G1088="","",IFERROR(INDEX('CAT_PUESTOS'!$B$4:$B$8,MATCH($G1088,'CAT_PUESTOS'!$A$4:$A$8,0)),"(sin catálogo)"))</f>
        <v/>
      </c>
      <c r="AB1088" s="5">
        <f>IF($H1088="","",IFERROR(INDEX('CAT_ACTIVIDADES'!$B$4:$B$11,MATCH($H1088,'CAT_ACTIVIDADES'!$A$4:$A$11,0)),"(sin catálogo)"))</f>
        <v/>
      </c>
      <c r="AC1088" s="20">
        <f>IF($J1088="","",TODAY()-$J1088)</f>
        <v/>
      </c>
      <c r="AD1088" s="20">
        <f>IF($J1088="","",IF($J1088&lt;=TODAY(),COUNTIFS(cal_fechas,"&gt;="&amp;$J1088,cal_fechas,"&lt;"&amp;TODAY(),cal_habil,"sí"),-COUNTIFS(cal_fechas,"&gt;="&amp;TODAY(),cal_fechas,"&lt;"&amp;$J1088,cal_habil,"sí")))</f>
        <v/>
      </c>
      <c r="AE1088" s="5">
        <f>IF($AD1088="","",IF($AD1088&lt;0,"FUTURO",IF($AD1088&gt;p_dias_backlog_max,"BACKLOG","MES CORRIENTE")))</f>
        <v/>
      </c>
      <c r="AF1088" s="5">
        <f>IF($AD1088="",FALSE,AND($AD1088&gt;p_dias_backlog_min,$AD1088&lt;=p_dias_backlog_max))</f>
        <v/>
      </c>
      <c r="AG1088" s="4" t="n"/>
      <c r="AH1088" s="5">
        <f>IF($AG1088="","",IF((IFERROR(INDEX('ASIGNACIONES'!$J$4:$J$451,MATCH($O1088&amp;"|"&amp;$S1088&amp;"|"&amp;$AG1088,'ASIGNACIONES'!$N$4:$N$451,0)),""))=0,"",IFERROR(INDEX('ASIGNACIONES'!$J$4:$J$451,MATCH($O1088&amp;"|"&amp;$S1088&amp;"|"&amp;$AG1088,'ASIGNACIONES'!$N$4:$N$451,0)),"")))</f>
        <v/>
      </c>
      <c r="AI1088" s="25">
        <f>IF($AG1088="","",SUMIFS('ORDENES'!$M$4:$M$1203,'ORDENES'!$AG$4:$AG$1203,$AG1088,'ORDENES'!$O$4:$O$1203,$O1088,'ORDENES'!$S$4:$S$1203,$S1088))</f>
        <v/>
      </c>
      <c r="AJ1088" s="25">
        <f>IF($AI1088="","",p_factor_productividad*IFERROR(INDEX('ASIGNACIONES'!$M$4:$M$451,MATCH($O1088&amp;"|"&amp;$S1088&amp;"|"&amp;$AG1088,'ASIGNACIONES'!$N$4:$N$451,0)),0)-$AI1088)</f>
        <v/>
      </c>
      <c r="AK1088" s="18">
        <f>IF($A1088="","",IFERROR(INDEX('2_IMPORTAR_EJECUCION'!$F$9:$F$1208,MATCH($AT1088,'2_IMPORTAR_EJECUCION'!$J$9:$J$1208,0)),0))</f>
        <v/>
      </c>
      <c r="AL1088" s="18">
        <f>IF($A1088="","",MAX(0,IFERROR(INDEX('2_IMPORTAR_EJECUCION'!$H$9:$H$1208,MATCH($AT1088,'2_IMPORTAR_EJECUCION'!$J$9:$J$1208,0)),0)-$AK1088))</f>
        <v/>
      </c>
      <c r="AM1088" s="18">
        <f>IF($A1088="","",$AK1088+$AL1088)</f>
        <v/>
      </c>
      <c r="AN1088" s="5">
        <f>IF($A1088="","",IF(OR((IFERROR(INDEX('CAT_ACTIVIDADES'!$D$4:$D$11,MATCH($H1088,'CAT_ACTIVIDADES'!$A$4:$A$11,0)),""))=0,(IFERROR(INDEX('CAT_ACTIVIDADES'!$D$4:$D$11,MATCH($H1088,'CAT_ACTIVIDADES'!$A$4:$A$11,0)),""))=""),"SIN CLASIFICAR",IFERROR(INDEX('CAT_ACTIVIDADES'!$D$4:$D$11,MATCH($H1088,'CAT_ACTIVIDADES'!$A$4:$A$11,0)),"")))</f>
        <v/>
      </c>
      <c r="AO1088" s="4" t="n"/>
      <c r="AP1088" s="4" t="n"/>
      <c r="AQ1088" s="4" t="n"/>
      <c r="AR1088" s="5">
        <f>IF($AQ1088="","",HYPERLINK(p_ruta_base_checklists&amp;$AQ1088,"abrir"))</f>
        <v/>
      </c>
      <c r="AS1088" s="4" t="n"/>
      <c r="AT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2" t="n"/>
      <c r="K1089" s="5" t="n"/>
      <c r="L1089" s="18" t="n"/>
      <c r="M1089" s="5">
        <f>IF($A1089="","",IFERROR(INDEX('AJUSTES'!$B$4:$B$303,MATCH($AT1089,'AJUSTES'!$A$4:$A$303,0)),IF($K1089="","",$K1089)))</f>
        <v/>
      </c>
      <c r="N1089" s="5">
        <f>IF($A1089="","",IFERROR(INDEX('CAT_ESTADOS_ERP'!$B$4:$B$7,MATCH(IFERROR(INDEX('2_IMPORTAR_EJECUCION'!$C$9:$C$1208,MATCH($AT1089,'2_IMPORTAR_EJECUCION'!$J$9:$J$1208,0)),""),'CAT_ESTADOS_ERP'!$A$4:$A$7,0)),"Pendiente"))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IF($J1089="","",$P1089&amp;"-"&amp;TEXT($Q1089,"00"))</f>
        <v/>
      </c>
      <c r="S1089" s="5">
        <f>IF($J1089="","",INDEX(lista_dias,WEEKDAY($J1089,2)))</f>
        <v/>
      </c>
      <c r="T1089" s="5">
        <f>IF($J1089="","",IFERROR(INDEX('CALENDARIO'!$C$15:$C$214,MATCH(TEXT($J1089,"yyyy-mm-dd")&amp;"|"&amp;$X1089&amp;"|"&amp;$Y1089,'CALENDARIO'!$G$15:$G$214,0)),IFERROR(INDEX('CALENDARIO'!$C$15:$C$214,MATCH(TEXT($J1089,"yyyy-mm-dd")&amp;"|"&amp;$X1089&amp;"|",'CALENDARIO'!$G$15:$G$214,0)),IFERROR(INDEX('CALENDARIO'!$C$15:$C$214,MATCH(TEXT($J1089,"yyyy-mm-dd")&amp;"||",'CALENDARIO'!$G$15:$G$214,0)),INDEX(patronHabil,WEEKDAY($J1089,2))))))</f>
        <v/>
      </c>
      <c r="U1089" s="5">
        <f>IF($I1089="","",IFERROR(INDEX('CAT_TIPOS_OT'!$C$4:$C$8,MATCH($I1089,'CAT_TIPOS_OT'!$A$4:$A$8,0)),"sin_clasificar"))</f>
        <v/>
      </c>
      <c r="V1089" s="5">
        <f>IF($I1089="","",IF(IFERROR(INDEX('CAT_TIPOS_OT'!$D$4:$D$8,MATCH($I1089,'CAT_TIPOS_OT'!$A$4:$A$8,0)),"SIN CLASIFICAR")="","SIN CLASIFICAR",IFERROR(INDEX('CAT_TIPOS_OT'!$D$4:$D$8,MATCH($I1089,'CAT_TIPOS_OT'!$A$4:$A$8,0)),"SIN CLASIFICAR")))</f>
        <v/>
      </c>
      <c r="W1089" s="5">
        <f>IF($F1089="","",IFERROR(INDEX('CAT_CENTROS_COSTO'!$F$4:$F$13,MATCH($F1089,'CAT_CENTROS_COSTO'!$A$4:$A$13,0)),"(sin catálogo)"))</f>
        <v/>
      </c>
      <c r="X1089" s="5">
        <f>IF($F1089="","",IFERROR(INDEX('CAT_CENTROS_COSTO'!$D$4:$D$13,MATCH($F1089,'CAT_CENTROS_COSTO'!$A$4:$A$13,0)),"(sin catálogo)"))</f>
        <v/>
      </c>
      <c r="Y1089" s="5">
        <f>IF($F1089="","",IF((IFERROR(INDEX('CAT_CENTROS_COSTO'!$E$4:$E$13,MATCH($F1089,'CAT_CENTROS_COSTO'!$A$4:$A$13,0)),""))&lt;&gt;"",IFERROR(INDEX('CAT_CENTROS_COSTO'!$E$4:$E$13,MATCH($F1089,'CAT_CENTROS_COSTO'!$A$4:$A$13,0)),""),$X1089))</f>
        <v/>
      </c>
      <c r="Z1089" s="5">
        <f>IF($F1089="","",IFERROR(INDEX('CAT_CENTROS_COSTO'!$G$4:$G$13,MATCH($F1089,'CAT_CENTROS_COSTO'!$A$4:$A$13,0)),"(sin catálogo)"))</f>
        <v/>
      </c>
      <c r="AA1089" s="5">
        <f>IF($G1089="","",IFERROR(INDEX('CAT_PUESTOS'!$B$4:$B$8,MATCH($G1089,'CAT_PUESTOS'!$A$4:$A$8,0)),"(sin catálogo)"))</f>
        <v/>
      </c>
      <c r="AB1089" s="5">
        <f>IF($H1089="","",IFERROR(INDEX('CAT_ACTIVIDADES'!$B$4:$B$11,MATCH($H1089,'CAT_ACTIVIDADES'!$A$4:$A$11,0)),"(sin catálogo)"))</f>
        <v/>
      </c>
      <c r="AC1089" s="20">
        <f>IF($J1089="","",TODAY()-$J1089)</f>
        <v/>
      </c>
      <c r="AD1089" s="20">
        <f>IF($J1089="","",IF($J1089&lt;=TODAY(),COUNTIFS(cal_fechas,"&gt;="&amp;$J1089,cal_fechas,"&lt;"&amp;TODAY(),cal_habil,"sí"),-COUNTIFS(cal_fechas,"&gt;="&amp;TODAY(),cal_fechas,"&lt;"&amp;$J1089,cal_habil,"sí")))</f>
        <v/>
      </c>
      <c r="AE1089" s="5">
        <f>IF($AD1089="","",IF($AD1089&lt;0,"FUTURO",IF($AD1089&gt;p_dias_backlog_max,"BACKLOG","MES CORRIENTE")))</f>
        <v/>
      </c>
      <c r="AF1089" s="5">
        <f>IF($AD1089="",FALSE,AND($AD1089&gt;p_dias_backlog_min,$AD1089&lt;=p_dias_backlog_max))</f>
        <v/>
      </c>
      <c r="AG1089" s="4" t="n"/>
      <c r="AH1089" s="5">
        <f>IF($AG1089="","",IF((IFERROR(INDEX('ASIGNACIONES'!$J$4:$J$451,MATCH($O1089&amp;"|"&amp;$S1089&amp;"|"&amp;$AG1089,'ASIGNACIONES'!$N$4:$N$451,0)),""))=0,"",IFERROR(INDEX('ASIGNACIONES'!$J$4:$J$451,MATCH($O1089&amp;"|"&amp;$S1089&amp;"|"&amp;$AG1089,'ASIGNACIONES'!$N$4:$N$451,0)),"")))</f>
        <v/>
      </c>
      <c r="AI1089" s="25">
        <f>IF($AG1089="","",SUMIFS('ORDENES'!$M$4:$M$1203,'ORDENES'!$AG$4:$AG$1203,$AG1089,'ORDENES'!$O$4:$O$1203,$O1089,'ORDENES'!$S$4:$S$1203,$S1089))</f>
        <v/>
      </c>
      <c r="AJ1089" s="25">
        <f>IF($AI1089="","",p_factor_productividad*IFERROR(INDEX('ASIGNACIONES'!$M$4:$M$451,MATCH($O1089&amp;"|"&amp;$S1089&amp;"|"&amp;$AG1089,'ASIGNACIONES'!$N$4:$N$451,0)),0)-$AI1089)</f>
        <v/>
      </c>
      <c r="AK1089" s="18">
        <f>IF($A1089="","",IFERROR(INDEX('2_IMPORTAR_EJECUCION'!$F$9:$F$1208,MATCH($AT1089,'2_IMPORTAR_EJECUCION'!$J$9:$J$1208,0)),0))</f>
        <v/>
      </c>
      <c r="AL1089" s="18">
        <f>IF($A1089="","",MAX(0,IFERROR(INDEX('2_IMPORTAR_EJECUCION'!$H$9:$H$1208,MATCH($AT1089,'2_IMPORTAR_EJECUCION'!$J$9:$J$1208,0)),0)-$AK1089))</f>
        <v/>
      </c>
      <c r="AM1089" s="18">
        <f>IF($A1089="","",$AK1089+$AL1089)</f>
        <v/>
      </c>
      <c r="AN1089" s="5">
        <f>IF($A1089="","",IF(OR((IFERROR(INDEX('CAT_ACTIVIDADES'!$D$4:$D$11,MATCH($H1089,'CAT_ACTIVIDADES'!$A$4:$A$11,0)),""))=0,(IFERROR(INDEX('CAT_ACTIVIDADES'!$D$4:$D$11,MATCH($H1089,'CAT_ACTIVIDADES'!$A$4:$A$11,0)),""))=""),"SIN CLASIFICAR",IFERROR(INDEX('CAT_ACTIVIDADES'!$D$4:$D$11,MATCH($H1089,'CAT_ACTIVIDADES'!$A$4:$A$11,0)),"")))</f>
        <v/>
      </c>
      <c r="AO1089" s="4" t="n"/>
      <c r="AP1089" s="4" t="n"/>
      <c r="AQ1089" s="4" t="n"/>
      <c r="AR1089" s="5">
        <f>IF($AQ1089="","",HYPERLINK(p_ruta_base_checklists&amp;$AQ1089,"abrir"))</f>
        <v/>
      </c>
      <c r="AS1089" s="4" t="n"/>
      <c r="AT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2" t="n"/>
      <c r="K1090" s="5" t="n"/>
      <c r="L1090" s="18" t="n"/>
      <c r="M1090" s="5">
        <f>IF($A1090="","",IFERROR(INDEX('AJUSTES'!$B$4:$B$303,MATCH($AT1090,'AJUSTES'!$A$4:$A$303,0)),IF($K1090="","",$K1090)))</f>
        <v/>
      </c>
      <c r="N1090" s="5">
        <f>IF($A1090="","",IFERROR(INDEX('CAT_ESTADOS_ERP'!$B$4:$B$7,MATCH(IFERROR(INDEX('2_IMPORTAR_EJECUCION'!$C$9:$C$1208,MATCH($AT1090,'2_IMPORTAR_EJECUCION'!$J$9:$J$1208,0)),""),'CAT_ESTADOS_ERP'!$A$4:$A$7,0)),"Pendiente"))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IF($J1090="","",$P1090&amp;"-"&amp;TEXT($Q1090,"00"))</f>
        <v/>
      </c>
      <c r="S1090" s="5">
        <f>IF($J1090="","",INDEX(lista_dias,WEEKDAY($J1090,2)))</f>
        <v/>
      </c>
      <c r="T1090" s="5">
        <f>IF($J1090="","",IFERROR(INDEX('CALENDARIO'!$C$15:$C$214,MATCH(TEXT($J1090,"yyyy-mm-dd")&amp;"|"&amp;$X1090&amp;"|"&amp;$Y1090,'CALENDARIO'!$G$15:$G$214,0)),IFERROR(INDEX('CALENDARIO'!$C$15:$C$214,MATCH(TEXT($J1090,"yyyy-mm-dd")&amp;"|"&amp;$X1090&amp;"|",'CALENDARIO'!$G$15:$G$214,0)),IFERROR(INDEX('CALENDARIO'!$C$15:$C$214,MATCH(TEXT($J1090,"yyyy-mm-dd")&amp;"||",'CALENDARIO'!$G$15:$G$214,0)),INDEX(patronHabil,WEEKDAY($J1090,2))))))</f>
        <v/>
      </c>
      <c r="U1090" s="5">
        <f>IF($I1090="","",IFERROR(INDEX('CAT_TIPOS_OT'!$C$4:$C$8,MATCH($I1090,'CAT_TIPOS_OT'!$A$4:$A$8,0)),"sin_clasificar"))</f>
        <v/>
      </c>
      <c r="V1090" s="5">
        <f>IF($I1090="","",IF(IFERROR(INDEX('CAT_TIPOS_OT'!$D$4:$D$8,MATCH($I1090,'CAT_TIPOS_OT'!$A$4:$A$8,0)),"SIN CLASIFICAR")="","SIN CLASIFICAR",IFERROR(INDEX('CAT_TIPOS_OT'!$D$4:$D$8,MATCH($I1090,'CAT_TIPOS_OT'!$A$4:$A$8,0)),"SIN CLASIFICAR")))</f>
        <v/>
      </c>
      <c r="W1090" s="5">
        <f>IF($F1090="","",IFERROR(INDEX('CAT_CENTROS_COSTO'!$F$4:$F$13,MATCH($F1090,'CAT_CENTROS_COSTO'!$A$4:$A$13,0)),"(sin catálogo)"))</f>
        <v/>
      </c>
      <c r="X1090" s="5">
        <f>IF($F1090="","",IFERROR(INDEX('CAT_CENTROS_COSTO'!$D$4:$D$13,MATCH($F1090,'CAT_CENTROS_COSTO'!$A$4:$A$13,0)),"(sin catálogo)"))</f>
        <v/>
      </c>
      <c r="Y1090" s="5">
        <f>IF($F1090="","",IF((IFERROR(INDEX('CAT_CENTROS_COSTO'!$E$4:$E$13,MATCH($F1090,'CAT_CENTROS_COSTO'!$A$4:$A$13,0)),""))&lt;&gt;"",IFERROR(INDEX('CAT_CENTROS_COSTO'!$E$4:$E$13,MATCH($F1090,'CAT_CENTROS_COSTO'!$A$4:$A$13,0)),""),$X1090))</f>
        <v/>
      </c>
      <c r="Z1090" s="5">
        <f>IF($F1090="","",IFERROR(INDEX('CAT_CENTROS_COSTO'!$G$4:$G$13,MATCH($F1090,'CAT_CENTROS_COSTO'!$A$4:$A$13,0)),"(sin catálogo)"))</f>
        <v/>
      </c>
      <c r="AA1090" s="5">
        <f>IF($G1090="","",IFERROR(INDEX('CAT_PUESTOS'!$B$4:$B$8,MATCH($G1090,'CAT_PUESTOS'!$A$4:$A$8,0)),"(sin catálogo)"))</f>
        <v/>
      </c>
      <c r="AB1090" s="5">
        <f>IF($H1090="","",IFERROR(INDEX('CAT_ACTIVIDADES'!$B$4:$B$11,MATCH($H1090,'CAT_ACTIVIDADES'!$A$4:$A$11,0)),"(sin catálogo)"))</f>
        <v/>
      </c>
      <c r="AC1090" s="20">
        <f>IF($J1090="","",TODAY()-$J1090)</f>
        <v/>
      </c>
      <c r="AD1090" s="20">
        <f>IF($J1090="","",IF($J1090&lt;=TODAY(),COUNTIFS(cal_fechas,"&gt;="&amp;$J1090,cal_fechas,"&lt;"&amp;TODAY(),cal_habil,"sí"),-COUNTIFS(cal_fechas,"&gt;="&amp;TODAY(),cal_fechas,"&lt;"&amp;$J1090,cal_habil,"sí")))</f>
        <v/>
      </c>
      <c r="AE1090" s="5">
        <f>IF($AD1090="","",IF($AD1090&lt;0,"FUTURO",IF($AD1090&gt;p_dias_backlog_max,"BACKLOG","MES CORRIENTE")))</f>
        <v/>
      </c>
      <c r="AF1090" s="5">
        <f>IF($AD1090="",FALSE,AND($AD1090&gt;p_dias_backlog_min,$AD1090&lt;=p_dias_backlog_max))</f>
        <v/>
      </c>
      <c r="AG1090" s="4" t="n"/>
      <c r="AH1090" s="5">
        <f>IF($AG1090="","",IF((IFERROR(INDEX('ASIGNACIONES'!$J$4:$J$451,MATCH($O1090&amp;"|"&amp;$S1090&amp;"|"&amp;$AG1090,'ASIGNACIONES'!$N$4:$N$451,0)),""))=0,"",IFERROR(INDEX('ASIGNACIONES'!$J$4:$J$451,MATCH($O1090&amp;"|"&amp;$S1090&amp;"|"&amp;$AG1090,'ASIGNACIONES'!$N$4:$N$451,0)),"")))</f>
        <v/>
      </c>
      <c r="AI1090" s="25">
        <f>IF($AG1090="","",SUMIFS('ORDENES'!$M$4:$M$1203,'ORDENES'!$AG$4:$AG$1203,$AG1090,'ORDENES'!$O$4:$O$1203,$O1090,'ORDENES'!$S$4:$S$1203,$S1090))</f>
        <v/>
      </c>
      <c r="AJ1090" s="25">
        <f>IF($AI1090="","",p_factor_productividad*IFERROR(INDEX('ASIGNACIONES'!$M$4:$M$451,MATCH($O1090&amp;"|"&amp;$S1090&amp;"|"&amp;$AG1090,'ASIGNACIONES'!$N$4:$N$451,0)),0)-$AI1090)</f>
        <v/>
      </c>
      <c r="AK1090" s="18">
        <f>IF($A1090="","",IFERROR(INDEX('2_IMPORTAR_EJECUCION'!$F$9:$F$1208,MATCH($AT1090,'2_IMPORTAR_EJECUCION'!$J$9:$J$1208,0)),0))</f>
        <v/>
      </c>
      <c r="AL1090" s="18">
        <f>IF($A1090="","",MAX(0,IFERROR(INDEX('2_IMPORTAR_EJECUCION'!$H$9:$H$1208,MATCH($AT1090,'2_IMPORTAR_EJECUCION'!$J$9:$J$1208,0)),0)-$AK1090))</f>
        <v/>
      </c>
      <c r="AM1090" s="18">
        <f>IF($A1090="","",$AK1090+$AL1090)</f>
        <v/>
      </c>
      <c r="AN1090" s="5">
        <f>IF($A1090="","",IF(OR((IFERROR(INDEX('CAT_ACTIVIDADES'!$D$4:$D$11,MATCH($H1090,'CAT_ACTIVIDADES'!$A$4:$A$11,0)),""))=0,(IFERROR(INDEX('CAT_ACTIVIDADES'!$D$4:$D$11,MATCH($H1090,'CAT_ACTIVIDADES'!$A$4:$A$11,0)),""))=""),"SIN CLASIFICAR",IFERROR(INDEX('CAT_ACTIVIDADES'!$D$4:$D$11,MATCH($H1090,'CAT_ACTIVIDADES'!$A$4:$A$11,0)),"")))</f>
        <v/>
      </c>
      <c r="AO1090" s="4" t="n"/>
      <c r="AP1090" s="4" t="n"/>
      <c r="AQ1090" s="4" t="n"/>
      <c r="AR1090" s="5">
        <f>IF($AQ1090="","",HYPERLINK(p_ruta_base_checklists&amp;$AQ1090,"abrir"))</f>
        <v/>
      </c>
      <c r="AS1090" s="4" t="n"/>
      <c r="AT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2" t="n"/>
      <c r="K1091" s="5" t="n"/>
      <c r="L1091" s="18" t="n"/>
      <c r="M1091" s="5">
        <f>IF($A1091="","",IFERROR(INDEX('AJUSTES'!$B$4:$B$303,MATCH($AT1091,'AJUSTES'!$A$4:$A$303,0)),IF($K1091="","",$K1091)))</f>
        <v/>
      </c>
      <c r="N1091" s="5">
        <f>IF($A1091="","",IFERROR(INDEX('CAT_ESTADOS_ERP'!$B$4:$B$7,MATCH(IFERROR(INDEX('2_IMPORTAR_EJECUCION'!$C$9:$C$1208,MATCH($AT1091,'2_IMPORTAR_EJECUCION'!$J$9:$J$1208,0)),""),'CAT_ESTADOS_ERP'!$A$4:$A$7,0)),"Pendiente"))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IF($J1091="","",$P1091&amp;"-"&amp;TEXT($Q1091,"00"))</f>
        <v/>
      </c>
      <c r="S1091" s="5">
        <f>IF($J1091="","",INDEX(lista_dias,WEEKDAY($J1091,2)))</f>
        <v/>
      </c>
      <c r="T1091" s="5">
        <f>IF($J1091="","",IFERROR(INDEX('CALENDARIO'!$C$15:$C$214,MATCH(TEXT($J1091,"yyyy-mm-dd")&amp;"|"&amp;$X1091&amp;"|"&amp;$Y1091,'CALENDARIO'!$G$15:$G$214,0)),IFERROR(INDEX('CALENDARIO'!$C$15:$C$214,MATCH(TEXT($J1091,"yyyy-mm-dd")&amp;"|"&amp;$X1091&amp;"|",'CALENDARIO'!$G$15:$G$214,0)),IFERROR(INDEX('CALENDARIO'!$C$15:$C$214,MATCH(TEXT($J1091,"yyyy-mm-dd")&amp;"||",'CALENDARIO'!$G$15:$G$214,0)),INDEX(patronHabil,WEEKDAY($J1091,2))))))</f>
        <v/>
      </c>
      <c r="U1091" s="5">
        <f>IF($I1091="","",IFERROR(INDEX('CAT_TIPOS_OT'!$C$4:$C$8,MATCH($I1091,'CAT_TIPOS_OT'!$A$4:$A$8,0)),"sin_clasificar"))</f>
        <v/>
      </c>
      <c r="V1091" s="5">
        <f>IF($I1091="","",IF(IFERROR(INDEX('CAT_TIPOS_OT'!$D$4:$D$8,MATCH($I1091,'CAT_TIPOS_OT'!$A$4:$A$8,0)),"SIN CLASIFICAR")="","SIN CLASIFICAR",IFERROR(INDEX('CAT_TIPOS_OT'!$D$4:$D$8,MATCH($I1091,'CAT_TIPOS_OT'!$A$4:$A$8,0)),"SIN CLASIFICAR")))</f>
        <v/>
      </c>
      <c r="W1091" s="5">
        <f>IF($F1091="","",IFERROR(INDEX('CAT_CENTROS_COSTO'!$F$4:$F$13,MATCH($F1091,'CAT_CENTROS_COSTO'!$A$4:$A$13,0)),"(sin catálogo)"))</f>
        <v/>
      </c>
      <c r="X1091" s="5">
        <f>IF($F1091="","",IFERROR(INDEX('CAT_CENTROS_COSTO'!$D$4:$D$13,MATCH($F1091,'CAT_CENTROS_COSTO'!$A$4:$A$13,0)),"(sin catálogo)"))</f>
        <v/>
      </c>
      <c r="Y1091" s="5">
        <f>IF($F1091="","",IF((IFERROR(INDEX('CAT_CENTROS_COSTO'!$E$4:$E$13,MATCH($F1091,'CAT_CENTROS_COSTO'!$A$4:$A$13,0)),""))&lt;&gt;"",IFERROR(INDEX('CAT_CENTROS_COSTO'!$E$4:$E$13,MATCH($F1091,'CAT_CENTROS_COSTO'!$A$4:$A$13,0)),""),$X1091))</f>
        <v/>
      </c>
      <c r="Z1091" s="5">
        <f>IF($F1091="","",IFERROR(INDEX('CAT_CENTROS_COSTO'!$G$4:$G$13,MATCH($F1091,'CAT_CENTROS_COSTO'!$A$4:$A$13,0)),"(sin catálogo)"))</f>
        <v/>
      </c>
      <c r="AA1091" s="5">
        <f>IF($G1091="","",IFERROR(INDEX('CAT_PUESTOS'!$B$4:$B$8,MATCH($G1091,'CAT_PUESTOS'!$A$4:$A$8,0)),"(sin catálogo)"))</f>
        <v/>
      </c>
      <c r="AB1091" s="5">
        <f>IF($H1091="","",IFERROR(INDEX('CAT_ACTIVIDADES'!$B$4:$B$11,MATCH($H1091,'CAT_ACTIVIDADES'!$A$4:$A$11,0)),"(sin catálogo)"))</f>
        <v/>
      </c>
      <c r="AC1091" s="20">
        <f>IF($J1091="","",TODAY()-$J1091)</f>
        <v/>
      </c>
      <c r="AD1091" s="20">
        <f>IF($J1091="","",IF($J1091&lt;=TODAY(),COUNTIFS(cal_fechas,"&gt;="&amp;$J1091,cal_fechas,"&lt;"&amp;TODAY(),cal_habil,"sí"),-COUNTIFS(cal_fechas,"&gt;="&amp;TODAY(),cal_fechas,"&lt;"&amp;$J1091,cal_habil,"sí")))</f>
        <v/>
      </c>
      <c r="AE1091" s="5">
        <f>IF($AD1091="","",IF($AD1091&lt;0,"FUTURO",IF($AD1091&gt;p_dias_backlog_max,"BACKLOG","MES CORRIENTE")))</f>
        <v/>
      </c>
      <c r="AF1091" s="5">
        <f>IF($AD1091="",FALSE,AND($AD1091&gt;p_dias_backlog_min,$AD1091&lt;=p_dias_backlog_max))</f>
        <v/>
      </c>
      <c r="AG1091" s="4" t="n"/>
      <c r="AH1091" s="5">
        <f>IF($AG1091="","",IF((IFERROR(INDEX('ASIGNACIONES'!$J$4:$J$451,MATCH($O1091&amp;"|"&amp;$S1091&amp;"|"&amp;$AG1091,'ASIGNACIONES'!$N$4:$N$451,0)),""))=0,"",IFERROR(INDEX('ASIGNACIONES'!$J$4:$J$451,MATCH($O1091&amp;"|"&amp;$S1091&amp;"|"&amp;$AG1091,'ASIGNACIONES'!$N$4:$N$451,0)),"")))</f>
        <v/>
      </c>
      <c r="AI1091" s="25">
        <f>IF($AG1091="","",SUMIFS('ORDENES'!$M$4:$M$1203,'ORDENES'!$AG$4:$AG$1203,$AG1091,'ORDENES'!$O$4:$O$1203,$O1091,'ORDENES'!$S$4:$S$1203,$S1091))</f>
        <v/>
      </c>
      <c r="AJ1091" s="25">
        <f>IF($AI1091="","",p_factor_productividad*IFERROR(INDEX('ASIGNACIONES'!$M$4:$M$451,MATCH($O1091&amp;"|"&amp;$S1091&amp;"|"&amp;$AG1091,'ASIGNACIONES'!$N$4:$N$451,0)),0)-$AI1091)</f>
        <v/>
      </c>
      <c r="AK1091" s="18">
        <f>IF($A1091="","",IFERROR(INDEX('2_IMPORTAR_EJECUCION'!$F$9:$F$1208,MATCH($AT1091,'2_IMPORTAR_EJECUCION'!$J$9:$J$1208,0)),0))</f>
        <v/>
      </c>
      <c r="AL1091" s="18">
        <f>IF($A1091="","",MAX(0,IFERROR(INDEX('2_IMPORTAR_EJECUCION'!$H$9:$H$1208,MATCH($AT1091,'2_IMPORTAR_EJECUCION'!$J$9:$J$1208,0)),0)-$AK1091))</f>
        <v/>
      </c>
      <c r="AM1091" s="18">
        <f>IF($A1091="","",$AK1091+$AL1091)</f>
        <v/>
      </c>
      <c r="AN1091" s="5">
        <f>IF($A1091="","",IF(OR((IFERROR(INDEX('CAT_ACTIVIDADES'!$D$4:$D$11,MATCH($H1091,'CAT_ACTIVIDADES'!$A$4:$A$11,0)),""))=0,(IFERROR(INDEX('CAT_ACTIVIDADES'!$D$4:$D$11,MATCH($H1091,'CAT_ACTIVIDADES'!$A$4:$A$11,0)),""))=""),"SIN CLASIFICAR",IFERROR(INDEX('CAT_ACTIVIDADES'!$D$4:$D$11,MATCH($H1091,'CAT_ACTIVIDADES'!$A$4:$A$11,0)),"")))</f>
        <v/>
      </c>
      <c r="AO1091" s="4" t="n"/>
      <c r="AP1091" s="4" t="n"/>
      <c r="AQ1091" s="4" t="n"/>
      <c r="AR1091" s="5">
        <f>IF($AQ1091="","",HYPERLINK(p_ruta_base_checklists&amp;$AQ1091,"abrir"))</f>
        <v/>
      </c>
      <c r="AS1091" s="4" t="n"/>
      <c r="AT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2" t="n"/>
      <c r="K1092" s="5" t="n"/>
      <c r="L1092" s="18" t="n"/>
      <c r="M1092" s="5">
        <f>IF($A1092="","",IFERROR(INDEX('AJUSTES'!$B$4:$B$303,MATCH($AT1092,'AJUSTES'!$A$4:$A$303,0)),IF($K1092="","",$K1092)))</f>
        <v/>
      </c>
      <c r="N1092" s="5">
        <f>IF($A1092="","",IFERROR(INDEX('CAT_ESTADOS_ERP'!$B$4:$B$7,MATCH(IFERROR(INDEX('2_IMPORTAR_EJECUCION'!$C$9:$C$1208,MATCH($AT1092,'2_IMPORTAR_EJECUCION'!$J$9:$J$1208,0)),""),'CAT_ESTADOS_ERP'!$A$4:$A$7,0)),"Pendiente"))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IF($J1092="","",$P1092&amp;"-"&amp;TEXT($Q1092,"00"))</f>
        <v/>
      </c>
      <c r="S1092" s="5">
        <f>IF($J1092="","",INDEX(lista_dias,WEEKDAY($J1092,2)))</f>
        <v/>
      </c>
      <c r="T1092" s="5">
        <f>IF($J1092="","",IFERROR(INDEX('CALENDARIO'!$C$15:$C$214,MATCH(TEXT($J1092,"yyyy-mm-dd")&amp;"|"&amp;$X1092&amp;"|"&amp;$Y1092,'CALENDARIO'!$G$15:$G$214,0)),IFERROR(INDEX('CALENDARIO'!$C$15:$C$214,MATCH(TEXT($J1092,"yyyy-mm-dd")&amp;"|"&amp;$X1092&amp;"|",'CALENDARIO'!$G$15:$G$214,0)),IFERROR(INDEX('CALENDARIO'!$C$15:$C$214,MATCH(TEXT($J1092,"yyyy-mm-dd")&amp;"||",'CALENDARIO'!$G$15:$G$214,0)),INDEX(patronHabil,WEEKDAY($J1092,2))))))</f>
        <v/>
      </c>
      <c r="U1092" s="5">
        <f>IF($I1092="","",IFERROR(INDEX('CAT_TIPOS_OT'!$C$4:$C$8,MATCH($I1092,'CAT_TIPOS_OT'!$A$4:$A$8,0)),"sin_clasificar"))</f>
        <v/>
      </c>
      <c r="V1092" s="5">
        <f>IF($I1092="","",IF(IFERROR(INDEX('CAT_TIPOS_OT'!$D$4:$D$8,MATCH($I1092,'CAT_TIPOS_OT'!$A$4:$A$8,0)),"SIN CLASIFICAR")="","SIN CLASIFICAR",IFERROR(INDEX('CAT_TIPOS_OT'!$D$4:$D$8,MATCH($I1092,'CAT_TIPOS_OT'!$A$4:$A$8,0)),"SIN CLASIFICAR")))</f>
        <v/>
      </c>
      <c r="W1092" s="5">
        <f>IF($F1092="","",IFERROR(INDEX('CAT_CENTROS_COSTO'!$F$4:$F$13,MATCH($F1092,'CAT_CENTROS_COSTO'!$A$4:$A$13,0)),"(sin catálogo)"))</f>
        <v/>
      </c>
      <c r="X1092" s="5">
        <f>IF($F1092="","",IFERROR(INDEX('CAT_CENTROS_COSTO'!$D$4:$D$13,MATCH($F1092,'CAT_CENTROS_COSTO'!$A$4:$A$13,0)),"(sin catálogo)"))</f>
        <v/>
      </c>
      <c r="Y1092" s="5">
        <f>IF($F1092="","",IF((IFERROR(INDEX('CAT_CENTROS_COSTO'!$E$4:$E$13,MATCH($F1092,'CAT_CENTROS_COSTO'!$A$4:$A$13,0)),""))&lt;&gt;"",IFERROR(INDEX('CAT_CENTROS_COSTO'!$E$4:$E$13,MATCH($F1092,'CAT_CENTROS_COSTO'!$A$4:$A$13,0)),""),$X1092))</f>
        <v/>
      </c>
      <c r="Z1092" s="5">
        <f>IF($F1092="","",IFERROR(INDEX('CAT_CENTROS_COSTO'!$G$4:$G$13,MATCH($F1092,'CAT_CENTROS_COSTO'!$A$4:$A$13,0)),"(sin catálogo)"))</f>
        <v/>
      </c>
      <c r="AA1092" s="5">
        <f>IF($G1092="","",IFERROR(INDEX('CAT_PUESTOS'!$B$4:$B$8,MATCH($G1092,'CAT_PUESTOS'!$A$4:$A$8,0)),"(sin catálogo)"))</f>
        <v/>
      </c>
      <c r="AB1092" s="5">
        <f>IF($H1092="","",IFERROR(INDEX('CAT_ACTIVIDADES'!$B$4:$B$11,MATCH($H1092,'CAT_ACTIVIDADES'!$A$4:$A$11,0)),"(sin catálogo)"))</f>
        <v/>
      </c>
      <c r="AC1092" s="20">
        <f>IF($J1092="","",TODAY()-$J1092)</f>
        <v/>
      </c>
      <c r="AD1092" s="20">
        <f>IF($J1092="","",IF($J1092&lt;=TODAY(),COUNTIFS(cal_fechas,"&gt;="&amp;$J1092,cal_fechas,"&lt;"&amp;TODAY(),cal_habil,"sí"),-COUNTIFS(cal_fechas,"&gt;="&amp;TODAY(),cal_fechas,"&lt;"&amp;$J1092,cal_habil,"sí")))</f>
        <v/>
      </c>
      <c r="AE1092" s="5">
        <f>IF($AD1092="","",IF($AD1092&lt;0,"FUTURO",IF($AD1092&gt;p_dias_backlog_max,"BACKLOG","MES CORRIENTE")))</f>
        <v/>
      </c>
      <c r="AF1092" s="5">
        <f>IF($AD1092="",FALSE,AND($AD1092&gt;p_dias_backlog_min,$AD1092&lt;=p_dias_backlog_max))</f>
        <v/>
      </c>
      <c r="AG1092" s="4" t="n"/>
      <c r="AH1092" s="5">
        <f>IF($AG1092="","",IF((IFERROR(INDEX('ASIGNACIONES'!$J$4:$J$451,MATCH($O1092&amp;"|"&amp;$S1092&amp;"|"&amp;$AG1092,'ASIGNACIONES'!$N$4:$N$451,0)),""))=0,"",IFERROR(INDEX('ASIGNACIONES'!$J$4:$J$451,MATCH($O1092&amp;"|"&amp;$S1092&amp;"|"&amp;$AG1092,'ASIGNACIONES'!$N$4:$N$451,0)),"")))</f>
        <v/>
      </c>
      <c r="AI1092" s="25">
        <f>IF($AG1092="","",SUMIFS('ORDENES'!$M$4:$M$1203,'ORDENES'!$AG$4:$AG$1203,$AG1092,'ORDENES'!$O$4:$O$1203,$O1092,'ORDENES'!$S$4:$S$1203,$S1092))</f>
        <v/>
      </c>
      <c r="AJ1092" s="25">
        <f>IF($AI1092="","",p_factor_productividad*IFERROR(INDEX('ASIGNACIONES'!$M$4:$M$451,MATCH($O1092&amp;"|"&amp;$S1092&amp;"|"&amp;$AG1092,'ASIGNACIONES'!$N$4:$N$451,0)),0)-$AI1092)</f>
        <v/>
      </c>
      <c r="AK1092" s="18">
        <f>IF($A1092="","",IFERROR(INDEX('2_IMPORTAR_EJECUCION'!$F$9:$F$1208,MATCH($AT1092,'2_IMPORTAR_EJECUCION'!$J$9:$J$1208,0)),0))</f>
        <v/>
      </c>
      <c r="AL1092" s="18">
        <f>IF($A1092="","",MAX(0,IFERROR(INDEX('2_IMPORTAR_EJECUCION'!$H$9:$H$1208,MATCH($AT1092,'2_IMPORTAR_EJECUCION'!$J$9:$J$1208,0)),0)-$AK1092))</f>
        <v/>
      </c>
      <c r="AM1092" s="18">
        <f>IF($A1092="","",$AK1092+$AL1092)</f>
        <v/>
      </c>
      <c r="AN1092" s="5">
        <f>IF($A1092="","",IF(OR((IFERROR(INDEX('CAT_ACTIVIDADES'!$D$4:$D$11,MATCH($H1092,'CAT_ACTIVIDADES'!$A$4:$A$11,0)),""))=0,(IFERROR(INDEX('CAT_ACTIVIDADES'!$D$4:$D$11,MATCH($H1092,'CAT_ACTIVIDADES'!$A$4:$A$11,0)),""))=""),"SIN CLASIFICAR",IFERROR(INDEX('CAT_ACTIVIDADES'!$D$4:$D$11,MATCH($H1092,'CAT_ACTIVIDADES'!$A$4:$A$11,0)),"")))</f>
        <v/>
      </c>
      <c r="AO1092" s="4" t="n"/>
      <c r="AP1092" s="4" t="n"/>
      <c r="AQ1092" s="4" t="n"/>
      <c r="AR1092" s="5">
        <f>IF($AQ1092="","",HYPERLINK(p_ruta_base_checklists&amp;$AQ1092,"abrir"))</f>
        <v/>
      </c>
      <c r="AS1092" s="4" t="n"/>
      <c r="AT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2" t="n"/>
      <c r="K1093" s="5" t="n"/>
      <c r="L1093" s="18" t="n"/>
      <c r="M1093" s="5">
        <f>IF($A1093="","",IFERROR(INDEX('AJUSTES'!$B$4:$B$303,MATCH($AT1093,'AJUSTES'!$A$4:$A$303,0)),IF($K1093="","",$K1093)))</f>
        <v/>
      </c>
      <c r="N1093" s="5">
        <f>IF($A1093="","",IFERROR(INDEX('CAT_ESTADOS_ERP'!$B$4:$B$7,MATCH(IFERROR(INDEX('2_IMPORTAR_EJECUCION'!$C$9:$C$1208,MATCH($AT1093,'2_IMPORTAR_EJECUCION'!$J$9:$J$1208,0)),""),'CAT_ESTADOS_ERP'!$A$4:$A$7,0)),"Pendiente"))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IF($J1093="","",$P1093&amp;"-"&amp;TEXT($Q1093,"00"))</f>
        <v/>
      </c>
      <c r="S1093" s="5">
        <f>IF($J1093="","",INDEX(lista_dias,WEEKDAY($J1093,2)))</f>
        <v/>
      </c>
      <c r="T1093" s="5">
        <f>IF($J1093="","",IFERROR(INDEX('CALENDARIO'!$C$15:$C$214,MATCH(TEXT($J1093,"yyyy-mm-dd")&amp;"|"&amp;$X1093&amp;"|"&amp;$Y1093,'CALENDARIO'!$G$15:$G$214,0)),IFERROR(INDEX('CALENDARIO'!$C$15:$C$214,MATCH(TEXT($J1093,"yyyy-mm-dd")&amp;"|"&amp;$X1093&amp;"|",'CALENDARIO'!$G$15:$G$214,0)),IFERROR(INDEX('CALENDARIO'!$C$15:$C$214,MATCH(TEXT($J1093,"yyyy-mm-dd")&amp;"||",'CALENDARIO'!$G$15:$G$214,0)),INDEX(patronHabil,WEEKDAY($J1093,2))))))</f>
        <v/>
      </c>
      <c r="U1093" s="5">
        <f>IF($I1093="","",IFERROR(INDEX('CAT_TIPOS_OT'!$C$4:$C$8,MATCH($I1093,'CAT_TIPOS_OT'!$A$4:$A$8,0)),"sin_clasificar"))</f>
        <v/>
      </c>
      <c r="V1093" s="5">
        <f>IF($I1093="","",IF(IFERROR(INDEX('CAT_TIPOS_OT'!$D$4:$D$8,MATCH($I1093,'CAT_TIPOS_OT'!$A$4:$A$8,0)),"SIN CLASIFICAR")="","SIN CLASIFICAR",IFERROR(INDEX('CAT_TIPOS_OT'!$D$4:$D$8,MATCH($I1093,'CAT_TIPOS_OT'!$A$4:$A$8,0)),"SIN CLASIFICAR")))</f>
        <v/>
      </c>
      <c r="W1093" s="5">
        <f>IF($F1093="","",IFERROR(INDEX('CAT_CENTROS_COSTO'!$F$4:$F$13,MATCH($F1093,'CAT_CENTROS_COSTO'!$A$4:$A$13,0)),"(sin catálogo)"))</f>
        <v/>
      </c>
      <c r="X1093" s="5">
        <f>IF($F1093="","",IFERROR(INDEX('CAT_CENTROS_COSTO'!$D$4:$D$13,MATCH($F1093,'CAT_CENTROS_COSTO'!$A$4:$A$13,0)),"(sin catálogo)"))</f>
        <v/>
      </c>
      <c r="Y1093" s="5">
        <f>IF($F1093="","",IF((IFERROR(INDEX('CAT_CENTROS_COSTO'!$E$4:$E$13,MATCH($F1093,'CAT_CENTROS_COSTO'!$A$4:$A$13,0)),""))&lt;&gt;"",IFERROR(INDEX('CAT_CENTROS_COSTO'!$E$4:$E$13,MATCH($F1093,'CAT_CENTROS_COSTO'!$A$4:$A$13,0)),""),$X1093))</f>
        <v/>
      </c>
      <c r="Z1093" s="5">
        <f>IF($F1093="","",IFERROR(INDEX('CAT_CENTROS_COSTO'!$G$4:$G$13,MATCH($F1093,'CAT_CENTROS_COSTO'!$A$4:$A$13,0)),"(sin catálogo)"))</f>
        <v/>
      </c>
      <c r="AA1093" s="5">
        <f>IF($G1093="","",IFERROR(INDEX('CAT_PUESTOS'!$B$4:$B$8,MATCH($G1093,'CAT_PUESTOS'!$A$4:$A$8,0)),"(sin catálogo)"))</f>
        <v/>
      </c>
      <c r="AB1093" s="5">
        <f>IF($H1093="","",IFERROR(INDEX('CAT_ACTIVIDADES'!$B$4:$B$11,MATCH($H1093,'CAT_ACTIVIDADES'!$A$4:$A$11,0)),"(sin catálogo)"))</f>
        <v/>
      </c>
      <c r="AC1093" s="20">
        <f>IF($J1093="","",TODAY()-$J1093)</f>
        <v/>
      </c>
      <c r="AD1093" s="20">
        <f>IF($J1093="","",IF($J1093&lt;=TODAY(),COUNTIFS(cal_fechas,"&gt;="&amp;$J1093,cal_fechas,"&lt;"&amp;TODAY(),cal_habil,"sí"),-COUNTIFS(cal_fechas,"&gt;="&amp;TODAY(),cal_fechas,"&lt;"&amp;$J1093,cal_habil,"sí")))</f>
        <v/>
      </c>
      <c r="AE1093" s="5">
        <f>IF($AD1093="","",IF($AD1093&lt;0,"FUTURO",IF($AD1093&gt;p_dias_backlog_max,"BACKLOG","MES CORRIENTE")))</f>
        <v/>
      </c>
      <c r="AF1093" s="5">
        <f>IF($AD1093="",FALSE,AND($AD1093&gt;p_dias_backlog_min,$AD1093&lt;=p_dias_backlog_max))</f>
        <v/>
      </c>
      <c r="AG1093" s="4" t="n"/>
      <c r="AH1093" s="5">
        <f>IF($AG1093="","",IF((IFERROR(INDEX('ASIGNACIONES'!$J$4:$J$451,MATCH($O1093&amp;"|"&amp;$S1093&amp;"|"&amp;$AG1093,'ASIGNACIONES'!$N$4:$N$451,0)),""))=0,"",IFERROR(INDEX('ASIGNACIONES'!$J$4:$J$451,MATCH($O1093&amp;"|"&amp;$S1093&amp;"|"&amp;$AG1093,'ASIGNACIONES'!$N$4:$N$451,0)),"")))</f>
        <v/>
      </c>
      <c r="AI1093" s="25">
        <f>IF($AG1093="","",SUMIFS('ORDENES'!$M$4:$M$1203,'ORDENES'!$AG$4:$AG$1203,$AG1093,'ORDENES'!$O$4:$O$1203,$O1093,'ORDENES'!$S$4:$S$1203,$S1093))</f>
        <v/>
      </c>
      <c r="AJ1093" s="25">
        <f>IF($AI1093="","",p_factor_productividad*IFERROR(INDEX('ASIGNACIONES'!$M$4:$M$451,MATCH($O1093&amp;"|"&amp;$S1093&amp;"|"&amp;$AG1093,'ASIGNACIONES'!$N$4:$N$451,0)),0)-$AI1093)</f>
        <v/>
      </c>
      <c r="AK1093" s="18">
        <f>IF($A1093="","",IFERROR(INDEX('2_IMPORTAR_EJECUCION'!$F$9:$F$1208,MATCH($AT1093,'2_IMPORTAR_EJECUCION'!$J$9:$J$1208,0)),0))</f>
        <v/>
      </c>
      <c r="AL1093" s="18">
        <f>IF($A1093="","",MAX(0,IFERROR(INDEX('2_IMPORTAR_EJECUCION'!$H$9:$H$1208,MATCH($AT1093,'2_IMPORTAR_EJECUCION'!$J$9:$J$1208,0)),0)-$AK1093))</f>
        <v/>
      </c>
      <c r="AM1093" s="18">
        <f>IF($A1093="","",$AK1093+$AL1093)</f>
        <v/>
      </c>
      <c r="AN1093" s="5">
        <f>IF($A1093="","",IF(OR((IFERROR(INDEX('CAT_ACTIVIDADES'!$D$4:$D$11,MATCH($H1093,'CAT_ACTIVIDADES'!$A$4:$A$11,0)),""))=0,(IFERROR(INDEX('CAT_ACTIVIDADES'!$D$4:$D$11,MATCH($H1093,'CAT_ACTIVIDADES'!$A$4:$A$11,0)),""))=""),"SIN CLASIFICAR",IFERROR(INDEX('CAT_ACTIVIDADES'!$D$4:$D$11,MATCH($H1093,'CAT_ACTIVIDADES'!$A$4:$A$11,0)),"")))</f>
        <v/>
      </c>
      <c r="AO1093" s="4" t="n"/>
      <c r="AP1093" s="4" t="n"/>
      <c r="AQ1093" s="4" t="n"/>
      <c r="AR1093" s="5">
        <f>IF($AQ1093="","",HYPERLINK(p_ruta_base_checklists&amp;$AQ1093,"abrir"))</f>
        <v/>
      </c>
      <c r="AS1093" s="4" t="n"/>
      <c r="AT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2" t="n"/>
      <c r="K1094" s="5" t="n"/>
      <c r="L1094" s="18" t="n"/>
      <c r="M1094" s="5">
        <f>IF($A1094="","",IFERROR(INDEX('AJUSTES'!$B$4:$B$303,MATCH($AT1094,'AJUSTES'!$A$4:$A$303,0)),IF($K1094="","",$K1094)))</f>
        <v/>
      </c>
      <c r="N1094" s="5">
        <f>IF($A1094="","",IFERROR(INDEX('CAT_ESTADOS_ERP'!$B$4:$B$7,MATCH(IFERROR(INDEX('2_IMPORTAR_EJECUCION'!$C$9:$C$1208,MATCH($AT1094,'2_IMPORTAR_EJECUCION'!$J$9:$J$1208,0)),""),'CAT_ESTADOS_ERP'!$A$4:$A$7,0)),"Pendiente"))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IF($J1094="","",$P1094&amp;"-"&amp;TEXT($Q1094,"00"))</f>
        <v/>
      </c>
      <c r="S1094" s="5">
        <f>IF($J1094="","",INDEX(lista_dias,WEEKDAY($J1094,2)))</f>
        <v/>
      </c>
      <c r="T1094" s="5">
        <f>IF($J1094="","",IFERROR(INDEX('CALENDARIO'!$C$15:$C$214,MATCH(TEXT($J1094,"yyyy-mm-dd")&amp;"|"&amp;$X1094&amp;"|"&amp;$Y1094,'CALENDARIO'!$G$15:$G$214,0)),IFERROR(INDEX('CALENDARIO'!$C$15:$C$214,MATCH(TEXT($J1094,"yyyy-mm-dd")&amp;"|"&amp;$X1094&amp;"|",'CALENDARIO'!$G$15:$G$214,0)),IFERROR(INDEX('CALENDARIO'!$C$15:$C$214,MATCH(TEXT($J1094,"yyyy-mm-dd")&amp;"||",'CALENDARIO'!$G$15:$G$214,0)),INDEX(patronHabil,WEEKDAY($J1094,2))))))</f>
        <v/>
      </c>
      <c r="U1094" s="5">
        <f>IF($I1094="","",IFERROR(INDEX('CAT_TIPOS_OT'!$C$4:$C$8,MATCH($I1094,'CAT_TIPOS_OT'!$A$4:$A$8,0)),"sin_clasificar"))</f>
        <v/>
      </c>
      <c r="V1094" s="5">
        <f>IF($I1094="","",IF(IFERROR(INDEX('CAT_TIPOS_OT'!$D$4:$D$8,MATCH($I1094,'CAT_TIPOS_OT'!$A$4:$A$8,0)),"SIN CLASIFICAR")="","SIN CLASIFICAR",IFERROR(INDEX('CAT_TIPOS_OT'!$D$4:$D$8,MATCH($I1094,'CAT_TIPOS_OT'!$A$4:$A$8,0)),"SIN CLASIFICAR")))</f>
        <v/>
      </c>
      <c r="W1094" s="5">
        <f>IF($F1094="","",IFERROR(INDEX('CAT_CENTROS_COSTO'!$F$4:$F$13,MATCH($F1094,'CAT_CENTROS_COSTO'!$A$4:$A$13,0)),"(sin catálogo)"))</f>
        <v/>
      </c>
      <c r="X1094" s="5">
        <f>IF($F1094="","",IFERROR(INDEX('CAT_CENTROS_COSTO'!$D$4:$D$13,MATCH($F1094,'CAT_CENTROS_COSTO'!$A$4:$A$13,0)),"(sin catálogo)"))</f>
        <v/>
      </c>
      <c r="Y1094" s="5">
        <f>IF($F1094="","",IF((IFERROR(INDEX('CAT_CENTROS_COSTO'!$E$4:$E$13,MATCH($F1094,'CAT_CENTROS_COSTO'!$A$4:$A$13,0)),""))&lt;&gt;"",IFERROR(INDEX('CAT_CENTROS_COSTO'!$E$4:$E$13,MATCH($F1094,'CAT_CENTROS_COSTO'!$A$4:$A$13,0)),""),$X1094))</f>
        <v/>
      </c>
      <c r="Z1094" s="5">
        <f>IF($F1094="","",IFERROR(INDEX('CAT_CENTROS_COSTO'!$G$4:$G$13,MATCH($F1094,'CAT_CENTROS_COSTO'!$A$4:$A$13,0)),"(sin catálogo)"))</f>
        <v/>
      </c>
      <c r="AA1094" s="5">
        <f>IF($G1094="","",IFERROR(INDEX('CAT_PUESTOS'!$B$4:$B$8,MATCH($G1094,'CAT_PUESTOS'!$A$4:$A$8,0)),"(sin catálogo)"))</f>
        <v/>
      </c>
      <c r="AB1094" s="5">
        <f>IF($H1094="","",IFERROR(INDEX('CAT_ACTIVIDADES'!$B$4:$B$11,MATCH($H1094,'CAT_ACTIVIDADES'!$A$4:$A$11,0)),"(sin catálogo)"))</f>
        <v/>
      </c>
      <c r="AC1094" s="20">
        <f>IF($J1094="","",TODAY()-$J1094)</f>
        <v/>
      </c>
      <c r="AD1094" s="20">
        <f>IF($J1094="","",IF($J1094&lt;=TODAY(),COUNTIFS(cal_fechas,"&gt;="&amp;$J1094,cal_fechas,"&lt;"&amp;TODAY(),cal_habil,"sí"),-COUNTIFS(cal_fechas,"&gt;="&amp;TODAY(),cal_fechas,"&lt;"&amp;$J1094,cal_habil,"sí")))</f>
        <v/>
      </c>
      <c r="AE1094" s="5">
        <f>IF($AD1094="","",IF($AD1094&lt;0,"FUTURO",IF($AD1094&gt;p_dias_backlog_max,"BACKLOG","MES CORRIENTE")))</f>
        <v/>
      </c>
      <c r="AF1094" s="5">
        <f>IF($AD1094="",FALSE,AND($AD1094&gt;p_dias_backlog_min,$AD1094&lt;=p_dias_backlog_max))</f>
        <v/>
      </c>
      <c r="AG1094" s="4" t="n"/>
      <c r="AH1094" s="5">
        <f>IF($AG1094="","",IF((IFERROR(INDEX('ASIGNACIONES'!$J$4:$J$451,MATCH($O1094&amp;"|"&amp;$S1094&amp;"|"&amp;$AG1094,'ASIGNACIONES'!$N$4:$N$451,0)),""))=0,"",IFERROR(INDEX('ASIGNACIONES'!$J$4:$J$451,MATCH($O1094&amp;"|"&amp;$S1094&amp;"|"&amp;$AG1094,'ASIGNACIONES'!$N$4:$N$451,0)),"")))</f>
        <v/>
      </c>
      <c r="AI1094" s="25">
        <f>IF($AG1094="","",SUMIFS('ORDENES'!$M$4:$M$1203,'ORDENES'!$AG$4:$AG$1203,$AG1094,'ORDENES'!$O$4:$O$1203,$O1094,'ORDENES'!$S$4:$S$1203,$S1094))</f>
        <v/>
      </c>
      <c r="AJ1094" s="25">
        <f>IF($AI1094="","",p_factor_productividad*IFERROR(INDEX('ASIGNACIONES'!$M$4:$M$451,MATCH($O1094&amp;"|"&amp;$S1094&amp;"|"&amp;$AG1094,'ASIGNACIONES'!$N$4:$N$451,0)),0)-$AI1094)</f>
        <v/>
      </c>
      <c r="AK1094" s="18">
        <f>IF($A1094="","",IFERROR(INDEX('2_IMPORTAR_EJECUCION'!$F$9:$F$1208,MATCH($AT1094,'2_IMPORTAR_EJECUCION'!$J$9:$J$1208,0)),0))</f>
        <v/>
      </c>
      <c r="AL1094" s="18">
        <f>IF($A1094="","",MAX(0,IFERROR(INDEX('2_IMPORTAR_EJECUCION'!$H$9:$H$1208,MATCH($AT1094,'2_IMPORTAR_EJECUCION'!$J$9:$J$1208,0)),0)-$AK1094))</f>
        <v/>
      </c>
      <c r="AM1094" s="18">
        <f>IF($A1094="","",$AK1094+$AL1094)</f>
        <v/>
      </c>
      <c r="AN1094" s="5">
        <f>IF($A1094="","",IF(OR((IFERROR(INDEX('CAT_ACTIVIDADES'!$D$4:$D$11,MATCH($H1094,'CAT_ACTIVIDADES'!$A$4:$A$11,0)),""))=0,(IFERROR(INDEX('CAT_ACTIVIDADES'!$D$4:$D$11,MATCH($H1094,'CAT_ACTIVIDADES'!$A$4:$A$11,0)),""))=""),"SIN CLASIFICAR",IFERROR(INDEX('CAT_ACTIVIDADES'!$D$4:$D$11,MATCH($H1094,'CAT_ACTIVIDADES'!$A$4:$A$11,0)),"")))</f>
        <v/>
      </c>
      <c r="AO1094" s="4" t="n"/>
      <c r="AP1094" s="4" t="n"/>
      <c r="AQ1094" s="4" t="n"/>
      <c r="AR1094" s="5">
        <f>IF($AQ1094="","",HYPERLINK(p_ruta_base_checklists&amp;$AQ1094,"abrir"))</f>
        <v/>
      </c>
      <c r="AS1094" s="4" t="n"/>
      <c r="AT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2" t="n"/>
      <c r="K1095" s="5" t="n"/>
      <c r="L1095" s="18" t="n"/>
      <c r="M1095" s="5">
        <f>IF($A1095="","",IFERROR(INDEX('AJUSTES'!$B$4:$B$303,MATCH($AT1095,'AJUSTES'!$A$4:$A$303,0)),IF($K1095="","",$K1095)))</f>
        <v/>
      </c>
      <c r="N1095" s="5">
        <f>IF($A1095="","",IFERROR(INDEX('CAT_ESTADOS_ERP'!$B$4:$B$7,MATCH(IFERROR(INDEX('2_IMPORTAR_EJECUCION'!$C$9:$C$1208,MATCH($AT1095,'2_IMPORTAR_EJECUCION'!$J$9:$J$1208,0)),""),'CAT_ESTADOS_ERP'!$A$4:$A$7,0)),"Pendiente"))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IF($J1095="","",$P1095&amp;"-"&amp;TEXT($Q1095,"00"))</f>
        <v/>
      </c>
      <c r="S1095" s="5">
        <f>IF($J1095="","",INDEX(lista_dias,WEEKDAY($J1095,2)))</f>
        <v/>
      </c>
      <c r="T1095" s="5">
        <f>IF($J1095="","",IFERROR(INDEX('CALENDARIO'!$C$15:$C$214,MATCH(TEXT($J1095,"yyyy-mm-dd")&amp;"|"&amp;$X1095&amp;"|"&amp;$Y1095,'CALENDARIO'!$G$15:$G$214,0)),IFERROR(INDEX('CALENDARIO'!$C$15:$C$214,MATCH(TEXT($J1095,"yyyy-mm-dd")&amp;"|"&amp;$X1095&amp;"|",'CALENDARIO'!$G$15:$G$214,0)),IFERROR(INDEX('CALENDARIO'!$C$15:$C$214,MATCH(TEXT($J1095,"yyyy-mm-dd")&amp;"||",'CALENDARIO'!$G$15:$G$214,0)),INDEX(patronHabil,WEEKDAY($J1095,2))))))</f>
        <v/>
      </c>
      <c r="U1095" s="5">
        <f>IF($I1095="","",IFERROR(INDEX('CAT_TIPOS_OT'!$C$4:$C$8,MATCH($I1095,'CAT_TIPOS_OT'!$A$4:$A$8,0)),"sin_clasificar"))</f>
        <v/>
      </c>
      <c r="V1095" s="5">
        <f>IF($I1095="","",IF(IFERROR(INDEX('CAT_TIPOS_OT'!$D$4:$D$8,MATCH($I1095,'CAT_TIPOS_OT'!$A$4:$A$8,0)),"SIN CLASIFICAR")="","SIN CLASIFICAR",IFERROR(INDEX('CAT_TIPOS_OT'!$D$4:$D$8,MATCH($I1095,'CAT_TIPOS_OT'!$A$4:$A$8,0)),"SIN CLASIFICAR")))</f>
        <v/>
      </c>
      <c r="W1095" s="5">
        <f>IF($F1095="","",IFERROR(INDEX('CAT_CENTROS_COSTO'!$F$4:$F$13,MATCH($F1095,'CAT_CENTROS_COSTO'!$A$4:$A$13,0)),"(sin catálogo)"))</f>
        <v/>
      </c>
      <c r="X1095" s="5">
        <f>IF($F1095="","",IFERROR(INDEX('CAT_CENTROS_COSTO'!$D$4:$D$13,MATCH($F1095,'CAT_CENTROS_COSTO'!$A$4:$A$13,0)),"(sin catálogo)"))</f>
        <v/>
      </c>
      <c r="Y1095" s="5">
        <f>IF($F1095="","",IF((IFERROR(INDEX('CAT_CENTROS_COSTO'!$E$4:$E$13,MATCH($F1095,'CAT_CENTROS_COSTO'!$A$4:$A$13,0)),""))&lt;&gt;"",IFERROR(INDEX('CAT_CENTROS_COSTO'!$E$4:$E$13,MATCH($F1095,'CAT_CENTROS_COSTO'!$A$4:$A$13,0)),""),$X1095))</f>
        <v/>
      </c>
      <c r="Z1095" s="5">
        <f>IF($F1095="","",IFERROR(INDEX('CAT_CENTROS_COSTO'!$G$4:$G$13,MATCH($F1095,'CAT_CENTROS_COSTO'!$A$4:$A$13,0)),"(sin catálogo)"))</f>
        <v/>
      </c>
      <c r="AA1095" s="5">
        <f>IF($G1095="","",IFERROR(INDEX('CAT_PUESTOS'!$B$4:$B$8,MATCH($G1095,'CAT_PUESTOS'!$A$4:$A$8,0)),"(sin catálogo)"))</f>
        <v/>
      </c>
      <c r="AB1095" s="5">
        <f>IF($H1095="","",IFERROR(INDEX('CAT_ACTIVIDADES'!$B$4:$B$11,MATCH($H1095,'CAT_ACTIVIDADES'!$A$4:$A$11,0)),"(sin catálogo)"))</f>
        <v/>
      </c>
      <c r="AC1095" s="20">
        <f>IF($J1095="","",TODAY()-$J1095)</f>
        <v/>
      </c>
      <c r="AD1095" s="20">
        <f>IF($J1095="","",IF($J1095&lt;=TODAY(),COUNTIFS(cal_fechas,"&gt;="&amp;$J1095,cal_fechas,"&lt;"&amp;TODAY(),cal_habil,"sí"),-COUNTIFS(cal_fechas,"&gt;="&amp;TODAY(),cal_fechas,"&lt;"&amp;$J1095,cal_habil,"sí")))</f>
        <v/>
      </c>
      <c r="AE1095" s="5">
        <f>IF($AD1095="","",IF($AD1095&lt;0,"FUTURO",IF($AD1095&gt;p_dias_backlog_max,"BACKLOG","MES CORRIENTE")))</f>
        <v/>
      </c>
      <c r="AF1095" s="5">
        <f>IF($AD1095="",FALSE,AND($AD1095&gt;p_dias_backlog_min,$AD1095&lt;=p_dias_backlog_max))</f>
        <v/>
      </c>
      <c r="AG1095" s="4" t="n"/>
      <c r="AH1095" s="5">
        <f>IF($AG1095="","",IF((IFERROR(INDEX('ASIGNACIONES'!$J$4:$J$451,MATCH($O1095&amp;"|"&amp;$S1095&amp;"|"&amp;$AG1095,'ASIGNACIONES'!$N$4:$N$451,0)),""))=0,"",IFERROR(INDEX('ASIGNACIONES'!$J$4:$J$451,MATCH($O1095&amp;"|"&amp;$S1095&amp;"|"&amp;$AG1095,'ASIGNACIONES'!$N$4:$N$451,0)),"")))</f>
        <v/>
      </c>
      <c r="AI1095" s="25">
        <f>IF($AG1095="","",SUMIFS('ORDENES'!$M$4:$M$1203,'ORDENES'!$AG$4:$AG$1203,$AG1095,'ORDENES'!$O$4:$O$1203,$O1095,'ORDENES'!$S$4:$S$1203,$S1095))</f>
        <v/>
      </c>
      <c r="AJ1095" s="25">
        <f>IF($AI1095="","",p_factor_productividad*IFERROR(INDEX('ASIGNACIONES'!$M$4:$M$451,MATCH($O1095&amp;"|"&amp;$S1095&amp;"|"&amp;$AG1095,'ASIGNACIONES'!$N$4:$N$451,0)),0)-$AI1095)</f>
        <v/>
      </c>
      <c r="AK1095" s="18">
        <f>IF($A1095="","",IFERROR(INDEX('2_IMPORTAR_EJECUCION'!$F$9:$F$1208,MATCH($AT1095,'2_IMPORTAR_EJECUCION'!$J$9:$J$1208,0)),0))</f>
        <v/>
      </c>
      <c r="AL1095" s="18">
        <f>IF($A1095="","",MAX(0,IFERROR(INDEX('2_IMPORTAR_EJECUCION'!$H$9:$H$1208,MATCH($AT1095,'2_IMPORTAR_EJECUCION'!$J$9:$J$1208,0)),0)-$AK1095))</f>
        <v/>
      </c>
      <c r="AM1095" s="18">
        <f>IF($A1095="","",$AK1095+$AL1095)</f>
        <v/>
      </c>
      <c r="AN1095" s="5">
        <f>IF($A1095="","",IF(OR((IFERROR(INDEX('CAT_ACTIVIDADES'!$D$4:$D$11,MATCH($H1095,'CAT_ACTIVIDADES'!$A$4:$A$11,0)),""))=0,(IFERROR(INDEX('CAT_ACTIVIDADES'!$D$4:$D$11,MATCH($H1095,'CAT_ACTIVIDADES'!$A$4:$A$11,0)),""))=""),"SIN CLASIFICAR",IFERROR(INDEX('CAT_ACTIVIDADES'!$D$4:$D$11,MATCH($H1095,'CAT_ACTIVIDADES'!$A$4:$A$11,0)),"")))</f>
        <v/>
      </c>
      <c r="AO1095" s="4" t="n"/>
      <c r="AP1095" s="4" t="n"/>
      <c r="AQ1095" s="4" t="n"/>
      <c r="AR1095" s="5">
        <f>IF($AQ1095="","",HYPERLINK(p_ruta_base_checklists&amp;$AQ1095,"abrir"))</f>
        <v/>
      </c>
      <c r="AS1095" s="4" t="n"/>
      <c r="AT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2" t="n"/>
      <c r="K1096" s="5" t="n"/>
      <c r="L1096" s="18" t="n"/>
      <c r="M1096" s="5">
        <f>IF($A1096="","",IFERROR(INDEX('AJUSTES'!$B$4:$B$303,MATCH($AT1096,'AJUSTES'!$A$4:$A$303,0)),IF($K1096="","",$K1096)))</f>
        <v/>
      </c>
      <c r="N1096" s="5">
        <f>IF($A1096="","",IFERROR(INDEX('CAT_ESTADOS_ERP'!$B$4:$B$7,MATCH(IFERROR(INDEX('2_IMPORTAR_EJECUCION'!$C$9:$C$1208,MATCH($AT1096,'2_IMPORTAR_EJECUCION'!$J$9:$J$1208,0)),""),'CAT_ESTADOS_ERP'!$A$4:$A$7,0)),"Pendiente"))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IF($J1096="","",$P1096&amp;"-"&amp;TEXT($Q1096,"00"))</f>
        <v/>
      </c>
      <c r="S1096" s="5">
        <f>IF($J1096="","",INDEX(lista_dias,WEEKDAY($J1096,2)))</f>
        <v/>
      </c>
      <c r="T1096" s="5">
        <f>IF($J1096="","",IFERROR(INDEX('CALENDARIO'!$C$15:$C$214,MATCH(TEXT($J1096,"yyyy-mm-dd")&amp;"|"&amp;$X1096&amp;"|"&amp;$Y1096,'CALENDARIO'!$G$15:$G$214,0)),IFERROR(INDEX('CALENDARIO'!$C$15:$C$214,MATCH(TEXT($J1096,"yyyy-mm-dd")&amp;"|"&amp;$X1096&amp;"|",'CALENDARIO'!$G$15:$G$214,0)),IFERROR(INDEX('CALENDARIO'!$C$15:$C$214,MATCH(TEXT($J1096,"yyyy-mm-dd")&amp;"||",'CALENDARIO'!$G$15:$G$214,0)),INDEX(patronHabil,WEEKDAY($J1096,2))))))</f>
        <v/>
      </c>
      <c r="U1096" s="5">
        <f>IF($I1096="","",IFERROR(INDEX('CAT_TIPOS_OT'!$C$4:$C$8,MATCH($I1096,'CAT_TIPOS_OT'!$A$4:$A$8,0)),"sin_clasificar"))</f>
        <v/>
      </c>
      <c r="V1096" s="5">
        <f>IF($I1096="","",IF(IFERROR(INDEX('CAT_TIPOS_OT'!$D$4:$D$8,MATCH($I1096,'CAT_TIPOS_OT'!$A$4:$A$8,0)),"SIN CLASIFICAR")="","SIN CLASIFICAR",IFERROR(INDEX('CAT_TIPOS_OT'!$D$4:$D$8,MATCH($I1096,'CAT_TIPOS_OT'!$A$4:$A$8,0)),"SIN CLASIFICAR")))</f>
        <v/>
      </c>
      <c r="W1096" s="5">
        <f>IF($F1096="","",IFERROR(INDEX('CAT_CENTROS_COSTO'!$F$4:$F$13,MATCH($F1096,'CAT_CENTROS_COSTO'!$A$4:$A$13,0)),"(sin catálogo)"))</f>
        <v/>
      </c>
      <c r="X1096" s="5">
        <f>IF($F1096="","",IFERROR(INDEX('CAT_CENTROS_COSTO'!$D$4:$D$13,MATCH($F1096,'CAT_CENTROS_COSTO'!$A$4:$A$13,0)),"(sin catálogo)"))</f>
        <v/>
      </c>
      <c r="Y1096" s="5">
        <f>IF($F1096="","",IF((IFERROR(INDEX('CAT_CENTROS_COSTO'!$E$4:$E$13,MATCH($F1096,'CAT_CENTROS_COSTO'!$A$4:$A$13,0)),""))&lt;&gt;"",IFERROR(INDEX('CAT_CENTROS_COSTO'!$E$4:$E$13,MATCH($F1096,'CAT_CENTROS_COSTO'!$A$4:$A$13,0)),""),$X1096))</f>
        <v/>
      </c>
      <c r="Z1096" s="5">
        <f>IF($F1096="","",IFERROR(INDEX('CAT_CENTROS_COSTO'!$G$4:$G$13,MATCH($F1096,'CAT_CENTROS_COSTO'!$A$4:$A$13,0)),"(sin catálogo)"))</f>
        <v/>
      </c>
      <c r="AA1096" s="5">
        <f>IF($G1096="","",IFERROR(INDEX('CAT_PUESTOS'!$B$4:$B$8,MATCH($G1096,'CAT_PUESTOS'!$A$4:$A$8,0)),"(sin catálogo)"))</f>
        <v/>
      </c>
      <c r="AB1096" s="5">
        <f>IF($H1096="","",IFERROR(INDEX('CAT_ACTIVIDADES'!$B$4:$B$11,MATCH($H1096,'CAT_ACTIVIDADES'!$A$4:$A$11,0)),"(sin catálogo)"))</f>
        <v/>
      </c>
      <c r="AC1096" s="20">
        <f>IF($J1096="","",TODAY()-$J1096)</f>
        <v/>
      </c>
      <c r="AD1096" s="20">
        <f>IF($J1096="","",IF($J1096&lt;=TODAY(),COUNTIFS(cal_fechas,"&gt;="&amp;$J1096,cal_fechas,"&lt;"&amp;TODAY(),cal_habil,"sí"),-COUNTIFS(cal_fechas,"&gt;="&amp;TODAY(),cal_fechas,"&lt;"&amp;$J1096,cal_habil,"sí")))</f>
        <v/>
      </c>
      <c r="AE1096" s="5">
        <f>IF($AD1096="","",IF($AD1096&lt;0,"FUTURO",IF($AD1096&gt;p_dias_backlog_max,"BACKLOG","MES CORRIENTE")))</f>
        <v/>
      </c>
      <c r="AF1096" s="5">
        <f>IF($AD1096="",FALSE,AND($AD1096&gt;p_dias_backlog_min,$AD1096&lt;=p_dias_backlog_max))</f>
        <v/>
      </c>
      <c r="AG1096" s="4" t="n"/>
      <c r="AH1096" s="5">
        <f>IF($AG1096="","",IF((IFERROR(INDEX('ASIGNACIONES'!$J$4:$J$451,MATCH($O1096&amp;"|"&amp;$S1096&amp;"|"&amp;$AG1096,'ASIGNACIONES'!$N$4:$N$451,0)),""))=0,"",IFERROR(INDEX('ASIGNACIONES'!$J$4:$J$451,MATCH($O1096&amp;"|"&amp;$S1096&amp;"|"&amp;$AG1096,'ASIGNACIONES'!$N$4:$N$451,0)),"")))</f>
        <v/>
      </c>
      <c r="AI1096" s="25">
        <f>IF($AG1096="","",SUMIFS('ORDENES'!$M$4:$M$1203,'ORDENES'!$AG$4:$AG$1203,$AG1096,'ORDENES'!$O$4:$O$1203,$O1096,'ORDENES'!$S$4:$S$1203,$S1096))</f>
        <v/>
      </c>
      <c r="AJ1096" s="25">
        <f>IF($AI1096="","",p_factor_productividad*IFERROR(INDEX('ASIGNACIONES'!$M$4:$M$451,MATCH($O1096&amp;"|"&amp;$S1096&amp;"|"&amp;$AG1096,'ASIGNACIONES'!$N$4:$N$451,0)),0)-$AI1096)</f>
        <v/>
      </c>
      <c r="AK1096" s="18">
        <f>IF($A1096="","",IFERROR(INDEX('2_IMPORTAR_EJECUCION'!$F$9:$F$1208,MATCH($AT1096,'2_IMPORTAR_EJECUCION'!$J$9:$J$1208,0)),0))</f>
        <v/>
      </c>
      <c r="AL1096" s="18">
        <f>IF($A1096="","",MAX(0,IFERROR(INDEX('2_IMPORTAR_EJECUCION'!$H$9:$H$1208,MATCH($AT1096,'2_IMPORTAR_EJECUCION'!$J$9:$J$1208,0)),0)-$AK1096))</f>
        <v/>
      </c>
      <c r="AM1096" s="18">
        <f>IF($A1096="","",$AK1096+$AL1096)</f>
        <v/>
      </c>
      <c r="AN1096" s="5">
        <f>IF($A1096="","",IF(OR((IFERROR(INDEX('CAT_ACTIVIDADES'!$D$4:$D$11,MATCH($H1096,'CAT_ACTIVIDADES'!$A$4:$A$11,0)),""))=0,(IFERROR(INDEX('CAT_ACTIVIDADES'!$D$4:$D$11,MATCH($H1096,'CAT_ACTIVIDADES'!$A$4:$A$11,0)),""))=""),"SIN CLASIFICAR",IFERROR(INDEX('CAT_ACTIVIDADES'!$D$4:$D$11,MATCH($H1096,'CAT_ACTIVIDADES'!$A$4:$A$11,0)),"")))</f>
        <v/>
      </c>
      <c r="AO1096" s="4" t="n"/>
      <c r="AP1096" s="4" t="n"/>
      <c r="AQ1096" s="4" t="n"/>
      <c r="AR1096" s="5">
        <f>IF($AQ1096="","",HYPERLINK(p_ruta_base_checklists&amp;$AQ1096,"abrir"))</f>
        <v/>
      </c>
      <c r="AS1096" s="4" t="n"/>
      <c r="AT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2" t="n"/>
      <c r="K1097" s="5" t="n"/>
      <c r="L1097" s="18" t="n"/>
      <c r="M1097" s="5">
        <f>IF($A1097="","",IFERROR(INDEX('AJUSTES'!$B$4:$B$303,MATCH($AT1097,'AJUSTES'!$A$4:$A$303,0)),IF($K1097="","",$K1097)))</f>
        <v/>
      </c>
      <c r="N1097" s="5">
        <f>IF($A1097="","",IFERROR(INDEX('CAT_ESTADOS_ERP'!$B$4:$B$7,MATCH(IFERROR(INDEX('2_IMPORTAR_EJECUCION'!$C$9:$C$1208,MATCH($AT1097,'2_IMPORTAR_EJECUCION'!$J$9:$J$1208,0)),""),'CAT_ESTADOS_ERP'!$A$4:$A$7,0)),"Pendiente"))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IF($J1097="","",$P1097&amp;"-"&amp;TEXT($Q1097,"00"))</f>
        <v/>
      </c>
      <c r="S1097" s="5">
        <f>IF($J1097="","",INDEX(lista_dias,WEEKDAY($J1097,2)))</f>
        <v/>
      </c>
      <c r="T1097" s="5">
        <f>IF($J1097="","",IFERROR(INDEX('CALENDARIO'!$C$15:$C$214,MATCH(TEXT($J1097,"yyyy-mm-dd")&amp;"|"&amp;$X1097&amp;"|"&amp;$Y1097,'CALENDARIO'!$G$15:$G$214,0)),IFERROR(INDEX('CALENDARIO'!$C$15:$C$214,MATCH(TEXT($J1097,"yyyy-mm-dd")&amp;"|"&amp;$X1097&amp;"|",'CALENDARIO'!$G$15:$G$214,0)),IFERROR(INDEX('CALENDARIO'!$C$15:$C$214,MATCH(TEXT($J1097,"yyyy-mm-dd")&amp;"||",'CALENDARIO'!$G$15:$G$214,0)),INDEX(patronHabil,WEEKDAY($J1097,2))))))</f>
        <v/>
      </c>
      <c r="U1097" s="5">
        <f>IF($I1097="","",IFERROR(INDEX('CAT_TIPOS_OT'!$C$4:$C$8,MATCH($I1097,'CAT_TIPOS_OT'!$A$4:$A$8,0)),"sin_clasificar"))</f>
        <v/>
      </c>
      <c r="V1097" s="5">
        <f>IF($I1097="","",IF(IFERROR(INDEX('CAT_TIPOS_OT'!$D$4:$D$8,MATCH($I1097,'CAT_TIPOS_OT'!$A$4:$A$8,0)),"SIN CLASIFICAR")="","SIN CLASIFICAR",IFERROR(INDEX('CAT_TIPOS_OT'!$D$4:$D$8,MATCH($I1097,'CAT_TIPOS_OT'!$A$4:$A$8,0)),"SIN CLASIFICAR")))</f>
        <v/>
      </c>
      <c r="W1097" s="5">
        <f>IF($F1097="","",IFERROR(INDEX('CAT_CENTROS_COSTO'!$F$4:$F$13,MATCH($F1097,'CAT_CENTROS_COSTO'!$A$4:$A$13,0)),"(sin catálogo)"))</f>
        <v/>
      </c>
      <c r="X1097" s="5">
        <f>IF($F1097="","",IFERROR(INDEX('CAT_CENTROS_COSTO'!$D$4:$D$13,MATCH($F1097,'CAT_CENTROS_COSTO'!$A$4:$A$13,0)),"(sin catálogo)"))</f>
        <v/>
      </c>
      <c r="Y1097" s="5">
        <f>IF($F1097="","",IF((IFERROR(INDEX('CAT_CENTROS_COSTO'!$E$4:$E$13,MATCH($F1097,'CAT_CENTROS_COSTO'!$A$4:$A$13,0)),""))&lt;&gt;"",IFERROR(INDEX('CAT_CENTROS_COSTO'!$E$4:$E$13,MATCH($F1097,'CAT_CENTROS_COSTO'!$A$4:$A$13,0)),""),$X1097))</f>
        <v/>
      </c>
      <c r="Z1097" s="5">
        <f>IF($F1097="","",IFERROR(INDEX('CAT_CENTROS_COSTO'!$G$4:$G$13,MATCH($F1097,'CAT_CENTROS_COSTO'!$A$4:$A$13,0)),"(sin catálogo)"))</f>
        <v/>
      </c>
      <c r="AA1097" s="5">
        <f>IF($G1097="","",IFERROR(INDEX('CAT_PUESTOS'!$B$4:$B$8,MATCH($G1097,'CAT_PUESTOS'!$A$4:$A$8,0)),"(sin catálogo)"))</f>
        <v/>
      </c>
      <c r="AB1097" s="5">
        <f>IF($H1097="","",IFERROR(INDEX('CAT_ACTIVIDADES'!$B$4:$B$11,MATCH($H1097,'CAT_ACTIVIDADES'!$A$4:$A$11,0)),"(sin catálogo)"))</f>
        <v/>
      </c>
      <c r="AC1097" s="20">
        <f>IF($J1097="","",TODAY()-$J1097)</f>
        <v/>
      </c>
      <c r="AD1097" s="20">
        <f>IF($J1097="","",IF($J1097&lt;=TODAY(),COUNTIFS(cal_fechas,"&gt;="&amp;$J1097,cal_fechas,"&lt;"&amp;TODAY(),cal_habil,"sí"),-COUNTIFS(cal_fechas,"&gt;="&amp;TODAY(),cal_fechas,"&lt;"&amp;$J1097,cal_habil,"sí")))</f>
        <v/>
      </c>
      <c r="AE1097" s="5">
        <f>IF($AD1097="","",IF($AD1097&lt;0,"FUTURO",IF($AD1097&gt;p_dias_backlog_max,"BACKLOG","MES CORRIENTE")))</f>
        <v/>
      </c>
      <c r="AF1097" s="5">
        <f>IF($AD1097="",FALSE,AND($AD1097&gt;p_dias_backlog_min,$AD1097&lt;=p_dias_backlog_max))</f>
        <v/>
      </c>
      <c r="AG1097" s="4" t="n"/>
      <c r="AH1097" s="5">
        <f>IF($AG1097="","",IF((IFERROR(INDEX('ASIGNACIONES'!$J$4:$J$451,MATCH($O1097&amp;"|"&amp;$S1097&amp;"|"&amp;$AG1097,'ASIGNACIONES'!$N$4:$N$451,0)),""))=0,"",IFERROR(INDEX('ASIGNACIONES'!$J$4:$J$451,MATCH($O1097&amp;"|"&amp;$S1097&amp;"|"&amp;$AG1097,'ASIGNACIONES'!$N$4:$N$451,0)),"")))</f>
        <v/>
      </c>
      <c r="AI1097" s="25">
        <f>IF($AG1097="","",SUMIFS('ORDENES'!$M$4:$M$1203,'ORDENES'!$AG$4:$AG$1203,$AG1097,'ORDENES'!$O$4:$O$1203,$O1097,'ORDENES'!$S$4:$S$1203,$S1097))</f>
        <v/>
      </c>
      <c r="AJ1097" s="25">
        <f>IF($AI1097="","",p_factor_productividad*IFERROR(INDEX('ASIGNACIONES'!$M$4:$M$451,MATCH($O1097&amp;"|"&amp;$S1097&amp;"|"&amp;$AG1097,'ASIGNACIONES'!$N$4:$N$451,0)),0)-$AI1097)</f>
        <v/>
      </c>
      <c r="AK1097" s="18">
        <f>IF($A1097="","",IFERROR(INDEX('2_IMPORTAR_EJECUCION'!$F$9:$F$1208,MATCH($AT1097,'2_IMPORTAR_EJECUCION'!$J$9:$J$1208,0)),0))</f>
        <v/>
      </c>
      <c r="AL1097" s="18">
        <f>IF($A1097="","",MAX(0,IFERROR(INDEX('2_IMPORTAR_EJECUCION'!$H$9:$H$1208,MATCH($AT1097,'2_IMPORTAR_EJECUCION'!$J$9:$J$1208,0)),0)-$AK1097))</f>
        <v/>
      </c>
      <c r="AM1097" s="18">
        <f>IF($A1097="","",$AK1097+$AL1097)</f>
        <v/>
      </c>
      <c r="AN1097" s="5">
        <f>IF($A1097="","",IF(OR((IFERROR(INDEX('CAT_ACTIVIDADES'!$D$4:$D$11,MATCH($H1097,'CAT_ACTIVIDADES'!$A$4:$A$11,0)),""))=0,(IFERROR(INDEX('CAT_ACTIVIDADES'!$D$4:$D$11,MATCH($H1097,'CAT_ACTIVIDADES'!$A$4:$A$11,0)),""))=""),"SIN CLASIFICAR",IFERROR(INDEX('CAT_ACTIVIDADES'!$D$4:$D$11,MATCH($H1097,'CAT_ACTIVIDADES'!$A$4:$A$11,0)),"")))</f>
        <v/>
      </c>
      <c r="AO1097" s="4" t="n"/>
      <c r="AP1097" s="4" t="n"/>
      <c r="AQ1097" s="4" t="n"/>
      <c r="AR1097" s="5">
        <f>IF($AQ1097="","",HYPERLINK(p_ruta_base_checklists&amp;$AQ1097,"abrir"))</f>
        <v/>
      </c>
      <c r="AS1097" s="4" t="n"/>
      <c r="AT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2" t="n"/>
      <c r="K1098" s="5" t="n"/>
      <c r="L1098" s="18" t="n"/>
      <c r="M1098" s="5">
        <f>IF($A1098="","",IFERROR(INDEX('AJUSTES'!$B$4:$B$303,MATCH($AT1098,'AJUSTES'!$A$4:$A$303,0)),IF($K1098="","",$K1098)))</f>
        <v/>
      </c>
      <c r="N1098" s="5">
        <f>IF($A1098="","",IFERROR(INDEX('CAT_ESTADOS_ERP'!$B$4:$B$7,MATCH(IFERROR(INDEX('2_IMPORTAR_EJECUCION'!$C$9:$C$1208,MATCH($AT1098,'2_IMPORTAR_EJECUCION'!$J$9:$J$1208,0)),""),'CAT_ESTADOS_ERP'!$A$4:$A$7,0)),"Pendiente"))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IF($J1098="","",$P1098&amp;"-"&amp;TEXT($Q1098,"00"))</f>
        <v/>
      </c>
      <c r="S1098" s="5">
        <f>IF($J1098="","",INDEX(lista_dias,WEEKDAY($J1098,2)))</f>
        <v/>
      </c>
      <c r="T1098" s="5">
        <f>IF($J1098="","",IFERROR(INDEX('CALENDARIO'!$C$15:$C$214,MATCH(TEXT($J1098,"yyyy-mm-dd")&amp;"|"&amp;$X1098&amp;"|"&amp;$Y1098,'CALENDARIO'!$G$15:$G$214,0)),IFERROR(INDEX('CALENDARIO'!$C$15:$C$214,MATCH(TEXT($J1098,"yyyy-mm-dd")&amp;"|"&amp;$X1098&amp;"|",'CALENDARIO'!$G$15:$G$214,0)),IFERROR(INDEX('CALENDARIO'!$C$15:$C$214,MATCH(TEXT($J1098,"yyyy-mm-dd")&amp;"||",'CALENDARIO'!$G$15:$G$214,0)),INDEX(patronHabil,WEEKDAY($J1098,2))))))</f>
        <v/>
      </c>
      <c r="U1098" s="5">
        <f>IF($I1098="","",IFERROR(INDEX('CAT_TIPOS_OT'!$C$4:$C$8,MATCH($I1098,'CAT_TIPOS_OT'!$A$4:$A$8,0)),"sin_clasificar"))</f>
        <v/>
      </c>
      <c r="V1098" s="5">
        <f>IF($I1098="","",IF(IFERROR(INDEX('CAT_TIPOS_OT'!$D$4:$D$8,MATCH($I1098,'CAT_TIPOS_OT'!$A$4:$A$8,0)),"SIN CLASIFICAR")="","SIN CLASIFICAR",IFERROR(INDEX('CAT_TIPOS_OT'!$D$4:$D$8,MATCH($I1098,'CAT_TIPOS_OT'!$A$4:$A$8,0)),"SIN CLASIFICAR")))</f>
        <v/>
      </c>
      <c r="W1098" s="5">
        <f>IF($F1098="","",IFERROR(INDEX('CAT_CENTROS_COSTO'!$F$4:$F$13,MATCH($F1098,'CAT_CENTROS_COSTO'!$A$4:$A$13,0)),"(sin catálogo)"))</f>
        <v/>
      </c>
      <c r="X1098" s="5">
        <f>IF($F1098="","",IFERROR(INDEX('CAT_CENTROS_COSTO'!$D$4:$D$13,MATCH($F1098,'CAT_CENTROS_COSTO'!$A$4:$A$13,0)),"(sin catálogo)"))</f>
        <v/>
      </c>
      <c r="Y1098" s="5">
        <f>IF($F1098="","",IF((IFERROR(INDEX('CAT_CENTROS_COSTO'!$E$4:$E$13,MATCH($F1098,'CAT_CENTROS_COSTO'!$A$4:$A$13,0)),""))&lt;&gt;"",IFERROR(INDEX('CAT_CENTROS_COSTO'!$E$4:$E$13,MATCH($F1098,'CAT_CENTROS_COSTO'!$A$4:$A$13,0)),""),$X1098))</f>
        <v/>
      </c>
      <c r="Z1098" s="5">
        <f>IF($F1098="","",IFERROR(INDEX('CAT_CENTROS_COSTO'!$G$4:$G$13,MATCH($F1098,'CAT_CENTROS_COSTO'!$A$4:$A$13,0)),"(sin catálogo)"))</f>
        <v/>
      </c>
      <c r="AA1098" s="5">
        <f>IF($G1098="","",IFERROR(INDEX('CAT_PUESTOS'!$B$4:$B$8,MATCH($G1098,'CAT_PUESTOS'!$A$4:$A$8,0)),"(sin catálogo)"))</f>
        <v/>
      </c>
      <c r="AB1098" s="5">
        <f>IF($H1098="","",IFERROR(INDEX('CAT_ACTIVIDADES'!$B$4:$B$11,MATCH($H1098,'CAT_ACTIVIDADES'!$A$4:$A$11,0)),"(sin catálogo)"))</f>
        <v/>
      </c>
      <c r="AC1098" s="20">
        <f>IF($J1098="","",TODAY()-$J1098)</f>
        <v/>
      </c>
      <c r="AD1098" s="20">
        <f>IF($J1098="","",IF($J1098&lt;=TODAY(),COUNTIFS(cal_fechas,"&gt;="&amp;$J1098,cal_fechas,"&lt;"&amp;TODAY(),cal_habil,"sí"),-COUNTIFS(cal_fechas,"&gt;="&amp;TODAY(),cal_fechas,"&lt;"&amp;$J1098,cal_habil,"sí")))</f>
        <v/>
      </c>
      <c r="AE1098" s="5">
        <f>IF($AD1098="","",IF($AD1098&lt;0,"FUTURO",IF($AD1098&gt;p_dias_backlog_max,"BACKLOG","MES CORRIENTE")))</f>
        <v/>
      </c>
      <c r="AF1098" s="5">
        <f>IF($AD1098="",FALSE,AND($AD1098&gt;p_dias_backlog_min,$AD1098&lt;=p_dias_backlog_max))</f>
        <v/>
      </c>
      <c r="AG1098" s="4" t="n"/>
      <c r="AH1098" s="5">
        <f>IF($AG1098="","",IF((IFERROR(INDEX('ASIGNACIONES'!$J$4:$J$451,MATCH($O1098&amp;"|"&amp;$S1098&amp;"|"&amp;$AG1098,'ASIGNACIONES'!$N$4:$N$451,0)),""))=0,"",IFERROR(INDEX('ASIGNACIONES'!$J$4:$J$451,MATCH($O1098&amp;"|"&amp;$S1098&amp;"|"&amp;$AG1098,'ASIGNACIONES'!$N$4:$N$451,0)),"")))</f>
        <v/>
      </c>
      <c r="AI1098" s="25">
        <f>IF($AG1098="","",SUMIFS('ORDENES'!$M$4:$M$1203,'ORDENES'!$AG$4:$AG$1203,$AG1098,'ORDENES'!$O$4:$O$1203,$O1098,'ORDENES'!$S$4:$S$1203,$S1098))</f>
        <v/>
      </c>
      <c r="AJ1098" s="25">
        <f>IF($AI1098="","",p_factor_productividad*IFERROR(INDEX('ASIGNACIONES'!$M$4:$M$451,MATCH($O1098&amp;"|"&amp;$S1098&amp;"|"&amp;$AG1098,'ASIGNACIONES'!$N$4:$N$451,0)),0)-$AI1098)</f>
        <v/>
      </c>
      <c r="AK1098" s="18">
        <f>IF($A1098="","",IFERROR(INDEX('2_IMPORTAR_EJECUCION'!$F$9:$F$1208,MATCH($AT1098,'2_IMPORTAR_EJECUCION'!$J$9:$J$1208,0)),0))</f>
        <v/>
      </c>
      <c r="AL1098" s="18">
        <f>IF($A1098="","",MAX(0,IFERROR(INDEX('2_IMPORTAR_EJECUCION'!$H$9:$H$1208,MATCH($AT1098,'2_IMPORTAR_EJECUCION'!$J$9:$J$1208,0)),0)-$AK1098))</f>
        <v/>
      </c>
      <c r="AM1098" s="18">
        <f>IF($A1098="","",$AK1098+$AL1098)</f>
        <v/>
      </c>
      <c r="AN1098" s="5">
        <f>IF($A1098="","",IF(OR((IFERROR(INDEX('CAT_ACTIVIDADES'!$D$4:$D$11,MATCH($H1098,'CAT_ACTIVIDADES'!$A$4:$A$11,0)),""))=0,(IFERROR(INDEX('CAT_ACTIVIDADES'!$D$4:$D$11,MATCH($H1098,'CAT_ACTIVIDADES'!$A$4:$A$11,0)),""))=""),"SIN CLASIFICAR",IFERROR(INDEX('CAT_ACTIVIDADES'!$D$4:$D$11,MATCH($H1098,'CAT_ACTIVIDADES'!$A$4:$A$11,0)),"")))</f>
        <v/>
      </c>
      <c r="AO1098" s="4" t="n"/>
      <c r="AP1098" s="4" t="n"/>
      <c r="AQ1098" s="4" t="n"/>
      <c r="AR1098" s="5">
        <f>IF($AQ1098="","",HYPERLINK(p_ruta_base_checklists&amp;$AQ1098,"abrir"))</f>
        <v/>
      </c>
      <c r="AS1098" s="4" t="n"/>
      <c r="AT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2" t="n"/>
      <c r="K1099" s="5" t="n"/>
      <c r="L1099" s="18" t="n"/>
      <c r="M1099" s="5">
        <f>IF($A1099="","",IFERROR(INDEX('AJUSTES'!$B$4:$B$303,MATCH($AT1099,'AJUSTES'!$A$4:$A$303,0)),IF($K1099="","",$K1099)))</f>
        <v/>
      </c>
      <c r="N1099" s="5">
        <f>IF($A1099="","",IFERROR(INDEX('CAT_ESTADOS_ERP'!$B$4:$B$7,MATCH(IFERROR(INDEX('2_IMPORTAR_EJECUCION'!$C$9:$C$1208,MATCH($AT1099,'2_IMPORTAR_EJECUCION'!$J$9:$J$1208,0)),""),'CAT_ESTADOS_ERP'!$A$4:$A$7,0)),"Pendiente"))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IF($J1099="","",$P1099&amp;"-"&amp;TEXT($Q1099,"00"))</f>
        <v/>
      </c>
      <c r="S1099" s="5">
        <f>IF($J1099="","",INDEX(lista_dias,WEEKDAY($J1099,2)))</f>
        <v/>
      </c>
      <c r="T1099" s="5">
        <f>IF($J1099="","",IFERROR(INDEX('CALENDARIO'!$C$15:$C$214,MATCH(TEXT($J1099,"yyyy-mm-dd")&amp;"|"&amp;$X1099&amp;"|"&amp;$Y1099,'CALENDARIO'!$G$15:$G$214,0)),IFERROR(INDEX('CALENDARIO'!$C$15:$C$214,MATCH(TEXT($J1099,"yyyy-mm-dd")&amp;"|"&amp;$X1099&amp;"|",'CALENDARIO'!$G$15:$G$214,0)),IFERROR(INDEX('CALENDARIO'!$C$15:$C$214,MATCH(TEXT($J1099,"yyyy-mm-dd")&amp;"||",'CALENDARIO'!$G$15:$G$214,0)),INDEX(patronHabil,WEEKDAY($J1099,2))))))</f>
        <v/>
      </c>
      <c r="U1099" s="5">
        <f>IF($I1099="","",IFERROR(INDEX('CAT_TIPOS_OT'!$C$4:$C$8,MATCH($I1099,'CAT_TIPOS_OT'!$A$4:$A$8,0)),"sin_clasificar"))</f>
        <v/>
      </c>
      <c r="V1099" s="5">
        <f>IF($I1099="","",IF(IFERROR(INDEX('CAT_TIPOS_OT'!$D$4:$D$8,MATCH($I1099,'CAT_TIPOS_OT'!$A$4:$A$8,0)),"SIN CLASIFICAR")="","SIN CLASIFICAR",IFERROR(INDEX('CAT_TIPOS_OT'!$D$4:$D$8,MATCH($I1099,'CAT_TIPOS_OT'!$A$4:$A$8,0)),"SIN CLASIFICAR")))</f>
        <v/>
      </c>
      <c r="W1099" s="5">
        <f>IF($F1099="","",IFERROR(INDEX('CAT_CENTROS_COSTO'!$F$4:$F$13,MATCH($F1099,'CAT_CENTROS_COSTO'!$A$4:$A$13,0)),"(sin catálogo)"))</f>
        <v/>
      </c>
      <c r="X1099" s="5">
        <f>IF($F1099="","",IFERROR(INDEX('CAT_CENTROS_COSTO'!$D$4:$D$13,MATCH($F1099,'CAT_CENTROS_COSTO'!$A$4:$A$13,0)),"(sin catálogo)"))</f>
        <v/>
      </c>
      <c r="Y1099" s="5">
        <f>IF($F1099="","",IF((IFERROR(INDEX('CAT_CENTROS_COSTO'!$E$4:$E$13,MATCH($F1099,'CAT_CENTROS_COSTO'!$A$4:$A$13,0)),""))&lt;&gt;"",IFERROR(INDEX('CAT_CENTROS_COSTO'!$E$4:$E$13,MATCH($F1099,'CAT_CENTROS_COSTO'!$A$4:$A$13,0)),""),$X1099))</f>
        <v/>
      </c>
      <c r="Z1099" s="5">
        <f>IF($F1099="","",IFERROR(INDEX('CAT_CENTROS_COSTO'!$G$4:$G$13,MATCH($F1099,'CAT_CENTROS_COSTO'!$A$4:$A$13,0)),"(sin catálogo)"))</f>
        <v/>
      </c>
      <c r="AA1099" s="5">
        <f>IF($G1099="","",IFERROR(INDEX('CAT_PUESTOS'!$B$4:$B$8,MATCH($G1099,'CAT_PUESTOS'!$A$4:$A$8,0)),"(sin catálogo)"))</f>
        <v/>
      </c>
      <c r="AB1099" s="5">
        <f>IF($H1099="","",IFERROR(INDEX('CAT_ACTIVIDADES'!$B$4:$B$11,MATCH($H1099,'CAT_ACTIVIDADES'!$A$4:$A$11,0)),"(sin catálogo)"))</f>
        <v/>
      </c>
      <c r="AC1099" s="20">
        <f>IF($J1099="","",TODAY()-$J1099)</f>
        <v/>
      </c>
      <c r="AD1099" s="20">
        <f>IF($J1099="","",IF($J1099&lt;=TODAY(),COUNTIFS(cal_fechas,"&gt;="&amp;$J1099,cal_fechas,"&lt;"&amp;TODAY(),cal_habil,"sí"),-COUNTIFS(cal_fechas,"&gt;="&amp;TODAY(),cal_fechas,"&lt;"&amp;$J1099,cal_habil,"sí")))</f>
        <v/>
      </c>
      <c r="AE1099" s="5">
        <f>IF($AD1099="","",IF($AD1099&lt;0,"FUTURO",IF($AD1099&gt;p_dias_backlog_max,"BACKLOG","MES CORRIENTE")))</f>
        <v/>
      </c>
      <c r="AF1099" s="5">
        <f>IF($AD1099="",FALSE,AND($AD1099&gt;p_dias_backlog_min,$AD1099&lt;=p_dias_backlog_max))</f>
        <v/>
      </c>
      <c r="AG1099" s="4" t="n"/>
      <c r="AH1099" s="5">
        <f>IF($AG1099="","",IF((IFERROR(INDEX('ASIGNACIONES'!$J$4:$J$451,MATCH($O1099&amp;"|"&amp;$S1099&amp;"|"&amp;$AG1099,'ASIGNACIONES'!$N$4:$N$451,0)),""))=0,"",IFERROR(INDEX('ASIGNACIONES'!$J$4:$J$451,MATCH($O1099&amp;"|"&amp;$S1099&amp;"|"&amp;$AG1099,'ASIGNACIONES'!$N$4:$N$451,0)),"")))</f>
        <v/>
      </c>
      <c r="AI1099" s="25">
        <f>IF($AG1099="","",SUMIFS('ORDENES'!$M$4:$M$1203,'ORDENES'!$AG$4:$AG$1203,$AG1099,'ORDENES'!$O$4:$O$1203,$O1099,'ORDENES'!$S$4:$S$1203,$S1099))</f>
        <v/>
      </c>
      <c r="AJ1099" s="25">
        <f>IF($AI1099="","",p_factor_productividad*IFERROR(INDEX('ASIGNACIONES'!$M$4:$M$451,MATCH($O1099&amp;"|"&amp;$S1099&amp;"|"&amp;$AG1099,'ASIGNACIONES'!$N$4:$N$451,0)),0)-$AI1099)</f>
        <v/>
      </c>
      <c r="AK1099" s="18">
        <f>IF($A1099="","",IFERROR(INDEX('2_IMPORTAR_EJECUCION'!$F$9:$F$1208,MATCH($AT1099,'2_IMPORTAR_EJECUCION'!$J$9:$J$1208,0)),0))</f>
        <v/>
      </c>
      <c r="AL1099" s="18">
        <f>IF($A1099="","",MAX(0,IFERROR(INDEX('2_IMPORTAR_EJECUCION'!$H$9:$H$1208,MATCH($AT1099,'2_IMPORTAR_EJECUCION'!$J$9:$J$1208,0)),0)-$AK1099))</f>
        <v/>
      </c>
      <c r="AM1099" s="18">
        <f>IF($A1099="","",$AK1099+$AL1099)</f>
        <v/>
      </c>
      <c r="AN1099" s="5">
        <f>IF($A1099="","",IF(OR((IFERROR(INDEX('CAT_ACTIVIDADES'!$D$4:$D$11,MATCH($H1099,'CAT_ACTIVIDADES'!$A$4:$A$11,0)),""))=0,(IFERROR(INDEX('CAT_ACTIVIDADES'!$D$4:$D$11,MATCH($H1099,'CAT_ACTIVIDADES'!$A$4:$A$11,0)),""))=""),"SIN CLASIFICAR",IFERROR(INDEX('CAT_ACTIVIDADES'!$D$4:$D$11,MATCH($H1099,'CAT_ACTIVIDADES'!$A$4:$A$11,0)),"")))</f>
        <v/>
      </c>
      <c r="AO1099" s="4" t="n"/>
      <c r="AP1099" s="4" t="n"/>
      <c r="AQ1099" s="4" t="n"/>
      <c r="AR1099" s="5">
        <f>IF($AQ1099="","",HYPERLINK(p_ruta_base_checklists&amp;$AQ1099,"abrir"))</f>
        <v/>
      </c>
      <c r="AS1099" s="4" t="n"/>
      <c r="AT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2" t="n"/>
      <c r="K1100" s="5" t="n"/>
      <c r="L1100" s="18" t="n"/>
      <c r="M1100" s="5">
        <f>IF($A1100="","",IFERROR(INDEX('AJUSTES'!$B$4:$B$303,MATCH($AT1100,'AJUSTES'!$A$4:$A$303,0)),IF($K1100="","",$K1100)))</f>
        <v/>
      </c>
      <c r="N1100" s="5">
        <f>IF($A1100="","",IFERROR(INDEX('CAT_ESTADOS_ERP'!$B$4:$B$7,MATCH(IFERROR(INDEX('2_IMPORTAR_EJECUCION'!$C$9:$C$1208,MATCH($AT1100,'2_IMPORTAR_EJECUCION'!$J$9:$J$1208,0)),""),'CAT_ESTADOS_ERP'!$A$4:$A$7,0)),"Pendiente"))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IF($J1100="","",$P1100&amp;"-"&amp;TEXT($Q1100,"00"))</f>
        <v/>
      </c>
      <c r="S1100" s="5">
        <f>IF($J1100="","",INDEX(lista_dias,WEEKDAY($J1100,2)))</f>
        <v/>
      </c>
      <c r="T1100" s="5">
        <f>IF($J1100="","",IFERROR(INDEX('CALENDARIO'!$C$15:$C$214,MATCH(TEXT($J1100,"yyyy-mm-dd")&amp;"|"&amp;$X1100&amp;"|"&amp;$Y1100,'CALENDARIO'!$G$15:$G$214,0)),IFERROR(INDEX('CALENDARIO'!$C$15:$C$214,MATCH(TEXT($J1100,"yyyy-mm-dd")&amp;"|"&amp;$X1100&amp;"|",'CALENDARIO'!$G$15:$G$214,0)),IFERROR(INDEX('CALENDARIO'!$C$15:$C$214,MATCH(TEXT($J1100,"yyyy-mm-dd")&amp;"||",'CALENDARIO'!$G$15:$G$214,0)),INDEX(patronHabil,WEEKDAY($J1100,2))))))</f>
        <v/>
      </c>
      <c r="U1100" s="5">
        <f>IF($I1100="","",IFERROR(INDEX('CAT_TIPOS_OT'!$C$4:$C$8,MATCH($I1100,'CAT_TIPOS_OT'!$A$4:$A$8,0)),"sin_clasificar"))</f>
        <v/>
      </c>
      <c r="V1100" s="5">
        <f>IF($I1100="","",IF(IFERROR(INDEX('CAT_TIPOS_OT'!$D$4:$D$8,MATCH($I1100,'CAT_TIPOS_OT'!$A$4:$A$8,0)),"SIN CLASIFICAR")="","SIN CLASIFICAR",IFERROR(INDEX('CAT_TIPOS_OT'!$D$4:$D$8,MATCH($I1100,'CAT_TIPOS_OT'!$A$4:$A$8,0)),"SIN CLASIFICAR")))</f>
        <v/>
      </c>
      <c r="W1100" s="5">
        <f>IF($F1100="","",IFERROR(INDEX('CAT_CENTROS_COSTO'!$F$4:$F$13,MATCH($F1100,'CAT_CENTROS_COSTO'!$A$4:$A$13,0)),"(sin catálogo)"))</f>
        <v/>
      </c>
      <c r="X1100" s="5">
        <f>IF($F1100="","",IFERROR(INDEX('CAT_CENTROS_COSTO'!$D$4:$D$13,MATCH($F1100,'CAT_CENTROS_COSTO'!$A$4:$A$13,0)),"(sin catálogo)"))</f>
        <v/>
      </c>
      <c r="Y1100" s="5">
        <f>IF($F1100="","",IF((IFERROR(INDEX('CAT_CENTROS_COSTO'!$E$4:$E$13,MATCH($F1100,'CAT_CENTROS_COSTO'!$A$4:$A$13,0)),""))&lt;&gt;"",IFERROR(INDEX('CAT_CENTROS_COSTO'!$E$4:$E$13,MATCH($F1100,'CAT_CENTROS_COSTO'!$A$4:$A$13,0)),""),$X1100))</f>
        <v/>
      </c>
      <c r="Z1100" s="5">
        <f>IF($F1100="","",IFERROR(INDEX('CAT_CENTROS_COSTO'!$G$4:$G$13,MATCH($F1100,'CAT_CENTROS_COSTO'!$A$4:$A$13,0)),"(sin catálogo)"))</f>
        <v/>
      </c>
      <c r="AA1100" s="5">
        <f>IF($G1100="","",IFERROR(INDEX('CAT_PUESTOS'!$B$4:$B$8,MATCH($G1100,'CAT_PUESTOS'!$A$4:$A$8,0)),"(sin catálogo)"))</f>
        <v/>
      </c>
      <c r="AB1100" s="5">
        <f>IF($H1100="","",IFERROR(INDEX('CAT_ACTIVIDADES'!$B$4:$B$11,MATCH($H1100,'CAT_ACTIVIDADES'!$A$4:$A$11,0)),"(sin catálogo)"))</f>
        <v/>
      </c>
      <c r="AC1100" s="20">
        <f>IF($J1100="","",TODAY()-$J1100)</f>
        <v/>
      </c>
      <c r="AD1100" s="20">
        <f>IF($J1100="","",IF($J1100&lt;=TODAY(),COUNTIFS(cal_fechas,"&gt;="&amp;$J1100,cal_fechas,"&lt;"&amp;TODAY(),cal_habil,"sí"),-COUNTIFS(cal_fechas,"&gt;="&amp;TODAY(),cal_fechas,"&lt;"&amp;$J1100,cal_habil,"sí")))</f>
        <v/>
      </c>
      <c r="AE1100" s="5">
        <f>IF($AD1100="","",IF($AD1100&lt;0,"FUTURO",IF($AD1100&gt;p_dias_backlog_max,"BACKLOG","MES CORRIENTE")))</f>
        <v/>
      </c>
      <c r="AF1100" s="5">
        <f>IF($AD1100="",FALSE,AND($AD1100&gt;p_dias_backlog_min,$AD1100&lt;=p_dias_backlog_max))</f>
        <v/>
      </c>
      <c r="AG1100" s="4" t="n"/>
      <c r="AH1100" s="5">
        <f>IF($AG1100="","",IF((IFERROR(INDEX('ASIGNACIONES'!$J$4:$J$451,MATCH($O1100&amp;"|"&amp;$S1100&amp;"|"&amp;$AG1100,'ASIGNACIONES'!$N$4:$N$451,0)),""))=0,"",IFERROR(INDEX('ASIGNACIONES'!$J$4:$J$451,MATCH($O1100&amp;"|"&amp;$S1100&amp;"|"&amp;$AG1100,'ASIGNACIONES'!$N$4:$N$451,0)),"")))</f>
        <v/>
      </c>
      <c r="AI1100" s="25">
        <f>IF($AG1100="","",SUMIFS('ORDENES'!$M$4:$M$1203,'ORDENES'!$AG$4:$AG$1203,$AG1100,'ORDENES'!$O$4:$O$1203,$O1100,'ORDENES'!$S$4:$S$1203,$S1100))</f>
        <v/>
      </c>
      <c r="AJ1100" s="25">
        <f>IF($AI1100="","",p_factor_productividad*IFERROR(INDEX('ASIGNACIONES'!$M$4:$M$451,MATCH($O1100&amp;"|"&amp;$S1100&amp;"|"&amp;$AG1100,'ASIGNACIONES'!$N$4:$N$451,0)),0)-$AI1100)</f>
        <v/>
      </c>
      <c r="AK1100" s="18">
        <f>IF($A1100="","",IFERROR(INDEX('2_IMPORTAR_EJECUCION'!$F$9:$F$1208,MATCH($AT1100,'2_IMPORTAR_EJECUCION'!$J$9:$J$1208,0)),0))</f>
        <v/>
      </c>
      <c r="AL1100" s="18">
        <f>IF($A1100="","",MAX(0,IFERROR(INDEX('2_IMPORTAR_EJECUCION'!$H$9:$H$1208,MATCH($AT1100,'2_IMPORTAR_EJECUCION'!$J$9:$J$1208,0)),0)-$AK1100))</f>
        <v/>
      </c>
      <c r="AM1100" s="18">
        <f>IF($A1100="","",$AK1100+$AL1100)</f>
        <v/>
      </c>
      <c r="AN1100" s="5">
        <f>IF($A1100="","",IF(OR((IFERROR(INDEX('CAT_ACTIVIDADES'!$D$4:$D$11,MATCH($H1100,'CAT_ACTIVIDADES'!$A$4:$A$11,0)),""))=0,(IFERROR(INDEX('CAT_ACTIVIDADES'!$D$4:$D$11,MATCH($H1100,'CAT_ACTIVIDADES'!$A$4:$A$11,0)),""))=""),"SIN CLASIFICAR",IFERROR(INDEX('CAT_ACTIVIDADES'!$D$4:$D$11,MATCH($H1100,'CAT_ACTIVIDADES'!$A$4:$A$11,0)),"")))</f>
        <v/>
      </c>
      <c r="AO1100" s="4" t="n"/>
      <c r="AP1100" s="4" t="n"/>
      <c r="AQ1100" s="4" t="n"/>
      <c r="AR1100" s="5">
        <f>IF($AQ1100="","",HYPERLINK(p_ruta_base_checklists&amp;$AQ1100,"abrir"))</f>
        <v/>
      </c>
      <c r="AS1100" s="4" t="n"/>
      <c r="AT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2" t="n"/>
      <c r="K1101" s="5" t="n"/>
      <c r="L1101" s="18" t="n"/>
      <c r="M1101" s="5">
        <f>IF($A1101="","",IFERROR(INDEX('AJUSTES'!$B$4:$B$303,MATCH($AT1101,'AJUSTES'!$A$4:$A$303,0)),IF($K1101="","",$K1101)))</f>
        <v/>
      </c>
      <c r="N1101" s="5">
        <f>IF($A1101="","",IFERROR(INDEX('CAT_ESTADOS_ERP'!$B$4:$B$7,MATCH(IFERROR(INDEX('2_IMPORTAR_EJECUCION'!$C$9:$C$1208,MATCH($AT1101,'2_IMPORTAR_EJECUCION'!$J$9:$J$1208,0)),""),'CAT_ESTADOS_ERP'!$A$4:$A$7,0)),"Pendiente"))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IF($J1101="","",$P1101&amp;"-"&amp;TEXT($Q1101,"00"))</f>
        <v/>
      </c>
      <c r="S1101" s="5">
        <f>IF($J1101="","",INDEX(lista_dias,WEEKDAY($J1101,2)))</f>
        <v/>
      </c>
      <c r="T1101" s="5">
        <f>IF($J1101="","",IFERROR(INDEX('CALENDARIO'!$C$15:$C$214,MATCH(TEXT($J1101,"yyyy-mm-dd")&amp;"|"&amp;$X1101&amp;"|"&amp;$Y1101,'CALENDARIO'!$G$15:$G$214,0)),IFERROR(INDEX('CALENDARIO'!$C$15:$C$214,MATCH(TEXT($J1101,"yyyy-mm-dd")&amp;"|"&amp;$X1101&amp;"|",'CALENDARIO'!$G$15:$G$214,0)),IFERROR(INDEX('CALENDARIO'!$C$15:$C$214,MATCH(TEXT($J1101,"yyyy-mm-dd")&amp;"||",'CALENDARIO'!$G$15:$G$214,0)),INDEX(patronHabil,WEEKDAY($J1101,2))))))</f>
        <v/>
      </c>
      <c r="U1101" s="5">
        <f>IF($I1101="","",IFERROR(INDEX('CAT_TIPOS_OT'!$C$4:$C$8,MATCH($I1101,'CAT_TIPOS_OT'!$A$4:$A$8,0)),"sin_clasificar"))</f>
        <v/>
      </c>
      <c r="V1101" s="5">
        <f>IF($I1101="","",IF(IFERROR(INDEX('CAT_TIPOS_OT'!$D$4:$D$8,MATCH($I1101,'CAT_TIPOS_OT'!$A$4:$A$8,0)),"SIN CLASIFICAR")="","SIN CLASIFICAR",IFERROR(INDEX('CAT_TIPOS_OT'!$D$4:$D$8,MATCH($I1101,'CAT_TIPOS_OT'!$A$4:$A$8,0)),"SIN CLASIFICAR")))</f>
        <v/>
      </c>
      <c r="W1101" s="5">
        <f>IF($F1101="","",IFERROR(INDEX('CAT_CENTROS_COSTO'!$F$4:$F$13,MATCH($F1101,'CAT_CENTROS_COSTO'!$A$4:$A$13,0)),"(sin catálogo)"))</f>
        <v/>
      </c>
      <c r="X1101" s="5">
        <f>IF($F1101="","",IFERROR(INDEX('CAT_CENTROS_COSTO'!$D$4:$D$13,MATCH($F1101,'CAT_CENTROS_COSTO'!$A$4:$A$13,0)),"(sin catálogo)"))</f>
        <v/>
      </c>
      <c r="Y1101" s="5">
        <f>IF($F1101="","",IF((IFERROR(INDEX('CAT_CENTROS_COSTO'!$E$4:$E$13,MATCH($F1101,'CAT_CENTROS_COSTO'!$A$4:$A$13,0)),""))&lt;&gt;"",IFERROR(INDEX('CAT_CENTROS_COSTO'!$E$4:$E$13,MATCH($F1101,'CAT_CENTROS_COSTO'!$A$4:$A$13,0)),""),$X1101))</f>
        <v/>
      </c>
      <c r="Z1101" s="5">
        <f>IF($F1101="","",IFERROR(INDEX('CAT_CENTROS_COSTO'!$G$4:$G$13,MATCH($F1101,'CAT_CENTROS_COSTO'!$A$4:$A$13,0)),"(sin catálogo)"))</f>
        <v/>
      </c>
      <c r="AA1101" s="5">
        <f>IF($G1101="","",IFERROR(INDEX('CAT_PUESTOS'!$B$4:$B$8,MATCH($G1101,'CAT_PUESTOS'!$A$4:$A$8,0)),"(sin catálogo)"))</f>
        <v/>
      </c>
      <c r="AB1101" s="5">
        <f>IF($H1101="","",IFERROR(INDEX('CAT_ACTIVIDADES'!$B$4:$B$11,MATCH($H1101,'CAT_ACTIVIDADES'!$A$4:$A$11,0)),"(sin catálogo)"))</f>
        <v/>
      </c>
      <c r="AC1101" s="20">
        <f>IF($J1101="","",TODAY()-$J1101)</f>
        <v/>
      </c>
      <c r="AD1101" s="20">
        <f>IF($J1101="","",IF($J1101&lt;=TODAY(),COUNTIFS(cal_fechas,"&gt;="&amp;$J1101,cal_fechas,"&lt;"&amp;TODAY(),cal_habil,"sí"),-COUNTIFS(cal_fechas,"&gt;="&amp;TODAY(),cal_fechas,"&lt;"&amp;$J1101,cal_habil,"sí")))</f>
        <v/>
      </c>
      <c r="AE1101" s="5">
        <f>IF($AD1101="","",IF($AD1101&lt;0,"FUTURO",IF($AD1101&gt;p_dias_backlog_max,"BACKLOG","MES CORRIENTE")))</f>
        <v/>
      </c>
      <c r="AF1101" s="5">
        <f>IF($AD1101="",FALSE,AND($AD1101&gt;p_dias_backlog_min,$AD1101&lt;=p_dias_backlog_max))</f>
        <v/>
      </c>
      <c r="AG1101" s="4" t="n"/>
      <c r="AH1101" s="5">
        <f>IF($AG1101="","",IF((IFERROR(INDEX('ASIGNACIONES'!$J$4:$J$451,MATCH($O1101&amp;"|"&amp;$S1101&amp;"|"&amp;$AG1101,'ASIGNACIONES'!$N$4:$N$451,0)),""))=0,"",IFERROR(INDEX('ASIGNACIONES'!$J$4:$J$451,MATCH($O1101&amp;"|"&amp;$S1101&amp;"|"&amp;$AG1101,'ASIGNACIONES'!$N$4:$N$451,0)),"")))</f>
        <v/>
      </c>
      <c r="AI1101" s="25">
        <f>IF($AG1101="","",SUMIFS('ORDENES'!$M$4:$M$1203,'ORDENES'!$AG$4:$AG$1203,$AG1101,'ORDENES'!$O$4:$O$1203,$O1101,'ORDENES'!$S$4:$S$1203,$S1101))</f>
        <v/>
      </c>
      <c r="AJ1101" s="25">
        <f>IF($AI1101="","",p_factor_productividad*IFERROR(INDEX('ASIGNACIONES'!$M$4:$M$451,MATCH($O1101&amp;"|"&amp;$S1101&amp;"|"&amp;$AG1101,'ASIGNACIONES'!$N$4:$N$451,0)),0)-$AI1101)</f>
        <v/>
      </c>
      <c r="AK1101" s="18">
        <f>IF($A1101="","",IFERROR(INDEX('2_IMPORTAR_EJECUCION'!$F$9:$F$1208,MATCH($AT1101,'2_IMPORTAR_EJECUCION'!$J$9:$J$1208,0)),0))</f>
        <v/>
      </c>
      <c r="AL1101" s="18">
        <f>IF($A1101="","",MAX(0,IFERROR(INDEX('2_IMPORTAR_EJECUCION'!$H$9:$H$1208,MATCH($AT1101,'2_IMPORTAR_EJECUCION'!$J$9:$J$1208,0)),0)-$AK1101))</f>
        <v/>
      </c>
      <c r="AM1101" s="18">
        <f>IF($A1101="","",$AK1101+$AL1101)</f>
        <v/>
      </c>
      <c r="AN1101" s="5">
        <f>IF($A1101="","",IF(OR((IFERROR(INDEX('CAT_ACTIVIDADES'!$D$4:$D$11,MATCH($H1101,'CAT_ACTIVIDADES'!$A$4:$A$11,0)),""))=0,(IFERROR(INDEX('CAT_ACTIVIDADES'!$D$4:$D$11,MATCH($H1101,'CAT_ACTIVIDADES'!$A$4:$A$11,0)),""))=""),"SIN CLASIFICAR",IFERROR(INDEX('CAT_ACTIVIDADES'!$D$4:$D$11,MATCH($H1101,'CAT_ACTIVIDADES'!$A$4:$A$11,0)),"")))</f>
        <v/>
      </c>
      <c r="AO1101" s="4" t="n"/>
      <c r="AP1101" s="4" t="n"/>
      <c r="AQ1101" s="4" t="n"/>
      <c r="AR1101" s="5">
        <f>IF($AQ1101="","",HYPERLINK(p_ruta_base_checklists&amp;$AQ1101,"abrir"))</f>
        <v/>
      </c>
      <c r="AS1101" s="4" t="n"/>
      <c r="AT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2" t="n"/>
      <c r="K1102" s="5" t="n"/>
      <c r="L1102" s="18" t="n"/>
      <c r="M1102" s="5">
        <f>IF($A1102="","",IFERROR(INDEX('AJUSTES'!$B$4:$B$303,MATCH($AT1102,'AJUSTES'!$A$4:$A$303,0)),IF($K1102="","",$K1102)))</f>
        <v/>
      </c>
      <c r="N1102" s="5">
        <f>IF($A1102="","",IFERROR(INDEX('CAT_ESTADOS_ERP'!$B$4:$B$7,MATCH(IFERROR(INDEX('2_IMPORTAR_EJECUCION'!$C$9:$C$1208,MATCH($AT1102,'2_IMPORTAR_EJECUCION'!$J$9:$J$1208,0)),""),'CAT_ESTADOS_ERP'!$A$4:$A$7,0)),"Pendiente"))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IF($J1102="","",$P1102&amp;"-"&amp;TEXT($Q1102,"00"))</f>
        <v/>
      </c>
      <c r="S1102" s="5">
        <f>IF($J1102="","",INDEX(lista_dias,WEEKDAY($J1102,2)))</f>
        <v/>
      </c>
      <c r="T1102" s="5">
        <f>IF($J1102="","",IFERROR(INDEX('CALENDARIO'!$C$15:$C$214,MATCH(TEXT($J1102,"yyyy-mm-dd")&amp;"|"&amp;$X1102&amp;"|"&amp;$Y1102,'CALENDARIO'!$G$15:$G$214,0)),IFERROR(INDEX('CALENDARIO'!$C$15:$C$214,MATCH(TEXT($J1102,"yyyy-mm-dd")&amp;"|"&amp;$X1102&amp;"|",'CALENDARIO'!$G$15:$G$214,0)),IFERROR(INDEX('CALENDARIO'!$C$15:$C$214,MATCH(TEXT($J1102,"yyyy-mm-dd")&amp;"||",'CALENDARIO'!$G$15:$G$214,0)),INDEX(patronHabil,WEEKDAY($J1102,2))))))</f>
        <v/>
      </c>
      <c r="U1102" s="5">
        <f>IF($I1102="","",IFERROR(INDEX('CAT_TIPOS_OT'!$C$4:$C$8,MATCH($I1102,'CAT_TIPOS_OT'!$A$4:$A$8,0)),"sin_clasificar"))</f>
        <v/>
      </c>
      <c r="V1102" s="5">
        <f>IF($I1102="","",IF(IFERROR(INDEX('CAT_TIPOS_OT'!$D$4:$D$8,MATCH($I1102,'CAT_TIPOS_OT'!$A$4:$A$8,0)),"SIN CLASIFICAR")="","SIN CLASIFICAR",IFERROR(INDEX('CAT_TIPOS_OT'!$D$4:$D$8,MATCH($I1102,'CAT_TIPOS_OT'!$A$4:$A$8,0)),"SIN CLASIFICAR")))</f>
        <v/>
      </c>
      <c r="W1102" s="5">
        <f>IF($F1102="","",IFERROR(INDEX('CAT_CENTROS_COSTO'!$F$4:$F$13,MATCH($F1102,'CAT_CENTROS_COSTO'!$A$4:$A$13,0)),"(sin catálogo)"))</f>
        <v/>
      </c>
      <c r="X1102" s="5">
        <f>IF($F1102="","",IFERROR(INDEX('CAT_CENTROS_COSTO'!$D$4:$D$13,MATCH($F1102,'CAT_CENTROS_COSTO'!$A$4:$A$13,0)),"(sin catálogo)"))</f>
        <v/>
      </c>
      <c r="Y1102" s="5">
        <f>IF($F1102="","",IF((IFERROR(INDEX('CAT_CENTROS_COSTO'!$E$4:$E$13,MATCH($F1102,'CAT_CENTROS_COSTO'!$A$4:$A$13,0)),""))&lt;&gt;"",IFERROR(INDEX('CAT_CENTROS_COSTO'!$E$4:$E$13,MATCH($F1102,'CAT_CENTROS_COSTO'!$A$4:$A$13,0)),""),$X1102))</f>
        <v/>
      </c>
      <c r="Z1102" s="5">
        <f>IF($F1102="","",IFERROR(INDEX('CAT_CENTROS_COSTO'!$G$4:$G$13,MATCH($F1102,'CAT_CENTROS_COSTO'!$A$4:$A$13,0)),"(sin catálogo)"))</f>
        <v/>
      </c>
      <c r="AA1102" s="5">
        <f>IF($G1102="","",IFERROR(INDEX('CAT_PUESTOS'!$B$4:$B$8,MATCH($G1102,'CAT_PUESTOS'!$A$4:$A$8,0)),"(sin catálogo)"))</f>
        <v/>
      </c>
      <c r="AB1102" s="5">
        <f>IF($H1102="","",IFERROR(INDEX('CAT_ACTIVIDADES'!$B$4:$B$11,MATCH($H1102,'CAT_ACTIVIDADES'!$A$4:$A$11,0)),"(sin catálogo)"))</f>
        <v/>
      </c>
      <c r="AC1102" s="20">
        <f>IF($J1102="","",TODAY()-$J1102)</f>
        <v/>
      </c>
      <c r="AD1102" s="20">
        <f>IF($J1102="","",IF($J1102&lt;=TODAY(),COUNTIFS(cal_fechas,"&gt;="&amp;$J1102,cal_fechas,"&lt;"&amp;TODAY(),cal_habil,"sí"),-COUNTIFS(cal_fechas,"&gt;="&amp;TODAY(),cal_fechas,"&lt;"&amp;$J1102,cal_habil,"sí")))</f>
        <v/>
      </c>
      <c r="AE1102" s="5">
        <f>IF($AD1102="","",IF($AD1102&lt;0,"FUTURO",IF($AD1102&gt;p_dias_backlog_max,"BACKLOG","MES CORRIENTE")))</f>
        <v/>
      </c>
      <c r="AF1102" s="5">
        <f>IF($AD1102="",FALSE,AND($AD1102&gt;p_dias_backlog_min,$AD1102&lt;=p_dias_backlog_max))</f>
        <v/>
      </c>
      <c r="AG1102" s="4" t="n"/>
      <c r="AH1102" s="5">
        <f>IF($AG1102="","",IF((IFERROR(INDEX('ASIGNACIONES'!$J$4:$J$451,MATCH($O1102&amp;"|"&amp;$S1102&amp;"|"&amp;$AG1102,'ASIGNACIONES'!$N$4:$N$451,0)),""))=0,"",IFERROR(INDEX('ASIGNACIONES'!$J$4:$J$451,MATCH($O1102&amp;"|"&amp;$S1102&amp;"|"&amp;$AG1102,'ASIGNACIONES'!$N$4:$N$451,0)),"")))</f>
        <v/>
      </c>
      <c r="AI1102" s="25">
        <f>IF($AG1102="","",SUMIFS('ORDENES'!$M$4:$M$1203,'ORDENES'!$AG$4:$AG$1203,$AG1102,'ORDENES'!$O$4:$O$1203,$O1102,'ORDENES'!$S$4:$S$1203,$S1102))</f>
        <v/>
      </c>
      <c r="AJ1102" s="25">
        <f>IF($AI1102="","",p_factor_productividad*IFERROR(INDEX('ASIGNACIONES'!$M$4:$M$451,MATCH($O1102&amp;"|"&amp;$S1102&amp;"|"&amp;$AG1102,'ASIGNACIONES'!$N$4:$N$451,0)),0)-$AI1102)</f>
        <v/>
      </c>
      <c r="AK1102" s="18">
        <f>IF($A1102="","",IFERROR(INDEX('2_IMPORTAR_EJECUCION'!$F$9:$F$1208,MATCH($AT1102,'2_IMPORTAR_EJECUCION'!$J$9:$J$1208,0)),0))</f>
        <v/>
      </c>
      <c r="AL1102" s="18">
        <f>IF($A1102="","",MAX(0,IFERROR(INDEX('2_IMPORTAR_EJECUCION'!$H$9:$H$1208,MATCH($AT1102,'2_IMPORTAR_EJECUCION'!$J$9:$J$1208,0)),0)-$AK1102))</f>
        <v/>
      </c>
      <c r="AM1102" s="18">
        <f>IF($A1102="","",$AK1102+$AL1102)</f>
        <v/>
      </c>
      <c r="AN1102" s="5">
        <f>IF($A1102="","",IF(OR((IFERROR(INDEX('CAT_ACTIVIDADES'!$D$4:$D$11,MATCH($H1102,'CAT_ACTIVIDADES'!$A$4:$A$11,0)),""))=0,(IFERROR(INDEX('CAT_ACTIVIDADES'!$D$4:$D$11,MATCH($H1102,'CAT_ACTIVIDADES'!$A$4:$A$11,0)),""))=""),"SIN CLASIFICAR",IFERROR(INDEX('CAT_ACTIVIDADES'!$D$4:$D$11,MATCH($H1102,'CAT_ACTIVIDADES'!$A$4:$A$11,0)),"")))</f>
        <v/>
      </c>
      <c r="AO1102" s="4" t="n"/>
      <c r="AP1102" s="4" t="n"/>
      <c r="AQ1102" s="4" t="n"/>
      <c r="AR1102" s="5">
        <f>IF($AQ1102="","",HYPERLINK(p_ruta_base_checklists&amp;$AQ1102,"abrir"))</f>
        <v/>
      </c>
      <c r="AS1102" s="4" t="n"/>
      <c r="AT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2" t="n"/>
      <c r="K1103" s="5" t="n"/>
      <c r="L1103" s="18" t="n"/>
      <c r="M1103" s="5">
        <f>IF($A1103="","",IFERROR(INDEX('AJUSTES'!$B$4:$B$303,MATCH($AT1103,'AJUSTES'!$A$4:$A$303,0)),IF($K1103="","",$K1103)))</f>
        <v/>
      </c>
      <c r="N1103" s="5">
        <f>IF($A1103="","",IFERROR(INDEX('CAT_ESTADOS_ERP'!$B$4:$B$7,MATCH(IFERROR(INDEX('2_IMPORTAR_EJECUCION'!$C$9:$C$1208,MATCH($AT1103,'2_IMPORTAR_EJECUCION'!$J$9:$J$1208,0)),""),'CAT_ESTADOS_ERP'!$A$4:$A$7,0)),"Pendiente"))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IF($J1103="","",$P1103&amp;"-"&amp;TEXT($Q1103,"00"))</f>
        <v/>
      </c>
      <c r="S1103" s="5">
        <f>IF($J1103="","",INDEX(lista_dias,WEEKDAY($J1103,2)))</f>
        <v/>
      </c>
      <c r="T1103" s="5">
        <f>IF($J1103="","",IFERROR(INDEX('CALENDARIO'!$C$15:$C$214,MATCH(TEXT($J1103,"yyyy-mm-dd")&amp;"|"&amp;$X1103&amp;"|"&amp;$Y1103,'CALENDARIO'!$G$15:$G$214,0)),IFERROR(INDEX('CALENDARIO'!$C$15:$C$214,MATCH(TEXT($J1103,"yyyy-mm-dd")&amp;"|"&amp;$X1103&amp;"|",'CALENDARIO'!$G$15:$G$214,0)),IFERROR(INDEX('CALENDARIO'!$C$15:$C$214,MATCH(TEXT($J1103,"yyyy-mm-dd")&amp;"||",'CALENDARIO'!$G$15:$G$214,0)),INDEX(patronHabil,WEEKDAY($J1103,2))))))</f>
        <v/>
      </c>
      <c r="U1103" s="5">
        <f>IF($I1103="","",IFERROR(INDEX('CAT_TIPOS_OT'!$C$4:$C$8,MATCH($I1103,'CAT_TIPOS_OT'!$A$4:$A$8,0)),"sin_clasificar"))</f>
        <v/>
      </c>
      <c r="V1103" s="5">
        <f>IF($I1103="","",IF(IFERROR(INDEX('CAT_TIPOS_OT'!$D$4:$D$8,MATCH($I1103,'CAT_TIPOS_OT'!$A$4:$A$8,0)),"SIN CLASIFICAR")="","SIN CLASIFICAR",IFERROR(INDEX('CAT_TIPOS_OT'!$D$4:$D$8,MATCH($I1103,'CAT_TIPOS_OT'!$A$4:$A$8,0)),"SIN CLASIFICAR")))</f>
        <v/>
      </c>
      <c r="W1103" s="5">
        <f>IF($F1103="","",IFERROR(INDEX('CAT_CENTROS_COSTO'!$F$4:$F$13,MATCH($F1103,'CAT_CENTROS_COSTO'!$A$4:$A$13,0)),"(sin catálogo)"))</f>
        <v/>
      </c>
      <c r="X1103" s="5">
        <f>IF($F1103="","",IFERROR(INDEX('CAT_CENTROS_COSTO'!$D$4:$D$13,MATCH($F1103,'CAT_CENTROS_COSTO'!$A$4:$A$13,0)),"(sin catálogo)"))</f>
        <v/>
      </c>
      <c r="Y1103" s="5">
        <f>IF($F1103="","",IF((IFERROR(INDEX('CAT_CENTROS_COSTO'!$E$4:$E$13,MATCH($F1103,'CAT_CENTROS_COSTO'!$A$4:$A$13,0)),""))&lt;&gt;"",IFERROR(INDEX('CAT_CENTROS_COSTO'!$E$4:$E$13,MATCH($F1103,'CAT_CENTROS_COSTO'!$A$4:$A$13,0)),""),$X1103))</f>
        <v/>
      </c>
      <c r="Z1103" s="5">
        <f>IF($F1103="","",IFERROR(INDEX('CAT_CENTROS_COSTO'!$G$4:$G$13,MATCH($F1103,'CAT_CENTROS_COSTO'!$A$4:$A$13,0)),"(sin catálogo)"))</f>
        <v/>
      </c>
      <c r="AA1103" s="5">
        <f>IF($G1103="","",IFERROR(INDEX('CAT_PUESTOS'!$B$4:$B$8,MATCH($G1103,'CAT_PUESTOS'!$A$4:$A$8,0)),"(sin catálogo)"))</f>
        <v/>
      </c>
      <c r="AB1103" s="5">
        <f>IF($H1103="","",IFERROR(INDEX('CAT_ACTIVIDADES'!$B$4:$B$11,MATCH($H1103,'CAT_ACTIVIDADES'!$A$4:$A$11,0)),"(sin catálogo)"))</f>
        <v/>
      </c>
      <c r="AC1103" s="20">
        <f>IF($J1103="","",TODAY()-$J1103)</f>
        <v/>
      </c>
      <c r="AD1103" s="20">
        <f>IF($J1103="","",IF($J1103&lt;=TODAY(),COUNTIFS(cal_fechas,"&gt;="&amp;$J1103,cal_fechas,"&lt;"&amp;TODAY(),cal_habil,"sí"),-COUNTIFS(cal_fechas,"&gt;="&amp;TODAY(),cal_fechas,"&lt;"&amp;$J1103,cal_habil,"sí")))</f>
        <v/>
      </c>
      <c r="AE1103" s="5">
        <f>IF($AD1103="","",IF($AD1103&lt;0,"FUTURO",IF($AD1103&gt;p_dias_backlog_max,"BACKLOG","MES CORRIENTE")))</f>
        <v/>
      </c>
      <c r="AF1103" s="5">
        <f>IF($AD1103="",FALSE,AND($AD1103&gt;p_dias_backlog_min,$AD1103&lt;=p_dias_backlog_max))</f>
        <v/>
      </c>
      <c r="AG1103" s="4" t="n"/>
      <c r="AH1103" s="5">
        <f>IF($AG1103="","",IF((IFERROR(INDEX('ASIGNACIONES'!$J$4:$J$451,MATCH($O1103&amp;"|"&amp;$S1103&amp;"|"&amp;$AG1103,'ASIGNACIONES'!$N$4:$N$451,0)),""))=0,"",IFERROR(INDEX('ASIGNACIONES'!$J$4:$J$451,MATCH($O1103&amp;"|"&amp;$S1103&amp;"|"&amp;$AG1103,'ASIGNACIONES'!$N$4:$N$451,0)),"")))</f>
        <v/>
      </c>
      <c r="AI1103" s="25">
        <f>IF($AG1103="","",SUMIFS('ORDENES'!$M$4:$M$1203,'ORDENES'!$AG$4:$AG$1203,$AG1103,'ORDENES'!$O$4:$O$1203,$O1103,'ORDENES'!$S$4:$S$1203,$S1103))</f>
        <v/>
      </c>
      <c r="AJ1103" s="25">
        <f>IF($AI1103="","",p_factor_productividad*IFERROR(INDEX('ASIGNACIONES'!$M$4:$M$451,MATCH($O1103&amp;"|"&amp;$S1103&amp;"|"&amp;$AG1103,'ASIGNACIONES'!$N$4:$N$451,0)),0)-$AI1103)</f>
        <v/>
      </c>
      <c r="AK1103" s="18">
        <f>IF($A1103="","",IFERROR(INDEX('2_IMPORTAR_EJECUCION'!$F$9:$F$1208,MATCH($AT1103,'2_IMPORTAR_EJECUCION'!$J$9:$J$1208,0)),0))</f>
        <v/>
      </c>
      <c r="AL1103" s="18">
        <f>IF($A1103="","",MAX(0,IFERROR(INDEX('2_IMPORTAR_EJECUCION'!$H$9:$H$1208,MATCH($AT1103,'2_IMPORTAR_EJECUCION'!$J$9:$J$1208,0)),0)-$AK1103))</f>
        <v/>
      </c>
      <c r="AM1103" s="18">
        <f>IF($A1103="","",$AK1103+$AL1103)</f>
        <v/>
      </c>
      <c r="AN1103" s="5">
        <f>IF($A1103="","",IF(OR((IFERROR(INDEX('CAT_ACTIVIDADES'!$D$4:$D$11,MATCH($H1103,'CAT_ACTIVIDADES'!$A$4:$A$11,0)),""))=0,(IFERROR(INDEX('CAT_ACTIVIDADES'!$D$4:$D$11,MATCH($H1103,'CAT_ACTIVIDADES'!$A$4:$A$11,0)),""))=""),"SIN CLASIFICAR",IFERROR(INDEX('CAT_ACTIVIDADES'!$D$4:$D$11,MATCH($H1103,'CAT_ACTIVIDADES'!$A$4:$A$11,0)),"")))</f>
        <v/>
      </c>
      <c r="AO1103" s="4" t="n"/>
      <c r="AP1103" s="4" t="n"/>
      <c r="AQ1103" s="4" t="n"/>
      <c r="AR1103" s="5">
        <f>IF($AQ1103="","",HYPERLINK(p_ruta_base_checklists&amp;$AQ1103,"abrir"))</f>
        <v/>
      </c>
      <c r="AS1103" s="4" t="n"/>
      <c r="AT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2" t="n"/>
      <c r="K1104" s="5" t="n"/>
      <c r="L1104" s="18" t="n"/>
      <c r="M1104" s="5">
        <f>IF($A1104="","",IFERROR(INDEX('AJUSTES'!$B$4:$B$303,MATCH($AT1104,'AJUSTES'!$A$4:$A$303,0)),IF($K1104="","",$K1104)))</f>
        <v/>
      </c>
      <c r="N1104" s="5">
        <f>IF($A1104="","",IFERROR(INDEX('CAT_ESTADOS_ERP'!$B$4:$B$7,MATCH(IFERROR(INDEX('2_IMPORTAR_EJECUCION'!$C$9:$C$1208,MATCH($AT1104,'2_IMPORTAR_EJECUCION'!$J$9:$J$1208,0)),""),'CAT_ESTADOS_ERP'!$A$4:$A$7,0)),"Pendiente"))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IF($J1104="","",$P1104&amp;"-"&amp;TEXT($Q1104,"00"))</f>
        <v/>
      </c>
      <c r="S1104" s="5">
        <f>IF($J1104="","",INDEX(lista_dias,WEEKDAY($J1104,2)))</f>
        <v/>
      </c>
      <c r="T1104" s="5">
        <f>IF($J1104="","",IFERROR(INDEX('CALENDARIO'!$C$15:$C$214,MATCH(TEXT($J1104,"yyyy-mm-dd")&amp;"|"&amp;$X1104&amp;"|"&amp;$Y1104,'CALENDARIO'!$G$15:$G$214,0)),IFERROR(INDEX('CALENDARIO'!$C$15:$C$214,MATCH(TEXT($J1104,"yyyy-mm-dd")&amp;"|"&amp;$X1104&amp;"|",'CALENDARIO'!$G$15:$G$214,0)),IFERROR(INDEX('CALENDARIO'!$C$15:$C$214,MATCH(TEXT($J1104,"yyyy-mm-dd")&amp;"||",'CALENDARIO'!$G$15:$G$214,0)),INDEX(patronHabil,WEEKDAY($J1104,2))))))</f>
        <v/>
      </c>
      <c r="U1104" s="5">
        <f>IF($I1104="","",IFERROR(INDEX('CAT_TIPOS_OT'!$C$4:$C$8,MATCH($I1104,'CAT_TIPOS_OT'!$A$4:$A$8,0)),"sin_clasificar"))</f>
        <v/>
      </c>
      <c r="V1104" s="5">
        <f>IF($I1104="","",IF(IFERROR(INDEX('CAT_TIPOS_OT'!$D$4:$D$8,MATCH($I1104,'CAT_TIPOS_OT'!$A$4:$A$8,0)),"SIN CLASIFICAR")="","SIN CLASIFICAR",IFERROR(INDEX('CAT_TIPOS_OT'!$D$4:$D$8,MATCH($I1104,'CAT_TIPOS_OT'!$A$4:$A$8,0)),"SIN CLASIFICAR")))</f>
        <v/>
      </c>
      <c r="W1104" s="5">
        <f>IF($F1104="","",IFERROR(INDEX('CAT_CENTROS_COSTO'!$F$4:$F$13,MATCH($F1104,'CAT_CENTROS_COSTO'!$A$4:$A$13,0)),"(sin catálogo)"))</f>
        <v/>
      </c>
      <c r="X1104" s="5">
        <f>IF($F1104="","",IFERROR(INDEX('CAT_CENTROS_COSTO'!$D$4:$D$13,MATCH($F1104,'CAT_CENTROS_COSTO'!$A$4:$A$13,0)),"(sin catálogo)"))</f>
        <v/>
      </c>
      <c r="Y1104" s="5">
        <f>IF($F1104="","",IF((IFERROR(INDEX('CAT_CENTROS_COSTO'!$E$4:$E$13,MATCH($F1104,'CAT_CENTROS_COSTO'!$A$4:$A$13,0)),""))&lt;&gt;"",IFERROR(INDEX('CAT_CENTROS_COSTO'!$E$4:$E$13,MATCH($F1104,'CAT_CENTROS_COSTO'!$A$4:$A$13,0)),""),$X1104))</f>
        <v/>
      </c>
      <c r="Z1104" s="5">
        <f>IF($F1104="","",IFERROR(INDEX('CAT_CENTROS_COSTO'!$G$4:$G$13,MATCH($F1104,'CAT_CENTROS_COSTO'!$A$4:$A$13,0)),"(sin catálogo)"))</f>
        <v/>
      </c>
      <c r="AA1104" s="5">
        <f>IF($G1104="","",IFERROR(INDEX('CAT_PUESTOS'!$B$4:$B$8,MATCH($G1104,'CAT_PUESTOS'!$A$4:$A$8,0)),"(sin catálogo)"))</f>
        <v/>
      </c>
      <c r="AB1104" s="5">
        <f>IF($H1104="","",IFERROR(INDEX('CAT_ACTIVIDADES'!$B$4:$B$11,MATCH($H1104,'CAT_ACTIVIDADES'!$A$4:$A$11,0)),"(sin catálogo)"))</f>
        <v/>
      </c>
      <c r="AC1104" s="20">
        <f>IF($J1104="","",TODAY()-$J1104)</f>
        <v/>
      </c>
      <c r="AD1104" s="20">
        <f>IF($J1104="","",IF($J1104&lt;=TODAY(),COUNTIFS(cal_fechas,"&gt;="&amp;$J1104,cal_fechas,"&lt;"&amp;TODAY(),cal_habil,"sí"),-COUNTIFS(cal_fechas,"&gt;="&amp;TODAY(),cal_fechas,"&lt;"&amp;$J1104,cal_habil,"sí")))</f>
        <v/>
      </c>
      <c r="AE1104" s="5">
        <f>IF($AD1104="","",IF($AD1104&lt;0,"FUTURO",IF($AD1104&gt;p_dias_backlog_max,"BACKLOG","MES CORRIENTE")))</f>
        <v/>
      </c>
      <c r="AF1104" s="5">
        <f>IF($AD1104="",FALSE,AND($AD1104&gt;p_dias_backlog_min,$AD1104&lt;=p_dias_backlog_max))</f>
        <v/>
      </c>
      <c r="AG1104" s="4" t="n"/>
      <c r="AH1104" s="5">
        <f>IF($AG1104="","",IF((IFERROR(INDEX('ASIGNACIONES'!$J$4:$J$451,MATCH($O1104&amp;"|"&amp;$S1104&amp;"|"&amp;$AG1104,'ASIGNACIONES'!$N$4:$N$451,0)),""))=0,"",IFERROR(INDEX('ASIGNACIONES'!$J$4:$J$451,MATCH($O1104&amp;"|"&amp;$S1104&amp;"|"&amp;$AG1104,'ASIGNACIONES'!$N$4:$N$451,0)),"")))</f>
        <v/>
      </c>
      <c r="AI1104" s="25">
        <f>IF($AG1104="","",SUMIFS('ORDENES'!$M$4:$M$1203,'ORDENES'!$AG$4:$AG$1203,$AG1104,'ORDENES'!$O$4:$O$1203,$O1104,'ORDENES'!$S$4:$S$1203,$S1104))</f>
        <v/>
      </c>
      <c r="AJ1104" s="25">
        <f>IF($AI1104="","",p_factor_productividad*IFERROR(INDEX('ASIGNACIONES'!$M$4:$M$451,MATCH($O1104&amp;"|"&amp;$S1104&amp;"|"&amp;$AG1104,'ASIGNACIONES'!$N$4:$N$451,0)),0)-$AI1104)</f>
        <v/>
      </c>
      <c r="AK1104" s="18">
        <f>IF($A1104="","",IFERROR(INDEX('2_IMPORTAR_EJECUCION'!$F$9:$F$1208,MATCH($AT1104,'2_IMPORTAR_EJECUCION'!$J$9:$J$1208,0)),0))</f>
        <v/>
      </c>
      <c r="AL1104" s="18">
        <f>IF($A1104="","",MAX(0,IFERROR(INDEX('2_IMPORTAR_EJECUCION'!$H$9:$H$1208,MATCH($AT1104,'2_IMPORTAR_EJECUCION'!$J$9:$J$1208,0)),0)-$AK1104))</f>
        <v/>
      </c>
      <c r="AM1104" s="18">
        <f>IF($A1104="","",$AK1104+$AL1104)</f>
        <v/>
      </c>
      <c r="AN1104" s="5">
        <f>IF($A1104="","",IF(OR((IFERROR(INDEX('CAT_ACTIVIDADES'!$D$4:$D$11,MATCH($H1104,'CAT_ACTIVIDADES'!$A$4:$A$11,0)),""))=0,(IFERROR(INDEX('CAT_ACTIVIDADES'!$D$4:$D$11,MATCH($H1104,'CAT_ACTIVIDADES'!$A$4:$A$11,0)),""))=""),"SIN CLASIFICAR",IFERROR(INDEX('CAT_ACTIVIDADES'!$D$4:$D$11,MATCH($H1104,'CAT_ACTIVIDADES'!$A$4:$A$11,0)),"")))</f>
        <v/>
      </c>
      <c r="AO1104" s="4" t="n"/>
      <c r="AP1104" s="4" t="n"/>
      <c r="AQ1104" s="4" t="n"/>
      <c r="AR1104" s="5">
        <f>IF($AQ1104="","",HYPERLINK(p_ruta_base_checklists&amp;$AQ1104,"abrir"))</f>
        <v/>
      </c>
      <c r="AS1104" s="4" t="n"/>
      <c r="AT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2" t="n"/>
      <c r="K1105" s="5" t="n"/>
      <c r="L1105" s="18" t="n"/>
      <c r="M1105" s="5">
        <f>IF($A1105="","",IFERROR(INDEX('AJUSTES'!$B$4:$B$303,MATCH($AT1105,'AJUSTES'!$A$4:$A$303,0)),IF($K1105="","",$K1105)))</f>
        <v/>
      </c>
      <c r="N1105" s="5">
        <f>IF($A1105="","",IFERROR(INDEX('CAT_ESTADOS_ERP'!$B$4:$B$7,MATCH(IFERROR(INDEX('2_IMPORTAR_EJECUCION'!$C$9:$C$1208,MATCH($AT1105,'2_IMPORTAR_EJECUCION'!$J$9:$J$1208,0)),""),'CAT_ESTADOS_ERP'!$A$4:$A$7,0)),"Pendiente"))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IF($J1105="","",$P1105&amp;"-"&amp;TEXT($Q1105,"00"))</f>
        <v/>
      </c>
      <c r="S1105" s="5">
        <f>IF($J1105="","",INDEX(lista_dias,WEEKDAY($J1105,2)))</f>
        <v/>
      </c>
      <c r="T1105" s="5">
        <f>IF($J1105="","",IFERROR(INDEX('CALENDARIO'!$C$15:$C$214,MATCH(TEXT($J1105,"yyyy-mm-dd")&amp;"|"&amp;$X1105&amp;"|"&amp;$Y1105,'CALENDARIO'!$G$15:$G$214,0)),IFERROR(INDEX('CALENDARIO'!$C$15:$C$214,MATCH(TEXT($J1105,"yyyy-mm-dd")&amp;"|"&amp;$X1105&amp;"|",'CALENDARIO'!$G$15:$G$214,0)),IFERROR(INDEX('CALENDARIO'!$C$15:$C$214,MATCH(TEXT($J1105,"yyyy-mm-dd")&amp;"||",'CALENDARIO'!$G$15:$G$214,0)),INDEX(patronHabil,WEEKDAY($J1105,2))))))</f>
        <v/>
      </c>
      <c r="U1105" s="5">
        <f>IF($I1105="","",IFERROR(INDEX('CAT_TIPOS_OT'!$C$4:$C$8,MATCH($I1105,'CAT_TIPOS_OT'!$A$4:$A$8,0)),"sin_clasificar"))</f>
        <v/>
      </c>
      <c r="V1105" s="5">
        <f>IF($I1105="","",IF(IFERROR(INDEX('CAT_TIPOS_OT'!$D$4:$D$8,MATCH($I1105,'CAT_TIPOS_OT'!$A$4:$A$8,0)),"SIN CLASIFICAR")="","SIN CLASIFICAR",IFERROR(INDEX('CAT_TIPOS_OT'!$D$4:$D$8,MATCH($I1105,'CAT_TIPOS_OT'!$A$4:$A$8,0)),"SIN CLASIFICAR")))</f>
        <v/>
      </c>
      <c r="W1105" s="5">
        <f>IF($F1105="","",IFERROR(INDEX('CAT_CENTROS_COSTO'!$F$4:$F$13,MATCH($F1105,'CAT_CENTROS_COSTO'!$A$4:$A$13,0)),"(sin catálogo)"))</f>
        <v/>
      </c>
      <c r="X1105" s="5">
        <f>IF($F1105="","",IFERROR(INDEX('CAT_CENTROS_COSTO'!$D$4:$D$13,MATCH($F1105,'CAT_CENTROS_COSTO'!$A$4:$A$13,0)),"(sin catálogo)"))</f>
        <v/>
      </c>
      <c r="Y1105" s="5">
        <f>IF($F1105="","",IF((IFERROR(INDEX('CAT_CENTROS_COSTO'!$E$4:$E$13,MATCH($F1105,'CAT_CENTROS_COSTO'!$A$4:$A$13,0)),""))&lt;&gt;"",IFERROR(INDEX('CAT_CENTROS_COSTO'!$E$4:$E$13,MATCH($F1105,'CAT_CENTROS_COSTO'!$A$4:$A$13,0)),""),$X1105))</f>
        <v/>
      </c>
      <c r="Z1105" s="5">
        <f>IF($F1105="","",IFERROR(INDEX('CAT_CENTROS_COSTO'!$G$4:$G$13,MATCH($F1105,'CAT_CENTROS_COSTO'!$A$4:$A$13,0)),"(sin catálogo)"))</f>
        <v/>
      </c>
      <c r="AA1105" s="5">
        <f>IF($G1105="","",IFERROR(INDEX('CAT_PUESTOS'!$B$4:$B$8,MATCH($G1105,'CAT_PUESTOS'!$A$4:$A$8,0)),"(sin catálogo)"))</f>
        <v/>
      </c>
      <c r="AB1105" s="5">
        <f>IF($H1105="","",IFERROR(INDEX('CAT_ACTIVIDADES'!$B$4:$B$11,MATCH($H1105,'CAT_ACTIVIDADES'!$A$4:$A$11,0)),"(sin catálogo)"))</f>
        <v/>
      </c>
      <c r="AC1105" s="20">
        <f>IF($J1105="","",TODAY()-$J1105)</f>
        <v/>
      </c>
      <c r="AD1105" s="20">
        <f>IF($J1105="","",IF($J1105&lt;=TODAY(),COUNTIFS(cal_fechas,"&gt;="&amp;$J1105,cal_fechas,"&lt;"&amp;TODAY(),cal_habil,"sí"),-COUNTIFS(cal_fechas,"&gt;="&amp;TODAY(),cal_fechas,"&lt;"&amp;$J1105,cal_habil,"sí")))</f>
        <v/>
      </c>
      <c r="AE1105" s="5">
        <f>IF($AD1105="","",IF($AD1105&lt;0,"FUTURO",IF($AD1105&gt;p_dias_backlog_max,"BACKLOG","MES CORRIENTE")))</f>
        <v/>
      </c>
      <c r="AF1105" s="5">
        <f>IF($AD1105="",FALSE,AND($AD1105&gt;p_dias_backlog_min,$AD1105&lt;=p_dias_backlog_max))</f>
        <v/>
      </c>
      <c r="AG1105" s="4" t="n"/>
      <c r="AH1105" s="5">
        <f>IF($AG1105="","",IF((IFERROR(INDEX('ASIGNACIONES'!$J$4:$J$451,MATCH($O1105&amp;"|"&amp;$S1105&amp;"|"&amp;$AG1105,'ASIGNACIONES'!$N$4:$N$451,0)),""))=0,"",IFERROR(INDEX('ASIGNACIONES'!$J$4:$J$451,MATCH($O1105&amp;"|"&amp;$S1105&amp;"|"&amp;$AG1105,'ASIGNACIONES'!$N$4:$N$451,0)),"")))</f>
        <v/>
      </c>
      <c r="AI1105" s="25">
        <f>IF($AG1105="","",SUMIFS('ORDENES'!$M$4:$M$1203,'ORDENES'!$AG$4:$AG$1203,$AG1105,'ORDENES'!$O$4:$O$1203,$O1105,'ORDENES'!$S$4:$S$1203,$S1105))</f>
        <v/>
      </c>
      <c r="AJ1105" s="25">
        <f>IF($AI1105="","",p_factor_productividad*IFERROR(INDEX('ASIGNACIONES'!$M$4:$M$451,MATCH($O1105&amp;"|"&amp;$S1105&amp;"|"&amp;$AG1105,'ASIGNACIONES'!$N$4:$N$451,0)),0)-$AI1105)</f>
        <v/>
      </c>
      <c r="AK1105" s="18">
        <f>IF($A1105="","",IFERROR(INDEX('2_IMPORTAR_EJECUCION'!$F$9:$F$1208,MATCH($AT1105,'2_IMPORTAR_EJECUCION'!$J$9:$J$1208,0)),0))</f>
        <v/>
      </c>
      <c r="AL1105" s="18">
        <f>IF($A1105="","",MAX(0,IFERROR(INDEX('2_IMPORTAR_EJECUCION'!$H$9:$H$1208,MATCH($AT1105,'2_IMPORTAR_EJECUCION'!$J$9:$J$1208,0)),0)-$AK1105))</f>
        <v/>
      </c>
      <c r="AM1105" s="18">
        <f>IF($A1105="","",$AK1105+$AL1105)</f>
        <v/>
      </c>
      <c r="AN1105" s="5">
        <f>IF($A1105="","",IF(OR((IFERROR(INDEX('CAT_ACTIVIDADES'!$D$4:$D$11,MATCH($H1105,'CAT_ACTIVIDADES'!$A$4:$A$11,0)),""))=0,(IFERROR(INDEX('CAT_ACTIVIDADES'!$D$4:$D$11,MATCH($H1105,'CAT_ACTIVIDADES'!$A$4:$A$11,0)),""))=""),"SIN CLASIFICAR",IFERROR(INDEX('CAT_ACTIVIDADES'!$D$4:$D$11,MATCH($H1105,'CAT_ACTIVIDADES'!$A$4:$A$11,0)),"")))</f>
        <v/>
      </c>
      <c r="AO1105" s="4" t="n"/>
      <c r="AP1105" s="4" t="n"/>
      <c r="AQ1105" s="4" t="n"/>
      <c r="AR1105" s="5">
        <f>IF($AQ1105="","",HYPERLINK(p_ruta_base_checklists&amp;$AQ1105,"abrir"))</f>
        <v/>
      </c>
      <c r="AS1105" s="4" t="n"/>
      <c r="AT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2" t="n"/>
      <c r="K1106" s="5" t="n"/>
      <c r="L1106" s="18" t="n"/>
      <c r="M1106" s="5">
        <f>IF($A1106="","",IFERROR(INDEX('AJUSTES'!$B$4:$B$303,MATCH($AT1106,'AJUSTES'!$A$4:$A$303,0)),IF($K1106="","",$K1106)))</f>
        <v/>
      </c>
      <c r="N1106" s="5">
        <f>IF($A1106="","",IFERROR(INDEX('CAT_ESTADOS_ERP'!$B$4:$B$7,MATCH(IFERROR(INDEX('2_IMPORTAR_EJECUCION'!$C$9:$C$1208,MATCH($AT1106,'2_IMPORTAR_EJECUCION'!$J$9:$J$1208,0)),""),'CAT_ESTADOS_ERP'!$A$4:$A$7,0)),"Pendiente"))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IF($J1106="","",$P1106&amp;"-"&amp;TEXT($Q1106,"00"))</f>
        <v/>
      </c>
      <c r="S1106" s="5">
        <f>IF($J1106="","",INDEX(lista_dias,WEEKDAY($J1106,2)))</f>
        <v/>
      </c>
      <c r="T1106" s="5">
        <f>IF($J1106="","",IFERROR(INDEX('CALENDARIO'!$C$15:$C$214,MATCH(TEXT($J1106,"yyyy-mm-dd")&amp;"|"&amp;$X1106&amp;"|"&amp;$Y1106,'CALENDARIO'!$G$15:$G$214,0)),IFERROR(INDEX('CALENDARIO'!$C$15:$C$214,MATCH(TEXT($J1106,"yyyy-mm-dd")&amp;"|"&amp;$X1106&amp;"|",'CALENDARIO'!$G$15:$G$214,0)),IFERROR(INDEX('CALENDARIO'!$C$15:$C$214,MATCH(TEXT($J1106,"yyyy-mm-dd")&amp;"||",'CALENDARIO'!$G$15:$G$214,0)),INDEX(patronHabil,WEEKDAY($J1106,2))))))</f>
        <v/>
      </c>
      <c r="U1106" s="5">
        <f>IF($I1106="","",IFERROR(INDEX('CAT_TIPOS_OT'!$C$4:$C$8,MATCH($I1106,'CAT_TIPOS_OT'!$A$4:$A$8,0)),"sin_clasificar"))</f>
        <v/>
      </c>
      <c r="V1106" s="5">
        <f>IF($I1106="","",IF(IFERROR(INDEX('CAT_TIPOS_OT'!$D$4:$D$8,MATCH($I1106,'CAT_TIPOS_OT'!$A$4:$A$8,0)),"SIN CLASIFICAR")="","SIN CLASIFICAR",IFERROR(INDEX('CAT_TIPOS_OT'!$D$4:$D$8,MATCH($I1106,'CAT_TIPOS_OT'!$A$4:$A$8,0)),"SIN CLASIFICAR")))</f>
        <v/>
      </c>
      <c r="W1106" s="5">
        <f>IF($F1106="","",IFERROR(INDEX('CAT_CENTROS_COSTO'!$F$4:$F$13,MATCH($F1106,'CAT_CENTROS_COSTO'!$A$4:$A$13,0)),"(sin catálogo)"))</f>
        <v/>
      </c>
      <c r="X1106" s="5">
        <f>IF($F1106="","",IFERROR(INDEX('CAT_CENTROS_COSTO'!$D$4:$D$13,MATCH($F1106,'CAT_CENTROS_COSTO'!$A$4:$A$13,0)),"(sin catálogo)"))</f>
        <v/>
      </c>
      <c r="Y1106" s="5">
        <f>IF($F1106="","",IF((IFERROR(INDEX('CAT_CENTROS_COSTO'!$E$4:$E$13,MATCH($F1106,'CAT_CENTROS_COSTO'!$A$4:$A$13,0)),""))&lt;&gt;"",IFERROR(INDEX('CAT_CENTROS_COSTO'!$E$4:$E$13,MATCH($F1106,'CAT_CENTROS_COSTO'!$A$4:$A$13,0)),""),$X1106))</f>
        <v/>
      </c>
      <c r="Z1106" s="5">
        <f>IF($F1106="","",IFERROR(INDEX('CAT_CENTROS_COSTO'!$G$4:$G$13,MATCH($F1106,'CAT_CENTROS_COSTO'!$A$4:$A$13,0)),"(sin catálogo)"))</f>
        <v/>
      </c>
      <c r="AA1106" s="5">
        <f>IF($G1106="","",IFERROR(INDEX('CAT_PUESTOS'!$B$4:$B$8,MATCH($G1106,'CAT_PUESTOS'!$A$4:$A$8,0)),"(sin catálogo)"))</f>
        <v/>
      </c>
      <c r="AB1106" s="5">
        <f>IF($H1106="","",IFERROR(INDEX('CAT_ACTIVIDADES'!$B$4:$B$11,MATCH($H1106,'CAT_ACTIVIDADES'!$A$4:$A$11,0)),"(sin catálogo)"))</f>
        <v/>
      </c>
      <c r="AC1106" s="20">
        <f>IF($J1106="","",TODAY()-$J1106)</f>
        <v/>
      </c>
      <c r="AD1106" s="20">
        <f>IF($J1106="","",IF($J1106&lt;=TODAY(),COUNTIFS(cal_fechas,"&gt;="&amp;$J1106,cal_fechas,"&lt;"&amp;TODAY(),cal_habil,"sí"),-COUNTIFS(cal_fechas,"&gt;="&amp;TODAY(),cal_fechas,"&lt;"&amp;$J1106,cal_habil,"sí")))</f>
        <v/>
      </c>
      <c r="AE1106" s="5">
        <f>IF($AD1106="","",IF($AD1106&lt;0,"FUTURO",IF($AD1106&gt;p_dias_backlog_max,"BACKLOG","MES CORRIENTE")))</f>
        <v/>
      </c>
      <c r="AF1106" s="5">
        <f>IF($AD1106="",FALSE,AND($AD1106&gt;p_dias_backlog_min,$AD1106&lt;=p_dias_backlog_max))</f>
        <v/>
      </c>
      <c r="AG1106" s="4" t="n"/>
      <c r="AH1106" s="5">
        <f>IF($AG1106="","",IF((IFERROR(INDEX('ASIGNACIONES'!$J$4:$J$451,MATCH($O1106&amp;"|"&amp;$S1106&amp;"|"&amp;$AG1106,'ASIGNACIONES'!$N$4:$N$451,0)),""))=0,"",IFERROR(INDEX('ASIGNACIONES'!$J$4:$J$451,MATCH($O1106&amp;"|"&amp;$S1106&amp;"|"&amp;$AG1106,'ASIGNACIONES'!$N$4:$N$451,0)),"")))</f>
        <v/>
      </c>
      <c r="AI1106" s="25">
        <f>IF($AG1106="","",SUMIFS('ORDENES'!$M$4:$M$1203,'ORDENES'!$AG$4:$AG$1203,$AG1106,'ORDENES'!$O$4:$O$1203,$O1106,'ORDENES'!$S$4:$S$1203,$S1106))</f>
        <v/>
      </c>
      <c r="AJ1106" s="25">
        <f>IF($AI1106="","",p_factor_productividad*IFERROR(INDEX('ASIGNACIONES'!$M$4:$M$451,MATCH($O1106&amp;"|"&amp;$S1106&amp;"|"&amp;$AG1106,'ASIGNACIONES'!$N$4:$N$451,0)),0)-$AI1106)</f>
        <v/>
      </c>
      <c r="AK1106" s="18">
        <f>IF($A1106="","",IFERROR(INDEX('2_IMPORTAR_EJECUCION'!$F$9:$F$1208,MATCH($AT1106,'2_IMPORTAR_EJECUCION'!$J$9:$J$1208,0)),0))</f>
        <v/>
      </c>
      <c r="AL1106" s="18">
        <f>IF($A1106="","",MAX(0,IFERROR(INDEX('2_IMPORTAR_EJECUCION'!$H$9:$H$1208,MATCH($AT1106,'2_IMPORTAR_EJECUCION'!$J$9:$J$1208,0)),0)-$AK1106))</f>
        <v/>
      </c>
      <c r="AM1106" s="18">
        <f>IF($A1106="","",$AK1106+$AL1106)</f>
        <v/>
      </c>
      <c r="AN1106" s="5">
        <f>IF($A1106="","",IF(OR((IFERROR(INDEX('CAT_ACTIVIDADES'!$D$4:$D$11,MATCH($H1106,'CAT_ACTIVIDADES'!$A$4:$A$11,0)),""))=0,(IFERROR(INDEX('CAT_ACTIVIDADES'!$D$4:$D$11,MATCH($H1106,'CAT_ACTIVIDADES'!$A$4:$A$11,0)),""))=""),"SIN CLASIFICAR",IFERROR(INDEX('CAT_ACTIVIDADES'!$D$4:$D$11,MATCH($H1106,'CAT_ACTIVIDADES'!$A$4:$A$11,0)),"")))</f>
        <v/>
      </c>
      <c r="AO1106" s="4" t="n"/>
      <c r="AP1106" s="4" t="n"/>
      <c r="AQ1106" s="4" t="n"/>
      <c r="AR1106" s="5">
        <f>IF($AQ1106="","",HYPERLINK(p_ruta_base_checklists&amp;$AQ1106,"abrir"))</f>
        <v/>
      </c>
      <c r="AS1106" s="4" t="n"/>
      <c r="AT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2" t="n"/>
      <c r="K1107" s="5" t="n"/>
      <c r="L1107" s="18" t="n"/>
      <c r="M1107" s="5">
        <f>IF($A1107="","",IFERROR(INDEX('AJUSTES'!$B$4:$B$303,MATCH($AT1107,'AJUSTES'!$A$4:$A$303,0)),IF($K1107="","",$K1107)))</f>
        <v/>
      </c>
      <c r="N1107" s="5">
        <f>IF($A1107="","",IFERROR(INDEX('CAT_ESTADOS_ERP'!$B$4:$B$7,MATCH(IFERROR(INDEX('2_IMPORTAR_EJECUCION'!$C$9:$C$1208,MATCH($AT1107,'2_IMPORTAR_EJECUCION'!$J$9:$J$1208,0)),""),'CAT_ESTADOS_ERP'!$A$4:$A$7,0)),"Pendiente"))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IF($J1107="","",$P1107&amp;"-"&amp;TEXT($Q1107,"00"))</f>
        <v/>
      </c>
      <c r="S1107" s="5">
        <f>IF($J1107="","",INDEX(lista_dias,WEEKDAY($J1107,2)))</f>
        <v/>
      </c>
      <c r="T1107" s="5">
        <f>IF($J1107="","",IFERROR(INDEX('CALENDARIO'!$C$15:$C$214,MATCH(TEXT($J1107,"yyyy-mm-dd")&amp;"|"&amp;$X1107&amp;"|"&amp;$Y1107,'CALENDARIO'!$G$15:$G$214,0)),IFERROR(INDEX('CALENDARIO'!$C$15:$C$214,MATCH(TEXT($J1107,"yyyy-mm-dd")&amp;"|"&amp;$X1107&amp;"|",'CALENDARIO'!$G$15:$G$214,0)),IFERROR(INDEX('CALENDARIO'!$C$15:$C$214,MATCH(TEXT($J1107,"yyyy-mm-dd")&amp;"||",'CALENDARIO'!$G$15:$G$214,0)),INDEX(patronHabil,WEEKDAY($J1107,2))))))</f>
        <v/>
      </c>
      <c r="U1107" s="5">
        <f>IF($I1107="","",IFERROR(INDEX('CAT_TIPOS_OT'!$C$4:$C$8,MATCH($I1107,'CAT_TIPOS_OT'!$A$4:$A$8,0)),"sin_clasificar"))</f>
        <v/>
      </c>
      <c r="V1107" s="5">
        <f>IF($I1107="","",IF(IFERROR(INDEX('CAT_TIPOS_OT'!$D$4:$D$8,MATCH($I1107,'CAT_TIPOS_OT'!$A$4:$A$8,0)),"SIN CLASIFICAR")="","SIN CLASIFICAR",IFERROR(INDEX('CAT_TIPOS_OT'!$D$4:$D$8,MATCH($I1107,'CAT_TIPOS_OT'!$A$4:$A$8,0)),"SIN CLASIFICAR")))</f>
        <v/>
      </c>
      <c r="W1107" s="5">
        <f>IF($F1107="","",IFERROR(INDEX('CAT_CENTROS_COSTO'!$F$4:$F$13,MATCH($F1107,'CAT_CENTROS_COSTO'!$A$4:$A$13,0)),"(sin catálogo)"))</f>
        <v/>
      </c>
      <c r="X1107" s="5">
        <f>IF($F1107="","",IFERROR(INDEX('CAT_CENTROS_COSTO'!$D$4:$D$13,MATCH($F1107,'CAT_CENTROS_COSTO'!$A$4:$A$13,0)),"(sin catálogo)"))</f>
        <v/>
      </c>
      <c r="Y1107" s="5">
        <f>IF($F1107="","",IF((IFERROR(INDEX('CAT_CENTROS_COSTO'!$E$4:$E$13,MATCH($F1107,'CAT_CENTROS_COSTO'!$A$4:$A$13,0)),""))&lt;&gt;"",IFERROR(INDEX('CAT_CENTROS_COSTO'!$E$4:$E$13,MATCH($F1107,'CAT_CENTROS_COSTO'!$A$4:$A$13,0)),""),$X1107))</f>
        <v/>
      </c>
      <c r="Z1107" s="5">
        <f>IF($F1107="","",IFERROR(INDEX('CAT_CENTROS_COSTO'!$G$4:$G$13,MATCH($F1107,'CAT_CENTROS_COSTO'!$A$4:$A$13,0)),"(sin catálogo)"))</f>
        <v/>
      </c>
      <c r="AA1107" s="5">
        <f>IF($G1107="","",IFERROR(INDEX('CAT_PUESTOS'!$B$4:$B$8,MATCH($G1107,'CAT_PUESTOS'!$A$4:$A$8,0)),"(sin catálogo)"))</f>
        <v/>
      </c>
      <c r="AB1107" s="5">
        <f>IF($H1107="","",IFERROR(INDEX('CAT_ACTIVIDADES'!$B$4:$B$11,MATCH($H1107,'CAT_ACTIVIDADES'!$A$4:$A$11,0)),"(sin catálogo)"))</f>
        <v/>
      </c>
      <c r="AC1107" s="20">
        <f>IF($J1107="","",TODAY()-$J1107)</f>
        <v/>
      </c>
      <c r="AD1107" s="20">
        <f>IF($J1107="","",IF($J1107&lt;=TODAY(),COUNTIFS(cal_fechas,"&gt;="&amp;$J1107,cal_fechas,"&lt;"&amp;TODAY(),cal_habil,"sí"),-COUNTIFS(cal_fechas,"&gt;="&amp;TODAY(),cal_fechas,"&lt;"&amp;$J1107,cal_habil,"sí")))</f>
        <v/>
      </c>
      <c r="AE1107" s="5">
        <f>IF($AD1107="","",IF($AD1107&lt;0,"FUTURO",IF($AD1107&gt;p_dias_backlog_max,"BACKLOG","MES CORRIENTE")))</f>
        <v/>
      </c>
      <c r="AF1107" s="5">
        <f>IF($AD1107="",FALSE,AND($AD1107&gt;p_dias_backlog_min,$AD1107&lt;=p_dias_backlog_max))</f>
        <v/>
      </c>
      <c r="AG1107" s="4" t="n"/>
      <c r="AH1107" s="5">
        <f>IF($AG1107="","",IF((IFERROR(INDEX('ASIGNACIONES'!$J$4:$J$451,MATCH($O1107&amp;"|"&amp;$S1107&amp;"|"&amp;$AG1107,'ASIGNACIONES'!$N$4:$N$451,0)),""))=0,"",IFERROR(INDEX('ASIGNACIONES'!$J$4:$J$451,MATCH($O1107&amp;"|"&amp;$S1107&amp;"|"&amp;$AG1107,'ASIGNACIONES'!$N$4:$N$451,0)),"")))</f>
        <v/>
      </c>
      <c r="AI1107" s="25">
        <f>IF($AG1107="","",SUMIFS('ORDENES'!$M$4:$M$1203,'ORDENES'!$AG$4:$AG$1203,$AG1107,'ORDENES'!$O$4:$O$1203,$O1107,'ORDENES'!$S$4:$S$1203,$S1107))</f>
        <v/>
      </c>
      <c r="AJ1107" s="25">
        <f>IF($AI1107="","",p_factor_productividad*IFERROR(INDEX('ASIGNACIONES'!$M$4:$M$451,MATCH($O1107&amp;"|"&amp;$S1107&amp;"|"&amp;$AG1107,'ASIGNACIONES'!$N$4:$N$451,0)),0)-$AI1107)</f>
        <v/>
      </c>
      <c r="AK1107" s="18">
        <f>IF($A1107="","",IFERROR(INDEX('2_IMPORTAR_EJECUCION'!$F$9:$F$1208,MATCH($AT1107,'2_IMPORTAR_EJECUCION'!$J$9:$J$1208,0)),0))</f>
        <v/>
      </c>
      <c r="AL1107" s="18">
        <f>IF($A1107="","",MAX(0,IFERROR(INDEX('2_IMPORTAR_EJECUCION'!$H$9:$H$1208,MATCH($AT1107,'2_IMPORTAR_EJECUCION'!$J$9:$J$1208,0)),0)-$AK1107))</f>
        <v/>
      </c>
      <c r="AM1107" s="18">
        <f>IF($A1107="","",$AK1107+$AL1107)</f>
        <v/>
      </c>
      <c r="AN1107" s="5">
        <f>IF($A1107="","",IF(OR((IFERROR(INDEX('CAT_ACTIVIDADES'!$D$4:$D$11,MATCH($H1107,'CAT_ACTIVIDADES'!$A$4:$A$11,0)),""))=0,(IFERROR(INDEX('CAT_ACTIVIDADES'!$D$4:$D$11,MATCH($H1107,'CAT_ACTIVIDADES'!$A$4:$A$11,0)),""))=""),"SIN CLASIFICAR",IFERROR(INDEX('CAT_ACTIVIDADES'!$D$4:$D$11,MATCH($H1107,'CAT_ACTIVIDADES'!$A$4:$A$11,0)),"")))</f>
        <v/>
      </c>
      <c r="AO1107" s="4" t="n"/>
      <c r="AP1107" s="4" t="n"/>
      <c r="AQ1107" s="4" t="n"/>
      <c r="AR1107" s="5">
        <f>IF($AQ1107="","",HYPERLINK(p_ruta_base_checklists&amp;$AQ1107,"abrir"))</f>
        <v/>
      </c>
      <c r="AS1107" s="4" t="n"/>
      <c r="AT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2" t="n"/>
      <c r="K1108" s="5" t="n"/>
      <c r="L1108" s="18" t="n"/>
      <c r="M1108" s="5">
        <f>IF($A1108="","",IFERROR(INDEX('AJUSTES'!$B$4:$B$303,MATCH($AT1108,'AJUSTES'!$A$4:$A$303,0)),IF($K1108="","",$K1108)))</f>
        <v/>
      </c>
      <c r="N1108" s="5">
        <f>IF($A1108="","",IFERROR(INDEX('CAT_ESTADOS_ERP'!$B$4:$B$7,MATCH(IFERROR(INDEX('2_IMPORTAR_EJECUCION'!$C$9:$C$1208,MATCH($AT1108,'2_IMPORTAR_EJECUCION'!$J$9:$J$1208,0)),""),'CAT_ESTADOS_ERP'!$A$4:$A$7,0)),"Pendiente"))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IF($J1108="","",$P1108&amp;"-"&amp;TEXT($Q1108,"00"))</f>
        <v/>
      </c>
      <c r="S1108" s="5">
        <f>IF($J1108="","",INDEX(lista_dias,WEEKDAY($J1108,2)))</f>
        <v/>
      </c>
      <c r="T1108" s="5">
        <f>IF($J1108="","",IFERROR(INDEX('CALENDARIO'!$C$15:$C$214,MATCH(TEXT($J1108,"yyyy-mm-dd")&amp;"|"&amp;$X1108&amp;"|"&amp;$Y1108,'CALENDARIO'!$G$15:$G$214,0)),IFERROR(INDEX('CALENDARIO'!$C$15:$C$214,MATCH(TEXT($J1108,"yyyy-mm-dd")&amp;"|"&amp;$X1108&amp;"|",'CALENDARIO'!$G$15:$G$214,0)),IFERROR(INDEX('CALENDARIO'!$C$15:$C$214,MATCH(TEXT($J1108,"yyyy-mm-dd")&amp;"||",'CALENDARIO'!$G$15:$G$214,0)),INDEX(patronHabil,WEEKDAY($J1108,2))))))</f>
        <v/>
      </c>
      <c r="U1108" s="5">
        <f>IF($I1108="","",IFERROR(INDEX('CAT_TIPOS_OT'!$C$4:$C$8,MATCH($I1108,'CAT_TIPOS_OT'!$A$4:$A$8,0)),"sin_clasificar"))</f>
        <v/>
      </c>
      <c r="V1108" s="5">
        <f>IF($I1108="","",IF(IFERROR(INDEX('CAT_TIPOS_OT'!$D$4:$D$8,MATCH($I1108,'CAT_TIPOS_OT'!$A$4:$A$8,0)),"SIN CLASIFICAR")="","SIN CLASIFICAR",IFERROR(INDEX('CAT_TIPOS_OT'!$D$4:$D$8,MATCH($I1108,'CAT_TIPOS_OT'!$A$4:$A$8,0)),"SIN CLASIFICAR")))</f>
        <v/>
      </c>
      <c r="W1108" s="5">
        <f>IF($F1108="","",IFERROR(INDEX('CAT_CENTROS_COSTO'!$F$4:$F$13,MATCH($F1108,'CAT_CENTROS_COSTO'!$A$4:$A$13,0)),"(sin catálogo)"))</f>
        <v/>
      </c>
      <c r="X1108" s="5">
        <f>IF($F1108="","",IFERROR(INDEX('CAT_CENTROS_COSTO'!$D$4:$D$13,MATCH($F1108,'CAT_CENTROS_COSTO'!$A$4:$A$13,0)),"(sin catálogo)"))</f>
        <v/>
      </c>
      <c r="Y1108" s="5">
        <f>IF($F1108="","",IF((IFERROR(INDEX('CAT_CENTROS_COSTO'!$E$4:$E$13,MATCH($F1108,'CAT_CENTROS_COSTO'!$A$4:$A$13,0)),""))&lt;&gt;"",IFERROR(INDEX('CAT_CENTROS_COSTO'!$E$4:$E$13,MATCH($F1108,'CAT_CENTROS_COSTO'!$A$4:$A$13,0)),""),$X1108))</f>
        <v/>
      </c>
      <c r="Z1108" s="5">
        <f>IF($F1108="","",IFERROR(INDEX('CAT_CENTROS_COSTO'!$G$4:$G$13,MATCH($F1108,'CAT_CENTROS_COSTO'!$A$4:$A$13,0)),"(sin catálogo)"))</f>
        <v/>
      </c>
      <c r="AA1108" s="5">
        <f>IF($G1108="","",IFERROR(INDEX('CAT_PUESTOS'!$B$4:$B$8,MATCH($G1108,'CAT_PUESTOS'!$A$4:$A$8,0)),"(sin catálogo)"))</f>
        <v/>
      </c>
      <c r="AB1108" s="5">
        <f>IF($H1108="","",IFERROR(INDEX('CAT_ACTIVIDADES'!$B$4:$B$11,MATCH($H1108,'CAT_ACTIVIDADES'!$A$4:$A$11,0)),"(sin catálogo)"))</f>
        <v/>
      </c>
      <c r="AC1108" s="20">
        <f>IF($J1108="","",TODAY()-$J1108)</f>
        <v/>
      </c>
      <c r="AD1108" s="20">
        <f>IF($J1108="","",IF($J1108&lt;=TODAY(),COUNTIFS(cal_fechas,"&gt;="&amp;$J1108,cal_fechas,"&lt;"&amp;TODAY(),cal_habil,"sí"),-COUNTIFS(cal_fechas,"&gt;="&amp;TODAY(),cal_fechas,"&lt;"&amp;$J1108,cal_habil,"sí")))</f>
        <v/>
      </c>
      <c r="AE1108" s="5">
        <f>IF($AD1108="","",IF($AD1108&lt;0,"FUTURO",IF($AD1108&gt;p_dias_backlog_max,"BACKLOG","MES CORRIENTE")))</f>
        <v/>
      </c>
      <c r="AF1108" s="5">
        <f>IF($AD1108="",FALSE,AND($AD1108&gt;p_dias_backlog_min,$AD1108&lt;=p_dias_backlog_max))</f>
        <v/>
      </c>
      <c r="AG1108" s="4" t="n"/>
      <c r="AH1108" s="5">
        <f>IF($AG1108="","",IF((IFERROR(INDEX('ASIGNACIONES'!$J$4:$J$451,MATCH($O1108&amp;"|"&amp;$S1108&amp;"|"&amp;$AG1108,'ASIGNACIONES'!$N$4:$N$451,0)),""))=0,"",IFERROR(INDEX('ASIGNACIONES'!$J$4:$J$451,MATCH($O1108&amp;"|"&amp;$S1108&amp;"|"&amp;$AG1108,'ASIGNACIONES'!$N$4:$N$451,0)),"")))</f>
        <v/>
      </c>
      <c r="AI1108" s="25">
        <f>IF($AG1108="","",SUMIFS('ORDENES'!$M$4:$M$1203,'ORDENES'!$AG$4:$AG$1203,$AG1108,'ORDENES'!$O$4:$O$1203,$O1108,'ORDENES'!$S$4:$S$1203,$S1108))</f>
        <v/>
      </c>
      <c r="AJ1108" s="25">
        <f>IF($AI1108="","",p_factor_productividad*IFERROR(INDEX('ASIGNACIONES'!$M$4:$M$451,MATCH($O1108&amp;"|"&amp;$S1108&amp;"|"&amp;$AG1108,'ASIGNACIONES'!$N$4:$N$451,0)),0)-$AI1108)</f>
        <v/>
      </c>
      <c r="AK1108" s="18">
        <f>IF($A1108="","",IFERROR(INDEX('2_IMPORTAR_EJECUCION'!$F$9:$F$1208,MATCH($AT1108,'2_IMPORTAR_EJECUCION'!$J$9:$J$1208,0)),0))</f>
        <v/>
      </c>
      <c r="AL1108" s="18">
        <f>IF($A1108="","",MAX(0,IFERROR(INDEX('2_IMPORTAR_EJECUCION'!$H$9:$H$1208,MATCH($AT1108,'2_IMPORTAR_EJECUCION'!$J$9:$J$1208,0)),0)-$AK1108))</f>
        <v/>
      </c>
      <c r="AM1108" s="18">
        <f>IF($A1108="","",$AK1108+$AL1108)</f>
        <v/>
      </c>
      <c r="AN1108" s="5">
        <f>IF($A1108="","",IF(OR((IFERROR(INDEX('CAT_ACTIVIDADES'!$D$4:$D$11,MATCH($H1108,'CAT_ACTIVIDADES'!$A$4:$A$11,0)),""))=0,(IFERROR(INDEX('CAT_ACTIVIDADES'!$D$4:$D$11,MATCH($H1108,'CAT_ACTIVIDADES'!$A$4:$A$11,0)),""))=""),"SIN CLASIFICAR",IFERROR(INDEX('CAT_ACTIVIDADES'!$D$4:$D$11,MATCH($H1108,'CAT_ACTIVIDADES'!$A$4:$A$11,0)),"")))</f>
        <v/>
      </c>
      <c r="AO1108" s="4" t="n"/>
      <c r="AP1108" s="4" t="n"/>
      <c r="AQ1108" s="4" t="n"/>
      <c r="AR1108" s="5">
        <f>IF($AQ1108="","",HYPERLINK(p_ruta_base_checklists&amp;$AQ1108,"abrir"))</f>
        <v/>
      </c>
      <c r="AS1108" s="4" t="n"/>
      <c r="AT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2" t="n"/>
      <c r="K1109" s="5" t="n"/>
      <c r="L1109" s="18" t="n"/>
      <c r="M1109" s="5">
        <f>IF($A1109="","",IFERROR(INDEX('AJUSTES'!$B$4:$B$303,MATCH($AT1109,'AJUSTES'!$A$4:$A$303,0)),IF($K1109="","",$K1109)))</f>
        <v/>
      </c>
      <c r="N1109" s="5">
        <f>IF($A1109="","",IFERROR(INDEX('CAT_ESTADOS_ERP'!$B$4:$B$7,MATCH(IFERROR(INDEX('2_IMPORTAR_EJECUCION'!$C$9:$C$1208,MATCH($AT1109,'2_IMPORTAR_EJECUCION'!$J$9:$J$1208,0)),""),'CAT_ESTADOS_ERP'!$A$4:$A$7,0)),"Pendiente"))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IF($J1109="","",$P1109&amp;"-"&amp;TEXT($Q1109,"00"))</f>
        <v/>
      </c>
      <c r="S1109" s="5">
        <f>IF($J1109="","",INDEX(lista_dias,WEEKDAY($J1109,2)))</f>
        <v/>
      </c>
      <c r="T1109" s="5">
        <f>IF($J1109="","",IFERROR(INDEX('CALENDARIO'!$C$15:$C$214,MATCH(TEXT($J1109,"yyyy-mm-dd")&amp;"|"&amp;$X1109&amp;"|"&amp;$Y1109,'CALENDARIO'!$G$15:$G$214,0)),IFERROR(INDEX('CALENDARIO'!$C$15:$C$214,MATCH(TEXT($J1109,"yyyy-mm-dd")&amp;"|"&amp;$X1109&amp;"|",'CALENDARIO'!$G$15:$G$214,0)),IFERROR(INDEX('CALENDARIO'!$C$15:$C$214,MATCH(TEXT($J1109,"yyyy-mm-dd")&amp;"||",'CALENDARIO'!$G$15:$G$214,0)),INDEX(patronHabil,WEEKDAY($J1109,2))))))</f>
        <v/>
      </c>
      <c r="U1109" s="5">
        <f>IF($I1109="","",IFERROR(INDEX('CAT_TIPOS_OT'!$C$4:$C$8,MATCH($I1109,'CAT_TIPOS_OT'!$A$4:$A$8,0)),"sin_clasificar"))</f>
        <v/>
      </c>
      <c r="V1109" s="5">
        <f>IF($I1109="","",IF(IFERROR(INDEX('CAT_TIPOS_OT'!$D$4:$D$8,MATCH($I1109,'CAT_TIPOS_OT'!$A$4:$A$8,0)),"SIN CLASIFICAR")="","SIN CLASIFICAR",IFERROR(INDEX('CAT_TIPOS_OT'!$D$4:$D$8,MATCH($I1109,'CAT_TIPOS_OT'!$A$4:$A$8,0)),"SIN CLASIFICAR")))</f>
        <v/>
      </c>
      <c r="W1109" s="5">
        <f>IF($F1109="","",IFERROR(INDEX('CAT_CENTROS_COSTO'!$F$4:$F$13,MATCH($F1109,'CAT_CENTROS_COSTO'!$A$4:$A$13,0)),"(sin catálogo)"))</f>
        <v/>
      </c>
      <c r="X1109" s="5">
        <f>IF($F1109="","",IFERROR(INDEX('CAT_CENTROS_COSTO'!$D$4:$D$13,MATCH($F1109,'CAT_CENTROS_COSTO'!$A$4:$A$13,0)),"(sin catálogo)"))</f>
        <v/>
      </c>
      <c r="Y1109" s="5">
        <f>IF($F1109="","",IF((IFERROR(INDEX('CAT_CENTROS_COSTO'!$E$4:$E$13,MATCH($F1109,'CAT_CENTROS_COSTO'!$A$4:$A$13,0)),""))&lt;&gt;"",IFERROR(INDEX('CAT_CENTROS_COSTO'!$E$4:$E$13,MATCH($F1109,'CAT_CENTROS_COSTO'!$A$4:$A$13,0)),""),$X1109))</f>
        <v/>
      </c>
      <c r="Z1109" s="5">
        <f>IF($F1109="","",IFERROR(INDEX('CAT_CENTROS_COSTO'!$G$4:$G$13,MATCH($F1109,'CAT_CENTROS_COSTO'!$A$4:$A$13,0)),"(sin catálogo)"))</f>
        <v/>
      </c>
      <c r="AA1109" s="5">
        <f>IF($G1109="","",IFERROR(INDEX('CAT_PUESTOS'!$B$4:$B$8,MATCH($G1109,'CAT_PUESTOS'!$A$4:$A$8,0)),"(sin catálogo)"))</f>
        <v/>
      </c>
      <c r="AB1109" s="5">
        <f>IF($H1109="","",IFERROR(INDEX('CAT_ACTIVIDADES'!$B$4:$B$11,MATCH($H1109,'CAT_ACTIVIDADES'!$A$4:$A$11,0)),"(sin catálogo)"))</f>
        <v/>
      </c>
      <c r="AC1109" s="20">
        <f>IF($J1109="","",TODAY()-$J1109)</f>
        <v/>
      </c>
      <c r="AD1109" s="20">
        <f>IF($J1109="","",IF($J1109&lt;=TODAY(),COUNTIFS(cal_fechas,"&gt;="&amp;$J1109,cal_fechas,"&lt;"&amp;TODAY(),cal_habil,"sí"),-COUNTIFS(cal_fechas,"&gt;="&amp;TODAY(),cal_fechas,"&lt;"&amp;$J1109,cal_habil,"sí")))</f>
        <v/>
      </c>
      <c r="AE1109" s="5">
        <f>IF($AD1109="","",IF($AD1109&lt;0,"FUTURO",IF($AD1109&gt;p_dias_backlog_max,"BACKLOG","MES CORRIENTE")))</f>
        <v/>
      </c>
      <c r="AF1109" s="5">
        <f>IF($AD1109="",FALSE,AND($AD1109&gt;p_dias_backlog_min,$AD1109&lt;=p_dias_backlog_max))</f>
        <v/>
      </c>
      <c r="AG1109" s="4" t="n"/>
      <c r="AH1109" s="5">
        <f>IF($AG1109="","",IF((IFERROR(INDEX('ASIGNACIONES'!$J$4:$J$451,MATCH($O1109&amp;"|"&amp;$S1109&amp;"|"&amp;$AG1109,'ASIGNACIONES'!$N$4:$N$451,0)),""))=0,"",IFERROR(INDEX('ASIGNACIONES'!$J$4:$J$451,MATCH($O1109&amp;"|"&amp;$S1109&amp;"|"&amp;$AG1109,'ASIGNACIONES'!$N$4:$N$451,0)),"")))</f>
        <v/>
      </c>
      <c r="AI1109" s="25">
        <f>IF($AG1109="","",SUMIFS('ORDENES'!$M$4:$M$1203,'ORDENES'!$AG$4:$AG$1203,$AG1109,'ORDENES'!$O$4:$O$1203,$O1109,'ORDENES'!$S$4:$S$1203,$S1109))</f>
        <v/>
      </c>
      <c r="AJ1109" s="25">
        <f>IF($AI1109="","",p_factor_productividad*IFERROR(INDEX('ASIGNACIONES'!$M$4:$M$451,MATCH($O1109&amp;"|"&amp;$S1109&amp;"|"&amp;$AG1109,'ASIGNACIONES'!$N$4:$N$451,0)),0)-$AI1109)</f>
        <v/>
      </c>
      <c r="AK1109" s="18">
        <f>IF($A1109="","",IFERROR(INDEX('2_IMPORTAR_EJECUCION'!$F$9:$F$1208,MATCH($AT1109,'2_IMPORTAR_EJECUCION'!$J$9:$J$1208,0)),0))</f>
        <v/>
      </c>
      <c r="AL1109" s="18">
        <f>IF($A1109="","",MAX(0,IFERROR(INDEX('2_IMPORTAR_EJECUCION'!$H$9:$H$1208,MATCH($AT1109,'2_IMPORTAR_EJECUCION'!$J$9:$J$1208,0)),0)-$AK1109))</f>
        <v/>
      </c>
      <c r="AM1109" s="18">
        <f>IF($A1109="","",$AK1109+$AL1109)</f>
        <v/>
      </c>
      <c r="AN1109" s="5">
        <f>IF($A1109="","",IF(OR((IFERROR(INDEX('CAT_ACTIVIDADES'!$D$4:$D$11,MATCH($H1109,'CAT_ACTIVIDADES'!$A$4:$A$11,0)),""))=0,(IFERROR(INDEX('CAT_ACTIVIDADES'!$D$4:$D$11,MATCH($H1109,'CAT_ACTIVIDADES'!$A$4:$A$11,0)),""))=""),"SIN CLASIFICAR",IFERROR(INDEX('CAT_ACTIVIDADES'!$D$4:$D$11,MATCH($H1109,'CAT_ACTIVIDADES'!$A$4:$A$11,0)),"")))</f>
        <v/>
      </c>
      <c r="AO1109" s="4" t="n"/>
      <c r="AP1109" s="4" t="n"/>
      <c r="AQ1109" s="4" t="n"/>
      <c r="AR1109" s="5">
        <f>IF($AQ1109="","",HYPERLINK(p_ruta_base_checklists&amp;$AQ1109,"abrir"))</f>
        <v/>
      </c>
      <c r="AS1109" s="4" t="n"/>
      <c r="AT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2" t="n"/>
      <c r="K1110" s="5" t="n"/>
      <c r="L1110" s="18" t="n"/>
      <c r="M1110" s="5">
        <f>IF($A1110="","",IFERROR(INDEX('AJUSTES'!$B$4:$B$303,MATCH($AT1110,'AJUSTES'!$A$4:$A$303,0)),IF($K1110="","",$K1110)))</f>
        <v/>
      </c>
      <c r="N1110" s="5">
        <f>IF($A1110="","",IFERROR(INDEX('CAT_ESTADOS_ERP'!$B$4:$B$7,MATCH(IFERROR(INDEX('2_IMPORTAR_EJECUCION'!$C$9:$C$1208,MATCH($AT1110,'2_IMPORTAR_EJECUCION'!$J$9:$J$1208,0)),""),'CAT_ESTADOS_ERP'!$A$4:$A$7,0)),"Pendiente"))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IF($J1110="","",$P1110&amp;"-"&amp;TEXT($Q1110,"00"))</f>
        <v/>
      </c>
      <c r="S1110" s="5">
        <f>IF($J1110="","",INDEX(lista_dias,WEEKDAY($J1110,2)))</f>
        <v/>
      </c>
      <c r="T1110" s="5">
        <f>IF($J1110="","",IFERROR(INDEX('CALENDARIO'!$C$15:$C$214,MATCH(TEXT($J1110,"yyyy-mm-dd")&amp;"|"&amp;$X1110&amp;"|"&amp;$Y1110,'CALENDARIO'!$G$15:$G$214,0)),IFERROR(INDEX('CALENDARIO'!$C$15:$C$214,MATCH(TEXT($J1110,"yyyy-mm-dd")&amp;"|"&amp;$X1110&amp;"|",'CALENDARIO'!$G$15:$G$214,0)),IFERROR(INDEX('CALENDARIO'!$C$15:$C$214,MATCH(TEXT($J1110,"yyyy-mm-dd")&amp;"||",'CALENDARIO'!$G$15:$G$214,0)),INDEX(patronHabil,WEEKDAY($J1110,2))))))</f>
        <v/>
      </c>
      <c r="U1110" s="5">
        <f>IF($I1110="","",IFERROR(INDEX('CAT_TIPOS_OT'!$C$4:$C$8,MATCH($I1110,'CAT_TIPOS_OT'!$A$4:$A$8,0)),"sin_clasificar"))</f>
        <v/>
      </c>
      <c r="V1110" s="5">
        <f>IF($I1110="","",IF(IFERROR(INDEX('CAT_TIPOS_OT'!$D$4:$D$8,MATCH($I1110,'CAT_TIPOS_OT'!$A$4:$A$8,0)),"SIN CLASIFICAR")="","SIN CLASIFICAR",IFERROR(INDEX('CAT_TIPOS_OT'!$D$4:$D$8,MATCH($I1110,'CAT_TIPOS_OT'!$A$4:$A$8,0)),"SIN CLASIFICAR")))</f>
        <v/>
      </c>
      <c r="W1110" s="5">
        <f>IF($F1110="","",IFERROR(INDEX('CAT_CENTROS_COSTO'!$F$4:$F$13,MATCH($F1110,'CAT_CENTROS_COSTO'!$A$4:$A$13,0)),"(sin catálogo)"))</f>
        <v/>
      </c>
      <c r="X1110" s="5">
        <f>IF($F1110="","",IFERROR(INDEX('CAT_CENTROS_COSTO'!$D$4:$D$13,MATCH($F1110,'CAT_CENTROS_COSTO'!$A$4:$A$13,0)),"(sin catálogo)"))</f>
        <v/>
      </c>
      <c r="Y1110" s="5">
        <f>IF($F1110="","",IF((IFERROR(INDEX('CAT_CENTROS_COSTO'!$E$4:$E$13,MATCH($F1110,'CAT_CENTROS_COSTO'!$A$4:$A$13,0)),""))&lt;&gt;"",IFERROR(INDEX('CAT_CENTROS_COSTO'!$E$4:$E$13,MATCH($F1110,'CAT_CENTROS_COSTO'!$A$4:$A$13,0)),""),$X1110))</f>
        <v/>
      </c>
      <c r="Z1110" s="5">
        <f>IF($F1110="","",IFERROR(INDEX('CAT_CENTROS_COSTO'!$G$4:$G$13,MATCH($F1110,'CAT_CENTROS_COSTO'!$A$4:$A$13,0)),"(sin catálogo)"))</f>
        <v/>
      </c>
      <c r="AA1110" s="5">
        <f>IF($G1110="","",IFERROR(INDEX('CAT_PUESTOS'!$B$4:$B$8,MATCH($G1110,'CAT_PUESTOS'!$A$4:$A$8,0)),"(sin catálogo)"))</f>
        <v/>
      </c>
      <c r="AB1110" s="5">
        <f>IF($H1110="","",IFERROR(INDEX('CAT_ACTIVIDADES'!$B$4:$B$11,MATCH($H1110,'CAT_ACTIVIDADES'!$A$4:$A$11,0)),"(sin catálogo)"))</f>
        <v/>
      </c>
      <c r="AC1110" s="20">
        <f>IF($J1110="","",TODAY()-$J1110)</f>
        <v/>
      </c>
      <c r="AD1110" s="20">
        <f>IF($J1110="","",IF($J1110&lt;=TODAY(),COUNTIFS(cal_fechas,"&gt;="&amp;$J1110,cal_fechas,"&lt;"&amp;TODAY(),cal_habil,"sí"),-COUNTIFS(cal_fechas,"&gt;="&amp;TODAY(),cal_fechas,"&lt;"&amp;$J1110,cal_habil,"sí")))</f>
        <v/>
      </c>
      <c r="AE1110" s="5">
        <f>IF($AD1110="","",IF($AD1110&lt;0,"FUTURO",IF($AD1110&gt;p_dias_backlog_max,"BACKLOG","MES CORRIENTE")))</f>
        <v/>
      </c>
      <c r="AF1110" s="5">
        <f>IF($AD1110="",FALSE,AND($AD1110&gt;p_dias_backlog_min,$AD1110&lt;=p_dias_backlog_max))</f>
        <v/>
      </c>
      <c r="AG1110" s="4" t="n"/>
      <c r="AH1110" s="5">
        <f>IF($AG1110="","",IF((IFERROR(INDEX('ASIGNACIONES'!$J$4:$J$451,MATCH($O1110&amp;"|"&amp;$S1110&amp;"|"&amp;$AG1110,'ASIGNACIONES'!$N$4:$N$451,0)),""))=0,"",IFERROR(INDEX('ASIGNACIONES'!$J$4:$J$451,MATCH($O1110&amp;"|"&amp;$S1110&amp;"|"&amp;$AG1110,'ASIGNACIONES'!$N$4:$N$451,0)),"")))</f>
        <v/>
      </c>
      <c r="AI1110" s="25">
        <f>IF($AG1110="","",SUMIFS('ORDENES'!$M$4:$M$1203,'ORDENES'!$AG$4:$AG$1203,$AG1110,'ORDENES'!$O$4:$O$1203,$O1110,'ORDENES'!$S$4:$S$1203,$S1110))</f>
        <v/>
      </c>
      <c r="AJ1110" s="25">
        <f>IF($AI1110="","",p_factor_productividad*IFERROR(INDEX('ASIGNACIONES'!$M$4:$M$451,MATCH($O1110&amp;"|"&amp;$S1110&amp;"|"&amp;$AG1110,'ASIGNACIONES'!$N$4:$N$451,0)),0)-$AI1110)</f>
        <v/>
      </c>
      <c r="AK1110" s="18">
        <f>IF($A1110="","",IFERROR(INDEX('2_IMPORTAR_EJECUCION'!$F$9:$F$1208,MATCH($AT1110,'2_IMPORTAR_EJECUCION'!$J$9:$J$1208,0)),0))</f>
        <v/>
      </c>
      <c r="AL1110" s="18">
        <f>IF($A1110="","",MAX(0,IFERROR(INDEX('2_IMPORTAR_EJECUCION'!$H$9:$H$1208,MATCH($AT1110,'2_IMPORTAR_EJECUCION'!$J$9:$J$1208,0)),0)-$AK1110))</f>
        <v/>
      </c>
      <c r="AM1110" s="18">
        <f>IF($A1110="","",$AK1110+$AL1110)</f>
        <v/>
      </c>
      <c r="AN1110" s="5">
        <f>IF($A1110="","",IF(OR((IFERROR(INDEX('CAT_ACTIVIDADES'!$D$4:$D$11,MATCH($H1110,'CAT_ACTIVIDADES'!$A$4:$A$11,0)),""))=0,(IFERROR(INDEX('CAT_ACTIVIDADES'!$D$4:$D$11,MATCH($H1110,'CAT_ACTIVIDADES'!$A$4:$A$11,0)),""))=""),"SIN CLASIFICAR",IFERROR(INDEX('CAT_ACTIVIDADES'!$D$4:$D$11,MATCH($H1110,'CAT_ACTIVIDADES'!$A$4:$A$11,0)),"")))</f>
        <v/>
      </c>
      <c r="AO1110" s="4" t="n"/>
      <c r="AP1110" s="4" t="n"/>
      <c r="AQ1110" s="4" t="n"/>
      <c r="AR1110" s="5">
        <f>IF($AQ1110="","",HYPERLINK(p_ruta_base_checklists&amp;$AQ1110,"abrir"))</f>
        <v/>
      </c>
      <c r="AS1110" s="4" t="n"/>
      <c r="AT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2" t="n"/>
      <c r="K1111" s="5" t="n"/>
      <c r="L1111" s="18" t="n"/>
      <c r="M1111" s="5">
        <f>IF($A1111="","",IFERROR(INDEX('AJUSTES'!$B$4:$B$303,MATCH($AT1111,'AJUSTES'!$A$4:$A$303,0)),IF($K1111="","",$K1111)))</f>
        <v/>
      </c>
      <c r="N1111" s="5">
        <f>IF($A1111="","",IFERROR(INDEX('CAT_ESTADOS_ERP'!$B$4:$B$7,MATCH(IFERROR(INDEX('2_IMPORTAR_EJECUCION'!$C$9:$C$1208,MATCH($AT1111,'2_IMPORTAR_EJECUCION'!$J$9:$J$1208,0)),""),'CAT_ESTADOS_ERP'!$A$4:$A$7,0)),"Pendiente"))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IF($J1111="","",$P1111&amp;"-"&amp;TEXT($Q1111,"00"))</f>
        <v/>
      </c>
      <c r="S1111" s="5">
        <f>IF($J1111="","",INDEX(lista_dias,WEEKDAY($J1111,2)))</f>
        <v/>
      </c>
      <c r="T1111" s="5">
        <f>IF($J1111="","",IFERROR(INDEX('CALENDARIO'!$C$15:$C$214,MATCH(TEXT($J1111,"yyyy-mm-dd")&amp;"|"&amp;$X1111&amp;"|"&amp;$Y1111,'CALENDARIO'!$G$15:$G$214,0)),IFERROR(INDEX('CALENDARIO'!$C$15:$C$214,MATCH(TEXT($J1111,"yyyy-mm-dd")&amp;"|"&amp;$X1111&amp;"|",'CALENDARIO'!$G$15:$G$214,0)),IFERROR(INDEX('CALENDARIO'!$C$15:$C$214,MATCH(TEXT($J1111,"yyyy-mm-dd")&amp;"||",'CALENDARIO'!$G$15:$G$214,0)),INDEX(patronHabil,WEEKDAY($J1111,2))))))</f>
        <v/>
      </c>
      <c r="U1111" s="5">
        <f>IF($I1111="","",IFERROR(INDEX('CAT_TIPOS_OT'!$C$4:$C$8,MATCH($I1111,'CAT_TIPOS_OT'!$A$4:$A$8,0)),"sin_clasificar"))</f>
        <v/>
      </c>
      <c r="V1111" s="5">
        <f>IF($I1111="","",IF(IFERROR(INDEX('CAT_TIPOS_OT'!$D$4:$D$8,MATCH($I1111,'CAT_TIPOS_OT'!$A$4:$A$8,0)),"SIN CLASIFICAR")="","SIN CLASIFICAR",IFERROR(INDEX('CAT_TIPOS_OT'!$D$4:$D$8,MATCH($I1111,'CAT_TIPOS_OT'!$A$4:$A$8,0)),"SIN CLASIFICAR")))</f>
        <v/>
      </c>
      <c r="W1111" s="5">
        <f>IF($F1111="","",IFERROR(INDEX('CAT_CENTROS_COSTO'!$F$4:$F$13,MATCH($F1111,'CAT_CENTROS_COSTO'!$A$4:$A$13,0)),"(sin catálogo)"))</f>
        <v/>
      </c>
      <c r="X1111" s="5">
        <f>IF($F1111="","",IFERROR(INDEX('CAT_CENTROS_COSTO'!$D$4:$D$13,MATCH($F1111,'CAT_CENTROS_COSTO'!$A$4:$A$13,0)),"(sin catálogo)"))</f>
        <v/>
      </c>
      <c r="Y1111" s="5">
        <f>IF($F1111="","",IF((IFERROR(INDEX('CAT_CENTROS_COSTO'!$E$4:$E$13,MATCH($F1111,'CAT_CENTROS_COSTO'!$A$4:$A$13,0)),""))&lt;&gt;"",IFERROR(INDEX('CAT_CENTROS_COSTO'!$E$4:$E$13,MATCH($F1111,'CAT_CENTROS_COSTO'!$A$4:$A$13,0)),""),$X1111))</f>
        <v/>
      </c>
      <c r="Z1111" s="5">
        <f>IF($F1111="","",IFERROR(INDEX('CAT_CENTROS_COSTO'!$G$4:$G$13,MATCH($F1111,'CAT_CENTROS_COSTO'!$A$4:$A$13,0)),"(sin catálogo)"))</f>
        <v/>
      </c>
      <c r="AA1111" s="5">
        <f>IF($G1111="","",IFERROR(INDEX('CAT_PUESTOS'!$B$4:$B$8,MATCH($G1111,'CAT_PUESTOS'!$A$4:$A$8,0)),"(sin catálogo)"))</f>
        <v/>
      </c>
      <c r="AB1111" s="5">
        <f>IF($H1111="","",IFERROR(INDEX('CAT_ACTIVIDADES'!$B$4:$B$11,MATCH($H1111,'CAT_ACTIVIDADES'!$A$4:$A$11,0)),"(sin catálogo)"))</f>
        <v/>
      </c>
      <c r="AC1111" s="20">
        <f>IF($J1111="","",TODAY()-$J1111)</f>
        <v/>
      </c>
      <c r="AD1111" s="20">
        <f>IF($J1111="","",IF($J1111&lt;=TODAY(),COUNTIFS(cal_fechas,"&gt;="&amp;$J1111,cal_fechas,"&lt;"&amp;TODAY(),cal_habil,"sí"),-COUNTIFS(cal_fechas,"&gt;="&amp;TODAY(),cal_fechas,"&lt;"&amp;$J1111,cal_habil,"sí")))</f>
        <v/>
      </c>
      <c r="AE1111" s="5">
        <f>IF($AD1111="","",IF($AD1111&lt;0,"FUTURO",IF($AD1111&gt;p_dias_backlog_max,"BACKLOG","MES CORRIENTE")))</f>
        <v/>
      </c>
      <c r="AF1111" s="5">
        <f>IF($AD1111="",FALSE,AND($AD1111&gt;p_dias_backlog_min,$AD1111&lt;=p_dias_backlog_max))</f>
        <v/>
      </c>
      <c r="AG1111" s="4" t="n"/>
      <c r="AH1111" s="5">
        <f>IF($AG1111="","",IF((IFERROR(INDEX('ASIGNACIONES'!$J$4:$J$451,MATCH($O1111&amp;"|"&amp;$S1111&amp;"|"&amp;$AG1111,'ASIGNACIONES'!$N$4:$N$451,0)),""))=0,"",IFERROR(INDEX('ASIGNACIONES'!$J$4:$J$451,MATCH($O1111&amp;"|"&amp;$S1111&amp;"|"&amp;$AG1111,'ASIGNACIONES'!$N$4:$N$451,0)),"")))</f>
        <v/>
      </c>
      <c r="AI1111" s="25">
        <f>IF($AG1111="","",SUMIFS('ORDENES'!$M$4:$M$1203,'ORDENES'!$AG$4:$AG$1203,$AG1111,'ORDENES'!$O$4:$O$1203,$O1111,'ORDENES'!$S$4:$S$1203,$S1111))</f>
        <v/>
      </c>
      <c r="AJ1111" s="25">
        <f>IF($AI1111="","",p_factor_productividad*IFERROR(INDEX('ASIGNACIONES'!$M$4:$M$451,MATCH($O1111&amp;"|"&amp;$S1111&amp;"|"&amp;$AG1111,'ASIGNACIONES'!$N$4:$N$451,0)),0)-$AI1111)</f>
        <v/>
      </c>
      <c r="AK1111" s="18">
        <f>IF($A1111="","",IFERROR(INDEX('2_IMPORTAR_EJECUCION'!$F$9:$F$1208,MATCH($AT1111,'2_IMPORTAR_EJECUCION'!$J$9:$J$1208,0)),0))</f>
        <v/>
      </c>
      <c r="AL1111" s="18">
        <f>IF($A1111="","",MAX(0,IFERROR(INDEX('2_IMPORTAR_EJECUCION'!$H$9:$H$1208,MATCH($AT1111,'2_IMPORTAR_EJECUCION'!$J$9:$J$1208,0)),0)-$AK1111))</f>
        <v/>
      </c>
      <c r="AM1111" s="18">
        <f>IF($A1111="","",$AK1111+$AL1111)</f>
        <v/>
      </c>
      <c r="AN1111" s="5">
        <f>IF($A1111="","",IF(OR((IFERROR(INDEX('CAT_ACTIVIDADES'!$D$4:$D$11,MATCH($H1111,'CAT_ACTIVIDADES'!$A$4:$A$11,0)),""))=0,(IFERROR(INDEX('CAT_ACTIVIDADES'!$D$4:$D$11,MATCH($H1111,'CAT_ACTIVIDADES'!$A$4:$A$11,0)),""))=""),"SIN CLASIFICAR",IFERROR(INDEX('CAT_ACTIVIDADES'!$D$4:$D$11,MATCH($H1111,'CAT_ACTIVIDADES'!$A$4:$A$11,0)),"")))</f>
        <v/>
      </c>
      <c r="AO1111" s="4" t="n"/>
      <c r="AP1111" s="4" t="n"/>
      <c r="AQ1111" s="4" t="n"/>
      <c r="AR1111" s="5">
        <f>IF($AQ1111="","",HYPERLINK(p_ruta_base_checklists&amp;$AQ1111,"abrir"))</f>
        <v/>
      </c>
      <c r="AS1111" s="4" t="n"/>
      <c r="AT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2" t="n"/>
      <c r="K1112" s="5" t="n"/>
      <c r="L1112" s="18" t="n"/>
      <c r="M1112" s="5">
        <f>IF($A1112="","",IFERROR(INDEX('AJUSTES'!$B$4:$B$303,MATCH($AT1112,'AJUSTES'!$A$4:$A$303,0)),IF($K1112="","",$K1112)))</f>
        <v/>
      </c>
      <c r="N1112" s="5">
        <f>IF($A1112="","",IFERROR(INDEX('CAT_ESTADOS_ERP'!$B$4:$B$7,MATCH(IFERROR(INDEX('2_IMPORTAR_EJECUCION'!$C$9:$C$1208,MATCH($AT1112,'2_IMPORTAR_EJECUCION'!$J$9:$J$1208,0)),""),'CAT_ESTADOS_ERP'!$A$4:$A$7,0)),"Pendiente"))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IF($J1112="","",$P1112&amp;"-"&amp;TEXT($Q1112,"00"))</f>
        <v/>
      </c>
      <c r="S1112" s="5">
        <f>IF($J1112="","",INDEX(lista_dias,WEEKDAY($J1112,2)))</f>
        <v/>
      </c>
      <c r="T1112" s="5">
        <f>IF($J1112="","",IFERROR(INDEX('CALENDARIO'!$C$15:$C$214,MATCH(TEXT($J1112,"yyyy-mm-dd")&amp;"|"&amp;$X1112&amp;"|"&amp;$Y1112,'CALENDARIO'!$G$15:$G$214,0)),IFERROR(INDEX('CALENDARIO'!$C$15:$C$214,MATCH(TEXT($J1112,"yyyy-mm-dd")&amp;"|"&amp;$X1112&amp;"|",'CALENDARIO'!$G$15:$G$214,0)),IFERROR(INDEX('CALENDARIO'!$C$15:$C$214,MATCH(TEXT($J1112,"yyyy-mm-dd")&amp;"||",'CALENDARIO'!$G$15:$G$214,0)),INDEX(patronHabil,WEEKDAY($J1112,2))))))</f>
        <v/>
      </c>
      <c r="U1112" s="5">
        <f>IF($I1112="","",IFERROR(INDEX('CAT_TIPOS_OT'!$C$4:$C$8,MATCH($I1112,'CAT_TIPOS_OT'!$A$4:$A$8,0)),"sin_clasificar"))</f>
        <v/>
      </c>
      <c r="V1112" s="5">
        <f>IF($I1112="","",IF(IFERROR(INDEX('CAT_TIPOS_OT'!$D$4:$D$8,MATCH($I1112,'CAT_TIPOS_OT'!$A$4:$A$8,0)),"SIN CLASIFICAR")="","SIN CLASIFICAR",IFERROR(INDEX('CAT_TIPOS_OT'!$D$4:$D$8,MATCH($I1112,'CAT_TIPOS_OT'!$A$4:$A$8,0)),"SIN CLASIFICAR")))</f>
        <v/>
      </c>
      <c r="W1112" s="5">
        <f>IF($F1112="","",IFERROR(INDEX('CAT_CENTROS_COSTO'!$F$4:$F$13,MATCH($F1112,'CAT_CENTROS_COSTO'!$A$4:$A$13,0)),"(sin catálogo)"))</f>
        <v/>
      </c>
      <c r="X1112" s="5">
        <f>IF($F1112="","",IFERROR(INDEX('CAT_CENTROS_COSTO'!$D$4:$D$13,MATCH($F1112,'CAT_CENTROS_COSTO'!$A$4:$A$13,0)),"(sin catálogo)"))</f>
        <v/>
      </c>
      <c r="Y1112" s="5">
        <f>IF($F1112="","",IF((IFERROR(INDEX('CAT_CENTROS_COSTO'!$E$4:$E$13,MATCH($F1112,'CAT_CENTROS_COSTO'!$A$4:$A$13,0)),""))&lt;&gt;"",IFERROR(INDEX('CAT_CENTROS_COSTO'!$E$4:$E$13,MATCH($F1112,'CAT_CENTROS_COSTO'!$A$4:$A$13,0)),""),$X1112))</f>
        <v/>
      </c>
      <c r="Z1112" s="5">
        <f>IF($F1112="","",IFERROR(INDEX('CAT_CENTROS_COSTO'!$G$4:$G$13,MATCH($F1112,'CAT_CENTROS_COSTO'!$A$4:$A$13,0)),"(sin catálogo)"))</f>
        <v/>
      </c>
      <c r="AA1112" s="5">
        <f>IF($G1112="","",IFERROR(INDEX('CAT_PUESTOS'!$B$4:$B$8,MATCH($G1112,'CAT_PUESTOS'!$A$4:$A$8,0)),"(sin catálogo)"))</f>
        <v/>
      </c>
      <c r="AB1112" s="5">
        <f>IF($H1112="","",IFERROR(INDEX('CAT_ACTIVIDADES'!$B$4:$B$11,MATCH($H1112,'CAT_ACTIVIDADES'!$A$4:$A$11,0)),"(sin catálogo)"))</f>
        <v/>
      </c>
      <c r="AC1112" s="20">
        <f>IF($J1112="","",TODAY()-$J1112)</f>
        <v/>
      </c>
      <c r="AD1112" s="20">
        <f>IF($J1112="","",IF($J1112&lt;=TODAY(),COUNTIFS(cal_fechas,"&gt;="&amp;$J1112,cal_fechas,"&lt;"&amp;TODAY(),cal_habil,"sí"),-COUNTIFS(cal_fechas,"&gt;="&amp;TODAY(),cal_fechas,"&lt;"&amp;$J1112,cal_habil,"sí")))</f>
        <v/>
      </c>
      <c r="AE1112" s="5">
        <f>IF($AD1112="","",IF($AD1112&lt;0,"FUTURO",IF($AD1112&gt;p_dias_backlog_max,"BACKLOG","MES CORRIENTE")))</f>
        <v/>
      </c>
      <c r="AF1112" s="5">
        <f>IF($AD1112="",FALSE,AND($AD1112&gt;p_dias_backlog_min,$AD1112&lt;=p_dias_backlog_max))</f>
        <v/>
      </c>
      <c r="AG1112" s="4" t="n"/>
      <c r="AH1112" s="5">
        <f>IF($AG1112="","",IF((IFERROR(INDEX('ASIGNACIONES'!$J$4:$J$451,MATCH($O1112&amp;"|"&amp;$S1112&amp;"|"&amp;$AG1112,'ASIGNACIONES'!$N$4:$N$451,0)),""))=0,"",IFERROR(INDEX('ASIGNACIONES'!$J$4:$J$451,MATCH($O1112&amp;"|"&amp;$S1112&amp;"|"&amp;$AG1112,'ASIGNACIONES'!$N$4:$N$451,0)),"")))</f>
        <v/>
      </c>
      <c r="AI1112" s="25">
        <f>IF($AG1112="","",SUMIFS('ORDENES'!$M$4:$M$1203,'ORDENES'!$AG$4:$AG$1203,$AG1112,'ORDENES'!$O$4:$O$1203,$O1112,'ORDENES'!$S$4:$S$1203,$S1112))</f>
        <v/>
      </c>
      <c r="AJ1112" s="25">
        <f>IF($AI1112="","",p_factor_productividad*IFERROR(INDEX('ASIGNACIONES'!$M$4:$M$451,MATCH($O1112&amp;"|"&amp;$S1112&amp;"|"&amp;$AG1112,'ASIGNACIONES'!$N$4:$N$451,0)),0)-$AI1112)</f>
        <v/>
      </c>
      <c r="AK1112" s="18">
        <f>IF($A1112="","",IFERROR(INDEX('2_IMPORTAR_EJECUCION'!$F$9:$F$1208,MATCH($AT1112,'2_IMPORTAR_EJECUCION'!$J$9:$J$1208,0)),0))</f>
        <v/>
      </c>
      <c r="AL1112" s="18">
        <f>IF($A1112="","",MAX(0,IFERROR(INDEX('2_IMPORTAR_EJECUCION'!$H$9:$H$1208,MATCH($AT1112,'2_IMPORTAR_EJECUCION'!$J$9:$J$1208,0)),0)-$AK1112))</f>
        <v/>
      </c>
      <c r="AM1112" s="18">
        <f>IF($A1112="","",$AK1112+$AL1112)</f>
        <v/>
      </c>
      <c r="AN1112" s="5">
        <f>IF($A1112="","",IF(OR((IFERROR(INDEX('CAT_ACTIVIDADES'!$D$4:$D$11,MATCH($H1112,'CAT_ACTIVIDADES'!$A$4:$A$11,0)),""))=0,(IFERROR(INDEX('CAT_ACTIVIDADES'!$D$4:$D$11,MATCH($H1112,'CAT_ACTIVIDADES'!$A$4:$A$11,0)),""))=""),"SIN CLASIFICAR",IFERROR(INDEX('CAT_ACTIVIDADES'!$D$4:$D$11,MATCH($H1112,'CAT_ACTIVIDADES'!$A$4:$A$11,0)),"")))</f>
        <v/>
      </c>
      <c r="AO1112" s="4" t="n"/>
      <c r="AP1112" s="4" t="n"/>
      <c r="AQ1112" s="4" t="n"/>
      <c r="AR1112" s="5">
        <f>IF($AQ1112="","",HYPERLINK(p_ruta_base_checklists&amp;$AQ1112,"abrir"))</f>
        <v/>
      </c>
      <c r="AS1112" s="4" t="n"/>
      <c r="AT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2" t="n"/>
      <c r="K1113" s="5" t="n"/>
      <c r="L1113" s="18" t="n"/>
      <c r="M1113" s="5">
        <f>IF($A1113="","",IFERROR(INDEX('AJUSTES'!$B$4:$B$303,MATCH($AT1113,'AJUSTES'!$A$4:$A$303,0)),IF($K1113="","",$K1113)))</f>
        <v/>
      </c>
      <c r="N1113" s="5">
        <f>IF($A1113="","",IFERROR(INDEX('CAT_ESTADOS_ERP'!$B$4:$B$7,MATCH(IFERROR(INDEX('2_IMPORTAR_EJECUCION'!$C$9:$C$1208,MATCH($AT1113,'2_IMPORTAR_EJECUCION'!$J$9:$J$1208,0)),""),'CAT_ESTADOS_ERP'!$A$4:$A$7,0)),"Pendiente"))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IF($J1113="","",$P1113&amp;"-"&amp;TEXT($Q1113,"00"))</f>
        <v/>
      </c>
      <c r="S1113" s="5">
        <f>IF($J1113="","",INDEX(lista_dias,WEEKDAY($J1113,2)))</f>
        <v/>
      </c>
      <c r="T1113" s="5">
        <f>IF($J1113="","",IFERROR(INDEX('CALENDARIO'!$C$15:$C$214,MATCH(TEXT($J1113,"yyyy-mm-dd")&amp;"|"&amp;$X1113&amp;"|"&amp;$Y1113,'CALENDARIO'!$G$15:$G$214,0)),IFERROR(INDEX('CALENDARIO'!$C$15:$C$214,MATCH(TEXT($J1113,"yyyy-mm-dd")&amp;"|"&amp;$X1113&amp;"|",'CALENDARIO'!$G$15:$G$214,0)),IFERROR(INDEX('CALENDARIO'!$C$15:$C$214,MATCH(TEXT($J1113,"yyyy-mm-dd")&amp;"||",'CALENDARIO'!$G$15:$G$214,0)),INDEX(patronHabil,WEEKDAY($J1113,2))))))</f>
        <v/>
      </c>
      <c r="U1113" s="5">
        <f>IF($I1113="","",IFERROR(INDEX('CAT_TIPOS_OT'!$C$4:$C$8,MATCH($I1113,'CAT_TIPOS_OT'!$A$4:$A$8,0)),"sin_clasificar"))</f>
        <v/>
      </c>
      <c r="V1113" s="5">
        <f>IF($I1113="","",IF(IFERROR(INDEX('CAT_TIPOS_OT'!$D$4:$D$8,MATCH($I1113,'CAT_TIPOS_OT'!$A$4:$A$8,0)),"SIN CLASIFICAR")="","SIN CLASIFICAR",IFERROR(INDEX('CAT_TIPOS_OT'!$D$4:$D$8,MATCH($I1113,'CAT_TIPOS_OT'!$A$4:$A$8,0)),"SIN CLASIFICAR")))</f>
        <v/>
      </c>
      <c r="W1113" s="5">
        <f>IF($F1113="","",IFERROR(INDEX('CAT_CENTROS_COSTO'!$F$4:$F$13,MATCH($F1113,'CAT_CENTROS_COSTO'!$A$4:$A$13,0)),"(sin catálogo)"))</f>
        <v/>
      </c>
      <c r="X1113" s="5">
        <f>IF($F1113="","",IFERROR(INDEX('CAT_CENTROS_COSTO'!$D$4:$D$13,MATCH($F1113,'CAT_CENTROS_COSTO'!$A$4:$A$13,0)),"(sin catálogo)"))</f>
        <v/>
      </c>
      <c r="Y1113" s="5">
        <f>IF($F1113="","",IF((IFERROR(INDEX('CAT_CENTROS_COSTO'!$E$4:$E$13,MATCH($F1113,'CAT_CENTROS_COSTO'!$A$4:$A$13,0)),""))&lt;&gt;"",IFERROR(INDEX('CAT_CENTROS_COSTO'!$E$4:$E$13,MATCH($F1113,'CAT_CENTROS_COSTO'!$A$4:$A$13,0)),""),$X1113))</f>
        <v/>
      </c>
      <c r="Z1113" s="5">
        <f>IF($F1113="","",IFERROR(INDEX('CAT_CENTROS_COSTO'!$G$4:$G$13,MATCH($F1113,'CAT_CENTROS_COSTO'!$A$4:$A$13,0)),"(sin catálogo)"))</f>
        <v/>
      </c>
      <c r="AA1113" s="5">
        <f>IF($G1113="","",IFERROR(INDEX('CAT_PUESTOS'!$B$4:$B$8,MATCH($G1113,'CAT_PUESTOS'!$A$4:$A$8,0)),"(sin catálogo)"))</f>
        <v/>
      </c>
      <c r="AB1113" s="5">
        <f>IF($H1113="","",IFERROR(INDEX('CAT_ACTIVIDADES'!$B$4:$B$11,MATCH($H1113,'CAT_ACTIVIDADES'!$A$4:$A$11,0)),"(sin catálogo)"))</f>
        <v/>
      </c>
      <c r="AC1113" s="20">
        <f>IF($J1113="","",TODAY()-$J1113)</f>
        <v/>
      </c>
      <c r="AD1113" s="20">
        <f>IF($J1113="","",IF($J1113&lt;=TODAY(),COUNTIFS(cal_fechas,"&gt;="&amp;$J1113,cal_fechas,"&lt;"&amp;TODAY(),cal_habil,"sí"),-COUNTIFS(cal_fechas,"&gt;="&amp;TODAY(),cal_fechas,"&lt;"&amp;$J1113,cal_habil,"sí")))</f>
        <v/>
      </c>
      <c r="AE1113" s="5">
        <f>IF($AD1113="","",IF($AD1113&lt;0,"FUTURO",IF($AD1113&gt;p_dias_backlog_max,"BACKLOG","MES CORRIENTE")))</f>
        <v/>
      </c>
      <c r="AF1113" s="5">
        <f>IF($AD1113="",FALSE,AND($AD1113&gt;p_dias_backlog_min,$AD1113&lt;=p_dias_backlog_max))</f>
        <v/>
      </c>
      <c r="AG1113" s="4" t="n"/>
      <c r="AH1113" s="5">
        <f>IF($AG1113="","",IF((IFERROR(INDEX('ASIGNACIONES'!$J$4:$J$451,MATCH($O1113&amp;"|"&amp;$S1113&amp;"|"&amp;$AG1113,'ASIGNACIONES'!$N$4:$N$451,0)),""))=0,"",IFERROR(INDEX('ASIGNACIONES'!$J$4:$J$451,MATCH($O1113&amp;"|"&amp;$S1113&amp;"|"&amp;$AG1113,'ASIGNACIONES'!$N$4:$N$451,0)),"")))</f>
        <v/>
      </c>
      <c r="AI1113" s="25">
        <f>IF($AG1113="","",SUMIFS('ORDENES'!$M$4:$M$1203,'ORDENES'!$AG$4:$AG$1203,$AG1113,'ORDENES'!$O$4:$O$1203,$O1113,'ORDENES'!$S$4:$S$1203,$S1113))</f>
        <v/>
      </c>
      <c r="AJ1113" s="25">
        <f>IF($AI1113="","",p_factor_productividad*IFERROR(INDEX('ASIGNACIONES'!$M$4:$M$451,MATCH($O1113&amp;"|"&amp;$S1113&amp;"|"&amp;$AG1113,'ASIGNACIONES'!$N$4:$N$451,0)),0)-$AI1113)</f>
        <v/>
      </c>
      <c r="AK1113" s="18">
        <f>IF($A1113="","",IFERROR(INDEX('2_IMPORTAR_EJECUCION'!$F$9:$F$1208,MATCH($AT1113,'2_IMPORTAR_EJECUCION'!$J$9:$J$1208,0)),0))</f>
        <v/>
      </c>
      <c r="AL1113" s="18">
        <f>IF($A1113="","",MAX(0,IFERROR(INDEX('2_IMPORTAR_EJECUCION'!$H$9:$H$1208,MATCH($AT1113,'2_IMPORTAR_EJECUCION'!$J$9:$J$1208,0)),0)-$AK1113))</f>
        <v/>
      </c>
      <c r="AM1113" s="18">
        <f>IF($A1113="","",$AK1113+$AL1113)</f>
        <v/>
      </c>
      <c r="AN1113" s="5">
        <f>IF($A1113="","",IF(OR((IFERROR(INDEX('CAT_ACTIVIDADES'!$D$4:$D$11,MATCH($H1113,'CAT_ACTIVIDADES'!$A$4:$A$11,0)),""))=0,(IFERROR(INDEX('CAT_ACTIVIDADES'!$D$4:$D$11,MATCH($H1113,'CAT_ACTIVIDADES'!$A$4:$A$11,0)),""))=""),"SIN CLASIFICAR",IFERROR(INDEX('CAT_ACTIVIDADES'!$D$4:$D$11,MATCH($H1113,'CAT_ACTIVIDADES'!$A$4:$A$11,0)),"")))</f>
        <v/>
      </c>
      <c r="AO1113" s="4" t="n"/>
      <c r="AP1113" s="4" t="n"/>
      <c r="AQ1113" s="4" t="n"/>
      <c r="AR1113" s="5">
        <f>IF($AQ1113="","",HYPERLINK(p_ruta_base_checklists&amp;$AQ1113,"abrir"))</f>
        <v/>
      </c>
      <c r="AS1113" s="4" t="n"/>
      <c r="AT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2" t="n"/>
      <c r="K1114" s="5" t="n"/>
      <c r="L1114" s="18" t="n"/>
      <c r="M1114" s="5">
        <f>IF($A1114="","",IFERROR(INDEX('AJUSTES'!$B$4:$B$303,MATCH($AT1114,'AJUSTES'!$A$4:$A$303,0)),IF($K1114="","",$K1114)))</f>
        <v/>
      </c>
      <c r="N1114" s="5">
        <f>IF($A1114="","",IFERROR(INDEX('CAT_ESTADOS_ERP'!$B$4:$B$7,MATCH(IFERROR(INDEX('2_IMPORTAR_EJECUCION'!$C$9:$C$1208,MATCH($AT1114,'2_IMPORTAR_EJECUCION'!$J$9:$J$1208,0)),""),'CAT_ESTADOS_ERP'!$A$4:$A$7,0)),"Pendiente"))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IF($J1114="","",$P1114&amp;"-"&amp;TEXT($Q1114,"00"))</f>
        <v/>
      </c>
      <c r="S1114" s="5">
        <f>IF($J1114="","",INDEX(lista_dias,WEEKDAY($J1114,2)))</f>
        <v/>
      </c>
      <c r="T1114" s="5">
        <f>IF($J1114="","",IFERROR(INDEX('CALENDARIO'!$C$15:$C$214,MATCH(TEXT($J1114,"yyyy-mm-dd")&amp;"|"&amp;$X1114&amp;"|"&amp;$Y1114,'CALENDARIO'!$G$15:$G$214,0)),IFERROR(INDEX('CALENDARIO'!$C$15:$C$214,MATCH(TEXT($J1114,"yyyy-mm-dd")&amp;"|"&amp;$X1114&amp;"|",'CALENDARIO'!$G$15:$G$214,0)),IFERROR(INDEX('CALENDARIO'!$C$15:$C$214,MATCH(TEXT($J1114,"yyyy-mm-dd")&amp;"||",'CALENDARIO'!$G$15:$G$214,0)),INDEX(patronHabil,WEEKDAY($J1114,2))))))</f>
        <v/>
      </c>
      <c r="U1114" s="5">
        <f>IF($I1114="","",IFERROR(INDEX('CAT_TIPOS_OT'!$C$4:$C$8,MATCH($I1114,'CAT_TIPOS_OT'!$A$4:$A$8,0)),"sin_clasificar"))</f>
        <v/>
      </c>
      <c r="V1114" s="5">
        <f>IF($I1114="","",IF(IFERROR(INDEX('CAT_TIPOS_OT'!$D$4:$D$8,MATCH($I1114,'CAT_TIPOS_OT'!$A$4:$A$8,0)),"SIN CLASIFICAR")="","SIN CLASIFICAR",IFERROR(INDEX('CAT_TIPOS_OT'!$D$4:$D$8,MATCH($I1114,'CAT_TIPOS_OT'!$A$4:$A$8,0)),"SIN CLASIFICAR")))</f>
        <v/>
      </c>
      <c r="W1114" s="5">
        <f>IF($F1114="","",IFERROR(INDEX('CAT_CENTROS_COSTO'!$F$4:$F$13,MATCH($F1114,'CAT_CENTROS_COSTO'!$A$4:$A$13,0)),"(sin catálogo)"))</f>
        <v/>
      </c>
      <c r="X1114" s="5">
        <f>IF($F1114="","",IFERROR(INDEX('CAT_CENTROS_COSTO'!$D$4:$D$13,MATCH($F1114,'CAT_CENTROS_COSTO'!$A$4:$A$13,0)),"(sin catálogo)"))</f>
        <v/>
      </c>
      <c r="Y1114" s="5">
        <f>IF($F1114="","",IF((IFERROR(INDEX('CAT_CENTROS_COSTO'!$E$4:$E$13,MATCH($F1114,'CAT_CENTROS_COSTO'!$A$4:$A$13,0)),""))&lt;&gt;"",IFERROR(INDEX('CAT_CENTROS_COSTO'!$E$4:$E$13,MATCH($F1114,'CAT_CENTROS_COSTO'!$A$4:$A$13,0)),""),$X1114))</f>
        <v/>
      </c>
      <c r="Z1114" s="5">
        <f>IF($F1114="","",IFERROR(INDEX('CAT_CENTROS_COSTO'!$G$4:$G$13,MATCH($F1114,'CAT_CENTROS_COSTO'!$A$4:$A$13,0)),"(sin catálogo)"))</f>
        <v/>
      </c>
      <c r="AA1114" s="5">
        <f>IF($G1114="","",IFERROR(INDEX('CAT_PUESTOS'!$B$4:$B$8,MATCH($G1114,'CAT_PUESTOS'!$A$4:$A$8,0)),"(sin catálogo)"))</f>
        <v/>
      </c>
      <c r="AB1114" s="5">
        <f>IF($H1114="","",IFERROR(INDEX('CAT_ACTIVIDADES'!$B$4:$B$11,MATCH($H1114,'CAT_ACTIVIDADES'!$A$4:$A$11,0)),"(sin catálogo)"))</f>
        <v/>
      </c>
      <c r="AC1114" s="20">
        <f>IF($J1114="","",TODAY()-$J1114)</f>
        <v/>
      </c>
      <c r="AD1114" s="20">
        <f>IF($J1114="","",IF($J1114&lt;=TODAY(),COUNTIFS(cal_fechas,"&gt;="&amp;$J1114,cal_fechas,"&lt;"&amp;TODAY(),cal_habil,"sí"),-COUNTIFS(cal_fechas,"&gt;="&amp;TODAY(),cal_fechas,"&lt;"&amp;$J1114,cal_habil,"sí")))</f>
        <v/>
      </c>
      <c r="AE1114" s="5">
        <f>IF($AD1114="","",IF($AD1114&lt;0,"FUTURO",IF($AD1114&gt;p_dias_backlog_max,"BACKLOG","MES CORRIENTE")))</f>
        <v/>
      </c>
      <c r="AF1114" s="5">
        <f>IF($AD1114="",FALSE,AND($AD1114&gt;p_dias_backlog_min,$AD1114&lt;=p_dias_backlog_max))</f>
        <v/>
      </c>
      <c r="AG1114" s="4" t="n"/>
      <c r="AH1114" s="5">
        <f>IF($AG1114="","",IF((IFERROR(INDEX('ASIGNACIONES'!$J$4:$J$451,MATCH($O1114&amp;"|"&amp;$S1114&amp;"|"&amp;$AG1114,'ASIGNACIONES'!$N$4:$N$451,0)),""))=0,"",IFERROR(INDEX('ASIGNACIONES'!$J$4:$J$451,MATCH($O1114&amp;"|"&amp;$S1114&amp;"|"&amp;$AG1114,'ASIGNACIONES'!$N$4:$N$451,0)),"")))</f>
        <v/>
      </c>
      <c r="AI1114" s="25">
        <f>IF($AG1114="","",SUMIFS('ORDENES'!$M$4:$M$1203,'ORDENES'!$AG$4:$AG$1203,$AG1114,'ORDENES'!$O$4:$O$1203,$O1114,'ORDENES'!$S$4:$S$1203,$S1114))</f>
        <v/>
      </c>
      <c r="AJ1114" s="25">
        <f>IF($AI1114="","",p_factor_productividad*IFERROR(INDEX('ASIGNACIONES'!$M$4:$M$451,MATCH($O1114&amp;"|"&amp;$S1114&amp;"|"&amp;$AG1114,'ASIGNACIONES'!$N$4:$N$451,0)),0)-$AI1114)</f>
        <v/>
      </c>
      <c r="AK1114" s="18">
        <f>IF($A1114="","",IFERROR(INDEX('2_IMPORTAR_EJECUCION'!$F$9:$F$1208,MATCH($AT1114,'2_IMPORTAR_EJECUCION'!$J$9:$J$1208,0)),0))</f>
        <v/>
      </c>
      <c r="AL1114" s="18">
        <f>IF($A1114="","",MAX(0,IFERROR(INDEX('2_IMPORTAR_EJECUCION'!$H$9:$H$1208,MATCH($AT1114,'2_IMPORTAR_EJECUCION'!$J$9:$J$1208,0)),0)-$AK1114))</f>
        <v/>
      </c>
      <c r="AM1114" s="18">
        <f>IF($A1114="","",$AK1114+$AL1114)</f>
        <v/>
      </c>
      <c r="AN1114" s="5">
        <f>IF($A1114="","",IF(OR((IFERROR(INDEX('CAT_ACTIVIDADES'!$D$4:$D$11,MATCH($H1114,'CAT_ACTIVIDADES'!$A$4:$A$11,0)),""))=0,(IFERROR(INDEX('CAT_ACTIVIDADES'!$D$4:$D$11,MATCH($H1114,'CAT_ACTIVIDADES'!$A$4:$A$11,0)),""))=""),"SIN CLASIFICAR",IFERROR(INDEX('CAT_ACTIVIDADES'!$D$4:$D$11,MATCH($H1114,'CAT_ACTIVIDADES'!$A$4:$A$11,0)),"")))</f>
        <v/>
      </c>
      <c r="AO1114" s="4" t="n"/>
      <c r="AP1114" s="4" t="n"/>
      <c r="AQ1114" s="4" t="n"/>
      <c r="AR1114" s="5">
        <f>IF($AQ1114="","",HYPERLINK(p_ruta_base_checklists&amp;$AQ1114,"abrir"))</f>
        <v/>
      </c>
      <c r="AS1114" s="4" t="n"/>
      <c r="AT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2" t="n"/>
      <c r="K1115" s="5" t="n"/>
      <c r="L1115" s="18" t="n"/>
      <c r="M1115" s="5">
        <f>IF($A1115="","",IFERROR(INDEX('AJUSTES'!$B$4:$B$303,MATCH($AT1115,'AJUSTES'!$A$4:$A$303,0)),IF($K1115="","",$K1115)))</f>
        <v/>
      </c>
      <c r="N1115" s="5">
        <f>IF($A1115="","",IFERROR(INDEX('CAT_ESTADOS_ERP'!$B$4:$B$7,MATCH(IFERROR(INDEX('2_IMPORTAR_EJECUCION'!$C$9:$C$1208,MATCH($AT1115,'2_IMPORTAR_EJECUCION'!$J$9:$J$1208,0)),""),'CAT_ESTADOS_ERP'!$A$4:$A$7,0)),"Pendiente"))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IF($J1115="","",$P1115&amp;"-"&amp;TEXT($Q1115,"00"))</f>
        <v/>
      </c>
      <c r="S1115" s="5">
        <f>IF($J1115="","",INDEX(lista_dias,WEEKDAY($J1115,2)))</f>
        <v/>
      </c>
      <c r="T1115" s="5">
        <f>IF($J1115="","",IFERROR(INDEX('CALENDARIO'!$C$15:$C$214,MATCH(TEXT($J1115,"yyyy-mm-dd")&amp;"|"&amp;$X1115&amp;"|"&amp;$Y1115,'CALENDARIO'!$G$15:$G$214,0)),IFERROR(INDEX('CALENDARIO'!$C$15:$C$214,MATCH(TEXT($J1115,"yyyy-mm-dd")&amp;"|"&amp;$X1115&amp;"|",'CALENDARIO'!$G$15:$G$214,0)),IFERROR(INDEX('CALENDARIO'!$C$15:$C$214,MATCH(TEXT($J1115,"yyyy-mm-dd")&amp;"||",'CALENDARIO'!$G$15:$G$214,0)),INDEX(patronHabil,WEEKDAY($J1115,2))))))</f>
        <v/>
      </c>
      <c r="U1115" s="5">
        <f>IF($I1115="","",IFERROR(INDEX('CAT_TIPOS_OT'!$C$4:$C$8,MATCH($I1115,'CAT_TIPOS_OT'!$A$4:$A$8,0)),"sin_clasificar"))</f>
        <v/>
      </c>
      <c r="V1115" s="5">
        <f>IF($I1115="","",IF(IFERROR(INDEX('CAT_TIPOS_OT'!$D$4:$D$8,MATCH($I1115,'CAT_TIPOS_OT'!$A$4:$A$8,0)),"SIN CLASIFICAR")="","SIN CLASIFICAR",IFERROR(INDEX('CAT_TIPOS_OT'!$D$4:$D$8,MATCH($I1115,'CAT_TIPOS_OT'!$A$4:$A$8,0)),"SIN CLASIFICAR")))</f>
        <v/>
      </c>
      <c r="W1115" s="5">
        <f>IF($F1115="","",IFERROR(INDEX('CAT_CENTROS_COSTO'!$F$4:$F$13,MATCH($F1115,'CAT_CENTROS_COSTO'!$A$4:$A$13,0)),"(sin catálogo)"))</f>
        <v/>
      </c>
      <c r="X1115" s="5">
        <f>IF($F1115="","",IFERROR(INDEX('CAT_CENTROS_COSTO'!$D$4:$D$13,MATCH($F1115,'CAT_CENTROS_COSTO'!$A$4:$A$13,0)),"(sin catálogo)"))</f>
        <v/>
      </c>
      <c r="Y1115" s="5">
        <f>IF($F1115="","",IF((IFERROR(INDEX('CAT_CENTROS_COSTO'!$E$4:$E$13,MATCH($F1115,'CAT_CENTROS_COSTO'!$A$4:$A$13,0)),""))&lt;&gt;"",IFERROR(INDEX('CAT_CENTROS_COSTO'!$E$4:$E$13,MATCH($F1115,'CAT_CENTROS_COSTO'!$A$4:$A$13,0)),""),$X1115))</f>
        <v/>
      </c>
      <c r="Z1115" s="5">
        <f>IF($F1115="","",IFERROR(INDEX('CAT_CENTROS_COSTO'!$G$4:$G$13,MATCH($F1115,'CAT_CENTROS_COSTO'!$A$4:$A$13,0)),"(sin catálogo)"))</f>
        <v/>
      </c>
      <c r="AA1115" s="5">
        <f>IF($G1115="","",IFERROR(INDEX('CAT_PUESTOS'!$B$4:$B$8,MATCH($G1115,'CAT_PUESTOS'!$A$4:$A$8,0)),"(sin catálogo)"))</f>
        <v/>
      </c>
      <c r="AB1115" s="5">
        <f>IF($H1115="","",IFERROR(INDEX('CAT_ACTIVIDADES'!$B$4:$B$11,MATCH($H1115,'CAT_ACTIVIDADES'!$A$4:$A$11,0)),"(sin catálogo)"))</f>
        <v/>
      </c>
      <c r="AC1115" s="20">
        <f>IF($J1115="","",TODAY()-$J1115)</f>
        <v/>
      </c>
      <c r="AD1115" s="20">
        <f>IF($J1115="","",IF($J1115&lt;=TODAY(),COUNTIFS(cal_fechas,"&gt;="&amp;$J1115,cal_fechas,"&lt;"&amp;TODAY(),cal_habil,"sí"),-COUNTIFS(cal_fechas,"&gt;="&amp;TODAY(),cal_fechas,"&lt;"&amp;$J1115,cal_habil,"sí")))</f>
        <v/>
      </c>
      <c r="AE1115" s="5">
        <f>IF($AD1115="","",IF($AD1115&lt;0,"FUTURO",IF($AD1115&gt;p_dias_backlog_max,"BACKLOG","MES CORRIENTE")))</f>
        <v/>
      </c>
      <c r="AF1115" s="5">
        <f>IF($AD1115="",FALSE,AND($AD1115&gt;p_dias_backlog_min,$AD1115&lt;=p_dias_backlog_max))</f>
        <v/>
      </c>
      <c r="AG1115" s="4" t="n"/>
      <c r="AH1115" s="5">
        <f>IF($AG1115="","",IF((IFERROR(INDEX('ASIGNACIONES'!$J$4:$J$451,MATCH($O1115&amp;"|"&amp;$S1115&amp;"|"&amp;$AG1115,'ASIGNACIONES'!$N$4:$N$451,0)),""))=0,"",IFERROR(INDEX('ASIGNACIONES'!$J$4:$J$451,MATCH($O1115&amp;"|"&amp;$S1115&amp;"|"&amp;$AG1115,'ASIGNACIONES'!$N$4:$N$451,0)),"")))</f>
        <v/>
      </c>
      <c r="AI1115" s="25">
        <f>IF($AG1115="","",SUMIFS('ORDENES'!$M$4:$M$1203,'ORDENES'!$AG$4:$AG$1203,$AG1115,'ORDENES'!$O$4:$O$1203,$O1115,'ORDENES'!$S$4:$S$1203,$S1115))</f>
        <v/>
      </c>
      <c r="AJ1115" s="25">
        <f>IF($AI1115="","",p_factor_productividad*IFERROR(INDEX('ASIGNACIONES'!$M$4:$M$451,MATCH($O1115&amp;"|"&amp;$S1115&amp;"|"&amp;$AG1115,'ASIGNACIONES'!$N$4:$N$451,0)),0)-$AI1115)</f>
        <v/>
      </c>
      <c r="AK1115" s="18">
        <f>IF($A1115="","",IFERROR(INDEX('2_IMPORTAR_EJECUCION'!$F$9:$F$1208,MATCH($AT1115,'2_IMPORTAR_EJECUCION'!$J$9:$J$1208,0)),0))</f>
        <v/>
      </c>
      <c r="AL1115" s="18">
        <f>IF($A1115="","",MAX(0,IFERROR(INDEX('2_IMPORTAR_EJECUCION'!$H$9:$H$1208,MATCH($AT1115,'2_IMPORTAR_EJECUCION'!$J$9:$J$1208,0)),0)-$AK1115))</f>
        <v/>
      </c>
      <c r="AM1115" s="18">
        <f>IF($A1115="","",$AK1115+$AL1115)</f>
        <v/>
      </c>
      <c r="AN1115" s="5">
        <f>IF($A1115="","",IF(OR((IFERROR(INDEX('CAT_ACTIVIDADES'!$D$4:$D$11,MATCH($H1115,'CAT_ACTIVIDADES'!$A$4:$A$11,0)),""))=0,(IFERROR(INDEX('CAT_ACTIVIDADES'!$D$4:$D$11,MATCH($H1115,'CAT_ACTIVIDADES'!$A$4:$A$11,0)),""))=""),"SIN CLASIFICAR",IFERROR(INDEX('CAT_ACTIVIDADES'!$D$4:$D$11,MATCH($H1115,'CAT_ACTIVIDADES'!$A$4:$A$11,0)),"")))</f>
        <v/>
      </c>
      <c r="AO1115" s="4" t="n"/>
      <c r="AP1115" s="4" t="n"/>
      <c r="AQ1115" s="4" t="n"/>
      <c r="AR1115" s="5">
        <f>IF($AQ1115="","",HYPERLINK(p_ruta_base_checklists&amp;$AQ1115,"abrir"))</f>
        <v/>
      </c>
      <c r="AS1115" s="4" t="n"/>
      <c r="AT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2" t="n"/>
      <c r="K1116" s="5" t="n"/>
      <c r="L1116" s="18" t="n"/>
      <c r="M1116" s="5">
        <f>IF($A1116="","",IFERROR(INDEX('AJUSTES'!$B$4:$B$303,MATCH($AT1116,'AJUSTES'!$A$4:$A$303,0)),IF($K1116="","",$K1116)))</f>
        <v/>
      </c>
      <c r="N1116" s="5">
        <f>IF($A1116="","",IFERROR(INDEX('CAT_ESTADOS_ERP'!$B$4:$B$7,MATCH(IFERROR(INDEX('2_IMPORTAR_EJECUCION'!$C$9:$C$1208,MATCH($AT1116,'2_IMPORTAR_EJECUCION'!$J$9:$J$1208,0)),""),'CAT_ESTADOS_ERP'!$A$4:$A$7,0)),"Pendiente"))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IF($J1116="","",$P1116&amp;"-"&amp;TEXT($Q1116,"00"))</f>
        <v/>
      </c>
      <c r="S1116" s="5">
        <f>IF($J1116="","",INDEX(lista_dias,WEEKDAY($J1116,2)))</f>
        <v/>
      </c>
      <c r="T1116" s="5">
        <f>IF($J1116="","",IFERROR(INDEX('CALENDARIO'!$C$15:$C$214,MATCH(TEXT($J1116,"yyyy-mm-dd")&amp;"|"&amp;$X1116&amp;"|"&amp;$Y1116,'CALENDARIO'!$G$15:$G$214,0)),IFERROR(INDEX('CALENDARIO'!$C$15:$C$214,MATCH(TEXT($J1116,"yyyy-mm-dd")&amp;"|"&amp;$X1116&amp;"|",'CALENDARIO'!$G$15:$G$214,0)),IFERROR(INDEX('CALENDARIO'!$C$15:$C$214,MATCH(TEXT($J1116,"yyyy-mm-dd")&amp;"||",'CALENDARIO'!$G$15:$G$214,0)),INDEX(patronHabil,WEEKDAY($J1116,2))))))</f>
        <v/>
      </c>
      <c r="U1116" s="5">
        <f>IF($I1116="","",IFERROR(INDEX('CAT_TIPOS_OT'!$C$4:$C$8,MATCH($I1116,'CAT_TIPOS_OT'!$A$4:$A$8,0)),"sin_clasificar"))</f>
        <v/>
      </c>
      <c r="V1116" s="5">
        <f>IF($I1116="","",IF(IFERROR(INDEX('CAT_TIPOS_OT'!$D$4:$D$8,MATCH($I1116,'CAT_TIPOS_OT'!$A$4:$A$8,0)),"SIN CLASIFICAR")="","SIN CLASIFICAR",IFERROR(INDEX('CAT_TIPOS_OT'!$D$4:$D$8,MATCH($I1116,'CAT_TIPOS_OT'!$A$4:$A$8,0)),"SIN CLASIFICAR")))</f>
        <v/>
      </c>
      <c r="W1116" s="5">
        <f>IF($F1116="","",IFERROR(INDEX('CAT_CENTROS_COSTO'!$F$4:$F$13,MATCH($F1116,'CAT_CENTROS_COSTO'!$A$4:$A$13,0)),"(sin catálogo)"))</f>
        <v/>
      </c>
      <c r="X1116" s="5">
        <f>IF($F1116="","",IFERROR(INDEX('CAT_CENTROS_COSTO'!$D$4:$D$13,MATCH($F1116,'CAT_CENTROS_COSTO'!$A$4:$A$13,0)),"(sin catálogo)"))</f>
        <v/>
      </c>
      <c r="Y1116" s="5">
        <f>IF($F1116="","",IF((IFERROR(INDEX('CAT_CENTROS_COSTO'!$E$4:$E$13,MATCH($F1116,'CAT_CENTROS_COSTO'!$A$4:$A$13,0)),""))&lt;&gt;"",IFERROR(INDEX('CAT_CENTROS_COSTO'!$E$4:$E$13,MATCH($F1116,'CAT_CENTROS_COSTO'!$A$4:$A$13,0)),""),$X1116))</f>
        <v/>
      </c>
      <c r="Z1116" s="5">
        <f>IF($F1116="","",IFERROR(INDEX('CAT_CENTROS_COSTO'!$G$4:$G$13,MATCH($F1116,'CAT_CENTROS_COSTO'!$A$4:$A$13,0)),"(sin catálogo)"))</f>
        <v/>
      </c>
      <c r="AA1116" s="5">
        <f>IF($G1116="","",IFERROR(INDEX('CAT_PUESTOS'!$B$4:$B$8,MATCH($G1116,'CAT_PUESTOS'!$A$4:$A$8,0)),"(sin catálogo)"))</f>
        <v/>
      </c>
      <c r="AB1116" s="5">
        <f>IF($H1116="","",IFERROR(INDEX('CAT_ACTIVIDADES'!$B$4:$B$11,MATCH($H1116,'CAT_ACTIVIDADES'!$A$4:$A$11,0)),"(sin catálogo)"))</f>
        <v/>
      </c>
      <c r="AC1116" s="20">
        <f>IF($J1116="","",TODAY()-$J1116)</f>
        <v/>
      </c>
      <c r="AD1116" s="20">
        <f>IF($J1116="","",IF($J1116&lt;=TODAY(),COUNTIFS(cal_fechas,"&gt;="&amp;$J1116,cal_fechas,"&lt;"&amp;TODAY(),cal_habil,"sí"),-COUNTIFS(cal_fechas,"&gt;="&amp;TODAY(),cal_fechas,"&lt;"&amp;$J1116,cal_habil,"sí")))</f>
        <v/>
      </c>
      <c r="AE1116" s="5">
        <f>IF($AD1116="","",IF($AD1116&lt;0,"FUTURO",IF($AD1116&gt;p_dias_backlog_max,"BACKLOG","MES CORRIENTE")))</f>
        <v/>
      </c>
      <c r="AF1116" s="5">
        <f>IF($AD1116="",FALSE,AND($AD1116&gt;p_dias_backlog_min,$AD1116&lt;=p_dias_backlog_max))</f>
        <v/>
      </c>
      <c r="AG1116" s="4" t="n"/>
      <c r="AH1116" s="5">
        <f>IF($AG1116="","",IF((IFERROR(INDEX('ASIGNACIONES'!$J$4:$J$451,MATCH($O1116&amp;"|"&amp;$S1116&amp;"|"&amp;$AG1116,'ASIGNACIONES'!$N$4:$N$451,0)),""))=0,"",IFERROR(INDEX('ASIGNACIONES'!$J$4:$J$451,MATCH($O1116&amp;"|"&amp;$S1116&amp;"|"&amp;$AG1116,'ASIGNACIONES'!$N$4:$N$451,0)),"")))</f>
        <v/>
      </c>
      <c r="AI1116" s="25">
        <f>IF($AG1116="","",SUMIFS('ORDENES'!$M$4:$M$1203,'ORDENES'!$AG$4:$AG$1203,$AG1116,'ORDENES'!$O$4:$O$1203,$O1116,'ORDENES'!$S$4:$S$1203,$S1116))</f>
        <v/>
      </c>
      <c r="AJ1116" s="25">
        <f>IF($AI1116="","",p_factor_productividad*IFERROR(INDEX('ASIGNACIONES'!$M$4:$M$451,MATCH($O1116&amp;"|"&amp;$S1116&amp;"|"&amp;$AG1116,'ASIGNACIONES'!$N$4:$N$451,0)),0)-$AI1116)</f>
        <v/>
      </c>
      <c r="AK1116" s="18">
        <f>IF($A1116="","",IFERROR(INDEX('2_IMPORTAR_EJECUCION'!$F$9:$F$1208,MATCH($AT1116,'2_IMPORTAR_EJECUCION'!$J$9:$J$1208,0)),0))</f>
        <v/>
      </c>
      <c r="AL1116" s="18">
        <f>IF($A1116="","",MAX(0,IFERROR(INDEX('2_IMPORTAR_EJECUCION'!$H$9:$H$1208,MATCH($AT1116,'2_IMPORTAR_EJECUCION'!$J$9:$J$1208,0)),0)-$AK1116))</f>
        <v/>
      </c>
      <c r="AM1116" s="18">
        <f>IF($A1116="","",$AK1116+$AL1116)</f>
        <v/>
      </c>
      <c r="AN1116" s="5">
        <f>IF($A1116="","",IF(OR((IFERROR(INDEX('CAT_ACTIVIDADES'!$D$4:$D$11,MATCH($H1116,'CAT_ACTIVIDADES'!$A$4:$A$11,0)),""))=0,(IFERROR(INDEX('CAT_ACTIVIDADES'!$D$4:$D$11,MATCH($H1116,'CAT_ACTIVIDADES'!$A$4:$A$11,0)),""))=""),"SIN CLASIFICAR",IFERROR(INDEX('CAT_ACTIVIDADES'!$D$4:$D$11,MATCH($H1116,'CAT_ACTIVIDADES'!$A$4:$A$11,0)),"")))</f>
        <v/>
      </c>
      <c r="AO1116" s="4" t="n"/>
      <c r="AP1116" s="4" t="n"/>
      <c r="AQ1116" s="4" t="n"/>
      <c r="AR1116" s="5">
        <f>IF($AQ1116="","",HYPERLINK(p_ruta_base_checklists&amp;$AQ1116,"abrir"))</f>
        <v/>
      </c>
      <c r="AS1116" s="4" t="n"/>
      <c r="AT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2" t="n"/>
      <c r="K1117" s="5" t="n"/>
      <c r="L1117" s="18" t="n"/>
      <c r="M1117" s="5">
        <f>IF($A1117="","",IFERROR(INDEX('AJUSTES'!$B$4:$B$303,MATCH($AT1117,'AJUSTES'!$A$4:$A$303,0)),IF($K1117="","",$K1117)))</f>
        <v/>
      </c>
      <c r="N1117" s="5">
        <f>IF($A1117="","",IFERROR(INDEX('CAT_ESTADOS_ERP'!$B$4:$B$7,MATCH(IFERROR(INDEX('2_IMPORTAR_EJECUCION'!$C$9:$C$1208,MATCH($AT1117,'2_IMPORTAR_EJECUCION'!$J$9:$J$1208,0)),""),'CAT_ESTADOS_ERP'!$A$4:$A$7,0)),"Pendiente"))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IF($J1117="","",$P1117&amp;"-"&amp;TEXT($Q1117,"00"))</f>
        <v/>
      </c>
      <c r="S1117" s="5">
        <f>IF($J1117="","",INDEX(lista_dias,WEEKDAY($J1117,2)))</f>
        <v/>
      </c>
      <c r="T1117" s="5">
        <f>IF($J1117="","",IFERROR(INDEX('CALENDARIO'!$C$15:$C$214,MATCH(TEXT($J1117,"yyyy-mm-dd")&amp;"|"&amp;$X1117&amp;"|"&amp;$Y1117,'CALENDARIO'!$G$15:$G$214,0)),IFERROR(INDEX('CALENDARIO'!$C$15:$C$214,MATCH(TEXT($J1117,"yyyy-mm-dd")&amp;"|"&amp;$X1117&amp;"|",'CALENDARIO'!$G$15:$G$214,0)),IFERROR(INDEX('CALENDARIO'!$C$15:$C$214,MATCH(TEXT($J1117,"yyyy-mm-dd")&amp;"||",'CALENDARIO'!$G$15:$G$214,0)),INDEX(patronHabil,WEEKDAY($J1117,2))))))</f>
        <v/>
      </c>
      <c r="U1117" s="5">
        <f>IF($I1117="","",IFERROR(INDEX('CAT_TIPOS_OT'!$C$4:$C$8,MATCH($I1117,'CAT_TIPOS_OT'!$A$4:$A$8,0)),"sin_clasificar"))</f>
        <v/>
      </c>
      <c r="V1117" s="5">
        <f>IF($I1117="","",IF(IFERROR(INDEX('CAT_TIPOS_OT'!$D$4:$D$8,MATCH($I1117,'CAT_TIPOS_OT'!$A$4:$A$8,0)),"SIN CLASIFICAR")="","SIN CLASIFICAR",IFERROR(INDEX('CAT_TIPOS_OT'!$D$4:$D$8,MATCH($I1117,'CAT_TIPOS_OT'!$A$4:$A$8,0)),"SIN CLASIFICAR")))</f>
        <v/>
      </c>
      <c r="W1117" s="5">
        <f>IF($F1117="","",IFERROR(INDEX('CAT_CENTROS_COSTO'!$F$4:$F$13,MATCH($F1117,'CAT_CENTROS_COSTO'!$A$4:$A$13,0)),"(sin catálogo)"))</f>
        <v/>
      </c>
      <c r="X1117" s="5">
        <f>IF($F1117="","",IFERROR(INDEX('CAT_CENTROS_COSTO'!$D$4:$D$13,MATCH($F1117,'CAT_CENTROS_COSTO'!$A$4:$A$13,0)),"(sin catálogo)"))</f>
        <v/>
      </c>
      <c r="Y1117" s="5">
        <f>IF($F1117="","",IF((IFERROR(INDEX('CAT_CENTROS_COSTO'!$E$4:$E$13,MATCH($F1117,'CAT_CENTROS_COSTO'!$A$4:$A$13,0)),""))&lt;&gt;"",IFERROR(INDEX('CAT_CENTROS_COSTO'!$E$4:$E$13,MATCH($F1117,'CAT_CENTROS_COSTO'!$A$4:$A$13,0)),""),$X1117))</f>
        <v/>
      </c>
      <c r="Z1117" s="5">
        <f>IF($F1117="","",IFERROR(INDEX('CAT_CENTROS_COSTO'!$G$4:$G$13,MATCH($F1117,'CAT_CENTROS_COSTO'!$A$4:$A$13,0)),"(sin catálogo)"))</f>
        <v/>
      </c>
      <c r="AA1117" s="5">
        <f>IF($G1117="","",IFERROR(INDEX('CAT_PUESTOS'!$B$4:$B$8,MATCH($G1117,'CAT_PUESTOS'!$A$4:$A$8,0)),"(sin catálogo)"))</f>
        <v/>
      </c>
      <c r="AB1117" s="5">
        <f>IF($H1117="","",IFERROR(INDEX('CAT_ACTIVIDADES'!$B$4:$B$11,MATCH($H1117,'CAT_ACTIVIDADES'!$A$4:$A$11,0)),"(sin catálogo)"))</f>
        <v/>
      </c>
      <c r="AC1117" s="20">
        <f>IF($J1117="","",TODAY()-$J1117)</f>
        <v/>
      </c>
      <c r="AD1117" s="20">
        <f>IF($J1117="","",IF($J1117&lt;=TODAY(),COUNTIFS(cal_fechas,"&gt;="&amp;$J1117,cal_fechas,"&lt;"&amp;TODAY(),cal_habil,"sí"),-COUNTIFS(cal_fechas,"&gt;="&amp;TODAY(),cal_fechas,"&lt;"&amp;$J1117,cal_habil,"sí")))</f>
        <v/>
      </c>
      <c r="AE1117" s="5">
        <f>IF($AD1117="","",IF($AD1117&lt;0,"FUTURO",IF($AD1117&gt;p_dias_backlog_max,"BACKLOG","MES CORRIENTE")))</f>
        <v/>
      </c>
      <c r="AF1117" s="5">
        <f>IF($AD1117="",FALSE,AND($AD1117&gt;p_dias_backlog_min,$AD1117&lt;=p_dias_backlog_max))</f>
        <v/>
      </c>
      <c r="AG1117" s="4" t="n"/>
      <c r="AH1117" s="5">
        <f>IF($AG1117="","",IF((IFERROR(INDEX('ASIGNACIONES'!$J$4:$J$451,MATCH($O1117&amp;"|"&amp;$S1117&amp;"|"&amp;$AG1117,'ASIGNACIONES'!$N$4:$N$451,0)),""))=0,"",IFERROR(INDEX('ASIGNACIONES'!$J$4:$J$451,MATCH($O1117&amp;"|"&amp;$S1117&amp;"|"&amp;$AG1117,'ASIGNACIONES'!$N$4:$N$451,0)),"")))</f>
        <v/>
      </c>
      <c r="AI1117" s="25">
        <f>IF($AG1117="","",SUMIFS('ORDENES'!$M$4:$M$1203,'ORDENES'!$AG$4:$AG$1203,$AG1117,'ORDENES'!$O$4:$O$1203,$O1117,'ORDENES'!$S$4:$S$1203,$S1117))</f>
        <v/>
      </c>
      <c r="AJ1117" s="25">
        <f>IF($AI1117="","",p_factor_productividad*IFERROR(INDEX('ASIGNACIONES'!$M$4:$M$451,MATCH($O1117&amp;"|"&amp;$S1117&amp;"|"&amp;$AG1117,'ASIGNACIONES'!$N$4:$N$451,0)),0)-$AI1117)</f>
        <v/>
      </c>
      <c r="AK1117" s="18">
        <f>IF($A1117="","",IFERROR(INDEX('2_IMPORTAR_EJECUCION'!$F$9:$F$1208,MATCH($AT1117,'2_IMPORTAR_EJECUCION'!$J$9:$J$1208,0)),0))</f>
        <v/>
      </c>
      <c r="AL1117" s="18">
        <f>IF($A1117="","",MAX(0,IFERROR(INDEX('2_IMPORTAR_EJECUCION'!$H$9:$H$1208,MATCH($AT1117,'2_IMPORTAR_EJECUCION'!$J$9:$J$1208,0)),0)-$AK1117))</f>
        <v/>
      </c>
      <c r="AM1117" s="18">
        <f>IF($A1117="","",$AK1117+$AL1117)</f>
        <v/>
      </c>
      <c r="AN1117" s="5">
        <f>IF($A1117="","",IF(OR((IFERROR(INDEX('CAT_ACTIVIDADES'!$D$4:$D$11,MATCH($H1117,'CAT_ACTIVIDADES'!$A$4:$A$11,0)),""))=0,(IFERROR(INDEX('CAT_ACTIVIDADES'!$D$4:$D$11,MATCH($H1117,'CAT_ACTIVIDADES'!$A$4:$A$11,0)),""))=""),"SIN CLASIFICAR",IFERROR(INDEX('CAT_ACTIVIDADES'!$D$4:$D$11,MATCH($H1117,'CAT_ACTIVIDADES'!$A$4:$A$11,0)),"")))</f>
        <v/>
      </c>
      <c r="AO1117" s="4" t="n"/>
      <c r="AP1117" s="4" t="n"/>
      <c r="AQ1117" s="4" t="n"/>
      <c r="AR1117" s="5">
        <f>IF($AQ1117="","",HYPERLINK(p_ruta_base_checklists&amp;$AQ1117,"abrir"))</f>
        <v/>
      </c>
      <c r="AS1117" s="4" t="n"/>
      <c r="AT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2" t="n"/>
      <c r="K1118" s="5" t="n"/>
      <c r="L1118" s="18" t="n"/>
      <c r="M1118" s="5">
        <f>IF($A1118="","",IFERROR(INDEX('AJUSTES'!$B$4:$B$303,MATCH($AT1118,'AJUSTES'!$A$4:$A$303,0)),IF($K1118="","",$K1118)))</f>
        <v/>
      </c>
      <c r="N1118" s="5">
        <f>IF($A1118="","",IFERROR(INDEX('CAT_ESTADOS_ERP'!$B$4:$B$7,MATCH(IFERROR(INDEX('2_IMPORTAR_EJECUCION'!$C$9:$C$1208,MATCH($AT1118,'2_IMPORTAR_EJECUCION'!$J$9:$J$1208,0)),""),'CAT_ESTADOS_ERP'!$A$4:$A$7,0)),"Pendiente"))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IF($J1118="","",$P1118&amp;"-"&amp;TEXT($Q1118,"00"))</f>
        <v/>
      </c>
      <c r="S1118" s="5">
        <f>IF($J1118="","",INDEX(lista_dias,WEEKDAY($J1118,2)))</f>
        <v/>
      </c>
      <c r="T1118" s="5">
        <f>IF($J1118="","",IFERROR(INDEX('CALENDARIO'!$C$15:$C$214,MATCH(TEXT($J1118,"yyyy-mm-dd")&amp;"|"&amp;$X1118&amp;"|"&amp;$Y1118,'CALENDARIO'!$G$15:$G$214,0)),IFERROR(INDEX('CALENDARIO'!$C$15:$C$214,MATCH(TEXT($J1118,"yyyy-mm-dd")&amp;"|"&amp;$X1118&amp;"|",'CALENDARIO'!$G$15:$G$214,0)),IFERROR(INDEX('CALENDARIO'!$C$15:$C$214,MATCH(TEXT($J1118,"yyyy-mm-dd")&amp;"||",'CALENDARIO'!$G$15:$G$214,0)),INDEX(patronHabil,WEEKDAY($J1118,2))))))</f>
        <v/>
      </c>
      <c r="U1118" s="5">
        <f>IF($I1118="","",IFERROR(INDEX('CAT_TIPOS_OT'!$C$4:$C$8,MATCH($I1118,'CAT_TIPOS_OT'!$A$4:$A$8,0)),"sin_clasificar"))</f>
        <v/>
      </c>
      <c r="V1118" s="5">
        <f>IF($I1118="","",IF(IFERROR(INDEX('CAT_TIPOS_OT'!$D$4:$D$8,MATCH($I1118,'CAT_TIPOS_OT'!$A$4:$A$8,0)),"SIN CLASIFICAR")="","SIN CLASIFICAR",IFERROR(INDEX('CAT_TIPOS_OT'!$D$4:$D$8,MATCH($I1118,'CAT_TIPOS_OT'!$A$4:$A$8,0)),"SIN CLASIFICAR")))</f>
        <v/>
      </c>
      <c r="W1118" s="5">
        <f>IF($F1118="","",IFERROR(INDEX('CAT_CENTROS_COSTO'!$F$4:$F$13,MATCH($F1118,'CAT_CENTROS_COSTO'!$A$4:$A$13,0)),"(sin catálogo)"))</f>
        <v/>
      </c>
      <c r="X1118" s="5">
        <f>IF($F1118="","",IFERROR(INDEX('CAT_CENTROS_COSTO'!$D$4:$D$13,MATCH($F1118,'CAT_CENTROS_COSTO'!$A$4:$A$13,0)),"(sin catálogo)"))</f>
        <v/>
      </c>
      <c r="Y1118" s="5">
        <f>IF($F1118="","",IF((IFERROR(INDEX('CAT_CENTROS_COSTO'!$E$4:$E$13,MATCH($F1118,'CAT_CENTROS_COSTO'!$A$4:$A$13,0)),""))&lt;&gt;"",IFERROR(INDEX('CAT_CENTROS_COSTO'!$E$4:$E$13,MATCH($F1118,'CAT_CENTROS_COSTO'!$A$4:$A$13,0)),""),$X1118))</f>
        <v/>
      </c>
      <c r="Z1118" s="5">
        <f>IF($F1118="","",IFERROR(INDEX('CAT_CENTROS_COSTO'!$G$4:$G$13,MATCH($F1118,'CAT_CENTROS_COSTO'!$A$4:$A$13,0)),"(sin catálogo)"))</f>
        <v/>
      </c>
      <c r="AA1118" s="5">
        <f>IF($G1118="","",IFERROR(INDEX('CAT_PUESTOS'!$B$4:$B$8,MATCH($G1118,'CAT_PUESTOS'!$A$4:$A$8,0)),"(sin catálogo)"))</f>
        <v/>
      </c>
      <c r="AB1118" s="5">
        <f>IF($H1118="","",IFERROR(INDEX('CAT_ACTIVIDADES'!$B$4:$B$11,MATCH($H1118,'CAT_ACTIVIDADES'!$A$4:$A$11,0)),"(sin catálogo)"))</f>
        <v/>
      </c>
      <c r="AC1118" s="20">
        <f>IF($J1118="","",TODAY()-$J1118)</f>
        <v/>
      </c>
      <c r="AD1118" s="20">
        <f>IF($J1118="","",IF($J1118&lt;=TODAY(),COUNTIFS(cal_fechas,"&gt;="&amp;$J1118,cal_fechas,"&lt;"&amp;TODAY(),cal_habil,"sí"),-COUNTIFS(cal_fechas,"&gt;="&amp;TODAY(),cal_fechas,"&lt;"&amp;$J1118,cal_habil,"sí")))</f>
        <v/>
      </c>
      <c r="AE1118" s="5">
        <f>IF($AD1118="","",IF($AD1118&lt;0,"FUTURO",IF($AD1118&gt;p_dias_backlog_max,"BACKLOG","MES CORRIENTE")))</f>
        <v/>
      </c>
      <c r="AF1118" s="5">
        <f>IF($AD1118="",FALSE,AND($AD1118&gt;p_dias_backlog_min,$AD1118&lt;=p_dias_backlog_max))</f>
        <v/>
      </c>
      <c r="AG1118" s="4" t="n"/>
      <c r="AH1118" s="5">
        <f>IF($AG1118="","",IF((IFERROR(INDEX('ASIGNACIONES'!$J$4:$J$451,MATCH($O1118&amp;"|"&amp;$S1118&amp;"|"&amp;$AG1118,'ASIGNACIONES'!$N$4:$N$451,0)),""))=0,"",IFERROR(INDEX('ASIGNACIONES'!$J$4:$J$451,MATCH($O1118&amp;"|"&amp;$S1118&amp;"|"&amp;$AG1118,'ASIGNACIONES'!$N$4:$N$451,0)),"")))</f>
        <v/>
      </c>
      <c r="AI1118" s="25">
        <f>IF($AG1118="","",SUMIFS('ORDENES'!$M$4:$M$1203,'ORDENES'!$AG$4:$AG$1203,$AG1118,'ORDENES'!$O$4:$O$1203,$O1118,'ORDENES'!$S$4:$S$1203,$S1118))</f>
        <v/>
      </c>
      <c r="AJ1118" s="25">
        <f>IF($AI1118="","",p_factor_productividad*IFERROR(INDEX('ASIGNACIONES'!$M$4:$M$451,MATCH($O1118&amp;"|"&amp;$S1118&amp;"|"&amp;$AG1118,'ASIGNACIONES'!$N$4:$N$451,0)),0)-$AI1118)</f>
        <v/>
      </c>
      <c r="AK1118" s="18">
        <f>IF($A1118="","",IFERROR(INDEX('2_IMPORTAR_EJECUCION'!$F$9:$F$1208,MATCH($AT1118,'2_IMPORTAR_EJECUCION'!$J$9:$J$1208,0)),0))</f>
        <v/>
      </c>
      <c r="AL1118" s="18">
        <f>IF($A1118="","",MAX(0,IFERROR(INDEX('2_IMPORTAR_EJECUCION'!$H$9:$H$1208,MATCH($AT1118,'2_IMPORTAR_EJECUCION'!$J$9:$J$1208,0)),0)-$AK1118))</f>
        <v/>
      </c>
      <c r="AM1118" s="18">
        <f>IF($A1118="","",$AK1118+$AL1118)</f>
        <v/>
      </c>
      <c r="AN1118" s="5">
        <f>IF($A1118="","",IF(OR((IFERROR(INDEX('CAT_ACTIVIDADES'!$D$4:$D$11,MATCH($H1118,'CAT_ACTIVIDADES'!$A$4:$A$11,0)),""))=0,(IFERROR(INDEX('CAT_ACTIVIDADES'!$D$4:$D$11,MATCH($H1118,'CAT_ACTIVIDADES'!$A$4:$A$11,0)),""))=""),"SIN CLASIFICAR",IFERROR(INDEX('CAT_ACTIVIDADES'!$D$4:$D$11,MATCH($H1118,'CAT_ACTIVIDADES'!$A$4:$A$11,0)),"")))</f>
        <v/>
      </c>
      <c r="AO1118" s="4" t="n"/>
      <c r="AP1118" s="4" t="n"/>
      <c r="AQ1118" s="4" t="n"/>
      <c r="AR1118" s="5">
        <f>IF($AQ1118="","",HYPERLINK(p_ruta_base_checklists&amp;$AQ1118,"abrir"))</f>
        <v/>
      </c>
      <c r="AS1118" s="4" t="n"/>
      <c r="AT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2" t="n"/>
      <c r="K1119" s="5" t="n"/>
      <c r="L1119" s="18" t="n"/>
      <c r="M1119" s="5">
        <f>IF($A1119="","",IFERROR(INDEX('AJUSTES'!$B$4:$B$303,MATCH($AT1119,'AJUSTES'!$A$4:$A$303,0)),IF($K1119="","",$K1119)))</f>
        <v/>
      </c>
      <c r="N1119" s="5">
        <f>IF($A1119="","",IFERROR(INDEX('CAT_ESTADOS_ERP'!$B$4:$B$7,MATCH(IFERROR(INDEX('2_IMPORTAR_EJECUCION'!$C$9:$C$1208,MATCH($AT1119,'2_IMPORTAR_EJECUCION'!$J$9:$J$1208,0)),""),'CAT_ESTADOS_ERP'!$A$4:$A$7,0)),"Pendiente"))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IF($J1119="","",$P1119&amp;"-"&amp;TEXT($Q1119,"00"))</f>
        <v/>
      </c>
      <c r="S1119" s="5">
        <f>IF($J1119="","",INDEX(lista_dias,WEEKDAY($J1119,2)))</f>
        <v/>
      </c>
      <c r="T1119" s="5">
        <f>IF($J1119="","",IFERROR(INDEX('CALENDARIO'!$C$15:$C$214,MATCH(TEXT($J1119,"yyyy-mm-dd")&amp;"|"&amp;$X1119&amp;"|"&amp;$Y1119,'CALENDARIO'!$G$15:$G$214,0)),IFERROR(INDEX('CALENDARIO'!$C$15:$C$214,MATCH(TEXT($J1119,"yyyy-mm-dd")&amp;"|"&amp;$X1119&amp;"|",'CALENDARIO'!$G$15:$G$214,0)),IFERROR(INDEX('CALENDARIO'!$C$15:$C$214,MATCH(TEXT($J1119,"yyyy-mm-dd")&amp;"||",'CALENDARIO'!$G$15:$G$214,0)),INDEX(patronHabil,WEEKDAY($J1119,2))))))</f>
        <v/>
      </c>
      <c r="U1119" s="5">
        <f>IF($I1119="","",IFERROR(INDEX('CAT_TIPOS_OT'!$C$4:$C$8,MATCH($I1119,'CAT_TIPOS_OT'!$A$4:$A$8,0)),"sin_clasificar"))</f>
        <v/>
      </c>
      <c r="V1119" s="5">
        <f>IF($I1119="","",IF(IFERROR(INDEX('CAT_TIPOS_OT'!$D$4:$D$8,MATCH($I1119,'CAT_TIPOS_OT'!$A$4:$A$8,0)),"SIN CLASIFICAR")="","SIN CLASIFICAR",IFERROR(INDEX('CAT_TIPOS_OT'!$D$4:$D$8,MATCH($I1119,'CAT_TIPOS_OT'!$A$4:$A$8,0)),"SIN CLASIFICAR")))</f>
        <v/>
      </c>
      <c r="W1119" s="5">
        <f>IF($F1119="","",IFERROR(INDEX('CAT_CENTROS_COSTO'!$F$4:$F$13,MATCH($F1119,'CAT_CENTROS_COSTO'!$A$4:$A$13,0)),"(sin catálogo)"))</f>
        <v/>
      </c>
      <c r="X1119" s="5">
        <f>IF($F1119="","",IFERROR(INDEX('CAT_CENTROS_COSTO'!$D$4:$D$13,MATCH($F1119,'CAT_CENTROS_COSTO'!$A$4:$A$13,0)),"(sin catálogo)"))</f>
        <v/>
      </c>
      <c r="Y1119" s="5">
        <f>IF($F1119="","",IF((IFERROR(INDEX('CAT_CENTROS_COSTO'!$E$4:$E$13,MATCH($F1119,'CAT_CENTROS_COSTO'!$A$4:$A$13,0)),""))&lt;&gt;"",IFERROR(INDEX('CAT_CENTROS_COSTO'!$E$4:$E$13,MATCH($F1119,'CAT_CENTROS_COSTO'!$A$4:$A$13,0)),""),$X1119))</f>
        <v/>
      </c>
      <c r="Z1119" s="5">
        <f>IF($F1119="","",IFERROR(INDEX('CAT_CENTROS_COSTO'!$G$4:$G$13,MATCH($F1119,'CAT_CENTROS_COSTO'!$A$4:$A$13,0)),"(sin catálogo)"))</f>
        <v/>
      </c>
      <c r="AA1119" s="5">
        <f>IF($G1119="","",IFERROR(INDEX('CAT_PUESTOS'!$B$4:$B$8,MATCH($G1119,'CAT_PUESTOS'!$A$4:$A$8,0)),"(sin catálogo)"))</f>
        <v/>
      </c>
      <c r="AB1119" s="5">
        <f>IF($H1119="","",IFERROR(INDEX('CAT_ACTIVIDADES'!$B$4:$B$11,MATCH($H1119,'CAT_ACTIVIDADES'!$A$4:$A$11,0)),"(sin catálogo)"))</f>
        <v/>
      </c>
      <c r="AC1119" s="20">
        <f>IF($J1119="","",TODAY()-$J1119)</f>
        <v/>
      </c>
      <c r="AD1119" s="20">
        <f>IF($J1119="","",IF($J1119&lt;=TODAY(),COUNTIFS(cal_fechas,"&gt;="&amp;$J1119,cal_fechas,"&lt;"&amp;TODAY(),cal_habil,"sí"),-COUNTIFS(cal_fechas,"&gt;="&amp;TODAY(),cal_fechas,"&lt;"&amp;$J1119,cal_habil,"sí")))</f>
        <v/>
      </c>
      <c r="AE1119" s="5">
        <f>IF($AD1119="","",IF($AD1119&lt;0,"FUTURO",IF($AD1119&gt;p_dias_backlog_max,"BACKLOG","MES CORRIENTE")))</f>
        <v/>
      </c>
      <c r="AF1119" s="5">
        <f>IF($AD1119="",FALSE,AND($AD1119&gt;p_dias_backlog_min,$AD1119&lt;=p_dias_backlog_max))</f>
        <v/>
      </c>
      <c r="AG1119" s="4" t="n"/>
      <c r="AH1119" s="5">
        <f>IF($AG1119="","",IF((IFERROR(INDEX('ASIGNACIONES'!$J$4:$J$451,MATCH($O1119&amp;"|"&amp;$S1119&amp;"|"&amp;$AG1119,'ASIGNACIONES'!$N$4:$N$451,0)),""))=0,"",IFERROR(INDEX('ASIGNACIONES'!$J$4:$J$451,MATCH($O1119&amp;"|"&amp;$S1119&amp;"|"&amp;$AG1119,'ASIGNACIONES'!$N$4:$N$451,0)),"")))</f>
        <v/>
      </c>
      <c r="AI1119" s="25">
        <f>IF($AG1119="","",SUMIFS('ORDENES'!$M$4:$M$1203,'ORDENES'!$AG$4:$AG$1203,$AG1119,'ORDENES'!$O$4:$O$1203,$O1119,'ORDENES'!$S$4:$S$1203,$S1119))</f>
        <v/>
      </c>
      <c r="AJ1119" s="25">
        <f>IF($AI1119="","",p_factor_productividad*IFERROR(INDEX('ASIGNACIONES'!$M$4:$M$451,MATCH($O1119&amp;"|"&amp;$S1119&amp;"|"&amp;$AG1119,'ASIGNACIONES'!$N$4:$N$451,0)),0)-$AI1119)</f>
        <v/>
      </c>
      <c r="AK1119" s="18">
        <f>IF($A1119="","",IFERROR(INDEX('2_IMPORTAR_EJECUCION'!$F$9:$F$1208,MATCH($AT1119,'2_IMPORTAR_EJECUCION'!$J$9:$J$1208,0)),0))</f>
        <v/>
      </c>
      <c r="AL1119" s="18">
        <f>IF($A1119="","",MAX(0,IFERROR(INDEX('2_IMPORTAR_EJECUCION'!$H$9:$H$1208,MATCH($AT1119,'2_IMPORTAR_EJECUCION'!$J$9:$J$1208,0)),0)-$AK1119))</f>
        <v/>
      </c>
      <c r="AM1119" s="18">
        <f>IF($A1119="","",$AK1119+$AL1119)</f>
        <v/>
      </c>
      <c r="AN1119" s="5">
        <f>IF($A1119="","",IF(OR((IFERROR(INDEX('CAT_ACTIVIDADES'!$D$4:$D$11,MATCH($H1119,'CAT_ACTIVIDADES'!$A$4:$A$11,0)),""))=0,(IFERROR(INDEX('CAT_ACTIVIDADES'!$D$4:$D$11,MATCH($H1119,'CAT_ACTIVIDADES'!$A$4:$A$11,0)),""))=""),"SIN CLASIFICAR",IFERROR(INDEX('CAT_ACTIVIDADES'!$D$4:$D$11,MATCH($H1119,'CAT_ACTIVIDADES'!$A$4:$A$11,0)),"")))</f>
        <v/>
      </c>
      <c r="AO1119" s="4" t="n"/>
      <c r="AP1119" s="4" t="n"/>
      <c r="AQ1119" s="4" t="n"/>
      <c r="AR1119" s="5">
        <f>IF($AQ1119="","",HYPERLINK(p_ruta_base_checklists&amp;$AQ1119,"abrir"))</f>
        <v/>
      </c>
      <c r="AS1119" s="4" t="n"/>
      <c r="AT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2" t="n"/>
      <c r="K1120" s="5" t="n"/>
      <c r="L1120" s="18" t="n"/>
      <c r="M1120" s="5">
        <f>IF($A1120="","",IFERROR(INDEX('AJUSTES'!$B$4:$B$303,MATCH($AT1120,'AJUSTES'!$A$4:$A$303,0)),IF($K1120="","",$K1120)))</f>
        <v/>
      </c>
      <c r="N1120" s="5">
        <f>IF($A1120="","",IFERROR(INDEX('CAT_ESTADOS_ERP'!$B$4:$B$7,MATCH(IFERROR(INDEX('2_IMPORTAR_EJECUCION'!$C$9:$C$1208,MATCH($AT1120,'2_IMPORTAR_EJECUCION'!$J$9:$J$1208,0)),""),'CAT_ESTADOS_ERP'!$A$4:$A$7,0)),"Pendiente"))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IF($J1120="","",$P1120&amp;"-"&amp;TEXT($Q1120,"00"))</f>
        <v/>
      </c>
      <c r="S1120" s="5">
        <f>IF($J1120="","",INDEX(lista_dias,WEEKDAY($J1120,2)))</f>
        <v/>
      </c>
      <c r="T1120" s="5">
        <f>IF($J1120="","",IFERROR(INDEX('CALENDARIO'!$C$15:$C$214,MATCH(TEXT($J1120,"yyyy-mm-dd")&amp;"|"&amp;$X1120&amp;"|"&amp;$Y1120,'CALENDARIO'!$G$15:$G$214,0)),IFERROR(INDEX('CALENDARIO'!$C$15:$C$214,MATCH(TEXT($J1120,"yyyy-mm-dd")&amp;"|"&amp;$X1120&amp;"|",'CALENDARIO'!$G$15:$G$214,0)),IFERROR(INDEX('CALENDARIO'!$C$15:$C$214,MATCH(TEXT($J1120,"yyyy-mm-dd")&amp;"||",'CALENDARIO'!$G$15:$G$214,0)),INDEX(patronHabil,WEEKDAY($J1120,2))))))</f>
        <v/>
      </c>
      <c r="U1120" s="5">
        <f>IF($I1120="","",IFERROR(INDEX('CAT_TIPOS_OT'!$C$4:$C$8,MATCH($I1120,'CAT_TIPOS_OT'!$A$4:$A$8,0)),"sin_clasificar"))</f>
        <v/>
      </c>
      <c r="V1120" s="5">
        <f>IF($I1120="","",IF(IFERROR(INDEX('CAT_TIPOS_OT'!$D$4:$D$8,MATCH($I1120,'CAT_TIPOS_OT'!$A$4:$A$8,0)),"SIN CLASIFICAR")="","SIN CLASIFICAR",IFERROR(INDEX('CAT_TIPOS_OT'!$D$4:$D$8,MATCH($I1120,'CAT_TIPOS_OT'!$A$4:$A$8,0)),"SIN CLASIFICAR")))</f>
        <v/>
      </c>
      <c r="W1120" s="5">
        <f>IF($F1120="","",IFERROR(INDEX('CAT_CENTROS_COSTO'!$F$4:$F$13,MATCH($F1120,'CAT_CENTROS_COSTO'!$A$4:$A$13,0)),"(sin catálogo)"))</f>
        <v/>
      </c>
      <c r="X1120" s="5">
        <f>IF($F1120="","",IFERROR(INDEX('CAT_CENTROS_COSTO'!$D$4:$D$13,MATCH($F1120,'CAT_CENTROS_COSTO'!$A$4:$A$13,0)),"(sin catálogo)"))</f>
        <v/>
      </c>
      <c r="Y1120" s="5">
        <f>IF($F1120="","",IF((IFERROR(INDEX('CAT_CENTROS_COSTO'!$E$4:$E$13,MATCH($F1120,'CAT_CENTROS_COSTO'!$A$4:$A$13,0)),""))&lt;&gt;"",IFERROR(INDEX('CAT_CENTROS_COSTO'!$E$4:$E$13,MATCH($F1120,'CAT_CENTROS_COSTO'!$A$4:$A$13,0)),""),$X1120))</f>
        <v/>
      </c>
      <c r="Z1120" s="5">
        <f>IF($F1120="","",IFERROR(INDEX('CAT_CENTROS_COSTO'!$G$4:$G$13,MATCH($F1120,'CAT_CENTROS_COSTO'!$A$4:$A$13,0)),"(sin catálogo)"))</f>
        <v/>
      </c>
      <c r="AA1120" s="5">
        <f>IF($G1120="","",IFERROR(INDEX('CAT_PUESTOS'!$B$4:$B$8,MATCH($G1120,'CAT_PUESTOS'!$A$4:$A$8,0)),"(sin catálogo)"))</f>
        <v/>
      </c>
      <c r="AB1120" s="5">
        <f>IF($H1120="","",IFERROR(INDEX('CAT_ACTIVIDADES'!$B$4:$B$11,MATCH($H1120,'CAT_ACTIVIDADES'!$A$4:$A$11,0)),"(sin catálogo)"))</f>
        <v/>
      </c>
      <c r="AC1120" s="20">
        <f>IF($J1120="","",TODAY()-$J1120)</f>
        <v/>
      </c>
      <c r="AD1120" s="20">
        <f>IF($J1120="","",IF($J1120&lt;=TODAY(),COUNTIFS(cal_fechas,"&gt;="&amp;$J1120,cal_fechas,"&lt;"&amp;TODAY(),cal_habil,"sí"),-COUNTIFS(cal_fechas,"&gt;="&amp;TODAY(),cal_fechas,"&lt;"&amp;$J1120,cal_habil,"sí")))</f>
        <v/>
      </c>
      <c r="AE1120" s="5">
        <f>IF($AD1120="","",IF($AD1120&lt;0,"FUTURO",IF($AD1120&gt;p_dias_backlog_max,"BACKLOG","MES CORRIENTE")))</f>
        <v/>
      </c>
      <c r="AF1120" s="5">
        <f>IF($AD1120="",FALSE,AND($AD1120&gt;p_dias_backlog_min,$AD1120&lt;=p_dias_backlog_max))</f>
        <v/>
      </c>
      <c r="AG1120" s="4" t="n"/>
      <c r="AH1120" s="5">
        <f>IF($AG1120="","",IF((IFERROR(INDEX('ASIGNACIONES'!$J$4:$J$451,MATCH($O1120&amp;"|"&amp;$S1120&amp;"|"&amp;$AG1120,'ASIGNACIONES'!$N$4:$N$451,0)),""))=0,"",IFERROR(INDEX('ASIGNACIONES'!$J$4:$J$451,MATCH($O1120&amp;"|"&amp;$S1120&amp;"|"&amp;$AG1120,'ASIGNACIONES'!$N$4:$N$451,0)),"")))</f>
        <v/>
      </c>
      <c r="AI1120" s="25">
        <f>IF($AG1120="","",SUMIFS('ORDENES'!$M$4:$M$1203,'ORDENES'!$AG$4:$AG$1203,$AG1120,'ORDENES'!$O$4:$O$1203,$O1120,'ORDENES'!$S$4:$S$1203,$S1120))</f>
        <v/>
      </c>
      <c r="AJ1120" s="25">
        <f>IF($AI1120="","",p_factor_productividad*IFERROR(INDEX('ASIGNACIONES'!$M$4:$M$451,MATCH($O1120&amp;"|"&amp;$S1120&amp;"|"&amp;$AG1120,'ASIGNACIONES'!$N$4:$N$451,0)),0)-$AI1120)</f>
        <v/>
      </c>
      <c r="AK1120" s="18">
        <f>IF($A1120="","",IFERROR(INDEX('2_IMPORTAR_EJECUCION'!$F$9:$F$1208,MATCH($AT1120,'2_IMPORTAR_EJECUCION'!$J$9:$J$1208,0)),0))</f>
        <v/>
      </c>
      <c r="AL1120" s="18">
        <f>IF($A1120="","",MAX(0,IFERROR(INDEX('2_IMPORTAR_EJECUCION'!$H$9:$H$1208,MATCH($AT1120,'2_IMPORTAR_EJECUCION'!$J$9:$J$1208,0)),0)-$AK1120))</f>
        <v/>
      </c>
      <c r="AM1120" s="18">
        <f>IF($A1120="","",$AK1120+$AL1120)</f>
        <v/>
      </c>
      <c r="AN1120" s="5">
        <f>IF($A1120="","",IF(OR((IFERROR(INDEX('CAT_ACTIVIDADES'!$D$4:$D$11,MATCH($H1120,'CAT_ACTIVIDADES'!$A$4:$A$11,0)),""))=0,(IFERROR(INDEX('CAT_ACTIVIDADES'!$D$4:$D$11,MATCH($H1120,'CAT_ACTIVIDADES'!$A$4:$A$11,0)),""))=""),"SIN CLASIFICAR",IFERROR(INDEX('CAT_ACTIVIDADES'!$D$4:$D$11,MATCH($H1120,'CAT_ACTIVIDADES'!$A$4:$A$11,0)),"")))</f>
        <v/>
      </c>
      <c r="AO1120" s="4" t="n"/>
      <c r="AP1120" s="4" t="n"/>
      <c r="AQ1120" s="4" t="n"/>
      <c r="AR1120" s="5">
        <f>IF($AQ1120="","",HYPERLINK(p_ruta_base_checklists&amp;$AQ1120,"abrir"))</f>
        <v/>
      </c>
      <c r="AS1120" s="4" t="n"/>
      <c r="AT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2" t="n"/>
      <c r="K1121" s="5" t="n"/>
      <c r="L1121" s="18" t="n"/>
      <c r="M1121" s="5">
        <f>IF($A1121="","",IFERROR(INDEX('AJUSTES'!$B$4:$B$303,MATCH($AT1121,'AJUSTES'!$A$4:$A$303,0)),IF($K1121="","",$K1121)))</f>
        <v/>
      </c>
      <c r="N1121" s="5">
        <f>IF($A1121="","",IFERROR(INDEX('CAT_ESTADOS_ERP'!$B$4:$B$7,MATCH(IFERROR(INDEX('2_IMPORTAR_EJECUCION'!$C$9:$C$1208,MATCH($AT1121,'2_IMPORTAR_EJECUCION'!$J$9:$J$1208,0)),""),'CAT_ESTADOS_ERP'!$A$4:$A$7,0)),"Pendiente"))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IF($J1121="","",$P1121&amp;"-"&amp;TEXT($Q1121,"00"))</f>
        <v/>
      </c>
      <c r="S1121" s="5">
        <f>IF($J1121="","",INDEX(lista_dias,WEEKDAY($J1121,2)))</f>
        <v/>
      </c>
      <c r="T1121" s="5">
        <f>IF($J1121="","",IFERROR(INDEX('CALENDARIO'!$C$15:$C$214,MATCH(TEXT($J1121,"yyyy-mm-dd")&amp;"|"&amp;$X1121&amp;"|"&amp;$Y1121,'CALENDARIO'!$G$15:$G$214,0)),IFERROR(INDEX('CALENDARIO'!$C$15:$C$214,MATCH(TEXT($J1121,"yyyy-mm-dd")&amp;"|"&amp;$X1121&amp;"|",'CALENDARIO'!$G$15:$G$214,0)),IFERROR(INDEX('CALENDARIO'!$C$15:$C$214,MATCH(TEXT($J1121,"yyyy-mm-dd")&amp;"||",'CALENDARIO'!$G$15:$G$214,0)),INDEX(patronHabil,WEEKDAY($J1121,2))))))</f>
        <v/>
      </c>
      <c r="U1121" s="5">
        <f>IF($I1121="","",IFERROR(INDEX('CAT_TIPOS_OT'!$C$4:$C$8,MATCH($I1121,'CAT_TIPOS_OT'!$A$4:$A$8,0)),"sin_clasificar"))</f>
        <v/>
      </c>
      <c r="V1121" s="5">
        <f>IF($I1121="","",IF(IFERROR(INDEX('CAT_TIPOS_OT'!$D$4:$D$8,MATCH($I1121,'CAT_TIPOS_OT'!$A$4:$A$8,0)),"SIN CLASIFICAR")="","SIN CLASIFICAR",IFERROR(INDEX('CAT_TIPOS_OT'!$D$4:$D$8,MATCH($I1121,'CAT_TIPOS_OT'!$A$4:$A$8,0)),"SIN CLASIFICAR")))</f>
        <v/>
      </c>
      <c r="W1121" s="5">
        <f>IF($F1121="","",IFERROR(INDEX('CAT_CENTROS_COSTO'!$F$4:$F$13,MATCH($F1121,'CAT_CENTROS_COSTO'!$A$4:$A$13,0)),"(sin catálogo)"))</f>
        <v/>
      </c>
      <c r="X1121" s="5">
        <f>IF($F1121="","",IFERROR(INDEX('CAT_CENTROS_COSTO'!$D$4:$D$13,MATCH($F1121,'CAT_CENTROS_COSTO'!$A$4:$A$13,0)),"(sin catálogo)"))</f>
        <v/>
      </c>
      <c r="Y1121" s="5">
        <f>IF($F1121="","",IF((IFERROR(INDEX('CAT_CENTROS_COSTO'!$E$4:$E$13,MATCH($F1121,'CAT_CENTROS_COSTO'!$A$4:$A$13,0)),""))&lt;&gt;"",IFERROR(INDEX('CAT_CENTROS_COSTO'!$E$4:$E$13,MATCH($F1121,'CAT_CENTROS_COSTO'!$A$4:$A$13,0)),""),$X1121))</f>
        <v/>
      </c>
      <c r="Z1121" s="5">
        <f>IF($F1121="","",IFERROR(INDEX('CAT_CENTROS_COSTO'!$G$4:$G$13,MATCH($F1121,'CAT_CENTROS_COSTO'!$A$4:$A$13,0)),"(sin catálogo)"))</f>
        <v/>
      </c>
      <c r="AA1121" s="5">
        <f>IF($G1121="","",IFERROR(INDEX('CAT_PUESTOS'!$B$4:$B$8,MATCH($G1121,'CAT_PUESTOS'!$A$4:$A$8,0)),"(sin catálogo)"))</f>
        <v/>
      </c>
      <c r="AB1121" s="5">
        <f>IF($H1121="","",IFERROR(INDEX('CAT_ACTIVIDADES'!$B$4:$B$11,MATCH($H1121,'CAT_ACTIVIDADES'!$A$4:$A$11,0)),"(sin catálogo)"))</f>
        <v/>
      </c>
      <c r="AC1121" s="20">
        <f>IF($J1121="","",TODAY()-$J1121)</f>
        <v/>
      </c>
      <c r="AD1121" s="20">
        <f>IF($J1121="","",IF($J1121&lt;=TODAY(),COUNTIFS(cal_fechas,"&gt;="&amp;$J1121,cal_fechas,"&lt;"&amp;TODAY(),cal_habil,"sí"),-COUNTIFS(cal_fechas,"&gt;="&amp;TODAY(),cal_fechas,"&lt;"&amp;$J1121,cal_habil,"sí")))</f>
        <v/>
      </c>
      <c r="AE1121" s="5">
        <f>IF($AD1121="","",IF($AD1121&lt;0,"FUTURO",IF($AD1121&gt;p_dias_backlog_max,"BACKLOG","MES CORRIENTE")))</f>
        <v/>
      </c>
      <c r="AF1121" s="5">
        <f>IF($AD1121="",FALSE,AND($AD1121&gt;p_dias_backlog_min,$AD1121&lt;=p_dias_backlog_max))</f>
        <v/>
      </c>
      <c r="AG1121" s="4" t="n"/>
      <c r="AH1121" s="5">
        <f>IF($AG1121="","",IF((IFERROR(INDEX('ASIGNACIONES'!$J$4:$J$451,MATCH($O1121&amp;"|"&amp;$S1121&amp;"|"&amp;$AG1121,'ASIGNACIONES'!$N$4:$N$451,0)),""))=0,"",IFERROR(INDEX('ASIGNACIONES'!$J$4:$J$451,MATCH($O1121&amp;"|"&amp;$S1121&amp;"|"&amp;$AG1121,'ASIGNACIONES'!$N$4:$N$451,0)),"")))</f>
        <v/>
      </c>
      <c r="AI1121" s="25">
        <f>IF($AG1121="","",SUMIFS('ORDENES'!$M$4:$M$1203,'ORDENES'!$AG$4:$AG$1203,$AG1121,'ORDENES'!$O$4:$O$1203,$O1121,'ORDENES'!$S$4:$S$1203,$S1121))</f>
        <v/>
      </c>
      <c r="AJ1121" s="25">
        <f>IF($AI1121="","",p_factor_productividad*IFERROR(INDEX('ASIGNACIONES'!$M$4:$M$451,MATCH($O1121&amp;"|"&amp;$S1121&amp;"|"&amp;$AG1121,'ASIGNACIONES'!$N$4:$N$451,0)),0)-$AI1121)</f>
        <v/>
      </c>
      <c r="AK1121" s="18">
        <f>IF($A1121="","",IFERROR(INDEX('2_IMPORTAR_EJECUCION'!$F$9:$F$1208,MATCH($AT1121,'2_IMPORTAR_EJECUCION'!$J$9:$J$1208,0)),0))</f>
        <v/>
      </c>
      <c r="AL1121" s="18">
        <f>IF($A1121="","",MAX(0,IFERROR(INDEX('2_IMPORTAR_EJECUCION'!$H$9:$H$1208,MATCH($AT1121,'2_IMPORTAR_EJECUCION'!$J$9:$J$1208,0)),0)-$AK1121))</f>
        <v/>
      </c>
      <c r="AM1121" s="18">
        <f>IF($A1121="","",$AK1121+$AL1121)</f>
        <v/>
      </c>
      <c r="AN1121" s="5">
        <f>IF($A1121="","",IF(OR((IFERROR(INDEX('CAT_ACTIVIDADES'!$D$4:$D$11,MATCH($H1121,'CAT_ACTIVIDADES'!$A$4:$A$11,0)),""))=0,(IFERROR(INDEX('CAT_ACTIVIDADES'!$D$4:$D$11,MATCH($H1121,'CAT_ACTIVIDADES'!$A$4:$A$11,0)),""))=""),"SIN CLASIFICAR",IFERROR(INDEX('CAT_ACTIVIDADES'!$D$4:$D$11,MATCH($H1121,'CAT_ACTIVIDADES'!$A$4:$A$11,0)),"")))</f>
        <v/>
      </c>
      <c r="AO1121" s="4" t="n"/>
      <c r="AP1121" s="4" t="n"/>
      <c r="AQ1121" s="4" t="n"/>
      <c r="AR1121" s="5">
        <f>IF($AQ1121="","",HYPERLINK(p_ruta_base_checklists&amp;$AQ1121,"abrir"))</f>
        <v/>
      </c>
      <c r="AS1121" s="4" t="n"/>
      <c r="AT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2" t="n"/>
      <c r="K1122" s="5" t="n"/>
      <c r="L1122" s="18" t="n"/>
      <c r="M1122" s="5">
        <f>IF($A1122="","",IFERROR(INDEX('AJUSTES'!$B$4:$B$303,MATCH($AT1122,'AJUSTES'!$A$4:$A$303,0)),IF($K1122="","",$K1122)))</f>
        <v/>
      </c>
      <c r="N1122" s="5">
        <f>IF($A1122="","",IFERROR(INDEX('CAT_ESTADOS_ERP'!$B$4:$B$7,MATCH(IFERROR(INDEX('2_IMPORTAR_EJECUCION'!$C$9:$C$1208,MATCH($AT1122,'2_IMPORTAR_EJECUCION'!$J$9:$J$1208,0)),""),'CAT_ESTADOS_ERP'!$A$4:$A$7,0)),"Pendiente"))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IF($J1122="","",$P1122&amp;"-"&amp;TEXT($Q1122,"00"))</f>
        <v/>
      </c>
      <c r="S1122" s="5">
        <f>IF($J1122="","",INDEX(lista_dias,WEEKDAY($J1122,2)))</f>
        <v/>
      </c>
      <c r="T1122" s="5">
        <f>IF($J1122="","",IFERROR(INDEX('CALENDARIO'!$C$15:$C$214,MATCH(TEXT($J1122,"yyyy-mm-dd")&amp;"|"&amp;$X1122&amp;"|"&amp;$Y1122,'CALENDARIO'!$G$15:$G$214,0)),IFERROR(INDEX('CALENDARIO'!$C$15:$C$214,MATCH(TEXT($J1122,"yyyy-mm-dd")&amp;"|"&amp;$X1122&amp;"|",'CALENDARIO'!$G$15:$G$214,0)),IFERROR(INDEX('CALENDARIO'!$C$15:$C$214,MATCH(TEXT($J1122,"yyyy-mm-dd")&amp;"||",'CALENDARIO'!$G$15:$G$214,0)),INDEX(patronHabil,WEEKDAY($J1122,2))))))</f>
        <v/>
      </c>
      <c r="U1122" s="5">
        <f>IF($I1122="","",IFERROR(INDEX('CAT_TIPOS_OT'!$C$4:$C$8,MATCH($I1122,'CAT_TIPOS_OT'!$A$4:$A$8,0)),"sin_clasificar"))</f>
        <v/>
      </c>
      <c r="V1122" s="5">
        <f>IF($I1122="","",IF(IFERROR(INDEX('CAT_TIPOS_OT'!$D$4:$D$8,MATCH($I1122,'CAT_TIPOS_OT'!$A$4:$A$8,0)),"SIN CLASIFICAR")="","SIN CLASIFICAR",IFERROR(INDEX('CAT_TIPOS_OT'!$D$4:$D$8,MATCH($I1122,'CAT_TIPOS_OT'!$A$4:$A$8,0)),"SIN CLASIFICAR")))</f>
        <v/>
      </c>
      <c r="W1122" s="5">
        <f>IF($F1122="","",IFERROR(INDEX('CAT_CENTROS_COSTO'!$F$4:$F$13,MATCH($F1122,'CAT_CENTROS_COSTO'!$A$4:$A$13,0)),"(sin catálogo)"))</f>
        <v/>
      </c>
      <c r="X1122" s="5">
        <f>IF($F1122="","",IFERROR(INDEX('CAT_CENTROS_COSTO'!$D$4:$D$13,MATCH($F1122,'CAT_CENTROS_COSTO'!$A$4:$A$13,0)),"(sin catálogo)"))</f>
        <v/>
      </c>
      <c r="Y1122" s="5">
        <f>IF($F1122="","",IF((IFERROR(INDEX('CAT_CENTROS_COSTO'!$E$4:$E$13,MATCH($F1122,'CAT_CENTROS_COSTO'!$A$4:$A$13,0)),""))&lt;&gt;"",IFERROR(INDEX('CAT_CENTROS_COSTO'!$E$4:$E$13,MATCH($F1122,'CAT_CENTROS_COSTO'!$A$4:$A$13,0)),""),$X1122))</f>
        <v/>
      </c>
      <c r="Z1122" s="5">
        <f>IF($F1122="","",IFERROR(INDEX('CAT_CENTROS_COSTO'!$G$4:$G$13,MATCH($F1122,'CAT_CENTROS_COSTO'!$A$4:$A$13,0)),"(sin catálogo)"))</f>
        <v/>
      </c>
      <c r="AA1122" s="5">
        <f>IF($G1122="","",IFERROR(INDEX('CAT_PUESTOS'!$B$4:$B$8,MATCH($G1122,'CAT_PUESTOS'!$A$4:$A$8,0)),"(sin catálogo)"))</f>
        <v/>
      </c>
      <c r="AB1122" s="5">
        <f>IF($H1122="","",IFERROR(INDEX('CAT_ACTIVIDADES'!$B$4:$B$11,MATCH($H1122,'CAT_ACTIVIDADES'!$A$4:$A$11,0)),"(sin catálogo)"))</f>
        <v/>
      </c>
      <c r="AC1122" s="20">
        <f>IF($J1122="","",TODAY()-$J1122)</f>
        <v/>
      </c>
      <c r="AD1122" s="20">
        <f>IF($J1122="","",IF($J1122&lt;=TODAY(),COUNTIFS(cal_fechas,"&gt;="&amp;$J1122,cal_fechas,"&lt;"&amp;TODAY(),cal_habil,"sí"),-COUNTIFS(cal_fechas,"&gt;="&amp;TODAY(),cal_fechas,"&lt;"&amp;$J1122,cal_habil,"sí")))</f>
        <v/>
      </c>
      <c r="AE1122" s="5">
        <f>IF($AD1122="","",IF($AD1122&lt;0,"FUTURO",IF($AD1122&gt;p_dias_backlog_max,"BACKLOG","MES CORRIENTE")))</f>
        <v/>
      </c>
      <c r="AF1122" s="5">
        <f>IF($AD1122="",FALSE,AND($AD1122&gt;p_dias_backlog_min,$AD1122&lt;=p_dias_backlog_max))</f>
        <v/>
      </c>
      <c r="AG1122" s="4" t="n"/>
      <c r="AH1122" s="5">
        <f>IF($AG1122="","",IF((IFERROR(INDEX('ASIGNACIONES'!$J$4:$J$451,MATCH($O1122&amp;"|"&amp;$S1122&amp;"|"&amp;$AG1122,'ASIGNACIONES'!$N$4:$N$451,0)),""))=0,"",IFERROR(INDEX('ASIGNACIONES'!$J$4:$J$451,MATCH($O1122&amp;"|"&amp;$S1122&amp;"|"&amp;$AG1122,'ASIGNACIONES'!$N$4:$N$451,0)),"")))</f>
        <v/>
      </c>
      <c r="AI1122" s="25">
        <f>IF($AG1122="","",SUMIFS('ORDENES'!$M$4:$M$1203,'ORDENES'!$AG$4:$AG$1203,$AG1122,'ORDENES'!$O$4:$O$1203,$O1122,'ORDENES'!$S$4:$S$1203,$S1122))</f>
        <v/>
      </c>
      <c r="AJ1122" s="25">
        <f>IF($AI1122="","",p_factor_productividad*IFERROR(INDEX('ASIGNACIONES'!$M$4:$M$451,MATCH($O1122&amp;"|"&amp;$S1122&amp;"|"&amp;$AG1122,'ASIGNACIONES'!$N$4:$N$451,0)),0)-$AI1122)</f>
        <v/>
      </c>
      <c r="AK1122" s="18">
        <f>IF($A1122="","",IFERROR(INDEX('2_IMPORTAR_EJECUCION'!$F$9:$F$1208,MATCH($AT1122,'2_IMPORTAR_EJECUCION'!$J$9:$J$1208,0)),0))</f>
        <v/>
      </c>
      <c r="AL1122" s="18">
        <f>IF($A1122="","",MAX(0,IFERROR(INDEX('2_IMPORTAR_EJECUCION'!$H$9:$H$1208,MATCH($AT1122,'2_IMPORTAR_EJECUCION'!$J$9:$J$1208,0)),0)-$AK1122))</f>
        <v/>
      </c>
      <c r="AM1122" s="18">
        <f>IF($A1122="","",$AK1122+$AL1122)</f>
        <v/>
      </c>
      <c r="AN1122" s="5">
        <f>IF($A1122="","",IF(OR((IFERROR(INDEX('CAT_ACTIVIDADES'!$D$4:$D$11,MATCH($H1122,'CAT_ACTIVIDADES'!$A$4:$A$11,0)),""))=0,(IFERROR(INDEX('CAT_ACTIVIDADES'!$D$4:$D$11,MATCH($H1122,'CAT_ACTIVIDADES'!$A$4:$A$11,0)),""))=""),"SIN CLASIFICAR",IFERROR(INDEX('CAT_ACTIVIDADES'!$D$4:$D$11,MATCH($H1122,'CAT_ACTIVIDADES'!$A$4:$A$11,0)),"")))</f>
        <v/>
      </c>
      <c r="AO1122" s="4" t="n"/>
      <c r="AP1122" s="4" t="n"/>
      <c r="AQ1122" s="4" t="n"/>
      <c r="AR1122" s="5">
        <f>IF($AQ1122="","",HYPERLINK(p_ruta_base_checklists&amp;$AQ1122,"abrir"))</f>
        <v/>
      </c>
      <c r="AS1122" s="4" t="n"/>
      <c r="AT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2" t="n"/>
      <c r="K1123" s="5" t="n"/>
      <c r="L1123" s="18" t="n"/>
      <c r="M1123" s="5">
        <f>IF($A1123="","",IFERROR(INDEX('AJUSTES'!$B$4:$B$303,MATCH($AT1123,'AJUSTES'!$A$4:$A$303,0)),IF($K1123="","",$K1123)))</f>
        <v/>
      </c>
      <c r="N1123" s="5">
        <f>IF($A1123="","",IFERROR(INDEX('CAT_ESTADOS_ERP'!$B$4:$B$7,MATCH(IFERROR(INDEX('2_IMPORTAR_EJECUCION'!$C$9:$C$1208,MATCH($AT1123,'2_IMPORTAR_EJECUCION'!$J$9:$J$1208,0)),""),'CAT_ESTADOS_ERP'!$A$4:$A$7,0)),"Pendiente"))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IF($J1123="","",$P1123&amp;"-"&amp;TEXT($Q1123,"00"))</f>
        <v/>
      </c>
      <c r="S1123" s="5">
        <f>IF($J1123="","",INDEX(lista_dias,WEEKDAY($J1123,2)))</f>
        <v/>
      </c>
      <c r="T1123" s="5">
        <f>IF($J1123="","",IFERROR(INDEX('CALENDARIO'!$C$15:$C$214,MATCH(TEXT($J1123,"yyyy-mm-dd")&amp;"|"&amp;$X1123&amp;"|"&amp;$Y1123,'CALENDARIO'!$G$15:$G$214,0)),IFERROR(INDEX('CALENDARIO'!$C$15:$C$214,MATCH(TEXT($J1123,"yyyy-mm-dd")&amp;"|"&amp;$X1123&amp;"|",'CALENDARIO'!$G$15:$G$214,0)),IFERROR(INDEX('CALENDARIO'!$C$15:$C$214,MATCH(TEXT($J1123,"yyyy-mm-dd")&amp;"||",'CALENDARIO'!$G$15:$G$214,0)),INDEX(patronHabil,WEEKDAY($J1123,2))))))</f>
        <v/>
      </c>
      <c r="U1123" s="5">
        <f>IF($I1123="","",IFERROR(INDEX('CAT_TIPOS_OT'!$C$4:$C$8,MATCH($I1123,'CAT_TIPOS_OT'!$A$4:$A$8,0)),"sin_clasificar"))</f>
        <v/>
      </c>
      <c r="V1123" s="5">
        <f>IF($I1123="","",IF(IFERROR(INDEX('CAT_TIPOS_OT'!$D$4:$D$8,MATCH($I1123,'CAT_TIPOS_OT'!$A$4:$A$8,0)),"SIN CLASIFICAR")="","SIN CLASIFICAR",IFERROR(INDEX('CAT_TIPOS_OT'!$D$4:$D$8,MATCH($I1123,'CAT_TIPOS_OT'!$A$4:$A$8,0)),"SIN CLASIFICAR")))</f>
        <v/>
      </c>
      <c r="W1123" s="5">
        <f>IF($F1123="","",IFERROR(INDEX('CAT_CENTROS_COSTO'!$F$4:$F$13,MATCH($F1123,'CAT_CENTROS_COSTO'!$A$4:$A$13,0)),"(sin catálogo)"))</f>
        <v/>
      </c>
      <c r="X1123" s="5">
        <f>IF($F1123="","",IFERROR(INDEX('CAT_CENTROS_COSTO'!$D$4:$D$13,MATCH($F1123,'CAT_CENTROS_COSTO'!$A$4:$A$13,0)),"(sin catálogo)"))</f>
        <v/>
      </c>
      <c r="Y1123" s="5">
        <f>IF($F1123="","",IF((IFERROR(INDEX('CAT_CENTROS_COSTO'!$E$4:$E$13,MATCH($F1123,'CAT_CENTROS_COSTO'!$A$4:$A$13,0)),""))&lt;&gt;"",IFERROR(INDEX('CAT_CENTROS_COSTO'!$E$4:$E$13,MATCH($F1123,'CAT_CENTROS_COSTO'!$A$4:$A$13,0)),""),$X1123))</f>
        <v/>
      </c>
      <c r="Z1123" s="5">
        <f>IF($F1123="","",IFERROR(INDEX('CAT_CENTROS_COSTO'!$G$4:$G$13,MATCH($F1123,'CAT_CENTROS_COSTO'!$A$4:$A$13,0)),"(sin catálogo)"))</f>
        <v/>
      </c>
      <c r="AA1123" s="5">
        <f>IF($G1123="","",IFERROR(INDEX('CAT_PUESTOS'!$B$4:$B$8,MATCH($G1123,'CAT_PUESTOS'!$A$4:$A$8,0)),"(sin catálogo)"))</f>
        <v/>
      </c>
      <c r="AB1123" s="5">
        <f>IF($H1123="","",IFERROR(INDEX('CAT_ACTIVIDADES'!$B$4:$B$11,MATCH($H1123,'CAT_ACTIVIDADES'!$A$4:$A$11,0)),"(sin catálogo)"))</f>
        <v/>
      </c>
      <c r="AC1123" s="20">
        <f>IF($J1123="","",TODAY()-$J1123)</f>
        <v/>
      </c>
      <c r="AD1123" s="20">
        <f>IF($J1123="","",IF($J1123&lt;=TODAY(),COUNTIFS(cal_fechas,"&gt;="&amp;$J1123,cal_fechas,"&lt;"&amp;TODAY(),cal_habil,"sí"),-COUNTIFS(cal_fechas,"&gt;="&amp;TODAY(),cal_fechas,"&lt;"&amp;$J1123,cal_habil,"sí")))</f>
        <v/>
      </c>
      <c r="AE1123" s="5">
        <f>IF($AD1123="","",IF($AD1123&lt;0,"FUTURO",IF($AD1123&gt;p_dias_backlog_max,"BACKLOG","MES CORRIENTE")))</f>
        <v/>
      </c>
      <c r="AF1123" s="5">
        <f>IF($AD1123="",FALSE,AND($AD1123&gt;p_dias_backlog_min,$AD1123&lt;=p_dias_backlog_max))</f>
        <v/>
      </c>
      <c r="AG1123" s="4" t="n"/>
      <c r="AH1123" s="5">
        <f>IF($AG1123="","",IF((IFERROR(INDEX('ASIGNACIONES'!$J$4:$J$451,MATCH($O1123&amp;"|"&amp;$S1123&amp;"|"&amp;$AG1123,'ASIGNACIONES'!$N$4:$N$451,0)),""))=0,"",IFERROR(INDEX('ASIGNACIONES'!$J$4:$J$451,MATCH($O1123&amp;"|"&amp;$S1123&amp;"|"&amp;$AG1123,'ASIGNACIONES'!$N$4:$N$451,0)),"")))</f>
        <v/>
      </c>
      <c r="AI1123" s="25">
        <f>IF($AG1123="","",SUMIFS('ORDENES'!$M$4:$M$1203,'ORDENES'!$AG$4:$AG$1203,$AG1123,'ORDENES'!$O$4:$O$1203,$O1123,'ORDENES'!$S$4:$S$1203,$S1123))</f>
        <v/>
      </c>
      <c r="AJ1123" s="25">
        <f>IF($AI1123="","",p_factor_productividad*IFERROR(INDEX('ASIGNACIONES'!$M$4:$M$451,MATCH($O1123&amp;"|"&amp;$S1123&amp;"|"&amp;$AG1123,'ASIGNACIONES'!$N$4:$N$451,0)),0)-$AI1123)</f>
        <v/>
      </c>
      <c r="AK1123" s="18">
        <f>IF($A1123="","",IFERROR(INDEX('2_IMPORTAR_EJECUCION'!$F$9:$F$1208,MATCH($AT1123,'2_IMPORTAR_EJECUCION'!$J$9:$J$1208,0)),0))</f>
        <v/>
      </c>
      <c r="AL1123" s="18">
        <f>IF($A1123="","",MAX(0,IFERROR(INDEX('2_IMPORTAR_EJECUCION'!$H$9:$H$1208,MATCH($AT1123,'2_IMPORTAR_EJECUCION'!$J$9:$J$1208,0)),0)-$AK1123))</f>
        <v/>
      </c>
      <c r="AM1123" s="18">
        <f>IF($A1123="","",$AK1123+$AL1123)</f>
        <v/>
      </c>
      <c r="AN1123" s="5">
        <f>IF($A1123="","",IF(OR((IFERROR(INDEX('CAT_ACTIVIDADES'!$D$4:$D$11,MATCH($H1123,'CAT_ACTIVIDADES'!$A$4:$A$11,0)),""))=0,(IFERROR(INDEX('CAT_ACTIVIDADES'!$D$4:$D$11,MATCH($H1123,'CAT_ACTIVIDADES'!$A$4:$A$11,0)),""))=""),"SIN CLASIFICAR",IFERROR(INDEX('CAT_ACTIVIDADES'!$D$4:$D$11,MATCH($H1123,'CAT_ACTIVIDADES'!$A$4:$A$11,0)),"")))</f>
        <v/>
      </c>
      <c r="AO1123" s="4" t="n"/>
      <c r="AP1123" s="4" t="n"/>
      <c r="AQ1123" s="4" t="n"/>
      <c r="AR1123" s="5">
        <f>IF($AQ1123="","",HYPERLINK(p_ruta_base_checklists&amp;$AQ1123,"abrir"))</f>
        <v/>
      </c>
      <c r="AS1123" s="4" t="n"/>
      <c r="AT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2" t="n"/>
      <c r="K1124" s="5" t="n"/>
      <c r="L1124" s="18" t="n"/>
      <c r="M1124" s="5">
        <f>IF($A1124="","",IFERROR(INDEX('AJUSTES'!$B$4:$B$303,MATCH($AT1124,'AJUSTES'!$A$4:$A$303,0)),IF($K1124="","",$K1124)))</f>
        <v/>
      </c>
      <c r="N1124" s="5">
        <f>IF($A1124="","",IFERROR(INDEX('CAT_ESTADOS_ERP'!$B$4:$B$7,MATCH(IFERROR(INDEX('2_IMPORTAR_EJECUCION'!$C$9:$C$1208,MATCH($AT1124,'2_IMPORTAR_EJECUCION'!$J$9:$J$1208,0)),""),'CAT_ESTADOS_ERP'!$A$4:$A$7,0)),"Pendiente"))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IF($J1124="","",$P1124&amp;"-"&amp;TEXT($Q1124,"00"))</f>
        <v/>
      </c>
      <c r="S1124" s="5">
        <f>IF($J1124="","",INDEX(lista_dias,WEEKDAY($J1124,2)))</f>
        <v/>
      </c>
      <c r="T1124" s="5">
        <f>IF($J1124="","",IFERROR(INDEX('CALENDARIO'!$C$15:$C$214,MATCH(TEXT($J1124,"yyyy-mm-dd")&amp;"|"&amp;$X1124&amp;"|"&amp;$Y1124,'CALENDARIO'!$G$15:$G$214,0)),IFERROR(INDEX('CALENDARIO'!$C$15:$C$214,MATCH(TEXT($J1124,"yyyy-mm-dd")&amp;"|"&amp;$X1124&amp;"|",'CALENDARIO'!$G$15:$G$214,0)),IFERROR(INDEX('CALENDARIO'!$C$15:$C$214,MATCH(TEXT($J1124,"yyyy-mm-dd")&amp;"||",'CALENDARIO'!$G$15:$G$214,0)),INDEX(patronHabil,WEEKDAY($J1124,2))))))</f>
        <v/>
      </c>
      <c r="U1124" s="5">
        <f>IF($I1124="","",IFERROR(INDEX('CAT_TIPOS_OT'!$C$4:$C$8,MATCH($I1124,'CAT_TIPOS_OT'!$A$4:$A$8,0)),"sin_clasificar"))</f>
        <v/>
      </c>
      <c r="V1124" s="5">
        <f>IF($I1124="","",IF(IFERROR(INDEX('CAT_TIPOS_OT'!$D$4:$D$8,MATCH($I1124,'CAT_TIPOS_OT'!$A$4:$A$8,0)),"SIN CLASIFICAR")="","SIN CLASIFICAR",IFERROR(INDEX('CAT_TIPOS_OT'!$D$4:$D$8,MATCH($I1124,'CAT_TIPOS_OT'!$A$4:$A$8,0)),"SIN CLASIFICAR")))</f>
        <v/>
      </c>
      <c r="W1124" s="5">
        <f>IF($F1124="","",IFERROR(INDEX('CAT_CENTROS_COSTO'!$F$4:$F$13,MATCH($F1124,'CAT_CENTROS_COSTO'!$A$4:$A$13,0)),"(sin catálogo)"))</f>
        <v/>
      </c>
      <c r="X1124" s="5">
        <f>IF($F1124="","",IFERROR(INDEX('CAT_CENTROS_COSTO'!$D$4:$D$13,MATCH($F1124,'CAT_CENTROS_COSTO'!$A$4:$A$13,0)),"(sin catálogo)"))</f>
        <v/>
      </c>
      <c r="Y1124" s="5">
        <f>IF($F1124="","",IF((IFERROR(INDEX('CAT_CENTROS_COSTO'!$E$4:$E$13,MATCH($F1124,'CAT_CENTROS_COSTO'!$A$4:$A$13,0)),""))&lt;&gt;"",IFERROR(INDEX('CAT_CENTROS_COSTO'!$E$4:$E$13,MATCH($F1124,'CAT_CENTROS_COSTO'!$A$4:$A$13,0)),""),$X1124))</f>
        <v/>
      </c>
      <c r="Z1124" s="5">
        <f>IF($F1124="","",IFERROR(INDEX('CAT_CENTROS_COSTO'!$G$4:$G$13,MATCH($F1124,'CAT_CENTROS_COSTO'!$A$4:$A$13,0)),"(sin catálogo)"))</f>
        <v/>
      </c>
      <c r="AA1124" s="5">
        <f>IF($G1124="","",IFERROR(INDEX('CAT_PUESTOS'!$B$4:$B$8,MATCH($G1124,'CAT_PUESTOS'!$A$4:$A$8,0)),"(sin catálogo)"))</f>
        <v/>
      </c>
      <c r="AB1124" s="5">
        <f>IF($H1124="","",IFERROR(INDEX('CAT_ACTIVIDADES'!$B$4:$B$11,MATCH($H1124,'CAT_ACTIVIDADES'!$A$4:$A$11,0)),"(sin catálogo)"))</f>
        <v/>
      </c>
      <c r="AC1124" s="20">
        <f>IF($J1124="","",TODAY()-$J1124)</f>
        <v/>
      </c>
      <c r="AD1124" s="20">
        <f>IF($J1124="","",IF($J1124&lt;=TODAY(),COUNTIFS(cal_fechas,"&gt;="&amp;$J1124,cal_fechas,"&lt;"&amp;TODAY(),cal_habil,"sí"),-COUNTIFS(cal_fechas,"&gt;="&amp;TODAY(),cal_fechas,"&lt;"&amp;$J1124,cal_habil,"sí")))</f>
        <v/>
      </c>
      <c r="AE1124" s="5">
        <f>IF($AD1124="","",IF($AD1124&lt;0,"FUTURO",IF($AD1124&gt;p_dias_backlog_max,"BACKLOG","MES CORRIENTE")))</f>
        <v/>
      </c>
      <c r="AF1124" s="5">
        <f>IF($AD1124="",FALSE,AND($AD1124&gt;p_dias_backlog_min,$AD1124&lt;=p_dias_backlog_max))</f>
        <v/>
      </c>
      <c r="AG1124" s="4" t="n"/>
      <c r="AH1124" s="5">
        <f>IF($AG1124="","",IF((IFERROR(INDEX('ASIGNACIONES'!$J$4:$J$451,MATCH($O1124&amp;"|"&amp;$S1124&amp;"|"&amp;$AG1124,'ASIGNACIONES'!$N$4:$N$451,0)),""))=0,"",IFERROR(INDEX('ASIGNACIONES'!$J$4:$J$451,MATCH($O1124&amp;"|"&amp;$S1124&amp;"|"&amp;$AG1124,'ASIGNACIONES'!$N$4:$N$451,0)),"")))</f>
        <v/>
      </c>
      <c r="AI1124" s="25">
        <f>IF($AG1124="","",SUMIFS('ORDENES'!$M$4:$M$1203,'ORDENES'!$AG$4:$AG$1203,$AG1124,'ORDENES'!$O$4:$O$1203,$O1124,'ORDENES'!$S$4:$S$1203,$S1124))</f>
        <v/>
      </c>
      <c r="AJ1124" s="25">
        <f>IF($AI1124="","",p_factor_productividad*IFERROR(INDEX('ASIGNACIONES'!$M$4:$M$451,MATCH($O1124&amp;"|"&amp;$S1124&amp;"|"&amp;$AG1124,'ASIGNACIONES'!$N$4:$N$451,0)),0)-$AI1124)</f>
        <v/>
      </c>
      <c r="AK1124" s="18">
        <f>IF($A1124="","",IFERROR(INDEX('2_IMPORTAR_EJECUCION'!$F$9:$F$1208,MATCH($AT1124,'2_IMPORTAR_EJECUCION'!$J$9:$J$1208,0)),0))</f>
        <v/>
      </c>
      <c r="AL1124" s="18">
        <f>IF($A1124="","",MAX(0,IFERROR(INDEX('2_IMPORTAR_EJECUCION'!$H$9:$H$1208,MATCH($AT1124,'2_IMPORTAR_EJECUCION'!$J$9:$J$1208,0)),0)-$AK1124))</f>
        <v/>
      </c>
      <c r="AM1124" s="18">
        <f>IF($A1124="","",$AK1124+$AL1124)</f>
        <v/>
      </c>
      <c r="AN1124" s="5">
        <f>IF($A1124="","",IF(OR((IFERROR(INDEX('CAT_ACTIVIDADES'!$D$4:$D$11,MATCH($H1124,'CAT_ACTIVIDADES'!$A$4:$A$11,0)),""))=0,(IFERROR(INDEX('CAT_ACTIVIDADES'!$D$4:$D$11,MATCH($H1124,'CAT_ACTIVIDADES'!$A$4:$A$11,0)),""))=""),"SIN CLASIFICAR",IFERROR(INDEX('CAT_ACTIVIDADES'!$D$4:$D$11,MATCH($H1124,'CAT_ACTIVIDADES'!$A$4:$A$11,0)),"")))</f>
        <v/>
      </c>
      <c r="AO1124" s="4" t="n"/>
      <c r="AP1124" s="4" t="n"/>
      <c r="AQ1124" s="4" t="n"/>
      <c r="AR1124" s="5">
        <f>IF($AQ1124="","",HYPERLINK(p_ruta_base_checklists&amp;$AQ1124,"abrir"))</f>
        <v/>
      </c>
      <c r="AS1124" s="4" t="n"/>
      <c r="AT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2" t="n"/>
      <c r="K1125" s="5" t="n"/>
      <c r="L1125" s="18" t="n"/>
      <c r="M1125" s="5">
        <f>IF($A1125="","",IFERROR(INDEX('AJUSTES'!$B$4:$B$303,MATCH($AT1125,'AJUSTES'!$A$4:$A$303,0)),IF($K1125="","",$K1125)))</f>
        <v/>
      </c>
      <c r="N1125" s="5">
        <f>IF($A1125="","",IFERROR(INDEX('CAT_ESTADOS_ERP'!$B$4:$B$7,MATCH(IFERROR(INDEX('2_IMPORTAR_EJECUCION'!$C$9:$C$1208,MATCH($AT1125,'2_IMPORTAR_EJECUCION'!$J$9:$J$1208,0)),""),'CAT_ESTADOS_ERP'!$A$4:$A$7,0)),"Pendiente"))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IF($J1125="","",$P1125&amp;"-"&amp;TEXT($Q1125,"00"))</f>
        <v/>
      </c>
      <c r="S1125" s="5">
        <f>IF($J1125="","",INDEX(lista_dias,WEEKDAY($J1125,2)))</f>
        <v/>
      </c>
      <c r="T1125" s="5">
        <f>IF($J1125="","",IFERROR(INDEX('CALENDARIO'!$C$15:$C$214,MATCH(TEXT($J1125,"yyyy-mm-dd")&amp;"|"&amp;$X1125&amp;"|"&amp;$Y1125,'CALENDARIO'!$G$15:$G$214,0)),IFERROR(INDEX('CALENDARIO'!$C$15:$C$214,MATCH(TEXT($J1125,"yyyy-mm-dd")&amp;"|"&amp;$X1125&amp;"|",'CALENDARIO'!$G$15:$G$214,0)),IFERROR(INDEX('CALENDARIO'!$C$15:$C$214,MATCH(TEXT($J1125,"yyyy-mm-dd")&amp;"||",'CALENDARIO'!$G$15:$G$214,0)),INDEX(patronHabil,WEEKDAY($J1125,2))))))</f>
        <v/>
      </c>
      <c r="U1125" s="5">
        <f>IF($I1125="","",IFERROR(INDEX('CAT_TIPOS_OT'!$C$4:$C$8,MATCH($I1125,'CAT_TIPOS_OT'!$A$4:$A$8,0)),"sin_clasificar"))</f>
        <v/>
      </c>
      <c r="V1125" s="5">
        <f>IF($I1125="","",IF(IFERROR(INDEX('CAT_TIPOS_OT'!$D$4:$D$8,MATCH($I1125,'CAT_TIPOS_OT'!$A$4:$A$8,0)),"SIN CLASIFICAR")="","SIN CLASIFICAR",IFERROR(INDEX('CAT_TIPOS_OT'!$D$4:$D$8,MATCH($I1125,'CAT_TIPOS_OT'!$A$4:$A$8,0)),"SIN CLASIFICAR")))</f>
        <v/>
      </c>
      <c r="W1125" s="5">
        <f>IF($F1125="","",IFERROR(INDEX('CAT_CENTROS_COSTO'!$F$4:$F$13,MATCH($F1125,'CAT_CENTROS_COSTO'!$A$4:$A$13,0)),"(sin catálogo)"))</f>
        <v/>
      </c>
      <c r="X1125" s="5">
        <f>IF($F1125="","",IFERROR(INDEX('CAT_CENTROS_COSTO'!$D$4:$D$13,MATCH($F1125,'CAT_CENTROS_COSTO'!$A$4:$A$13,0)),"(sin catálogo)"))</f>
        <v/>
      </c>
      <c r="Y1125" s="5">
        <f>IF($F1125="","",IF((IFERROR(INDEX('CAT_CENTROS_COSTO'!$E$4:$E$13,MATCH($F1125,'CAT_CENTROS_COSTO'!$A$4:$A$13,0)),""))&lt;&gt;"",IFERROR(INDEX('CAT_CENTROS_COSTO'!$E$4:$E$13,MATCH($F1125,'CAT_CENTROS_COSTO'!$A$4:$A$13,0)),""),$X1125))</f>
        <v/>
      </c>
      <c r="Z1125" s="5">
        <f>IF($F1125="","",IFERROR(INDEX('CAT_CENTROS_COSTO'!$G$4:$G$13,MATCH($F1125,'CAT_CENTROS_COSTO'!$A$4:$A$13,0)),"(sin catálogo)"))</f>
        <v/>
      </c>
      <c r="AA1125" s="5">
        <f>IF($G1125="","",IFERROR(INDEX('CAT_PUESTOS'!$B$4:$B$8,MATCH($G1125,'CAT_PUESTOS'!$A$4:$A$8,0)),"(sin catálogo)"))</f>
        <v/>
      </c>
      <c r="AB1125" s="5">
        <f>IF($H1125="","",IFERROR(INDEX('CAT_ACTIVIDADES'!$B$4:$B$11,MATCH($H1125,'CAT_ACTIVIDADES'!$A$4:$A$11,0)),"(sin catálogo)"))</f>
        <v/>
      </c>
      <c r="AC1125" s="20">
        <f>IF($J1125="","",TODAY()-$J1125)</f>
        <v/>
      </c>
      <c r="AD1125" s="20">
        <f>IF($J1125="","",IF($J1125&lt;=TODAY(),COUNTIFS(cal_fechas,"&gt;="&amp;$J1125,cal_fechas,"&lt;"&amp;TODAY(),cal_habil,"sí"),-COUNTIFS(cal_fechas,"&gt;="&amp;TODAY(),cal_fechas,"&lt;"&amp;$J1125,cal_habil,"sí")))</f>
        <v/>
      </c>
      <c r="AE1125" s="5">
        <f>IF($AD1125="","",IF($AD1125&lt;0,"FUTURO",IF($AD1125&gt;p_dias_backlog_max,"BACKLOG","MES CORRIENTE")))</f>
        <v/>
      </c>
      <c r="AF1125" s="5">
        <f>IF($AD1125="",FALSE,AND($AD1125&gt;p_dias_backlog_min,$AD1125&lt;=p_dias_backlog_max))</f>
        <v/>
      </c>
      <c r="AG1125" s="4" t="n"/>
      <c r="AH1125" s="5">
        <f>IF($AG1125="","",IF((IFERROR(INDEX('ASIGNACIONES'!$J$4:$J$451,MATCH($O1125&amp;"|"&amp;$S1125&amp;"|"&amp;$AG1125,'ASIGNACIONES'!$N$4:$N$451,0)),""))=0,"",IFERROR(INDEX('ASIGNACIONES'!$J$4:$J$451,MATCH($O1125&amp;"|"&amp;$S1125&amp;"|"&amp;$AG1125,'ASIGNACIONES'!$N$4:$N$451,0)),"")))</f>
        <v/>
      </c>
      <c r="AI1125" s="25">
        <f>IF($AG1125="","",SUMIFS('ORDENES'!$M$4:$M$1203,'ORDENES'!$AG$4:$AG$1203,$AG1125,'ORDENES'!$O$4:$O$1203,$O1125,'ORDENES'!$S$4:$S$1203,$S1125))</f>
        <v/>
      </c>
      <c r="AJ1125" s="25">
        <f>IF($AI1125="","",p_factor_productividad*IFERROR(INDEX('ASIGNACIONES'!$M$4:$M$451,MATCH($O1125&amp;"|"&amp;$S1125&amp;"|"&amp;$AG1125,'ASIGNACIONES'!$N$4:$N$451,0)),0)-$AI1125)</f>
        <v/>
      </c>
      <c r="AK1125" s="18">
        <f>IF($A1125="","",IFERROR(INDEX('2_IMPORTAR_EJECUCION'!$F$9:$F$1208,MATCH($AT1125,'2_IMPORTAR_EJECUCION'!$J$9:$J$1208,0)),0))</f>
        <v/>
      </c>
      <c r="AL1125" s="18">
        <f>IF($A1125="","",MAX(0,IFERROR(INDEX('2_IMPORTAR_EJECUCION'!$H$9:$H$1208,MATCH($AT1125,'2_IMPORTAR_EJECUCION'!$J$9:$J$1208,0)),0)-$AK1125))</f>
        <v/>
      </c>
      <c r="AM1125" s="18">
        <f>IF($A1125="","",$AK1125+$AL1125)</f>
        <v/>
      </c>
      <c r="AN1125" s="5">
        <f>IF($A1125="","",IF(OR((IFERROR(INDEX('CAT_ACTIVIDADES'!$D$4:$D$11,MATCH($H1125,'CAT_ACTIVIDADES'!$A$4:$A$11,0)),""))=0,(IFERROR(INDEX('CAT_ACTIVIDADES'!$D$4:$D$11,MATCH($H1125,'CAT_ACTIVIDADES'!$A$4:$A$11,0)),""))=""),"SIN CLASIFICAR",IFERROR(INDEX('CAT_ACTIVIDADES'!$D$4:$D$11,MATCH($H1125,'CAT_ACTIVIDADES'!$A$4:$A$11,0)),"")))</f>
        <v/>
      </c>
      <c r="AO1125" s="4" t="n"/>
      <c r="AP1125" s="4" t="n"/>
      <c r="AQ1125" s="4" t="n"/>
      <c r="AR1125" s="5">
        <f>IF($AQ1125="","",HYPERLINK(p_ruta_base_checklists&amp;$AQ1125,"abrir"))</f>
        <v/>
      </c>
      <c r="AS1125" s="4" t="n"/>
      <c r="AT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2" t="n"/>
      <c r="K1126" s="5" t="n"/>
      <c r="L1126" s="18" t="n"/>
      <c r="M1126" s="5">
        <f>IF($A1126="","",IFERROR(INDEX('AJUSTES'!$B$4:$B$303,MATCH($AT1126,'AJUSTES'!$A$4:$A$303,0)),IF($K1126="","",$K1126)))</f>
        <v/>
      </c>
      <c r="N1126" s="5">
        <f>IF($A1126="","",IFERROR(INDEX('CAT_ESTADOS_ERP'!$B$4:$B$7,MATCH(IFERROR(INDEX('2_IMPORTAR_EJECUCION'!$C$9:$C$1208,MATCH($AT1126,'2_IMPORTAR_EJECUCION'!$J$9:$J$1208,0)),""),'CAT_ESTADOS_ERP'!$A$4:$A$7,0)),"Pendiente"))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IF($J1126="","",$P1126&amp;"-"&amp;TEXT($Q1126,"00"))</f>
        <v/>
      </c>
      <c r="S1126" s="5">
        <f>IF($J1126="","",INDEX(lista_dias,WEEKDAY($J1126,2)))</f>
        <v/>
      </c>
      <c r="T1126" s="5">
        <f>IF($J1126="","",IFERROR(INDEX('CALENDARIO'!$C$15:$C$214,MATCH(TEXT($J1126,"yyyy-mm-dd")&amp;"|"&amp;$X1126&amp;"|"&amp;$Y1126,'CALENDARIO'!$G$15:$G$214,0)),IFERROR(INDEX('CALENDARIO'!$C$15:$C$214,MATCH(TEXT($J1126,"yyyy-mm-dd")&amp;"|"&amp;$X1126&amp;"|",'CALENDARIO'!$G$15:$G$214,0)),IFERROR(INDEX('CALENDARIO'!$C$15:$C$214,MATCH(TEXT($J1126,"yyyy-mm-dd")&amp;"||",'CALENDARIO'!$G$15:$G$214,0)),INDEX(patronHabil,WEEKDAY($J1126,2))))))</f>
        <v/>
      </c>
      <c r="U1126" s="5">
        <f>IF($I1126="","",IFERROR(INDEX('CAT_TIPOS_OT'!$C$4:$C$8,MATCH($I1126,'CAT_TIPOS_OT'!$A$4:$A$8,0)),"sin_clasificar"))</f>
        <v/>
      </c>
      <c r="V1126" s="5">
        <f>IF($I1126="","",IF(IFERROR(INDEX('CAT_TIPOS_OT'!$D$4:$D$8,MATCH($I1126,'CAT_TIPOS_OT'!$A$4:$A$8,0)),"SIN CLASIFICAR")="","SIN CLASIFICAR",IFERROR(INDEX('CAT_TIPOS_OT'!$D$4:$D$8,MATCH($I1126,'CAT_TIPOS_OT'!$A$4:$A$8,0)),"SIN CLASIFICAR")))</f>
        <v/>
      </c>
      <c r="W1126" s="5">
        <f>IF($F1126="","",IFERROR(INDEX('CAT_CENTROS_COSTO'!$F$4:$F$13,MATCH($F1126,'CAT_CENTROS_COSTO'!$A$4:$A$13,0)),"(sin catálogo)"))</f>
        <v/>
      </c>
      <c r="X1126" s="5">
        <f>IF($F1126="","",IFERROR(INDEX('CAT_CENTROS_COSTO'!$D$4:$D$13,MATCH($F1126,'CAT_CENTROS_COSTO'!$A$4:$A$13,0)),"(sin catálogo)"))</f>
        <v/>
      </c>
      <c r="Y1126" s="5">
        <f>IF($F1126="","",IF((IFERROR(INDEX('CAT_CENTROS_COSTO'!$E$4:$E$13,MATCH($F1126,'CAT_CENTROS_COSTO'!$A$4:$A$13,0)),""))&lt;&gt;"",IFERROR(INDEX('CAT_CENTROS_COSTO'!$E$4:$E$13,MATCH($F1126,'CAT_CENTROS_COSTO'!$A$4:$A$13,0)),""),$X1126))</f>
        <v/>
      </c>
      <c r="Z1126" s="5">
        <f>IF($F1126="","",IFERROR(INDEX('CAT_CENTROS_COSTO'!$G$4:$G$13,MATCH($F1126,'CAT_CENTROS_COSTO'!$A$4:$A$13,0)),"(sin catálogo)"))</f>
        <v/>
      </c>
      <c r="AA1126" s="5">
        <f>IF($G1126="","",IFERROR(INDEX('CAT_PUESTOS'!$B$4:$B$8,MATCH($G1126,'CAT_PUESTOS'!$A$4:$A$8,0)),"(sin catálogo)"))</f>
        <v/>
      </c>
      <c r="AB1126" s="5">
        <f>IF($H1126="","",IFERROR(INDEX('CAT_ACTIVIDADES'!$B$4:$B$11,MATCH($H1126,'CAT_ACTIVIDADES'!$A$4:$A$11,0)),"(sin catálogo)"))</f>
        <v/>
      </c>
      <c r="AC1126" s="20">
        <f>IF($J1126="","",TODAY()-$J1126)</f>
        <v/>
      </c>
      <c r="AD1126" s="20">
        <f>IF($J1126="","",IF($J1126&lt;=TODAY(),COUNTIFS(cal_fechas,"&gt;="&amp;$J1126,cal_fechas,"&lt;"&amp;TODAY(),cal_habil,"sí"),-COUNTIFS(cal_fechas,"&gt;="&amp;TODAY(),cal_fechas,"&lt;"&amp;$J1126,cal_habil,"sí")))</f>
        <v/>
      </c>
      <c r="AE1126" s="5">
        <f>IF($AD1126="","",IF($AD1126&lt;0,"FUTURO",IF($AD1126&gt;p_dias_backlog_max,"BACKLOG","MES CORRIENTE")))</f>
        <v/>
      </c>
      <c r="AF1126" s="5">
        <f>IF($AD1126="",FALSE,AND($AD1126&gt;p_dias_backlog_min,$AD1126&lt;=p_dias_backlog_max))</f>
        <v/>
      </c>
      <c r="AG1126" s="4" t="n"/>
      <c r="AH1126" s="5">
        <f>IF($AG1126="","",IF((IFERROR(INDEX('ASIGNACIONES'!$J$4:$J$451,MATCH($O1126&amp;"|"&amp;$S1126&amp;"|"&amp;$AG1126,'ASIGNACIONES'!$N$4:$N$451,0)),""))=0,"",IFERROR(INDEX('ASIGNACIONES'!$J$4:$J$451,MATCH($O1126&amp;"|"&amp;$S1126&amp;"|"&amp;$AG1126,'ASIGNACIONES'!$N$4:$N$451,0)),"")))</f>
        <v/>
      </c>
      <c r="AI1126" s="25">
        <f>IF($AG1126="","",SUMIFS('ORDENES'!$M$4:$M$1203,'ORDENES'!$AG$4:$AG$1203,$AG1126,'ORDENES'!$O$4:$O$1203,$O1126,'ORDENES'!$S$4:$S$1203,$S1126))</f>
        <v/>
      </c>
      <c r="AJ1126" s="25">
        <f>IF($AI1126="","",p_factor_productividad*IFERROR(INDEX('ASIGNACIONES'!$M$4:$M$451,MATCH($O1126&amp;"|"&amp;$S1126&amp;"|"&amp;$AG1126,'ASIGNACIONES'!$N$4:$N$451,0)),0)-$AI1126)</f>
        <v/>
      </c>
      <c r="AK1126" s="18">
        <f>IF($A1126="","",IFERROR(INDEX('2_IMPORTAR_EJECUCION'!$F$9:$F$1208,MATCH($AT1126,'2_IMPORTAR_EJECUCION'!$J$9:$J$1208,0)),0))</f>
        <v/>
      </c>
      <c r="AL1126" s="18">
        <f>IF($A1126="","",MAX(0,IFERROR(INDEX('2_IMPORTAR_EJECUCION'!$H$9:$H$1208,MATCH($AT1126,'2_IMPORTAR_EJECUCION'!$J$9:$J$1208,0)),0)-$AK1126))</f>
        <v/>
      </c>
      <c r="AM1126" s="18">
        <f>IF($A1126="","",$AK1126+$AL1126)</f>
        <v/>
      </c>
      <c r="AN1126" s="5">
        <f>IF($A1126="","",IF(OR((IFERROR(INDEX('CAT_ACTIVIDADES'!$D$4:$D$11,MATCH($H1126,'CAT_ACTIVIDADES'!$A$4:$A$11,0)),""))=0,(IFERROR(INDEX('CAT_ACTIVIDADES'!$D$4:$D$11,MATCH($H1126,'CAT_ACTIVIDADES'!$A$4:$A$11,0)),""))=""),"SIN CLASIFICAR",IFERROR(INDEX('CAT_ACTIVIDADES'!$D$4:$D$11,MATCH($H1126,'CAT_ACTIVIDADES'!$A$4:$A$11,0)),"")))</f>
        <v/>
      </c>
      <c r="AO1126" s="4" t="n"/>
      <c r="AP1126" s="4" t="n"/>
      <c r="AQ1126" s="4" t="n"/>
      <c r="AR1126" s="5">
        <f>IF($AQ1126="","",HYPERLINK(p_ruta_base_checklists&amp;$AQ1126,"abrir"))</f>
        <v/>
      </c>
      <c r="AS1126" s="4" t="n"/>
      <c r="AT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2" t="n"/>
      <c r="K1127" s="5" t="n"/>
      <c r="L1127" s="18" t="n"/>
      <c r="M1127" s="5">
        <f>IF($A1127="","",IFERROR(INDEX('AJUSTES'!$B$4:$B$303,MATCH($AT1127,'AJUSTES'!$A$4:$A$303,0)),IF($K1127="","",$K1127)))</f>
        <v/>
      </c>
      <c r="N1127" s="5">
        <f>IF($A1127="","",IFERROR(INDEX('CAT_ESTADOS_ERP'!$B$4:$B$7,MATCH(IFERROR(INDEX('2_IMPORTAR_EJECUCION'!$C$9:$C$1208,MATCH($AT1127,'2_IMPORTAR_EJECUCION'!$J$9:$J$1208,0)),""),'CAT_ESTADOS_ERP'!$A$4:$A$7,0)),"Pendiente"))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IF($J1127="","",$P1127&amp;"-"&amp;TEXT($Q1127,"00"))</f>
        <v/>
      </c>
      <c r="S1127" s="5">
        <f>IF($J1127="","",INDEX(lista_dias,WEEKDAY($J1127,2)))</f>
        <v/>
      </c>
      <c r="T1127" s="5">
        <f>IF($J1127="","",IFERROR(INDEX('CALENDARIO'!$C$15:$C$214,MATCH(TEXT($J1127,"yyyy-mm-dd")&amp;"|"&amp;$X1127&amp;"|"&amp;$Y1127,'CALENDARIO'!$G$15:$G$214,0)),IFERROR(INDEX('CALENDARIO'!$C$15:$C$214,MATCH(TEXT($J1127,"yyyy-mm-dd")&amp;"|"&amp;$X1127&amp;"|",'CALENDARIO'!$G$15:$G$214,0)),IFERROR(INDEX('CALENDARIO'!$C$15:$C$214,MATCH(TEXT($J1127,"yyyy-mm-dd")&amp;"||",'CALENDARIO'!$G$15:$G$214,0)),INDEX(patronHabil,WEEKDAY($J1127,2))))))</f>
        <v/>
      </c>
      <c r="U1127" s="5">
        <f>IF($I1127="","",IFERROR(INDEX('CAT_TIPOS_OT'!$C$4:$C$8,MATCH($I1127,'CAT_TIPOS_OT'!$A$4:$A$8,0)),"sin_clasificar"))</f>
        <v/>
      </c>
      <c r="V1127" s="5">
        <f>IF($I1127="","",IF(IFERROR(INDEX('CAT_TIPOS_OT'!$D$4:$D$8,MATCH($I1127,'CAT_TIPOS_OT'!$A$4:$A$8,0)),"SIN CLASIFICAR")="","SIN CLASIFICAR",IFERROR(INDEX('CAT_TIPOS_OT'!$D$4:$D$8,MATCH($I1127,'CAT_TIPOS_OT'!$A$4:$A$8,0)),"SIN CLASIFICAR")))</f>
        <v/>
      </c>
      <c r="W1127" s="5">
        <f>IF($F1127="","",IFERROR(INDEX('CAT_CENTROS_COSTO'!$F$4:$F$13,MATCH($F1127,'CAT_CENTROS_COSTO'!$A$4:$A$13,0)),"(sin catálogo)"))</f>
        <v/>
      </c>
      <c r="X1127" s="5">
        <f>IF($F1127="","",IFERROR(INDEX('CAT_CENTROS_COSTO'!$D$4:$D$13,MATCH($F1127,'CAT_CENTROS_COSTO'!$A$4:$A$13,0)),"(sin catálogo)"))</f>
        <v/>
      </c>
      <c r="Y1127" s="5">
        <f>IF($F1127="","",IF((IFERROR(INDEX('CAT_CENTROS_COSTO'!$E$4:$E$13,MATCH($F1127,'CAT_CENTROS_COSTO'!$A$4:$A$13,0)),""))&lt;&gt;"",IFERROR(INDEX('CAT_CENTROS_COSTO'!$E$4:$E$13,MATCH($F1127,'CAT_CENTROS_COSTO'!$A$4:$A$13,0)),""),$X1127))</f>
        <v/>
      </c>
      <c r="Z1127" s="5">
        <f>IF($F1127="","",IFERROR(INDEX('CAT_CENTROS_COSTO'!$G$4:$G$13,MATCH($F1127,'CAT_CENTROS_COSTO'!$A$4:$A$13,0)),"(sin catálogo)"))</f>
        <v/>
      </c>
      <c r="AA1127" s="5">
        <f>IF($G1127="","",IFERROR(INDEX('CAT_PUESTOS'!$B$4:$B$8,MATCH($G1127,'CAT_PUESTOS'!$A$4:$A$8,0)),"(sin catálogo)"))</f>
        <v/>
      </c>
      <c r="AB1127" s="5">
        <f>IF($H1127="","",IFERROR(INDEX('CAT_ACTIVIDADES'!$B$4:$B$11,MATCH($H1127,'CAT_ACTIVIDADES'!$A$4:$A$11,0)),"(sin catálogo)"))</f>
        <v/>
      </c>
      <c r="AC1127" s="20">
        <f>IF($J1127="","",TODAY()-$J1127)</f>
        <v/>
      </c>
      <c r="AD1127" s="20">
        <f>IF($J1127="","",IF($J1127&lt;=TODAY(),COUNTIFS(cal_fechas,"&gt;="&amp;$J1127,cal_fechas,"&lt;"&amp;TODAY(),cal_habil,"sí"),-COUNTIFS(cal_fechas,"&gt;="&amp;TODAY(),cal_fechas,"&lt;"&amp;$J1127,cal_habil,"sí")))</f>
        <v/>
      </c>
      <c r="AE1127" s="5">
        <f>IF($AD1127="","",IF($AD1127&lt;0,"FUTURO",IF($AD1127&gt;p_dias_backlog_max,"BACKLOG","MES CORRIENTE")))</f>
        <v/>
      </c>
      <c r="AF1127" s="5">
        <f>IF($AD1127="",FALSE,AND($AD1127&gt;p_dias_backlog_min,$AD1127&lt;=p_dias_backlog_max))</f>
        <v/>
      </c>
      <c r="AG1127" s="4" t="n"/>
      <c r="AH1127" s="5">
        <f>IF($AG1127="","",IF((IFERROR(INDEX('ASIGNACIONES'!$J$4:$J$451,MATCH($O1127&amp;"|"&amp;$S1127&amp;"|"&amp;$AG1127,'ASIGNACIONES'!$N$4:$N$451,0)),""))=0,"",IFERROR(INDEX('ASIGNACIONES'!$J$4:$J$451,MATCH($O1127&amp;"|"&amp;$S1127&amp;"|"&amp;$AG1127,'ASIGNACIONES'!$N$4:$N$451,0)),"")))</f>
        <v/>
      </c>
      <c r="AI1127" s="25">
        <f>IF($AG1127="","",SUMIFS('ORDENES'!$M$4:$M$1203,'ORDENES'!$AG$4:$AG$1203,$AG1127,'ORDENES'!$O$4:$O$1203,$O1127,'ORDENES'!$S$4:$S$1203,$S1127))</f>
        <v/>
      </c>
      <c r="AJ1127" s="25">
        <f>IF($AI1127="","",p_factor_productividad*IFERROR(INDEX('ASIGNACIONES'!$M$4:$M$451,MATCH($O1127&amp;"|"&amp;$S1127&amp;"|"&amp;$AG1127,'ASIGNACIONES'!$N$4:$N$451,0)),0)-$AI1127)</f>
        <v/>
      </c>
      <c r="AK1127" s="18">
        <f>IF($A1127="","",IFERROR(INDEX('2_IMPORTAR_EJECUCION'!$F$9:$F$1208,MATCH($AT1127,'2_IMPORTAR_EJECUCION'!$J$9:$J$1208,0)),0))</f>
        <v/>
      </c>
      <c r="AL1127" s="18">
        <f>IF($A1127="","",MAX(0,IFERROR(INDEX('2_IMPORTAR_EJECUCION'!$H$9:$H$1208,MATCH($AT1127,'2_IMPORTAR_EJECUCION'!$J$9:$J$1208,0)),0)-$AK1127))</f>
        <v/>
      </c>
      <c r="AM1127" s="18">
        <f>IF($A1127="","",$AK1127+$AL1127)</f>
        <v/>
      </c>
      <c r="AN1127" s="5">
        <f>IF($A1127="","",IF(OR((IFERROR(INDEX('CAT_ACTIVIDADES'!$D$4:$D$11,MATCH($H1127,'CAT_ACTIVIDADES'!$A$4:$A$11,0)),""))=0,(IFERROR(INDEX('CAT_ACTIVIDADES'!$D$4:$D$11,MATCH($H1127,'CAT_ACTIVIDADES'!$A$4:$A$11,0)),""))=""),"SIN CLASIFICAR",IFERROR(INDEX('CAT_ACTIVIDADES'!$D$4:$D$11,MATCH($H1127,'CAT_ACTIVIDADES'!$A$4:$A$11,0)),"")))</f>
        <v/>
      </c>
      <c r="AO1127" s="4" t="n"/>
      <c r="AP1127" s="4" t="n"/>
      <c r="AQ1127" s="4" t="n"/>
      <c r="AR1127" s="5">
        <f>IF($AQ1127="","",HYPERLINK(p_ruta_base_checklists&amp;$AQ1127,"abrir"))</f>
        <v/>
      </c>
      <c r="AS1127" s="4" t="n"/>
      <c r="AT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2" t="n"/>
      <c r="K1128" s="5" t="n"/>
      <c r="L1128" s="18" t="n"/>
      <c r="M1128" s="5">
        <f>IF($A1128="","",IFERROR(INDEX('AJUSTES'!$B$4:$B$303,MATCH($AT1128,'AJUSTES'!$A$4:$A$303,0)),IF($K1128="","",$K1128)))</f>
        <v/>
      </c>
      <c r="N1128" s="5">
        <f>IF($A1128="","",IFERROR(INDEX('CAT_ESTADOS_ERP'!$B$4:$B$7,MATCH(IFERROR(INDEX('2_IMPORTAR_EJECUCION'!$C$9:$C$1208,MATCH($AT1128,'2_IMPORTAR_EJECUCION'!$J$9:$J$1208,0)),""),'CAT_ESTADOS_ERP'!$A$4:$A$7,0)),"Pendiente"))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IF($J1128="","",$P1128&amp;"-"&amp;TEXT($Q1128,"00"))</f>
        <v/>
      </c>
      <c r="S1128" s="5">
        <f>IF($J1128="","",INDEX(lista_dias,WEEKDAY($J1128,2)))</f>
        <v/>
      </c>
      <c r="T1128" s="5">
        <f>IF($J1128="","",IFERROR(INDEX('CALENDARIO'!$C$15:$C$214,MATCH(TEXT($J1128,"yyyy-mm-dd")&amp;"|"&amp;$X1128&amp;"|"&amp;$Y1128,'CALENDARIO'!$G$15:$G$214,0)),IFERROR(INDEX('CALENDARIO'!$C$15:$C$214,MATCH(TEXT($J1128,"yyyy-mm-dd")&amp;"|"&amp;$X1128&amp;"|",'CALENDARIO'!$G$15:$G$214,0)),IFERROR(INDEX('CALENDARIO'!$C$15:$C$214,MATCH(TEXT($J1128,"yyyy-mm-dd")&amp;"||",'CALENDARIO'!$G$15:$G$214,0)),INDEX(patronHabil,WEEKDAY($J1128,2))))))</f>
        <v/>
      </c>
      <c r="U1128" s="5">
        <f>IF($I1128="","",IFERROR(INDEX('CAT_TIPOS_OT'!$C$4:$C$8,MATCH($I1128,'CAT_TIPOS_OT'!$A$4:$A$8,0)),"sin_clasificar"))</f>
        <v/>
      </c>
      <c r="V1128" s="5">
        <f>IF($I1128="","",IF(IFERROR(INDEX('CAT_TIPOS_OT'!$D$4:$D$8,MATCH($I1128,'CAT_TIPOS_OT'!$A$4:$A$8,0)),"SIN CLASIFICAR")="","SIN CLASIFICAR",IFERROR(INDEX('CAT_TIPOS_OT'!$D$4:$D$8,MATCH($I1128,'CAT_TIPOS_OT'!$A$4:$A$8,0)),"SIN CLASIFICAR")))</f>
        <v/>
      </c>
      <c r="W1128" s="5">
        <f>IF($F1128="","",IFERROR(INDEX('CAT_CENTROS_COSTO'!$F$4:$F$13,MATCH($F1128,'CAT_CENTROS_COSTO'!$A$4:$A$13,0)),"(sin catálogo)"))</f>
        <v/>
      </c>
      <c r="X1128" s="5">
        <f>IF($F1128="","",IFERROR(INDEX('CAT_CENTROS_COSTO'!$D$4:$D$13,MATCH($F1128,'CAT_CENTROS_COSTO'!$A$4:$A$13,0)),"(sin catálogo)"))</f>
        <v/>
      </c>
      <c r="Y1128" s="5">
        <f>IF($F1128="","",IF((IFERROR(INDEX('CAT_CENTROS_COSTO'!$E$4:$E$13,MATCH($F1128,'CAT_CENTROS_COSTO'!$A$4:$A$13,0)),""))&lt;&gt;"",IFERROR(INDEX('CAT_CENTROS_COSTO'!$E$4:$E$13,MATCH($F1128,'CAT_CENTROS_COSTO'!$A$4:$A$13,0)),""),$X1128))</f>
        <v/>
      </c>
      <c r="Z1128" s="5">
        <f>IF($F1128="","",IFERROR(INDEX('CAT_CENTROS_COSTO'!$G$4:$G$13,MATCH($F1128,'CAT_CENTROS_COSTO'!$A$4:$A$13,0)),"(sin catálogo)"))</f>
        <v/>
      </c>
      <c r="AA1128" s="5">
        <f>IF($G1128="","",IFERROR(INDEX('CAT_PUESTOS'!$B$4:$B$8,MATCH($G1128,'CAT_PUESTOS'!$A$4:$A$8,0)),"(sin catálogo)"))</f>
        <v/>
      </c>
      <c r="AB1128" s="5">
        <f>IF($H1128="","",IFERROR(INDEX('CAT_ACTIVIDADES'!$B$4:$B$11,MATCH($H1128,'CAT_ACTIVIDADES'!$A$4:$A$11,0)),"(sin catálogo)"))</f>
        <v/>
      </c>
      <c r="AC1128" s="20">
        <f>IF($J1128="","",TODAY()-$J1128)</f>
        <v/>
      </c>
      <c r="AD1128" s="20">
        <f>IF($J1128="","",IF($J1128&lt;=TODAY(),COUNTIFS(cal_fechas,"&gt;="&amp;$J1128,cal_fechas,"&lt;"&amp;TODAY(),cal_habil,"sí"),-COUNTIFS(cal_fechas,"&gt;="&amp;TODAY(),cal_fechas,"&lt;"&amp;$J1128,cal_habil,"sí")))</f>
        <v/>
      </c>
      <c r="AE1128" s="5">
        <f>IF($AD1128="","",IF($AD1128&lt;0,"FUTURO",IF($AD1128&gt;p_dias_backlog_max,"BACKLOG","MES CORRIENTE")))</f>
        <v/>
      </c>
      <c r="AF1128" s="5">
        <f>IF($AD1128="",FALSE,AND($AD1128&gt;p_dias_backlog_min,$AD1128&lt;=p_dias_backlog_max))</f>
        <v/>
      </c>
      <c r="AG1128" s="4" t="n"/>
      <c r="AH1128" s="5">
        <f>IF($AG1128="","",IF((IFERROR(INDEX('ASIGNACIONES'!$J$4:$J$451,MATCH($O1128&amp;"|"&amp;$S1128&amp;"|"&amp;$AG1128,'ASIGNACIONES'!$N$4:$N$451,0)),""))=0,"",IFERROR(INDEX('ASIGNACIONES'!$J$4:$J$451,MATCH($O1128&amp;"|"&amp;$S1128&amp;"|"&amp;$AG1128,'ASIGNACIONES'!$N$4:$N$451,0)),"")))</f>
        <v/>
      </c>
      <c r="AI1128" s="25">
        <f>IF($AG1128="","",SUMIFS('ORDENES'!$M$4:$M$1203,'ORDENES'!$AG$4:$AG$1203,$AG1128,'ORDENES'!$O$4:$O$1203,$O1128,'ORDENES'!$S$4:$S$1203,$S1128))</f>
        <v/>
      </c>
      <c r="AJ1128" s="25">
        <f>IF($AI1128="","",p_factor_productividad*IFERROR(INDEX('ASIGNACIONES'!$M$4:$M$451,MATCH($O1128&amp;"|"&amp;$S1128&amp;"|"&amp;$AG1128,'ASIGNACIONES'!$N$4:$N$451,0)),0)-$AI1128)</f>
        <v/>
      </c>
      <c r="AK1128" s="18">
        <f>IF($A1128="","",IFERROR(INDEX('2_IMPORTAR_EJECUCION'!$F$9:$F$1208,MATCH($AT1128,'2_IMPORTAR_EJECUCION'!$J$9:$J$1208,0)),0))</f>
        <v/>
      </c>
      <c r="AL1128" s="18">
        <f>IF($A1128="","",MAX(0,IFERROR(INDEX('2_IMPORTAR_EJECUCION'!$H$9:$H$1208,MATCH($AT1128,'2_IMPORTAR_EJECUCION'!$J$9:$J$1208,0)),0)-$AK1128))</f>
        <v/>
      </c>
      <c r="AM1128" s="18">
        <f>IF($A1128="","",$AK1128+$AL1128)</f>
        <v/>
      </c>
      <c r="AN1128" s="5">
        <f>IF($A1128="","",IF(OR((IFERROR(INDEX('CAT_ACTIVIDADES'!$D$4:$D$11,MATCH($H1128,'CAT_ACTIVIDADES'!$A$4:$A$11,0)),""))=0,(IFERROR(INDEX('CAT_ACTIVIDADES'!$D$4:$D$11,MATCH($H1128,'CAT_ACTIVIDADES'!$A$4:$A$11,0)),""))=""),"SIN CLASIFICAR",IFERROR(INDEX('CAT_ACTIVIDADES'!$D$4:$D$11,MATCH($H1128,'CAT_ACTIVIDADES'!$A$4:$A$11,0)),"")))</f>
        <v/>
      </c>
      <c r="AO1128" s="4" t="n"/>
      <c r="AP1128" s="4" t="n"/>
      <c r="AQ1128" s="4" t="n"/>
      <c r="AR1128" s="5">
        <f>IF($AQ1128="","",HYPERLINK(p_ruta_base_checklists&amp;$AQ1128,"abrir"))</f>
        <v/>
      </c>
      <c r="AS1128" s="4" t="n"/>
      <c r="AT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2" t="n"/>
      <c r="K1129" s="5" t="n"/>
      <c r="L1129" s="18" t="n"/>
      <c r="M1129" s="5">
        <f>IF($A1129="","",IFERROR(INDEX('AJUSTES'!$B$4:$B$303,MATCH($AT1129,'AJUSTES'!$A$4:$A$303,0)),IF($K1129="","",$K1129)))</f>
        <v/>
      </c>
      <c r="N1129" s="5">
        <f>IF($A1129="","",IFERROR(INDEX('CAT_ESTADOS_ERP'!$B$4:$B$7,MATCH(IFERROR(INDEX('2_IMPORTAR_EJECUCION'!$C$9:$C$1208,MATCH($AT1129,'2_IMPORTAR_EJECUCION'!$J$9:$J$1208,0)),""),'CAT_ESTADOS_ERP'!$A$4:$A$7,0)),"Pendiente"))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IF($J1129="","",$P1129&amp;"-"&amp;TEXT($Q1129,"00"))</f>
        <v/>
      </c>
      <c r="S1129" s="5">
        <f>IF($J1129="","",INDEX(lista_dias,WEEKDAY($J1129,2)))</f>
        <v/>
      </c>
      <c r="T1129" s="5">
        <f>IF($J1129="","",IFERROR(INDEX('CALENDARIO'!$C$15:$C$214,MATCH(TEXT($J1129,"yyyy-mm-dd")&amp;"|"&amp;$X1129&amp;"|"&amp;$Y1129,'CALENDARIO'!$G$15:$G$214,0)),IFERROR(INDEX('CALENDARIO'!$C$15:$C$214,MATCH(TEXT($J1129,"yyyy-mm-dd")&amp;"|"&amp;$X1129&amp;"|",'CALENDARIO'!$G$15:$G$214,0)),IFERROR(INDEX('CALENDARIO'!$C$15:$C$214,MATCH(TEXT($J1129,"yyyy-mm-dd")&amp;"||",'CALENDARIO'!$G$15:$G$214,0)),INDEX(patronHabil,WEEKDAY($J1129,2))))))</f>
        <v/>
      </c>
      <c r="U1129" s="5">
        <f>IF($I1129="","",IFERROR(INDEX('CAT_TIPOS_OT'!$C$4:$C$8,MATCH($I1129,'CAT_TIPOS_OT'!$A$4:$A$8,0)),"sin_clasificar"))</f>
        <v/>
      </c>
      <c r="V1129" s="5">
        <f>IF($I1129="","",IF(IFERROR(INDEX('CAT_TIPOS_OT'!$D$4:$D$8,MATCH($I1129,'CAT_TIPOS_OT'!$A$4:$A$8,0)),"SIN CLASIFICAR")="","SIN CLASIFICAR",IFERROR(INDEX('CAT_TIPOS_OT'!$D$4:$D$8,MATCH($I1129,'CAT_TIPOS_OT'!$A$4:$A$8,0)),"SIN CLASIFICAR")))</f>
        <v/>
      </c>
      <c r="W1129" s="5">
        <f>IF($F1129="","",IFERROR(INDEX('CAT_CENTROS_COSTO'!$F$4:$F$13,MATCH($F1129,'CAT_CENTROS_COSTO'!$A$4:$A$13,0)),"(sin catálogo)"))</f>
        <v/>
      </c>
      <c r="X1129" s="5">
        <f>IF($F1129="","",IFERROR(INDEX('CAT_CENTROS_COSTO'!$D$4:$D$13,MATCH($F1129,'CAT_CENTROS_COSTO'!$A$4:$A$13,0)),"(sin catálogo)"))</f>
        <v/>
      </c>
      <c r="Y1129" s="5">
        <f>IF($F1129="","",IF((IFERROR(INDEX('CAT_CENTROS_COSTO'!$E$4:$E$13,MATCH($F1129,'CAT_CENTROS_COSTO'!$A$4:$A$13,0)),""))&lt;&gt;"",IFERROR(INDEX('CAT_CENTROS_COSTO'!$E$4:$E$13,MATCH($F1129,'CAT_CENTROS_COSTO'!$A$4:$A$13,0)),""),$X1129))</f>
        <v/>
      </c>
      <c r="Z1129" s="5">
        <f>IF($F1129="","",IFERROR(INDEX('CAT_CENTROS_COSTO'!$G$4:$G$13,MATCH($F1129,'CAT_CENTROS_COSTO'!$A$4:$A$13,0)),"(sin catálogo)"))</f>
        <v/>
      </c>
      <c r="AA1129" s="5">
        <f>IF($G1129="","",IFERROR(INDEX('CAT_PUESTOS'!$B$4:$B$8,MATCH($G1129,'CAT_PUESTOS'!$A$4:$A$8,0)),"(sin catálogo)"))</f>
        <v/>
      </c>
      <c r="AB1129" s="5">
        <f>IF($H1129="","",IFERROR(INDEX('CAT_ACTIVIDADES'!$B$4:$B$11,MATCH($H1129,'CAT_ACTIVIDADES'!$A$4:$A$11,0)),"(sin catálogo)"))</f>
        <v/>
      </c>
      <c r="AC1129" s="20">
        <f>IF($J1129="","",TODAY()-$J1129)</f>
        <v/>
      </c>
      <c r="AD1129" s="20">
        <f>IF($J1129="","",IF($J1129&lt;=TODAY(),COUNTIFS(cal_fechas,"&gt;="&amp;$J1129,cal_fechas,"&lt;"&amp;TODAY(),cal_habil,"sí"),-COUNTIFS(cal_fechas,"&gt;="&amp;TODAY(),cal_fechas,"&lt;"&amp;$J1129,cal_habil,"sí")))</f>
        <v/>
      </c>
      <c r="AE1129" s="5">
        <f>IF($AD1129="","",IF($AD1129&lt;0,"FUTURO",IF($AD1129&gt;p_dias_backlog_max,"BACKLOG","MES CORRIENTE")))</f>
        <v/>
      </c>
      <c r="AF1129" s="5">
        <f>IF($AD1129="",FALSE,AND($AD1129&gt;p_dias_backlog_min,$AD1129&lt;=p_dias_backlog_max))</f>
        <v/>
      </c>
      <c r="AG1129" s="4" t="n"/>
      <c r="AH1129" s="5">
        <f>IF($AG1129="","",IF((IFERROR(INDEX('ASIGNACIONES'!$J$4:$J$451,MATCH($O1129&amp;"|"&amp;$S1129&amp;"|"&amp;$AG1129,'ASIGNACIONES'!$N$4:$N$451,0)),""))=0,"",IFERROR(INDEX('ASIGNACIONES'!$J$4:$J$451,MATCH($O1129&amp;"|"&amp;$S1129&amp;"|"&amp;$AG1129,'ASIGNACIONES'!$N$4:$N$451,0)),"")))</f>
        <v/>
      </c>
      <c r="AI1129" s="25">
        <f>IF($AG1129="","",SUMIFS('ORDENES'!$M$4:$M$1203,'ORDENES'!$AG$4:$AG$1203,$AG1129,'ORDENES'!$O$4:$O$1203,$O1129,'ORDENES'!$S$4:$S$1203,$S1129))</f>
        <v/>
      </c>
      <c r="AJ1129" s="25">
        <f>IF($AI1129="","",p_factor_productividad*IFERROR(INDEX('ASIGNACIONES'!$M$4:$M$451,MATCH($O1129&amp;"|"&amp;$S1129&amp;"|"&amp;$AG1129,'ASIGNACIONES'!$N$4:$N$451,0)),0)-$AI1129)</f>
        <v/>
      </c>
      <c r="AK1129" s="18">
        <f>IF($A1129="","",IFERROR(INDEX('2_IMPORTAR_EJECUCION'!$F$9:$F$1208,MATCH($AT1129,'2_IMPORTAR_EJECUCION'!$J$9:$J$1208,0)),0))</f>
        <v/>
      </c>
      <c r="AL1129" s="18">
        <f>IF($A1129="","",MAX(0,IFERROR(INDEX('2_IMPORTAR_EJECUCION'!$H$9:$H$1208,MATCH($AT1129,'2_IMPORTAR_EJECUCION'!$J$9:$J$1208,0)),0)-$AK1129))</f>
        <v/>
      </c>
      <c r="AM1129" s="18">
        <f>IF($A1129="","",$AK1129+$AL1129)</f>
        <v/>
      </c>
      <c r="AN1129" s="5">
        <f>IF($A1129="","",IF(OR((IFERROR(INDEX('CAT_ACTIVIDADES'!$D$4:$D$11,MATCH($H1129,'CAT_ACTIVIDADES'!$A$4:$A$11,0)),""))=0,(IFERROR(INDEX('CAT_ACTIVIDADES'!$D$4:$D$11,MATCH($H1129,'CAT_ACTIVIDADES'!$A$4:$A$11,0)),""))=""),"SIN CLASIFICAR",IFERROR(INDEX('CAT_ACTIVIDADES'!$D$4:$D$11,MATCH($H1129,'CAT_ACTIVIDADES'!$A$4:$A$11,0)),"")))</f>
        <v/>
      </c>
      <c r="AO1129" s="4" t="n"/>
      <c r="AP1129" s="4" t="n"/>
      <c r="AQ1129" s="4" t="n"/>
      <c r="AR1129" s="5">
        <f>IF($AQ1129="","",HYPERLINK(p_ruta_base_checklists&amp;$AQ1129,"abrir"))</f>
        <v/>
      </c>
      <c r="AS1129" s="4" t="n"/>
      <c r="AT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2" t="n"/>
      <c r="K1130" s="5" t="n"/>
      <c r="L1130" s="18" t="n"/>
      <c r="M1130" s="5">
        <f>IF($A1130="","",IFERROR(INDEX('AJUSTES'!$B$4:$B$303,MATCH($AT1130,'AJUSTES'!$A$4:$A$303,0)),IF($K1130="","",$K1130)))</f>
        <v/>
      </c>
      <c r="N1130" s="5">
        <f>IF($A1130="","",IFERROR(INDEX('CAT_ESTADOS_ERP'!$B$4:$B$7,MATCH(IFERROR(INDEX('2_IMPORTAR_EJECUCION'!$C$9:$C$1208,MATCH($AT1130,'2_IMPORTAR_EJECUCION'!$J$9:$J$1208,0)),""),'CAT_ESTADOS_ERP'!$A$4:$A$7,0)),"Pendiente"))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IF($J1130="","",$P1130&amp;"-"&amp;TEXT($Q1130,"00"))</f>
        <v/>
      </c>
      <c r="S1130" s="5">
        <f>IF($J1130="","",INDEX(lista_dias,WEEKDAY($J1130,2)))</f>
        <v/>
      </c>
      <c r="T1130" s="5">
        <f>IF($J1130="","",IFERROR(INDEX('CALENDARIO'!$C$15:$C$214,MATCH(TEXT($J1130,"yyyy-mm-dd")&amp;"|"&amp;$X1130&amp;"|"&amp;$Y1130,'CALENDARIO'!$G$15:$G$214,0)),IFERROR(INDEX('CALENDARIO'!$C$15:$C$214,MATCH(TEXT($J1130,"yyyy-mm-dd")&amp;"|"&amp;$X1130&amp;"|",'CALENDARIO'!$G$15:$G$214,0)),IFERROR(INDEX('CALENDARIO'!$C$15:$C$214,MATCH(TEXT($J1130,"yyyy-mm-dd")&amp;"||",'CALENDARIO'!$G$15:$G$214,0)),INDEX(patronHabil,WEEKDAY($J1130,2))))))</f>
        <v/>
      </c>
      <c r="U1130" s="5">
        <f>IF($I1130="","",IFERROR(INDEX('CAT_TIPOS_OT'!$C$4:$C$8,MATCH($I1130,'CAT_TIPOS_OT'!$A$4:$A$8,0)),"sin_clasificar"))</f>
        <v/>
      </c>
      <c r="V1130" s="5">
        <f>IF($I1130="","",IF(IFERROR(INDEX('CAT_TIPOS_OT'!$D$4:$D$8,MATCH($I1130,'CAT_TIPOS_OT'!$A$4:$A$8,0)),"SIN CLASIFICAR")="","SIN CLASIFICAR",IFERROR(INDEX('CAT_TIPOS_OT'!$D$4:$D$8,MATCH($I1130,'CAT_TIPOS_OT'!$A$4:$A$8,0)),"SIN CLASIFICAR")))</f>
        <v/>
      </c>
      <c r="W1130" s="5">
        <f>IF($F1130="","",IFERROR(INDEX('CAT_CENTROS_COSTO'!$F$4:$F$13,MATCH($F1130,'CAT_CENTROS_COSTO'!$A$4:$A$13,0)),"(sin catálogo)"))</f>
        <v/>
      </c>
      <c r="X1130" s="5">
        <f>IF($F1130="","",IFERROR(INDEX('CAT_CENTROS_COSTO'!$D$4:$D$13,MATCH($F1130,'CAT_CENTROS_COSTO'!$A$4:$A$13,0)),"(sin catálogo)"))</f>
        <v/>
      </c>
      <c r="Y1130" s="5">
        <f>IF($F1130="","",IF((IFERROR(INDEX('CAT_CENTROS_COSTO'!$E$4:$E$13,MATCH($F1130,'CAT_CENTROS_COSTO'!$A$4:$A$13,0)),""))&lt;&gt;"",IFERROR(INDEX('CAT_CENTROS_COSTO'!$E$4:$E$13,MATCH($F1130,'CAT_CENTROS_COSTO'!$A$4:$A$13,0)),""),$X1130))</f>
        <v/>
      </c>
      <c r="Z1130" s="5">
        <f>IF($F1130="","",IFERROR(INDEX('CAT_CENTROS_COSTO'!$G$4:$G$13,MATCH($F1130,'CAT_CENTROS_COSTO'!$A$4:$A$13,0)),"(sin catálogo)"))</f>
        <v/>
      </c>
      <c r="AA1130" s="5">
        <f>IF($G1130="","",IFERROR(INDEX('CAT_PUESTOS'!$B$4:$B$8,MATCH($G1130,'CAT_PUESTOS'!$A$4:$A$8,0)),"(sin catálogo)"))</f>
        <v/>
      </c>
      <c r="AB1130" s="5">
        <f>IF($H1130="","",IFERROR(INDEX('CAT_ACTIVIDADES'!$B$4:$B$11,MATCH($H1130,'CAT_ACTIVIDADES'!$A$4:$A$11,0)),"(sin catálogo)"))</f>
        <v/>
      </c>
      <c r="AC1130" s="20">
        <f>IF($J1130="","",TODAY()-$J1130)</f>
        <v/>
      </c>
      <c r="AD1130" s="20">
        <f>IF($J1130="","",IF($J1130&lt;=TODAY(),COUNTIFS(cal_fechas,"&gt;="&amp;$J1130,cal_fechas,"&lt;"&amp;TODAY(),cal_habil,"sí"),-COUNTIFS(cal_fechas,"&gt;="&amp;TODAY(),cal_fechas,"&lt;"&amp;$J1130,cal_habil,"sí")))</f>
        <v/>
      </c>
      <c r="AE1130" s="5">
        <f>IF($AD1130="","",IF($AD1130&lt;0,"FUTURO",IF($AD1130&gt;p_dias_backlog_max,"BACKLOG","MES CORRIENTE")))</f>
        <v/>
      </c>
      <c r="AF1130" s="5">
        <f>IF($AD1130="",FALSE,AND($AD1130&gt;p_dias_backlog_min,$AD1130&lt;=p_dias_backlog_max))</f>
        <v/>
      </c>
      <c r="AG1130" s="4" t="n"/>
      <c r="AH1130" s="5">
        <f>IF($AG1130="","",IF((IFERROR(INDEX('ASIGNACIONES'!$J$4:$J$451,MATCH($O1130&amp;"|"&amp;$S1130&amp;"|"&amp;$AG1130,'ASIGNACIONES'!$N$4:$N$451,0)),""))=0,"",IFERROR(INDEX('ASIGNACIONES'!$J$4:$J$451,MATCH($O1130&amp;"|"&amp;$S1130&amp;"|"&amp;$AG1130,'ASIGNACIONES'!$N$4:$N$451,0)),"")))</f>
        <v/>
      </c>
      <c r="AI1130" s="25">
        <f>IF($AG1130="","",SUMIFS('ORDENES'!$M$4:$M$1203,'ORDENES'!$AG$4:$AG$1203,$AG1130,'ORDENES'!$O$4:$O$1203,$O1130,'ORDENES'!$S$4:$S$1203,$S1130))</f>
        <v/>
      </c>
      <c r="AJ1130" s="25">
        <f>IF($AI1130="","",p_factor_productividad*IFERROR(INDEX('ASIGNACIONES'!$M$4:$M$451,MATCH($O1130&amp;"|"&amp;$S1130&amp;"|"&amp;$AG1130,'ASIGNACIONES'!$N$4:$N$451,0)),0)-$AI1130)</f>
        <v/>
      </c>
      <c r="AK1130" s="18">
        <f>IF($A1130="","",IFERROR(INDEX('2_IMPORTAR_EJECUCION'!$F$9:$F$1208,MATCH($AT1130,'2_IMPORTAR_EJECUCION'!$J$9:$J$1208,0)),0))</f>
        <v/>
      </c>
      <c r="AL1130" s="18">
        <f>IF($A1130="","",MAX(0,IFERROR(INDEX('2_IMPORTAR_EJECUCION'!$H$9:$H$1208,MATCH($AT1130,'2_IMPORTAR_EJECUCION'!$J$9:$J$1208,0)),0)-$AK1130))</f>
        <v/>
      </c>
      <c r="AM1130" s="18">
        <f>IF($A1130="","",$AK1130+$AL1130)</f>
        <v/>
      </c>
      <c r="AN1130" s="5">
        <f>IF($A1130="","",IF(OR((IFERROR(INDEX('CAT_ACTIVIDADES'!$D$4:$D$11,MATCH($H1130,'CAT_ACTIVIDADES'!$A$4:$A$11,0)),""))=0,(IFERROR(INDEX('CAT_ACTIVIDADES'!$D$4:$D$11,MATCH($H1130,'CAT_ACTIVIDADES'!$A$4:$A$11,0)),""))=""),"SIN CLASIFICAR",IFERROR(INDEX('CAT_ACTIVIDADES'!$D$4:$D$11,MATCH($H1130,'CAT_ACTIVIDADES'!$A$4:$A$11,0)),"")))</f>
        <v/>
      </c>
      <c r="AO1130" s="4" t="n"/>
      <c r="AP1130" s="4" t="n"/>
      <c r="AQ1130" s="4" t="n"/>
      <c r="AR1130" s="5">
        <f>IF($AQ1130="","",HYPERLINK(p_ruta_base_checklists&amp;$AQ1130,"abrir"))</f>
        <v/>
      </c>
      <c r="AS1130" s="4" t="n"/>
      <c r="AT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2" t="n"/>
      <c r="K1131" s="5" t="n"/>
      <c r="L1131" s="18" t="n"/>
      <c r="M1131" s="5">
        <f>IF($A1131="","",IFERROR(INDEX('AJUSTES'!$B$4:$B$303,MATCH($AT1131,'AJUSTES'!$A$4:$A$303,0)),IF($K1131="","",$K1131)))</f>
        <v/>
      </c>
      <c r="N1131" s="5">
        <f>IF($A1131="","",IFERROR(INDEX('CAT_ESTADOS_ERP'!$B$4:$B$7,MATCH(IFERROR(INDEX('2_IMPORTAR_EJECUCION'!$C$9:$C$1208,MATCH($AT1131,'2_IMPORTAR_EJECUCION'!$J$9:$J$1208,0)),""),'CAT_ESTADOS_ERP'!$A$4:$A$7,0)),"Pendiente"))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IF($J1131="","",$P1131&amp;"-"&amp;TEXT($Q1131,"00"))</f>
        <v/>
      </c>
      <c r="S1131" s="5">
        <f>IF($J1131="","",INDEX(lista_dias,WEEKDAY($J1131,2)))</f>
        <v/>
      </c>
      <c r="T1131" s="5">
        <f>IF($J1131="","",IFERROR(INDEX('CALENDARIO'!$C$15:$C$214,MATCH(TEXT($J1131,"yyyy-mm-dd")&amp;"|"&amp;$X1131&amp;"|"&amp;$Y1131,'CALENDARIO'!$G$15:$G$214,0)),IFERROR(INDEX('CALENDARIO'!$C$15:$C$214,MATCH(TEXT($J1131,"yyyy-mm-dd")&amp;"|"&amp;$X1131&amp;"|",'CALENDARIO'!$G$15:$G$214,0)),IFERROR(INDEX('CALENDARIO'!$C$15:$C$214,MATCH(TEXT($J1131,"yyyy-mm-dd")&amp;"||",'CALENDARIO'!$G$15:$G$214,0)),INDEX(patronHabil,WEEKDAY($J1131,2))))))</f>
        <v/>
      </c>
      <c r="U1131" s="5">
        <f>IF($I1131="","",IFERROR(INDEX('CAT_TIPOS_OT'!$C$4:$C$8,MATCH($I1131,'CAT_TIPOS_OT'!$A$4:$A$8,0)),"sin_clasificar"))</f>
        <v/>
      </c>
      <c r="V1131" s="5">
        <f>IF($I1131="","",IF(IFERROR(INDEX('CAT_TIPOS_OT'!$D$4:$D$8,MATCH($I1131,'CAT_TIPOS_OT'!$A$4:$A$8,0)),"SIN CLASIFICAR")="","SIN CLASIFICAR",IFERROR(INDEX('CAT_TIPOS_OT'!$D$4:$D$8,MATCH($I1131,'CAT_TIPOS_OT'!$A$4:$A$8,0)),"SIN CLASIFICAR")))</f>
        <v/>
      </c>
      <c r="W1131" s="5">
        <f>IF($F1131="","",IFERROR(INDEX('CAT_CENTROS_COSTO'!$F$4:$F$13,MATCH($F1131,'CAT_CENTROS_COSTO'!$A$4:$A$13,0)),"(sin catálogo)"))</f>
        <v/>
      </c>
      <c r="X1131" s="5">
        <f>IF($F1131="","",IFERROR(INDEX('CAT_CENTROS_COSTO'!$D$4:$D$13,MATCH($F1131,'CAT_CENTROS_COSTO'!$A$4:$A$13,0)),"(sin catálogo)"))</f>
        <v/>
      </c>
      <c r="Y1131" s="5">
        <f>IF($F1131="","",IF((IFERROR(INDEX('CAT_CENTROS_COSTO'!$E$4:$E$13,MATCH($F1131,'CAT_CENTROS_COSTO'!$A$4:$A$13,0)),""))&lt;&gt;"",IFERROR(INDEX('CAT_CENTROS_COSTO'!$E$4:$E$13,MATCH($F1131,'CAT_CENTROS_COSTO'!$A$4:$A$13,0)),""),$X1131))</f>
        <v/>
      </c>
      <c r="Z1131" s="5">
        <f>IF($F1131="","",IFERROR(INDEX('CAT_CENTROS_COSTO'!$G$4:$G$13,MATCH($F1131,'CAT_CENTROS_COSTO'!$A$4:$A$13,0)),"(sin catálogo)"))</f>
        <v/>
      </c>
      <c r="AA1131" s="5">
        <f>IF($G1131="","",IFERROR(INDEX('CAT_PUESTOS'!$B$4:$B$8,MATCH($G1131,'CAT_PUESTOS'!$A$4:$A$8,0)),"(sin catálogo)"))</f>
        <v/>
      </c>
      <c r="AB1131" s="5">
        <f>IF($H1131="","",IFERROR(INDEX('CAT_ACTIVIDADES'!$B$4:$B$11,MATCH($H1131,'CAT_ACTIVIDADES'!$A$4:$A$11,0)),"(sin catálogo)"))</f>
        <v/>
      </c>
      <c r="AC1131" s="20">
        <f>IF($J1131="","",TODAY()-$J1131)</f>
        <v/>
      </c>
      <c r="AD1131" s="20">
        <f>IF($J1131="","",IF($J1131&lt;=TODAY(),COUNTIFS(cal_fechas,"&gt;="&amp;$J1131,cal_fechas,"&lt;"&amp;TODAY(),cal_habil,"sí"),-COUNTIFS(cal_fechas,"&gt;="&amp;TODAY(),cal_fechas,"&lt;"&amp;$J1131,cal_habil,"sí")))</f>
        <v/>
      </c>
      <c r="AE1131" s="5">
        <f>IF($AD1131="","",IF($AD1131&lt;0,"FUTURO",IF($AD1131&gt;p_dias_backlog_max,"BACKLOG","MES CORRIENTE")))</f>
        <v/>
      </c>
      <c r="AF1131" s="5">
        <f>IF($AD1131="",FALSE,AND($AD1131&gt;p_dias_backlog_min,$AD1131&lt;=p_dias_backlog_max))</f>
        <v/>
      </c>
      <c r="AG1131" s="4" t="n"/>
      <c r="AH1131" s="5">
        <f>IF($AG1131="","",IF((IFERROR(INDEX('ASIGNACIONES'!$J$4:$J$451,MATCH($O1131&amp;"|"&amp;$S1131&amp;"|"&amp;$AG1131,'ASIGNACIONES'!$N$4:$N$451,0)),""))=0,"",IFERROR(INDEX('ASIGNACIONES'!$J$4:$J$451,MATCH($O1131&amp;"|"&amp;$S1131&amp;"|"&amp;$AG1131,'ASIGNACIONES'!$N$4:$N$451,0)),"")))</f>
        <v/>
      </c>
      <c r="AI1131" s="25">
        <f>IF($AG1131="","",SUMIFS('ORDENES'!$M$4:$M$1203,'ORDENES'!$AG$4:$AG$1203,$AG1131,'ORDENES'!$O$4:$O$1203,$O1131,'ORDENES'!$S$4:$S$1203,$S1131))</f>
        <v/>
      </c>
      <c r="AJ1131" s="25">
        <f>IF($AI1131="","",p_factor_productividad*IFERROR(INDEX('ASIGNACIONES'!$M$4:$M$451,MATCH($O1131&amp;"|"&amp;$S1131&amp;"|"&amp;$AG1131,'ASIGNACIONES'!$N$4:$N$451,0)),0)-$AI1131)</f>
        <v/>
      </c>
      <c r="AK1131" s="18">
        <f>IF($A1131="","",IFERROR(INDEX('2_IMPORTAR_EJECUCION'!$F$9:$F$1208,MATCH($AT1131,'2_IMPORTAR_EJECUCION'!$J$9:$J$1208,0)),0))</f>
        <v/>
      </c>
      <c r="AL1131" s="18">
        <f>IF($A1131="","",MAX(0,IFERROR(INDEX('2_IMPORTAR_EJECUCION'!$H$9:$H$1208,MATCH($AT1131,'2_IMPORTAR_EJECUCION'!$J$9:$J$1208,0)),0)-$AK1131))</f>
        <v/>
      </c>
      <c r="AM1131" s="18">
        <f>IF($A1131="","",$AK1131+$AL1131)</f>
        <v/>
      </c>
      <c r="AN1131" s="5">
        <f>IF($A1131="","",IF(OR((IFERROR(INDEX('CAT_ACTIVIDADES'!$D$4:$D$11,MATCH($H1131,'CAT_ACTIVIDADES'!$A$4:$A$11,0)),""))=0,(IFERROR(INDEX('CAT_ACTIVIDADES'!$D$4:$D$11,MATCH($H1131,'CAT_ACTIVIDADES'!$A$4:$A$11,0)),""))=""),"SIN CLASIFICAR",IFERROR(INDEX('CAT_ACTIVIDADES'!$D$4:$D$11,MATCH($H1131,'CAT_ACTIVIDADES'!$A$4:$A$11,0)),"")))</f>
        <v/>
      </c>
      <c r="AO1131" s="4" t="n"/>
      <c r="AP1131" s="4" t="n"/>
      <c r="AQ1131" s="4" t="n"/>
      <c r="AR1131" s="5">
        <f>IF($AQ1131="","",HYPERLINK(p_ruta_base_checklists&amp;$AQ1131,"abrir"))</f>
        <v/>
      </c>
      <c r="AS1131" s="4" t="n"/>
      <c r="AT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2" t="n"/>
      <c r="K1132" s="5" t="n"/>
      <c r="L1132" s="18" t="n"/>
      <c r="M1132" s="5">
        <f>IF($A1132="","",IFERROR(INDEX('AJUSTES'!$B$4:$B$303,MATCH($AT1132,'AJUSTES'!$A$4:$A$303,0)),IF($K1132="","",$K1132)))</f>
        <v/>
      </c>
      <c r="N1132" s="5">
        <f>IF($A1132="","",IFERROR(INDEX('CAT_ESTADOS_ERP'!$B$4:$B$7,MATCH(IFERROR(INDEX('2_IMPORTAR_EJECUCION'!$C$9:$C$1208,MATCH($AT1132,'2_IMPORTAR_EJECUCION'!$J$9:$J$1208,0)),""),'CAT_ESTADOS_ERP'!$A$4:$A$7,0)),"Pendiente"))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IF($J1132="","",$P1132&amp;"-"&amp;TEXT($Q1132,"00"))</f>
        <v/>
      </c>
      <c r="S1132" s="5">
        <f>IF($J1132="","",INDEX(lista_dias,WEEKDAY($J1132,2)))</f>
        <v/>
      </c>
      <c r="T1132" s="5">
        <f>IF($J1132="","",IFERROR(INDEX('CALENDARIO'!$C$15:$C$214,MATCH(TEXT($J1132,"yyyy-mm-dd")&amp;"|"&amp;$X1132&amp;"|"&amp;$Y1132,'CALENDARIO'!$G$15:$G$214,0)),IFERROR(INDEX('CALENDARIO'!$C$15:$C$214,MATCH(TEXT($J1132,"yyyy-mm-dd")&amp;"|"&amp;$X1132&amp;"|",'CALENDARIO'!$G$15:$G$214,0)),IFERROR(INDEX('CALENDARIO'!$C$15:$C$214,MATCH(TEXT($J1132,"yyyy-mm-dd")&amp;"||",'CALENDARIO'!$G$15:$G$214,0)),INDEX(patronHabil,WEEKDAY($J1132,2))))))</f>
        <v/>
      </c>
      <c r="U1132" s="5">
        <f>IF($I1132="","",IFERROR(INDEX('CAT_TIPOS_OT'!$C$4:$C$8,MATCH($I1132,'CAT_TIPOS_OT'!$A$4:$A$8,0)),"sin_clasificar"))</f>
        <v/>
      </c>
      <c r="V1132" s="5">
        <f>IF($I1132="","",IF(IFERROR(INDEX('CAT_TIPOS_OT'!$D$4:$D$8,MATCH($I1132,'CAT_TIPOS_OT'!$A$4:$A$8,0)),"SIN CLASIFICAR")="","SIN CLASIFICAR",IFERROR(INDEX('CAT_TIPOS_OT'!$D$4:$D$8,MATCH($I1132,'CAT_TIPOS_OT'!$A$4:$A$8,0)),"SIN CLASIFICAR")))</f>
        <v/>
      </c>
      <c r="W1132" s="5">
        <f>IF($F1132="","",IFERROR(INDEX('CAT_CENTROS_COSTO'!$F$4:$F$13,MATCH($F1132,'CAT_CENTROS_COSTO'!$A$4:$A$13,0)),"(sin catálogo)"))</f>
        <v/>
      </c>
      <c r="X1132" s="5">
        <f>IF($F1132="","",IFERROR(INDEX('CAT_CENTROS_COSTO'!$D$4:$D$13,MATCH($F1132,'CAT_CENTROS_COSTO'!$A$4:$A$13,0)),"(sin catálogo)"))</f>
        <v/>
      </c>
      <c r="Y1132" s="5">
        <f>IF($F1132="","",IF((IFERROR(INDEX('CAT_CENTROS_COSTO'!$E$4:$E$13,MATCH($F1132,'CAT_CENTROS_COSTO'!$A$4:$A$13,0)),""))&lt;&gt;"",IFERROR(INDEX('CAT_CENTROS_COSTO'!$E$4:$E$13,MATCH($F1132,'CAT_CENTROS_COSTO'!$A$4:$A$13,0)),""),$X1132))</f>
        <v/>
      </c>
      <c r="Z1132" s="5">
        <f>IF($F1132="","",IFERROR(INDEX('CAT_CENTROS_COSTO'!$G$4:$G$13,MATCH($F1132,'CAT_CENTROS_COSTO'!$A$4:$A$13,0)),"(sin catálogo)"))</f>
        <v/>
      </c>
      <c r="AA1132" s="5">
        <f>IF($G1132="","",IFERROR(INDEX('CAT_PUESTOS'!$B$4:$B$8,MATCH($G1132,'CAT_PUESTOS'!$A$4:$A$8,0)),"(sin catálogo)"))</f>
        <v/>
      </c>
      <c r="AB1132" s="5">
        <f>IF($H1132="","",IFERROR(INDEX('CAT_ACTIVIDADES'!$B$4:$B$11,MATCH($H1132,'CAT_ACTIVIDADES'!$A$4:$A$11,0)),"(sin catálogo)"))</f>
        <v/>
      </c>
      <c r="AC1132" s="20">
        <f>IF($J1132="","",TODAY()-$J1132)</f>
        <v/>
      </c>
      <c r="AD1132" s="20">
        <f>IF($J1132="","",IF($J1132&lt;=TODAY(),COUNTIFS(cal_fechas,"&gt;="&amp;$J1132,cal_fechas,"&lt;"&amp;TODAY(),cal_habil,"sí"),-COUNTIFS(cal_fechas,"&gt;="&amp;TODAY(),cal_fechas,"&lt;"&amp;$J1132,cal_habil,"sí")))</f>
        <v/>
      </c>
      <c r="AE1132" s="5">
        <f>IF($AD1132="","",IF($AD1132&lt;0,"FUTURO",IF($AD1132&gt;p_dias_backlog_max,"BACKLOG","MES CORRIENTE")))</f>
        <v/>
      </c>
      <c r="AF1132" s="5">
        <f>IF($AD1132="",FALSE,AND($AD1132&gt;p_dias_backlog_min,$AD1132&lt;=p_dias_backlog_max))</f>
        <v/>
      </c>
      <c r="AG1132" s="4" t="n"/>
      <c r="AH1132" s="5">
        <f>IF($AG1132="","",IF((IFERROR(INDEX('ASIGNACIONES'!$J$4:$J$451,MATCH($O1132&amp;"|"&amp;$S1132&amp;"|"&amp;$AG1132,'ASIGNACIONES'!$N$4:$N$451,0)),""))=0,"",IFERROR(INDEX('ASIGNACIONES'!$J$4:$J$451,MATCH($O1132&amp;"|"&amp;$S1132&amp;"|"&amp;$AG1132,'ASIGNACIONES'!$N$4:$N$451,0)),"")))</f>
        <v/>
      </c>
      <c r="AI1132" s="25">
        <f>IF($AG1132="","",SUMIFS('ORDENES'!$M$4:$M$1203,'ORDENES'!$AG$4:$AG$1203,$AG1132,'ORDENES'!$O$4:$O$1203,$O1132,'ORDENES'!$S$4:$S$1203,$S1132))</f>
        <v/>
      </c>
      <c r="AJ1132" s="25">
        <f>IF($AI1132="","",p_factor_productividad*IFERROR(INDEX('ASIGNACIONES'!$M$4:$M$451,MATCH($O1132&amp;"|"&amp;$S1132&amp;"|"&amp;$AG1132,'ASIGNACIONES'!$N$4:$N$451,0)),0)-$AI1132)</f>
        <v/>
      </c>
      <c r="AK1132" s="18">
        <f>IF($A1132="","",IFERROR(INDEX('2_IMPORTAR_EJECUCION'!$F$9:$F$1208,MATCH($AT1132,'2_IMPORTAR_EJECUCION'!$J$9:$J$1208,0)),0))</f>
        <v/>
      </c>
      <c r="AL1132" s="18">
        <f>IF($A1132="","",MAX(0,IFERROR(INDEX('2_IMPORTAR_EJECUCION'!$H$9:$H$1208,MATCH($AT1132,'2_IMPORTAR_EJECUCION'!$J$9:$J$1208,0)),0)-$AK1132))</f>
        <v/>
      </c>
      <c r="AM1132" s="18">
        <f>IF($A1132="","",$AK1132+$AL1132)</f>
        <v/>
      </c>
      <c r="AN1132" s="5">
        <f>IF($A1132="","",IF(OR((IFERROR(INDEX('CAT_ACTIVIDADES'!$D$4:$D$11,MATCH($H1132,'CAT_ACTIVIDADES'!$A$4:$A$11,0)),""))=0,(IFERROR(INDEX('CAT_ACTIVIDADES'!$D$4:$D$11,MATCH($H1132,'CAT_ACTIVIDADES'!$A$4:$A$11,0)),""))=""),"SIN CLASIFICAR",IFERROR(INDEX('CAT_ACTIVIDADES'!$D$4:$D$11,MATCH($H1132,'CAT_ACTIVIDADES'!$A$4:$A$11,0)),"")))</f>
        <v/>
      </c>
      <c r="AO1132" s="4" t="n"/>
      <c r="AP1132" s="4" t="n"/>
      <c r="AQ1132" s="4" t="n"/>
      <c r="AR1132" s="5">
        <f>IF($AQ1132="","",HYPERLINK(p_ruta_base_checklists&amp;$AQ1132,"abrir"))</f>
        <v/>
      </c>
      <c r="AS1132" s="4" t="n"/>
      <c r="AT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2" t="n"/>
      <c r="K1133" s="5" t="n"/>
      <c r="L1133" s="18" t="n"/>
      <c r="M1133" s="5">
        <f>IF($A1133="","",IFERROR(INDEX('AJUSTES'!$B$4:$B$303,MATCH($AT1133,'AJUSTES'!$A$4:$A$303,0)),IF($K1133="","",$K1133)))</f>
        <v/>
      </c>
      <c r="N1133" s="5">
        <f>IF($A1133="","",IFERROR(INDEX('CAT_ESTADOS_ERP'!$B$4:$B$7,MATCH(IFERROR(INDEX('2_IMPORTAR_EJECUCION'!$C$9:$C$1208,MATCH($AT1133,'2_IMPORTAR_EJECUCION'!$J$9:$J$1208,0)),""),'CAT_ESTADOS_ERP'!$A$4:$A$7,0)),"Pendiente"))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IF($J1133="","",$P1133&amp;"-"&amp;TEXT($Q1133,"00"))</f>
        <v/>
      </c>
      <c r="S1133" s="5">
        <f>IF($J1133="","",INDEX(lista_dias,WEEKDAY($J1133,2)))</f>
        <v/>
      </c>
      <c r="T1133" s="5">
        <f>IF($J1133="","",IFERROR(INDEX('CALENDARIO'!$C$15:$C$214,MATCH(TEXT($J1133,"yyyy-mm-dd")&amp;"|"&amp;$X1133&amp;"|"&amp;$Y1133,'CALENDARIO'!$G$15:$G$214,0)),IFERROR(INDEX('CALENDARIO'!$C$15:$C$214,MATCH(TEXT($J1133,"yyyy-mm-dd")&amp;"|"&amp;$X1133&amp;"|",'CALENDARIO'!$G$15:$G$214,0)),IFERROR(INDEX('CALENDARIO'!$C$15:$C$214,MATCH(TEXT($J1133,"yyyy-mm-dd")&amp;"||",'CALENDARIO'!$G$15:$G$214,0)),INDEX(patronHabil,WEEKDAY($J1133,2))))))</f>
        <v/>
      </c>
      <c r="U1133" s="5">
        <f>IF($I1133="","",IFERROR(INDEX('CAT_TIPOS_OT'!$C$4:$C$8,MATCH($I1133,'CAT_TIPOS_OT'!$A$4:$A$8,0)),"sin_clasificar"))</f>
        <v/>
      </c>
      <c r="V1133" s="5">
        <f>IF($I1133="","",IF(IFERROR(INDEX('CAT_TIPOS_OT'!$D$4:$D$8,MATCH($I1133,'CAT_TIPOS_OT'!$A$4:$A$8,0)),"SIN CLASIFICAR")="","SIN CLASIFICAR",IFERROR(INDEX('CAT_TIPOS_OT'!$D$4:$D$8,MATCH($I1133,'CAT_TIPOS_OT'!$A$4:$A$8,0)),"SIN CLASIFICAR")))</f>
        <v/>
      </c>
      <c r="W1133" s="5">
        <f>IF($F1133="","",IFERROR(INDEX('CAT_CENTROS_COSTO'!$F$4:$F$13,MATCH($F1133,'CAT_CENTROS_COSTO'!$A$4:$A$13,0)),"(sin catálogo)"))</f>
        <v/>
      </c>
      <c r="X1133" s="5">
        <f>IF($F1133="","",IFERROR(INDEX('CAT_CENTROS_COSTO'!$D$4:$D$13,MATCH($F1133,'CAT_CENTROS_COSTO'!$A$4:$A$13,0)),"(sin catálogo)"))</f>
        <v/>
      </c>
      <c r="Y1133" s="5">
        <f>IF($F1133="","",IF((IFERROR(INDEX('CAT_CENTROS_COSTO'!$E$4:$E$13,MATCH($F1133,'CAT_CENTROS_COSTO'!$A$4:$A$13,0)),""))&lt;&gt;"",IFERROR(INDEX('CAT_CENTROS_COSTO'!$E$4:$E$13,MATCH($F1133,'CAT_CENTROS_COSTO'!$A$4:$A$13,0)),""),$X1133))</f>
        <v/>
      </c>
      <c r="Z1133" s="5">
        <f>IF($F1133="","",IFERROR(INDEX('CAT_CENTROS_COSTO'!$G$4:$G$13,MATCH($F1133,'CAT_CENTROS_COSTO'!$A$4:$A$13,0)),"(sin catálogo)"))</f>
        <v/>
      </c>
      <c r="AA1133" s="5">
        <f>IF($G1133="","",IFERROR(INDEX('CAT_PUESTOS'!$B$4:$B$8,MATCH($G1133,'CAT_PUESTOS'!$A$4:$A$8,0)),"(sin catálogo)"))</f>
        <v/>
      </c>
      <c r="AB1133" s="5">
        <f>IF($H1133="","",IFERROR(INDEX('CAT_ACTIVIDADES'!$B$4:$B$11,MATCH($H1133,'CAT_ACTIVIDADES'!$A$4:$A$11,0)),"(sin catálogo)"))</f>
        <v/>
      </c>
      <c r="AC1133" s="20">
        <f>IF($J1133="","",TODAY()-$J1133)</f>
        <v/>
      </c>
      <c r="AD1133" s="20">
        <f>IF($J1133="","",IF($J1133&lt;=TODAY(),COUNTIFS(cal_fechas,"&gt;="&amp;$J1133,cal_fechas,"&lt;"&amp;TODAY(),cal_habil,"sí"),-COUNTIFS(cal_fechas,"&gt;="&amp;TODAY(),cal_fechas,"&lt;"&amp;$J1133,cal_habil,"sí")))</f>
        <v/>
      </c>
      <c r="AE1133" s="5">
        <f>IF($AD1133="","",IF($AD1133&lt;0,"FUTURO",IF($AD1133&gt;p_dias_backlog_max,"BACKLOG","MES CORRIENTE")))</f>
        <v/>
      </c>
      <c r="AF1133" s="5">
        <f>IF($AD1133="",FALSE,AND($AD1133&gt;p_dias_backlog_min,$AD1133&lt;=p_dias_backlog_max))</f>
        <v/>
      </c>
      <c r="AG1133" s="4" t="n"/>
      <c r="AH1133" s="5">
        <f>IF($AG1133="","",IF((IFERROR(INDEX('ASIGNACIONES'!$J$4:$J$451,MATCH($O1133&amp;"|"&amp;$S1133&amp;"|"&amp;$AG1133,'ASIGNACIONES'!$N$4:$N$451,0)),""))=0,"",IFERROR(INDEX('ASIGNACIONES'!$J$4:$J$451,MATCH($O1133&amp;"|"&amp;$S1133&amp;"|"&amp;$AG1133,'ASIGNACIONES'!$N$4:$N$451,0)),"")))</f>
        <v/>
      </c>
      <c r="AI1133" s="25">
        <f>IF($AG1133="","",SUMIFS('ORDENES'!$M$4:$M$1203,'ORDENES'!$AG$4:$AG$1203,$AG1133,'ORDENES'!$O$4:$O$1203,$O1133,'ORDENES'!$S$4:$S$1203,$S1133))</f>
        <v/>
      </c>
      <c r="AJ1133" s="25">
        <f>IF($AI1133="","",p_factor_productividad*IFERROR(INDEX('ASIGNACIONES'!$M$4:$M$451,MATCH($O1133&amp;"|"&amp;$S1133&amp;"|"&amp;$AG1133,'ASIGNACIONES'!$N$4:$N$451,0)),0)-$AI1133)</f>
        <v/>
      </c>
      <c r="AK1133" s="18">
        <f>IF($A1133="","",IFERROR(INDEX('2_IMPORTAR_EJECUCION'!$F$9:$F$1208,MATCH($AT1133,'2_IMPORTAR_EJECUCION'!$J$9:$J$1208,0)),0))</f>
        <v/>
      </c>
      <c r="AL1133" s="18">
        <f>IF($A1133="","",MAX(0,IFERROR(INDEX('2_IMPORTAR_EJECUCION'!$H$9:$H$1208,MATCH($AT1133,'2_IMPORTAR_EJECUCION'!$J$9:$J$1208,0)),0)-$AK1133))</f>
        <v/>
      </c>
      <c r="AM1133" s="18">
        <f>IF($A1133="","",$AK1133+$AL1133)</f>
        <v/>
      </c>
      <c r="AN1133" s="5">
        <f>IF($A1133="","",IF(OR((IFERROR(INDEX('CAT_ACTIVIDADES'!$D$4:$D$11,MATCH($H1133,'CAT_ACTIVIDADES'!$A$4:$A$11,0)),""))=0,(IFERROR(INDEX('CAT_ACTIVIDADES'!$D$4:$D$11,MATCH($H1133,'CAT_ACTIVIDADES'!$A$4:$A$11,0)),""))=""),"SIN CLASIFICAR",IFERROR(INDEX('CAT_ACTIVIDADES'!$D$4:$D$11,MATCH($H1133,'CAT_ACTIVIDADES'!$A$4:$A$11,0)),"")))</f>
        <v/>
      </c>
      <c r="AO1133" s="4" t="n"/>
      <c r="AP1133" s="4" t="n"/>
      <c r="AQ1133" s="4" t="n"/>
      <c r="AR1133" s="5">
        <f>IF($AQ1133="","",HYPERLINK(p_ruta_base_checklists&amp;$AQ1133,"abrir"))</f>
        <v/>
      </c>
      <c r="AS1133" s="4" t="n"/>
      <c r="AT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2" t="n"/>
      <c r="K1134" s="5" t="n"/>
      <c r="L1134" s="18" t="n"/>
      <c r="M1134" s="5">
        <f>IF($A1134="","",IFERROR(INDEX('AJUSTES'!$B$4:$B$303,MATCH($AT1134,'AJUSTES'!$A$4:$A$303,0)),IF($K1134="","",$K1134)))</f>
        <v/>
      </c>
      <c r="N1134" s="5">
        <f>IF($A1134="","",IFERROR(INDEX('CAT_ESTADOS_ERP'!$B$4:$B$7,MATCH(IFERROR(INDEX('2_IMPORTAR_EJECUCION'!$C$9:$C$1208,MATCH($AT1134,'2_IMPORTAR_EJECUCION'!$J$9:$J$1208,0)),""),'CAT_ESTADOS_ERP'!$A$4:$A$7,0)),"Pendiente"))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IF($J1134="","",$P1134&amp;"-"&amp;TEXT($Q1134,"00"))</f>
        <v/>
      </c>
      <c r="S1134" s="5">
        <f>IF($J1134="","",INDEX(lista_dias,WEEKDAY($J1134,2)))</f>
        <v/>
      </c>
      <c r="T1134" s="5">
        <f>IF($J1134="","",IFERROR(INDEX('CALENDARIO'!$C$15:$C$214,MATCH(TEXT($J1134,"yyyy-mm-dd")&amp;"|"&amp;$X1134&amp;"|"&amp;$Y1134,'CALENDARIO'!$G$15:$G$214,0)),IFERROR(INDEX('CALENDARIO'!$C$15:$C$214,MATCH(TEXT($J1134,"yyyy-mm-dd")&amp;"|"&amp;$X1134&amp;"|",'CALENDARIO'!$G$15:$G$214,0)),IFERROR(INDEX('CALENDARIO'!$C$15:$C$214,MATCH(TEXT($J1134,"yyyy-mm-dd")&amp;"||",'CALENDARIO'!$G$15:$G$214,0)),INDEX(patronHabil,WEEKDAY($J1134,2))))))</f>
        <v/>
      </c>
      <c r="U1134" s="5">
        <f>IF($I1134="","",IFERROR(INDEX('CAT_TIPOS_OT'!$C$4:$C$8,MATCH($I1134,'CAT_TIPOS_OT'!$A$4:$A$8,0)),"sin_clasificar"))</f>
        <v/>
      </c>
      <c r="V1134" s="5">
        <f>IF($I1134="","",IF(IFERROR(INDEX('CAT_TIPOS_OT'!$D$4:$D$8,MATCH($I1134,'CAT_TIPOS_OT'!$A$4:$A$8,0)),"SIN CLASIFICAR")="","SIN CLASIFICAR",IFERROR(INDEX('CAT_TIPOS_OT'!$D$4:$D$8,MATCH($I1134,'CAT_TIPOS_OT'!$A$4:$A$8,0)),"SIN CLASIFICAR")))</f>
        <v/>
      </c>
      <c r="W1134" s="5">
        <f>IF($F1134="","",IFERROR(INDEX('CAT_CENTROS_COSTO'!$F$4:$F$13,MATCH($F1134,'CAT_CENTROS_COSTO'!$A$4:$A$13,0)),"(sin catálogo)"))</f>
        <v/>
      </c>
      <c r="X1134" s="5">
        <f>IF($F1134="","",IFERROR(INDEX('CAT_CENTROS_COSTO'!$D$4:$D$13,MATCH($F1134,'CAT_CENTROS_COSTO'!$A$4:$A$13,0)),"(sin catálogo)"))</f>
        <v/>
      </c>
      <c r="Y1134" s="5">
        <f>IF($F1134="","",IF((IFERROR(INDEX('CAT_CENTROS_COSTO'!$E$4:$E$13,MATCH($F1134,'CAT_CENTROS_COSTO'!$A$4:$A$13,0)),""))&lt;&gt;"",IFERROR(INDEX('CAT_CENTROS_COSTO'!$E$4:$E$13,MATCH($F1134,'CAT_CENTROS_COSTO'!$A$4:$A$13,0)),""),$X1134))</f>
        <v/>
      </c>
      <c r="Z1134" s="5">
        <f>IF($F1134="","",IFERROR(INDEX('CAT_CENTROS_COSTO'!$G$4:$G$13,MATCH($F1134,'CAT_CENTROS_COSTO'!$A$4:$A$13,0)),"(sin catálogo)"))</f>
        <v/>
      </c>
      <c r="AA1134" s="5">
        <f>IF($G1134="","",IFERROR(INDEX('CAT_PUESTOS'!$B$4:$B$8,MATCH($G1134,'CAT_PUESTOS'!$A$4:$A$8,0)),"(sin catálogo)"))</f>
        <v/>
      </c>
      <c r="AB1134" s="5">
        <f>IF($H1134="","",IFERROR(INDEX('CAT_ACTIVIDADES'!$B$4:$B$11,MATCH($H1134,'CAT_ACTIVIDADES'!$A$4:$A$11,0)),"(sin catálogo)"))</f>
        <v/>
      </c>
      <c r="AC1134" s="20">
        <f>IF($J1134="","",TODAY()-$J1134)</f>
        <v/>
      </c>
      <c r="AD1134" s="20">
        <f>IF($J1134="","",IF($J1134&lt;=TODAY(),COUNTIFS(cal_fechas,"&gt;="&amp;$J1134,cal_fechas,"&lt;"&amp;TODAY(),cal_habil,"sí"),-COUNTIFS(cal_fechas,"&gt;="&amp;TODAY(),cal_fechas,"&lt;"&amp;$J1134,cal_habil,"sí")))</f>
        <v/>
      </c>
      <c r="AE1134" s="5">
        <f>IF($AD1134="","",IF($AD1134&lt;0,"FUTURO",IF($AD1134&gt;p_dias_backlog_max,"BACKLOG","MES CORRIENTE")))</f>
        <v/>
      </c>
      <c r="AF1134" s="5">
        <f>IF($AD1134="",FALSE,AND($AD1134&gt;p_dias_backlog_min,$AD1134&lt;=p_dias_backlog_max))</f>
        <v/>
      </c>
      <c r="AG1134" s="4" t="n"/>
      <c r="AH1134" s="5">
        <f>IF($AG1134="","",IF((IFERROR(INDEX('ASIGNACIONES'!$J$4:$J$451,MATCH($O1134&amp;"|"&amp;$S1134&amp;"|"&amp;$AG1134,'ASIGNACIONES'!$N$4:$N$451,0)),""))=0,"",IFERROR(INDEX('ASIGNACIONES'!$J$4:$J$451,MATCH($O1134&amp;"|"&amp;$S1134&amp;"|"&amp;$AG1134,'ASIGNACIONES'!$N$4:$N$451,0)),"")))</f>
        <v/>
      </c>
      <c r="AI1134" s="25">
        <f>IF($AG1134="","",SUMIFS('ORDENES'!$M$4:$M$1203,'ORDENES'!$AG$4:$AG$1203,$AG1134,'ORDENES'!$O$4:$O$1203,$O1134,'ORDENES'!$S$4:$S$1203,$S1134))</f>
        <v/>
      </c>
      <c r="AJ1134" s="25">
        <f>IF($AI1134="","",p_factor_productividad*IFERROR(INDEX('ASIGNACIONES'!$M$4:$M$451,MATCH($O1134&amp;"|"&amp;$S1134&amp;"|"&amp;$AG1134,'ASIGNACIONES'!$N$4:$N$451,0)),0)-$AI1134)</f>
        <v/>
      </c>
      <c r="AK1134" s="18">
        <f>IF($A1134="","",IFERROR(INDEX('2_IMPORTAR_EJECUCION'!$F$9:$F$1208,MATCH($AT1134,'2_IMPORTAR_EJECUCION'!$J$9:$J$1208,0)),0))</f>
        <v/>
      </c>
      <c r="AL1134" s="18">
        <f>IF($A1134="","",MAX(0,IFERROR(INDEX('2_IMPORTAR_EJECUCION'!$H$9:$H$1208,MATCH($AT1134,'2_IMPORTAR_EJECUCION'!$J$9:$J$1208,0)),0)-$AK1134))</f>
        <v/>
      </c>
      <c r="AM1134" s="18">
        <f>IF($A1134="","",$AK1134+$AL1134)</f>
        <v/>
      </c>
      <c r="AN1134" s="5">
        <f>IF($A1134="","",IF(OR((IFERROR(INDEX('CAT_ACTIVIDADES'!$D$4:$D$11,MATCH($H1134,'CAT_ACTIVIDADES'!$A$4:$A$11,0)),""))=0,(IFERROR(INDEX('CAT_ACTIVIDADES'!$D$4:$D$11,MATCH($H1134,'CAT_ACTIVIDADES'!$A$4:$A$11,0)),""))=""),"SIN CLASIFICAR",IFERROR(INDEX('CAT_ACTIVIDADES'!$D$4:$D$11,MATCH($H1134,'CAT_ACTIVIDADES'!$A$4:$A$11,0)),"")))</f>
        <v/>
      </c>
      <c r="AO1134" s="4" t="n"/>
      <c r="AP1134" s="4" t="n"/>
      <c r="AQ1134" s="4" t="n"/>
      <c r="AR1134" s="5">
        <f>IF($AQ1134="","",HYPERLINK(p_ruta_base_checklists&amp;$AQ1134,"abrir"))</f>
        <v/>
      </c>
      <c r="AS1134" s="4" t="n"/>
      <c r="AT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2" t="n"/>
      <c r="K1135" s="5" t="n"/>
      <c r="L1135" s="18" t="n"/>
      <c r="M1135" s="5">
        <f>IF($A1135="","",IFERROR(INDEX('AJUSTES'!$B$4:$B$303,MATCH($AT1135,'AJUSTES'!$A$4:$A$303,0)),IF($K1135="","",$K1135)))</f>
        <v/>
      </c>
      <c r="N1135" s="5">
        <f>IF($A1135="","",IFERROR(INDEX('CAT_ESTADOS_ERP'!$B$4:$B$7,MATCH(IFERROR(INDEX('2_IMPORTAR_EJECUCION'!$C$9:$C$1208,MATCH($AT1135,'2_IMPORTAR_EJECUCION'!$J$9:$J$1208,0)),""),'CAT_ESTADOS_ERP'!$A$4:$A$7,0)),"Pendiente"))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IF($J1135="","",$P1135&amp;"-"&amp;TEXT($Q1135,"00"))</f>
        <v/>
      </c>
      <c r="S1135" s="5">
        <f>IF($J1135="","",INDEX(lista_dias,WEEKDAY($J1135,2)))</f>
        <v/>
      </c>
      <c r="T1135" s="5">
        <f>IF($J1135="","",IFERROR(INDEX('CALENDARIO'!$C$15:$C$214,MATCH(TEXT($J1135,"yyyy-mm-dd")&amp;"|"&amp;$X1135&amp;"|"&amp;$Y1135,'CALENDARIO'!$G$15:$G$214,0)),IFERROR(INDEX('CALENDARIO'!$C$15:$C$214,MATCH(TEXT($J1135,"yyyy-mm-dd")&amp;"|"&amp;$X1135&amp;"|",'CALENDARIO'!$G$15:$G$214,0)),IFERROR(INDEX('CALENDARIO'!$C$15:$C$214,MATCH(TEXT($J1135,"yyyy-mm-dd")&amp;"||",'CALENDARIO'!$G$15:$G$214,0)),INDEX(patronHabil,WEEKDAY($J1135,2))))))</f>
        <v/>
      </c>
      <c r="U1135" s="5">
        <f>IF($I1135="","",IFERROR(INDEX('CAT_TIPOS_OT'!$C$4:$C$8,MATCH($I1135,'CAT_TIPOS_OT'!$A$4:$A$8,0)),"sin_clasificar"))</f>
        <v/>
      </c>
      <c r="V1135" s="5">
        <f>IF($I1135="","",IF(IFERROR(INDEX('CAT_TIPOS_OT'!$D$4:$D$8,MATCH($I1135,'CAT_TIPOS_OT'!$A$4:$A$8,0)),"SIN CLASIFICAR")="","SIN CLASIFICAR",IFERROR(INDEX('CAT_TIPOS_OT'!$D$4:$D$8,MATCH($I1135,'CAT_TIPOS_OT'!$A$4:$A$8,0)),"SIN CLASIFICAR")))</f>
        <v/>
      </c>
      <c r="W1135" s="5">
        <f>IF($F1135="","",IFERROR(INDEX('CAT_CENTROS_COSTO'!$F$4:$F$13,MATCH($F1135,'CAT_CENTROS_COSTO'!$A$4:$A$13,0)),"(sin catálogo)"))</f>
        <v/>
      </c>
      <c r="X1135" s="5">
        <f>IF($F1135="","",IFERROR(INDEX('CAT_CENTROS_COSTO'!$D$4:$D$13,MATCH($F1135,'CAT_CENTROS_COSTO'!$A$4:$A$13,0)),"(sin catálogo)"))</f>
        <v/>
      </c>
      <c r="Y1135" s="5">
        <f>IF($F1135="","",IF((IFERROR(INDEX('CAT_CENTROS_COSTO'!$E$4:$E$13,MATCH($F1135,'CAT_CENTROS_COSTO'!$A$4:$A$13,0)),""))&lt;&gt;"",IFERROR(INDEX('CAT_CENTROS_COSTO'!$E$4:$E$13,MATCH($F1135,'CAT_CENTROS_COSTO'!$A$4:$A$13,0)),""),$X1135))</f>
        <v/>
      </c>
      <c r="Z1135" s="5">
        <f>IF($F1135="","",IFERROR(INDEX('CAT_CENTROS_COSTO'!$G$4:$G$13,MATCH($F1135,'CAT_CENTROS_COSTO'!$A$4:$A$13,0)),"(sin catálogo)"))</f>
        <v/>
      </c>
      <c r="AA1135" s="5">
        <f>IF($G1135="","",IFERROR(INDEX('CAT_PUESTOS'!$B$4:$B$8,MATCH($G1135,'CAT_PUESTOS'!$A$4:$A$8,0)),"(sin catálogo)"))</f>
        <v/>
      </c>
      <c r="AB1135" s="5">
        <f>IF($H1135="","",IFERROR(INDEX('CAT_ACTIVIDADES'!$B$4:$B$11,MATCH($H1135,'CAT_ACTIVIDADES'!$A$4:$A$11,0)),"(sin catálogo)"))</f>
        <v/>
      </c>
      <c r="AC1135" s="20">
        <f>IF($J1135="","",TODAY()-$J1135)</f>
        <v/>
      </c>
      <c r="AD1135" s="20">
        <f>IF($J1135="","",IF($J1135&lt;=TODAY(),COUNTIFS(cal_fechas,"&gt;="&amp;$J1135,cal_fechas,"&lt;"&amp;TODAY(),cal_habil,"sí"),-COUNTIFS(cal_fechas,"&gt;="&amp;TODAY(),cal_fechas,"&lt;"&amp;$J1135,cal_habil,"sí")))</f>
        <v/>
      </c>
      <c r="AE1135" s="5">
        <f>IF($AD1135="","",IF($AD1135&lt;0,"FUTURO",IF($AD1135&gt;p_dias_backlog_max,"BACKLOG","MES CORRIENTE")))</f>
        <v/>
      </c>
      <c r="AF1135" s="5">
        <f>IF($AD1135="",FALSE,AND($AD1135&gt;p_dias_backlog_min,$AD1135&lt;=p_dias_backlog_max))</f>
        <v/>
      </c>
      <c r="AG1135" s="4" t="n"/>
      <c r="AH1135" s="5">
        <f>IF($AG1135="","",IF((IFERROR(INDEX('ASIGNACIONES'!$J$4:$J$451,MATCH($O1135&amp;"|"&amp;$S1135&amp;"|"&amp;$AG1135,'ASIGNACIONES'!$N$4:$N$451,0)),""))=0,"",IFERROR(INDEX('ASIGNACIONES'!$J$4:$J$451,MATCH($O1135&amp;"|"&amp;$S1135&amp;"|"&amp;$AG1135,'ASIGNACIONES'!$N$4:$N$451,0)),"")))</f>
        <v/>
      </c>
      <c r="AI1135" s="25">
        <f>IF($AG1135="","",SUMIFS('ORDENES'!$M$4:$M$1203,'ORDENES'!$AG$4:$AG$1203,$AG1135,'ORDENES'!$O$4:$O$1203,$O1135,'ORDENES'!$S$4:$S$1203,$S1135))</f>
        <v/>
      </c>
      <c r="AJ1135" s="25">
        <f>IF($AI1135="","",p_factor_productividad*IFERROR(INDEX('ASIGNACIONES'!$M$4:$M$451,MATCH($O1135&amp;"|"&amp;$S1135&amp;"|"&amp;$AG1135,'ASIGNACIONES'!$N$4:$N$451,0)),0)-$AI1135)</f>
        <v/>
      </c>
      <c r="AK1135" s="18">
        <f>IF($A1135="","",IFERROR(INDEX('2_IMPORTAR_EJECUCION'!$F$9:$F$1208,MATCH($AT1135,'2_IMPORTAR_EJECUCION'!$J$9:$J$1208,0)),0))</f>
        <v/>
      </c>
      <c r="AL1135" s="18">
        <f>IF($A1135="","",MAX(0,IFERROR(INDEX('2_IMPORTAR_EJECUCION'!$H$9:$H$1208,MATCH($AT1135,'2_IMPORTAR_EJECUCION'!$J$9:$J$1208,0)),0)-$AK1135))</f>
        <v/>
      </c>
      <c r="AM1135" s="18">
        <f>IF($A1135="","",$AK1135+$AL1135)</f>
        <v/>
      </c>
      <c r="AN1135" s="5">
        <f>IF($A1135="","",IF(OR((IFERROR(INDEX('CAT_ACTIVIDADES'!$D$4:$D$11,MATCH($H1135,'CAT_ACTIVIDADES'!$A$4:$A$11,0)),""))=0,(IFERROR(INDEX('CAT_ACTIVIDADES'!$D$4:$D$11,MATCH($H1135,'CAT_ACTIVIDADES'!$A$4:$A$11,0)),""))=""),"SIN CLASIFICAR",IFERROR(INDEX('CAT_ACTIVIDADES'!$D$4:$D$11,MATCH($H1135,'CAT_ACTIVIDADES'!$A$4:$A$11,0)),"")))</f>
        <v/>
      </c>
      <c r="AO1135" s="4" t="n"/>
      <c r="AP1135" s="4" t="n"/>
      <c r="AQ1135" s="4" t="n"/>
      <c r="AR1135" s="5">
        <f>IF($AQ1135="","",HYPERLINK(p_ruta_base_checklists&amp;$AQ1135,"abrir"))</f>
        <v/>
      </c>
      <c r="AS1135" s="4" t="n"/>
      <c r="AT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2" t="n"/>
      <c r="K1136" s="5" t="n"/>
      <c r="L1136" s="18" t="n"/>
      <c r="M1136" s="5">
        <f>IF($A1136="","",IFERROR(INDEX('AJUSTES'!$B$4:$B$303,MATCH($AT1136,'AJUSTES'!$A$4:$A$303,0)),IF($K1136="","",$K1136)))</f>
        <v/>
      </c>
      <c r="N1136" s="5">
        <f>IF($A1136="","",IFERROR(INDEX('CAT_ESTADOS_ERP'!$B$4:$B$7,MATCH(IFERROR(INDEX('2_IMPORTAR_EJECUCION'!$C$9:$C$1208,MATCH($AT1136,'2_IMPORTAR_EJECUCION'!$J$9:$J$1208,0)),""),'CAT_ESTADOS_ERP'!$A$4:$A$7,0)),"Pendiente"))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IF($J1136="","",$P1136&amp;"-"&amp;TEXT($Q1136,"00"))</f>
        <v/>
      </c>
      <c r="S1136" s="5">
        <f>IF($J1136="","",INDEX(lista_dias,WEEKDAY($J1136,2)))</f>
        <v/>
      </c>
      <c r="T1136" s="5">
        <f>IF($J1136="","",IFERROR(INDEX('CALENDARIO'!$C$15:$C$214,MATCH(TEXT($J1136,"yyyy-mm-dd")&amp;"|"&amp;$X1136&amp;"|"&amp;$Y1136,'CALENDARIO'!$G$15:$G$214,0)),IFERROR(INDEX('CALENDARIO'!$C$15:$C$214,MATCH(TEXT($J1136,"yyyy-mm-dd")&amp;"|"&amp;$X1136&amp;"|",'CALENDARIO'!$G$15:$G$214,0)),IFERROR(INDEX('CALENDARIO'!$C$15:$C$214,MATCH(TEXT($J1136,"yyyy-mm-dd")&amp;"||",'CALENDARIO'!$G$15:$G$214,0)),INDEX(patronHabil,WEEKDAY($J1136,2))))))</f>
        <v/>
      </c>
      <c r="U1136" s="5">
        <f>IF($I1136="","",IFERROR(INDEX('CAT_TIPOS_OT'!$C$4:$C$8,MATCH($I1136,'CAT_TIPOS_OT'!$A$4:$A$8,0)),"sin_clasificar"))</f>
        <v/>
      </c>
      <c r="V1136" s="5">
        <f>IF($I1136="","",IF(IFERROR(INDEX('CAT_TIPOS_OT'!$D$4:$D$8,MATCH($I1136,'CAT_TIPOS_OT'!$A$4:$A$8,0)),"SIN CLASIFICAR")="","SIN CLASIFICAR",IFERROR(INDEX('CAT_TIPOS_OT'!$D$4:$D$8,MATCH($I1136,'CAT_TIPOS_OT'!$A$4:$A$8,0)),"SIN CLASIFICAR")))</f>
        <v/>
      </c>
      <c r="W1136" s="5">
        <f>IF($F1136="","",IFERROR(INDEX('CAT_CENTROS_COSTO'!$F$4:$F$13,MATCH($F1136,'CAT_CENTROS_COSTO'!$A$4:$A$13,0)),"(sin catálogo)"))</f>
        <v/>
      </c>
      <c r="X1136" s="5">
        <f>IF($F1136="","",IFERROR(INDEX('CAT_CENTROS_COSTO'!$D$4:$D$13,MATCH($F1136,'CAT_CENTROS_COSTO'!$A$4:$A$13,0)),"(sin catálogo)"))</f>
        <v/>
      </c>
      <c r="Y1136" s="5">
        <f>IF($F1136="","",IF((IFERROR(INDEX('CAT_CENTROS_COSTO'!$E$4:$E$13,MATCH($F1136,'CAT_CENTROS_COSTO'!$A$4:$A$13,0)),""))&lt;&gt;"",IFERROR(INDEX('CAT_CENTROS_COSTO'!$E$4:$E$13,MATCH($F1136,'CAT_CENTROS_COSTO'!$A$4:$A$13,0)),""),$X1136))</f>
        <v/>
      </c>
      <c r="Z1136" s="5">
        <f>IF($F1136="","",IFERROR(INDEX('CAT_CENTROS_COSTO'!$G$4:$G$13,MATCH($F1136,'CAT_CENTROS_COSTO'!$A$4:$A$13,0)),"(sin catálogo)"))</f>
        <v/>
      </c>
      <c r="AA1136" s="5">
        <f>IF($G1136="","",IFERROR(INDEX('CAT_PUESTOS'!$B$4:$B$8,MATCH($G1136,'CAT_PUESTOS'!$A$4:$A$8,0)),"(sin catálogo)"))</f>
        <v/>
      </c>
      <c r="AB1136" s="5">
        <f>IF($H1136="","",IFERROR(INDEX('CAT_ACTIVIDADES'!$B$4:$B$11,MATCH($H1136,'CAT_ACTIVIDADES'!$A$4:$A$11,0)),"(sin catálogo)"))</f>
        <v/>
      </c>
      <c r="AC1136" s="20">
        <f>IF($J1136="","",TODAY()-$J1136)</f>
        <v/>
      </c>
      <c r="AD1136" s="20">
        <f>IF($J1136="","",IF($J1136&lt;=TODAY(),COUNTIFS(cal_fechas,"&gt;="&amp;$J1136,cal_fechas,"&lt;"&amp;TODAY(),cal_habil,"sí"),-COUNTIFS(cal_fechas,"&gt;="&amp;TODAY(),cal_fechas,"&lt;"&amp;$J1136,cal_habil,"sí")))</f>
        <v/>
      </c>
      <c r="AE1136" s="5">
        <f>IF($AD1136="","",IF($AD1136&lt;0,"FUTURO",IF($AD1136&gt;p_dias_backlog_max,"BACKLOG","MES CORRIENTE")))</f>
        <v/>
      </c>
      <c r="AF1136" s="5">
        <f>IF($AD1136="",FALSE,AND($AD1136&gt;p_dias_backlog_min,$AD1136&lt;=p_dias_backlog_max))</f>
        <v/>
      </c>
      <c r="AG1136" s="4" t="n"/>
      <c r="AH1136" s="5">
        <f>IF($AG1136="","",IF((IFERROR(INDEX('ASIGNACIONES'!$J$4:$J$451,MATCH($O1136&amp;"|"&amp;$S1136&amp;"|"&amp;$AG1136,'ASIGNACIONES'!$N$4:$N$451,0)),""))=0,"",IFERROR(INDEX('ASIGNACIONES'!$J$4:$J$451,MATCH($O1136&amp;"|"&amp;$S1136&amp;"|"&amp;$AG1136,'ASIGNACIONES'!$N$4:$N$451,0)),"")))</f>
        <v/>
      </c>
      <c r="AI1136" s="25">
        <f>IF($AG1136="","",SUMIFS('ORDENES'!$M$4:$M$1203,'ORDENES'!$AG$4:$AG$1203,$AG1136,'ORDENES'!$O$4:$O$1203,$O1136,'ORDENES'!$S$4:$S$1203,$S1136))</f>
        <v/>
      </c>
      <c r="AJ1136" s="25">
        <f>IF($AI1136="","",p_factor_productividad*IFERROR(INDEX('ASIGNACIONES'!$M$4:$M$451,MATCH($O1136&amp;"|"&amp;$S1136&amp;"|"&amp;$AG1136,'ASIGNACIONES'!$N$4:$N$451,0)),0)-$AI1136)</f>
        <v/>
      </c>
      <c r="AK1136" s="18">
        <f>IF($A1136="","",IFERROR(INDEX('2_IMPORTAR_EJECUCION'!$F$9:$F$1208,MATCH($AT1136,'2_IMPORTAR_EJECUCION'!$J$9:$J$1208,0)),0))</f>
        <v/>
      </c>
      <c r="AL1136" s="18">
        <f>IF($A1136="","",MAX(0,IFERROR(INDEX('2_IMPORTAR_EJECUCION'!$H$9:$H$1208,MATCH($AT1136,'2_IMPORTAR_EJECUCION'!$J$9:$J$1208,0)),0)-$AK1136))</f>
        <v/>
      </c>
      <c r="AM1136" s="18">
        <f>IF($A1136="","",$AK1136+$AL1136)</f>
        <v/>
      </c>
      <c r="AN1136" s="5">
        <f>IF($A1136="","",IF(OR((IFERROR(INDEX('CAT_ACTIVIDADES'!$D$4:$D$11,MATCH($H1136,'CAT_ACTIVIDADES'!$A$4:$A$11,0)),""))=0,(IFERROR(INDEX('CAT_ACTIVIDADES'!$D$4:$D$11,MATCH($H1136,'CAT_ACTIVIDADES'!$A$4:$A$11,0)),""))=""),"SIN CLASIFICAR",IFERROR(INDEX('CAT_ACTIVIDADES'!$D$4:$D$11,MATCH($H1136,'CAT_ACTIVIDADES'!$A$4:$A$11,0)),"")))</f>
        <v/>
      </c>
      <c r="AO1136" s="4" t="n"/>
      <c r="AP1136" s="4" t="n"/>
      <c r="AQ1136" s="4" t="n"/>
      <c r="AR1136" s="5">
        <f>IF($AQ1136="","",HYPERLINK(p_ruta_base_checklists&amp;$AQ1136,"abrir"))</f>
        <v/>
      </c>
      <c r="AS1136" s="4" t="n"/>
      <c r="AT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2" t="n"/>
      <c r="K1137" s="5" t="n"/>
      <c r="L1137" s="18" t="n"/>
      <c r="M1137" s="5">
        <f>IF($A1137="","",IFERROR(INDEX('AJUSTES'!$B$4:$B$303,MATCH($AT1137,'AJUSTES'!$A$4:$A$303,0)),IF($K1137="","",$K1137)))</f>
        <v/>
      </c>
      <c r="N1137" s="5">
        <f>IF($A1137="","",IFERROR(INDEX('CAT_ESTADOS_ERP'!$B$4:$B$7,MATCH(IFERROR(INDEX('2_IMPORTAR_EJECUCION'!$C$9:$C$1208,MATCH($AT1137,'2_IMPORTAR_EJECUCION'!$J$9:$J$1208,0)),""),'CAT_ESTADOS_ERP'!$A$4:$A$7,0)),"Pendiente"))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IF($J1137="","",$P1137&amp;"-"&amp;TEXT($Q1137,"00"))</f>
        <v/>
      </c>
      <c r="S1137" s="5">
        <f>IF($J1137="","",INDEX(lista_dias,WEEKDAY($J1137,2)))</f>
        <v/>
      </c>
      <c r="T1137" s="5">
        <f>IF($J1137="","",IFERROR(INDEX('CALENDARIO'!$C$15:$C$214,MATCH(TEXT($J1137,"yyyy-mm-dd")&amp;"|"&amp;$X1137&amp;"|"&amp;$Y1137,'CALENDARIO'!$G$15:$G$214,0)),IFERROR(INDEX('CALENDARIO'!$C$15:$C$214,MATCH(TEXT($J1137,"yyyy-mm-dd")&amp;"|"&amp;$X1137&amp;"|",'CALENDARIO'!$G$15:$G$214,0)),IFERROR(INDEX('CALENDARIO'!$C$15:$C$214,MATCH(TEXT($J1137,"yyyy-mm-dd")&amp;"||",'CALENDARIO'!$G$15:$G$214,0)),INDEX(patronHabil,WEEKDAY($J1137,2))))))</f>
        <v/>
      </c>
      <c r="U1137" s="5">
        <f>IF($I1137="","",IFERROR(INDEX('CAT_TIPOS_OT'!$C$4:$C$8,MATCH($I1137,'CAT_TIPOS_OT'!$A$4:$A$8,0)),"sin_clasificar"))</f>
        <v/>
      </c>
      <c r="V1137" s="5">
        <f>IF($I1137="","",IF(IFERROR(INDEX('CAT_TIPOS_OT'!$D$4:$D$8,MATCH($I1137,'CAT_TIPOS_OT'!$A$4:$A$8,0)),"SIN CLASIFICAR")="","SIN CLASIFICAR",IFERROR(INDEX('CAT_TIPOS_OT'!$D$4:$D$8,MATCH($I1137,'CAT_TIPOS_OT'!$A$4:$A$8,0)),"SIN CLASIFICAR")))</f>
        <v/>
      </c>
      <c r="W1137" s="5">
        <f>IF($F1137="","",IFERROR(INDEX('CAT_CENTROS_COSTO'!$F$4:$F$13,MATCH($F1137,'CAT_CENTROS_COSTO'!$A$4:$A$13,0)),"(sin catálogo)"))</f>
        <v/>
      </c>
      <c r="X1137" s="5">
        <f>IF($F1137="","",IFERROR(INDEX('CAT_CENTROS_COSTO'!$D$4:$D$13,MATCH($F1137,'CAT_CENTROS_COSTO'!$A$4:$A$13,0)),"(sin catálogo)"))</f>
        <v/>
      </c>
      <c r="Y1137" s="5">
        <f>IF($F1137="","",IF((IFERROR(INDEX('CAT_CENTROS_COSTO'!$E$4:$E$13,MATCH($F1137,'CAT_CENTROS_COSTO'!$A$4:$A$13,0)),""))&lt;&gt;"",IFERROR(INDEX('CAT_CENTROS_COSTO'!$E$4:$E$13,MATCH($F1137,'CAT_CENTROS_COSTO'!$A$4:$A$13,0)),""),$X1137))</f>
        <v/>
      </c>
      <c r="Z1137" s="5">
        <f>IF($F1137="","",IFERROR(INDEX('CAT_CENTROS_COSTO'!$G$4:$G$13,MATCH($F1137,'CAT_CENTROS_COSTO'!$A$4:$A$13,0)),"(sin catálogo)"))</f>
        <v/>
      </c>
      <c r="AA1137" s="5">
        <f>IF($G1137="","",IFERROR(INDEX('CAT_PUESTOS'!$B$4:$B$8,MATCH($G1137,'CAT_PUESTOS'!$A$4:$A$8,0)),"(sin catálogo)"))</f>
        <v/>
      </c>
      <c r="AB1137" s="5">
        <f>IF($H1137="","",IFERROR(INDEX('CAT_ACTIVIDADES'!$B$4:$B$11,MATCH($H1137,'CAT_ACTIVIDADES'!$A$4:$A$11,0)),"(sin catálogo)"))</f>
        <v/>
      </c>
      <c r="AC1137" s="20">
        <f>IF($J1137="","",TODAY()-$J1137)</f>
        <v/>
      </c>
      <c r="AD1137" s="20">
        <f>IF($J1137="","",IF($J1137&lt;=TODAY(),COUNTIFS(cal_fechas,"&gt;="&amp;$J1137,cal_fechas,"&lt;"&amp;TODAY(),cal_habil,"sí"),-COUNTIFS(cal_fechas,"&gt;="&amp;TODAY(),cal_fechas,"&lt;"&amp;$J1137,cal_habil,"sí")))</f>
        <v/>
      </c>
      <c r="AE1137" s="5">
        <f>IF($AD1137="","",IF($AD1137&lt;0,"FUTURO",IF($AD1137&gt;p_dias_backlog_max,"BACKLOG","MES CORRIENTE")))</f>
        <v/>
      </c>
      <c r="AF1137" s="5">
        <f>IF($AD1137="",FALSE,AND($AD1137&gt;p_dias_backlog_min,$AD1137&lt;=p_dias_backlog_max))</f>
        <v/>
      </c>
      <c r="AG1137" s="4" t="n"/>
      <c r="AH1137" s="5">
        <f>IF($AG1137="","",IF((IFERROR(INDEX('ASIGNACIONES'!$J$4:$J$451,MATCH($O1137&amp;"|"&amp;$S1137&amp;"|"&amp;$AG1137,'ASIGNACIONES'!$N$4:$N$451,0)),""))=0,"",IFERROR(INDEX('ASIGNACIONES'!$J$4:$J$451,MATCH($O1137&amp;"|"&amp;$S1137&amp;"|"&amp;$AG1137,'ASIGNACIONES'!$N$4:$N$451,0)),"")))</f>
        <v/>
      </c>
      <c r="AI1137" s="25">
        <f>IF($AG1137="","",SUMIFS('ORDENES'!$M$4:$M$1203,'ORDENES'!$AG$4:$AG$1203,$AG1137,'ORDENES'!$O$4:$O$1203,$O1137,'ORDENES'!$S$4:$S$1203,$S1137))</f>
        <v/>
      </c>
      <c r="AJ1137" s="25">
        <f>IF($AI1137="","",p_factor_productividad*IFERROR(INDEX('ASIGNACIONES'!$M$4:$M$451,MATCH($O1137&amp;"|"&amp;$S1137&amp;"|"&amp;$AG1137,'ASIGNACIONES'!$N$4:$N$451,0)),0)-$AI1137)</f>
        <v/>
      </c>
      <c r="AK1137" s="18">
        <f>IF($A1137="","",IFERROR(INDEX('2_IMPORTAR_EJECUCION'!$F$9:$F$1208,MATCH($AT1137,'2_IMPORTAR_EJECUCION'!$J$9:$J$1208,0)),0))</f>
        <v/>
      </c>
      <c r="AL1137" s="18">
        <f>IF($A1137="","",MAX(0,IFERROR(INDEX('2_IMPORTAR_EJECUCION'!$H$9:$H$1208,MATCH($AT1137,'2_IMPORTAR_EJECUCION'!$J$9:$J$1208,0)),0)-$AK1137))</f>
        <v/>
      </c>
      <c r="AM1137" s="18">
        <f>IF($A1137="","",$AK1137+$AL1137)</f>
        <v/>
      </c>
      <c r="AN1137" s="5">
        <f>IF($A1137="","",IF(OR((IFERROR(INDEX('CAT_ACTIVIDADES'!$D$4:$D$11,MATCH($H1137,'CAT_ACTIVIDADES'!$A$4:$A$11,0)),""))=0,(IFERROR(INDEX('CAT_ACTIVIDADES'!$D$4:$D$11,MATCH($H1137,'CAT_ACTIVIDADES'!$A$4:$A$11,0)),""))=""),"SIN CLASIFICAR",IFERROR(INDEX('CAT_ACTIVIDADES'!$D$4:$D$11,MATCH($H1137,'CAT_ACTIVIDADES'!$A$4:$A$11,0)),"")))</f>
        <v/>
      </c>
      <c r="AO1137" s="4" t="n"/>
      <c r="AP1137" s="4" t="n"/>
      <c r="AQ1137" s="4" t="n"/>
      <c r="AR1137" s="5">
        <f>IF($AQ1137="","",HYPERLINK(p_ruta_base_checklists&amp;$AQ1137,"abrir"))</f>
        <v/>
      </c>
      <c r="AS1137" s="4" t="n"/>
      <c r="AT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2" t="n"/>
      <c r="K1138" s="5" t="n"/>
      <c r="L1138" s="18" t="n"/>
      <c r="M1138" s="5">
        <f>IF($A1138="","",IFERROR(INDEX('AJUSTES'!$B$4:$B$303,MATCH($AT1138,'AJUSTES'!$A$4:$A$303,0)),IF($K1138="","",$K1138)))</f>
        <v/>
      </c>
      <c r="N1138" s="5">
        <f>IF($A1138="","",IFERROR(INDEX('CAT_ESTADOS_ERP'!$B$4:$B$7,MATCH(IFERROR(INDEX('2_IMPORTAR_EJECUCION'!$C$9:$C$1208,MATCH($AT1138,'2_IMPORTAR_EJECUCION'!$J$9:$J$1208,0)),""),'CAT_ESTADOS_ERP'!$A$4:$A$7,0)),"Pendiente"))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IF($J1138="","",$P1138&amp;"-"&amp;TEXT($Q1138,"00"))</f>
        <v/>
      </c>
      <c r="S1138" s="5">
        <f>IF($J1138="","",INDEX(lista_dias,WEEKDAY($J1138,2)))</f>
        <v/>
      </c>
      <c r="T1138" s="5">
        <f>IF($J1138="","",IFERROR(INDEX('CALENDARIO'!$C$15:$C$214,MATCH(TEXT($J1138,"yyyy-mm-dd")&amp;"|"&amp;$X1138&amp;"|"&amp;$Y1138,'CALENDARIO'!$G$15:$G$214,0)),IFERROR(INDEX('CALENDARIO'!$C$15:$C$214,MATCH(TEXT($J1138,"yyyy-mm-dd")&amp;"|"&amp;$X1138&amp;"|",'CALENDARIO'!$G$15:$G$214,0)),IFERROR(INDEX('CALENDARIO'!$C$15:$C$214,MATCH(TEXT($J1138,"yyyy-mm-dd")&amp;"||",'CALENDARIO'!$G$15:$G$214,0)),INDEX(patronHabil,WEEKDAY($J1138,2))))))</f>
        <v/>
      </c>
      <c r="U1138" s="5">
        <f>IF($I1138="","",IFERROR(INDEX('CAT_TIPOS_OT'!$C$4:$C$8,MATCH($I1138,'CAT_TIPOS_OT'!$A$4:$A$8,0)),"sin_clasificar"))</f>
        <v/>
      </c>
      <c r="V1138" s="5">
        <f>IF($I1138="","",IF(IFERROR(INDEX('CAT_TIPOS_OT'!$D$4:$D$8,MATCH($I1138,'CAT_TIPOS_OT'!$A$4:$A$8,0)),"SIN CLASIFICAR")="","SIN CLASIFICAR",IFERROR(INDEX('CAT_TIPOS_OT'!$D$4:$D$8,MATCH($I1138,'CAT_TIPOS_OT'!$A$4:$A$8,0)),"SIN CLASIFICAR")))</f>
        <v/>
      </c>
      <c r="W1138" s="5">
        <f>IF($F1138="","",IFERROR(INDEX('CAT_CENTROS_COSTO'!$F$4:$F$13,MATCH($F1138,'CAT_CENTROS_COSTO'!$A$4:$A$13,0)),"(sin catálogo)"))</f>
        <v/>
      </c>
      <c r="X1138" s="5">
        <f>IF($F1138="","",IFERROR(INDEX('CAT_CENTROS_COSTO'!$D$4:$D$13,MATCH($F1138,'CAT_CENTROS_COSTO'!$A$4:$A$13,0)),"(sin catálogo)"))</f>
        <v/>
      </c>
      <c r="Y1138" s="5">
        <f>IF($F1138="","",IF((IFERROR(INDEX('CAT_CENTROS_COSTO'!$E$4:$E$13,MATCH($F1138,'CAT_CENTROS_COSTO'!$A$4:$A$13,0)),""))&lt;&gt;"",IFERROR(INDEX('CAT_CENTROS_COSTO'!$E$4:$E$13,MATCH($F1138,'CAT_CENTROS_COSTO'!$A$4:$A$13,0)),""),$X1138))</f>
        <v/>
      </c>
      <c r="Z1138" s="5">
        <f>IF($F1138="","",IFERROR(INDEX('CAT_CENTROS_COSTO'!$G$4:$G$13,MATCH($F1138,'CAT_CENTROS_COSTO'!$A$4:$A$13,0)),"(sin catálogo)"))</f>
        <v/>
      </c>
      <c r="AA1138" s="5">
        <f>IF($G1138="","",IFERROR(INDEX('CAT_PUESTOS'!$B$4:$B$8,MATCH($G1138,'CAT_PUESTOS'!$A$4:$A$8,0)),"(sin catálogo)"))</f>
        <v/>
      </c>
      <c r="AB1138" s="5">
        <f>IF($H1138="","",IFERROR(INDEX('CAT_ACTIVIDADES'!$B$4:$B$11,MATCH($H1138,'CAT_ACTIVIDADES'!$A$4:$A$11,0)),"(sin catálogo)"))</f>
        <v/>
      </c>
      <c r="AC1138" s="20">
        <f>IF($J1138="","",TODAY()-$J1138)</f>
        <v/>
      </c>
      <c r="AD1138" s="20">
        <f>IF($J1138="","",IF($J1138&lt;=TODAY(),COUNTIFS(cal_fechas,"&gt;="&amp;$J1138,cal_fechas,"&lt;"&amp;TODAY(),cal_habil,"sí"),-COUNTIFS(cal_fechas,"&gt;="&amp;TODAY(),cal_fechas,"&lt;"&amp;$J1138,cal_habil,"sí")))</f>
        <v/>
      </c>
      <c r="AE1138" s="5">
        <f>IF($AD1138="","",IF($AD1138&lt;0,"FUTURO",IF($AD1138&gt;p_dias_backlog_max,"BACKLOG","MES CORRIENTE")))</f>
        <v/>
      </c>
      <c r="AF1138" s="5">
        <f>IF($AD1138="",FALSE,AND($AD1138&gt;p_dias_backlog_min,$AD1138&lt;=p_dias_backlog_max))</f>
        <v/>
      </c>
      <c r="AG1138" s="4" t="n"/>
      <c r="AH1138" s="5">
        <f>IF($AG1138="","",IF((IFERROR(INDEX('ASIGNACIONES'!$J$4:$J$451,MATCH($O1138&amp;"|"&amp;$S1138&amp;"|"&amp;$AG1138,'ASIGNACIONES'!$N$4:$N$451,0)),""))=0,"",IFERROR(INDEX('ASIGNACIONES'!$J$4:$J$451,MATCH($O1138&amp;"|"&amp;$S1138&amp;"|"&amp;$AG1138,'ASIGNACIONES'!$N$4:$N$451,0)),"")))</f>
        <v/>
      </c>
      <c r="AI1138" s="25">
        <f>IF($AG1138="","",SUMIFS('ORDENES'!$M$4:$M$1203,'ORDENES'!$AG$4:$AG$1203,$AG1138,'ORDENES'!$O$4:$O$1203,$O1138,'ORDENES'!$S$4:$S$1203,$S1138))</f>
        <v/>
      </c>
      <c r="AJ1138" s="25">
        <f>IF($AI1138="","",p_factor_productividad*IFERROR(INDEX('ASIGNACIONES'!$M$4:$M$451,MATCH($O1138&amp;"|"&amp;$S1138&amp;"|"&amp;$AG1138,'ASIGNACIONES'!$N$4:$N$451,0)),0)-$AI1138)</f>
        <v/>
      </c>
      <c r="AK1138" s="18">
        <f>IF($A1138="","",IFERROR(INDEX('2_IMPORTAR_EJECUCION'!$F$9:$F$1208,MATCH($AT1138,'2_IMPORTAR_EJECUCION'!$J$9:$J$1208,0)),0))</f>
        <v/>
      </c>
      <c r="AL1138" s="18">
        <f>IF($A1138="","",MAX(0,IFERROR(INDEX('2_IMPORTAR_EJECUCION'!$H$9:$H$1208,MATCH($AT1138,'2_IMPORTAR_EJECUCION'!$J$9:$J$1208,0)),0)-$AK1138))</f>
        <v/>
      </c>
      <c r="AM1138" s="18">
        <f>IF($A1138="","",$AK1138+$AL1138)</f>
        <v/>
      </c>
      <c r="AN1138" s="5">
        <f>IF($A1138="","",IF(OR((IFERROR(INDEX('CAT_ACTIVIDADES'!$D$4:$D$11,MATCH($H1138,'CAT_ACTIVIDADES'!$A$4:$A$11,0)),""))=0,(IFERROR(INDEX('CAT_ACTIVIDADES'!$D$4:$D$11,MATCH($H1138,'CAT_ACTIVIDADES'!$A$4:$A$11,0)),""))=""),"SIN CLASIFICAR",IFERROR(INDEX('CAT_ACTIVIDADES'!$D$4:$D$11,MATCH($H1138,'CAT_ACTIVIDADES'!$A$4:$A$11,0)),"")))</f>
        <v/>
      </c>
      <c r="AO1138" s="4" t="n"/>
      <c r="AP1138" s="4" t="n"/>
      <c r="AQ1138" s="4" t="n"/>
      <c r="AR1138" s="5">
        <f>IF($AQ1138="","",HYPERLINK(p_ruta_base_checklists&amp;$AQ1138,"abrir"))</f>
        <v/>
      </c>
      <c r="AS1138" s="4" t="n"/>
      <c r="AT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2" t="n"/>
      <c r="K1139" s="5" t="n"/>
      <c r="L1139" s="18" t="n"/>
      <c r="M1139" s="5">
        <f>IF($A1139="","",IFERROR(INDEX('AJUSTES'!$B$4:$B$303,MATCH($AT1139,'AJUSTES'!$A$4:$A$303,0)),IF($K1139="","",$K1139)))</f>
        <v/>
      </c>
      <c r="N1139" s="5">
        <f>IF($A1139="","",IFERROR(INDEX('CAT_ESTADOS_ERP'!$B$4:$B$7,MATCH(IFERROR(INDEX('2_IMPORTAR_EJECUCION'!$C$9:$C$1208,MATCH($AT1139,'2_IMPORTAR_EJECUCION'!$J$9:$J$1208,0)),""),'CAT_ESTADOS_ERP'!$A$4:$A$7,0)),"Pendiente"))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IF($J1139="","",$P1139&amp;"-"&amp;TEXT($Q1139,"00"))</f>
        <v/>
      </c>
      <c r="S1139" s="5">
        <f>IF($J1139="","",INDEX(lista_dias,WEEKDAY($J1139,2)))</f>
        <v/>
      </c>
      <c r="T1139" s="5">
        <f>IF($J1139="","",IFERROR(INDEX('CALENDARIO'!$C$15:$C$214,MATCH(TEXT($J1139,"yyyy-mm-dd")&amp;"|"&amp;$X1139&amp;"|"&amp;$Y1139,'CALENDARIO'!$G$15:$G$214,0)),IFERROR(INDEX('CALENDARIO'!$C$15:$C$214,MATCH(TEXT($J1139,"yyyy-mm-dd")&amp;"|"&amp;$X1139&amp;"|",'CALENDARIO'!$G$15:$G$214,0)),IFERROR(INDEX('CALENDARIO'!$C$15:$C$214,MATCH(TEXT($J1139,"yyyy-mm-dd")&amp;"||",'CALENDARIO'!$G$15:$G$214,0)),INDEX(patronHabil,WEEKDAY($J1139,2))))))</f>
        <v/>
      </c>
      <c r="U1139" s="5">
        <f>IF($I1139="","",IFERROR(INDEX('CAT_TIPOS_OT'!$C$4:$C$8,MATCH($I1139,'CAT_TIPOS_OT'!$A$4:$A$8,0)),"sin_clasificar"))</f>
        <v/>
      </c>
      <c r="V1139" s="5">
        <f>IF($I1139="","",IF(IFERROR(INDEX('CAT_TIPOS_OT'!$D$4:$D$8,MATCH($I1139,'CAT_TIPOS_OT'!$A$4:$A$8,0)),"SIN CLASIFICAR")="","SIN CLASIFICAR",IFERROR(INDEX('CAT_TIPOS_OT'!$D$4:$D$8,MATCH($I1139,'CAT_TIPOS_OT'!$A$4:$A$8,0)),"SIN CLASIFICAR")))</f>
        <v/>
      </c>
      <c r="W1139" s="5">
        <f>IF($F1139="","",IFERROR(INDEX('CAT_CENTROS_COSTO'!$F$4:$F$13,MATCH($F1139,'CAT_CENTROS_COSTO'!$A$4:$A$13,0)),"(sin catálogo)"))</f>
        <v/>
      </c>
      <c r="X1139" s="5">
        <f>IF($F1139="","",IFERROR(INDEX('CAT_CENTROS_COSTO'!$D$4:$D$13,MATCH($F1139,'CAT_CENTROS_COSTO'!$A$4:$A$13,0)),"(sin catálogo)"))</f>
        <v/>
      </c>
      <c r="Y1139" s="5">
        <f>IF($F1139="","",IF((IFERROR(INDEX('CAT_CENTROS_COSTO'!$E$4:$E$13,MATCH($F1139,'CAT_CENTROS_COSTO'!$A$4:$A$13,0)),""))&lt;&gt;"",IFERROR(INDEX('CAT_CENTROS_COSTO'!$E$4:$E$13,MATCH($F1139,'CAT_CENTROS_COSTO'!$A$4:$A$13,0)),""),$X1139))</f>
        <v/>
      </c>
      <c r="Z1139" s="5">
        <f>IF($F1139="","",IFERROR(INDEX('CAT_CENTROS_COSTO'!$G$4:$G$13,MATCH($F1139,'CAT_CENTROS_COSTO'!$A$4:$A$13,0)),"(sin catálogo)"))</f>
        <v/>
      </c>
      <c r="AA1139" s="5">
        <f>IF($G1139="","",IFERROR(INDEX('CAT_PUESTOS'!$B$4:$B$8,MATCH($G1139,'CAT_PUESTOS'!$A$4:$A$8,0)),"(sin catálogo)"))</f>
        <v/>
      </c>
      <c r="AB1139" s="5">
        <f>IF($H1139="","",IFERROR(INDEX('CAT_ACTIVIDADES'!$B$4:$B$11,MATCH($H1139,'CAT_ACTIVIDADES'!$A$4:$A$11,0)),"(sin catálogo)"))</f>
        <v/>
      </c>
      <c r="AC1139" s="20">
        <f>IF($J1139="","",TODAY()-$J1139)</f>
        <v/>
      </c>
      <c r="AD1139" s="20">
        <f>IF($J1139="","",IF($J1139&lt;=TODAY(),COUNTIFS(cal_fechas,"&gt;="&amp;$J1139,cal_fechas,"&lt;"&amp;TODAY(),cal_habil,"sí"),-COUNTIFS(cal_fechas,"&gt;="&amp;TODAY(),cal_fechas,"&lt;"&amp;$J1139,cal_habil,"sí")))</f>
        <v/>
      </c>
      <c r="AE1139" s="5">
        <f>IF($AD1139="","",IF($AD1139&lt;0,"FUTURO",IF($AD1139&gt;p_dias_backlog_max,"BACKLOG","MES CORRIENTE")))</f>
        <v/>
      </c>
      <c r="AF1139" s="5">
        <f>IF($AD1139="",FALSE,AND($AD1139&gt;p_dias_backlog_min,$AD1139&lt;=p_dias_backlog_max))</f>
        <v/>
      </c>
      <c r="AG1139" s="4" t="n"/>
      <c r="AH1139" s="5">
        <f>IF($AG1139="","",IF((IFERROR(INDEX('ASIGNACIONES'!$J$4:$J$451,MATCH($O1139&amp;"|"&amp;$S1139&amp;"|"&amp;$AG1139,'ASIGNACIONES'!$N$4:$N$451,0)),""))=0,"",IFERROR(INDEX('ASIGNACIONES'!$J$4:$J$451,MATCH($O1139&amp;"|"&amp;$S1139&amp;"|"&amp;$AG1139,'ASIGNACIONES'!$N$4:$N$451,0)),"")))</f>
        <v/>
      </c>
      <c r="AI1139" s="25">
        <f>IF($AG1139="","",SUMIFS('ORDENES'!$M$4:$M$1203,'ORDENES'!$AG$4:$AG$1203,$AG1139,'ORDENES'!$O$4:$O$1203,$O1139,'ORDENES'!$S$4:$S$1203,$S1139))</f>
        <v/>
      </c>
      <c r="AJ1139" s="25">
        <f>IF($AI1139="","",p_factor_productividad*IFERROR(INDEX('ASIGNACIONES'!$M$4:$M$451,MATCH($O1139&amp;"|"&amp;$S1139&amp;"|"&amp;$AG1139,'ASIGNACIONES'!$N$4:$N$451,0)),0)-$AI1139)</f>
        <v/>
      </c>
      <c r="AK1139" s="18">
        <f>IF($A1139="","",IFERROR(INDEX('2_IMPORTAR_EJECUCION'!$F$9:$F$1208,MATCH($AT1139,'2_IMPORTAR_EJECUCION'!$J$9:$J$1208,0)),0))</f>
        <v/>
      </c>
      <c r="AL1139" s="18">
        <f>IF($A1139="","",MAX(0,IFERROR(INDEX('2_IMPORTAR_EJECUCION'!$H$9:$H$1208,MATCH($AT1139,'2_IMPORTAR_EJECUCION'!$J$9:$J$1208,0)),0)-$AK1139))</f>
        <v/>
      </c>
      <c r="AM1139" s="18">
        <f>IF($A1139="","",$AK1139+$AL1139)</f>
        <v/>
      </c>
      <c r="AN1139" s="5">
        <f>IF($A1139="","",IF(OR((IFERROR(INDEX('CAT_ACTIVIDADES'!$D$4:$D$11,MATCH($H1139,'CAT_ACTIVIDADES'!$A$4:$A$11,0)),""))=0,(IFERROR(INDEX('CAT_ACTIVIDADES'!$D$4:$D$11,MATCH($H1139,'CAT_ACTIVIDADES'!$A$4:$A$11,0)),""))=""),"SIN CLASIFICAR",IFERROR(INDEX('CAT_ACTIVIDADES'!$D$4:$D$11,MATCH($H1139,'CAT_ACTIVIDADES'!$A$4:$A$11,0)),"")))</f>
        <v/>
      </c>
      <c r="AO1139" s="4" t="n"/>
      <c r="AP1139" s="4" t="n"/>
      <c r="AQ1139" s="4" t="n"/>
      <c r="AR1139" s="5">
        <f>IF($AQ1139="","",HYPERLINK(p_ruta_base_checklists&amp;$AQ1139,"abrir"))</f>
        <v/>
      </c>
      <c r="AS1139" s="4" t="n"/>
      <c r="AT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2" t="n"/>
      <c r="K1140" s="5" t="n"/>
      <c r="L1140" s="18" t="n"/>
      <c r="M1140" s="5">
        <f>IF($A1140="","",IFERROR(INDEX('AJUSTES'!$B$4:$B$303,MATCH($AT1140,'AJUSTES'!$A$4:$A$303,0)),IF($K1140="","",$K1140)))</f>
        <v/>
      </c>
      <c r="N1140" s="5">
        <f>IF($A1140="","",IFERROR(INDEX('CAT_ESTADOS_ERP'!$B$4:$B$7,MATCH(IFERROR(INDEX('2_IMPORTAR_EJECUCION'!$C$9:$C$1208,MATCH($AT1140,'2_IMPORTAR_EJECUCION'!$J$9:$J$1208,0)),""),'CAT_ESTADOS_ERP'!$A$4:$A$7,0)),"Pendiente"))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IF($J1140="","",$P1140&amp;"-"&amp;TEXT($Q1140,"00"))</f>
        <v/>
      </c>
      <c r="S1140" s="5">
        <f>IF($J1140="","",INDEX(lista_dias,WEEKDAY($J1140,2)))</f>
        <v/>
      </c>
      <c r="T1140" s="5">
        <f>IF($J1140="","",IFERROR(INDEX('CALENDARIO'!$C$15:$C$214,MATCH(TEXT($J1140,"yyyy-mm-dd")&amp;"|"&amp;$X1140&amp;"|"&amp;$Y1140,'CALENDARIO'!$G$15:$G$214,0)),IFERROR(INDEX('CALENDARIO'!$C$15:$C$214,MATCH(TEXT($J1140,"yyyy-mm-dd")&amp;"|"&amp;$X1140&amp;"|",'CALENDARIO'!$G$15:$G$214,0)),IFERROR(INDEX('CALENDARIO'!$C$15:$C$214,MATCH(TEXT($J1140,"yyyy-mm-dd")&amp;"||",'CALENDARIO'!$G$15:$G$214,0)),INDEX(patronHabil,WEEKDAY($J1140,2))))))</f>
        <v/>
      </c>
      <c r="U1140" s="5">
        <f>IF($I1140="","",IFERROR(INDEX('CAT_TIPOS_OT'!$C$4:$C$8,MATCH($I1140,'CAT_TIPOS_OT'!$A$4:$A$8,0)),"sin_clasificar"))</f>
        <v/>
      </c>
      <c r="V1140" s="5">
        <f>IF($I1140="","",IF(IFERROR(INDEX('CAT_TIPOS_OT'!$D$4:$D$8,MATCH($I1140,'CAT_TIPOS_OT'!$A$4:$A$8,0)),"SIN CLASIFICAR")="","SIN CLASIFICAR",IFERROR(INDEX('CAT_TIPOS_OT'!$D$4:$D$8,MATCH($I1140,'CAT_TIPOS_OT'!$A$4:$A$8,0)),"SIN CLASIFICAR")))</f>
        <v/>
      </c>
      <c r="W1140" s="5">
        <f>IF($F1140="","",IFERROR(INDEX('CAT_CENTROS_COSTO'!$F$4:$F$13,MATCH($F1140,'CAT_CENTROS_COSTO'!$A$4:$A$13,0)),"(sin catálogo)"))</f>
        <v/>
      </c>
      <c r="X1140" s="5">
        <f>IF($F1140="","",IFERROR(INDEX('CAT_CENTROS_COSTO'!$D$4:$D$13,MATCH($F1140,'CAT_CENTROS_COSTO'!$A$4:$A$13,0)),"(sin catálogo)"))</f>
        <v/>
      </c>
      <c r="Y1140" s="5">
        <f>IF($F1140="","",IF((IFERROR(INDEX('CAT_CENTROS_COSTO'!$E$4:$E$13,MATCH($F1140,'CAT_CENTROS_COSTO'!$A$4:$A$13,0)),""))&lt;&gt;"",IFERROR(INDEX('CAT_CENTROS_COSTO'!$E$4:$E$13,MATCH($F1140,'CAT_CENTROS_COSTO'!$A$4:$A$13,0)),""),$X1140))</f>
        <v/>
      </c>
      <c r="Z1140" s="5">
        <f>IF($F1140="","",IFERROR(INDEX('CAT_CENTROS_COSTO'!$G$4:$G$13,MATCH($F1140,'CAT_CENTROS_COSTO'!$A$4:$A$13,0)),"(sin catálogo)"))</f>
        <v/>
      </c>
      <c r="AA1140" s="5">
        <f>IF($G1140="","",IFERROR(INDEX('CAT_PUESTOS'!$B$4:$B$8,MATCH($G1140,'CAT_PUESTOS'!$A$4:$A$8,0)),"(sin catálogo)"))</f>
        <v/>
      </c>
      <c r="AB1140" s="5">
        <f>IF($H1140="","",IFERROR(INDEX('CAT_ACTIVIDADES'!$B$4:$B$11,MATCH($H1140,'CAT_ACTIVIDADES'!$A$4:$A$11,0)),"(sin catálogo)"))</f>
        <v/>
      </c>
      <c r="AC1140" s="20">
        <f>IF($J1140="","",TODAY()-$J1140)</f>
        <v/>
      </c>
      <c r="AD1140" s="20">
        <f>IF($J1140="","",IF($J1140&lt;=TODAY(),COUNTIFS(cal_fechas,"&gt;="&amp;$J1140,cal_fechas,"&lt;"&amp;TODAY(),cal_habil,"sí"),-COUNTIFS(cal_fechas,"&gt;="&amp;TODAY(),cal_fechas,"&lt;"&amp;$J1140,cal_habil,"sí")))</f>
        <v/>
      </c>
      <c r="AE1140" s="5">
        <f>IF($AD1140="","",IF($AD1140&lt;0,"FUTURO",IF($AD1140&gt;p_dias_backlog_max,"BACKLOG","MES CORRIENTE")))</f>
        <v/>
      </c>
      <c r="AF1140" s="5">
        <f>IF($AD1140="",FALSE,AND($AD1140&gt;p_dias_backlog_min,$AD1140&lt;=p_dias_backlog_max))</f>
        <v/>
      </c>
      <c r="AG1140" s="4" t="n"/>
      <c r="AH1140" s="5">
        <f>IF($AG1140="","",IF((IFERROR(INDEX('ASIGNACIONES'!$J$4:$J$451,MATCH($O1140&amp;"|"&amp;$S1140&amp;"|"&amp;$AG1140,'ASIGNACIONES'!$N$4:$N$451,0)),""))=0,"",IFERROR(INDEX('ASIGNACIONES'!$J$4:$J$451,MATCH($O1140&amp;"|"&amp;$S1140&amp;"|"&amp;$AG1140,'ASIGNACIONES'!$N$4:$N$451,0)),"")))</f>
        <v/>
      </c>
      <c r="AI1140" s="25">
        <f>IF($AG1140="","",SUMIFS('ORDENES'!$M$4:$M$1203,'ORDENES'!$AG$4:$AG$1203,$AG1140,'ORDENES'!$O$4:$O$1203,$O1140,'ORDENES'!$S$4:$S$1203,$S1140))</f>
        <v/>
      </c>
      <c r="AJ1140" s="25">
        <f>IF($AI1140="","",p_factor_productividad*IFERROR(INDEX('ASIGNACIONES'!$M$4:$M$451,MATCH($O1140&amp;"|"&amp;$S1140&amp;"|"&amp;$AG1140,'ASIGNACIONES'!$N$4:$N$451,0)),0)-$AI1140)</f>
        <v/>
      </c>
      <c r="AK1140" s="18">
        <f>IF($A1140="","",IFERROR(INDEX('2_IMPORTAR_EJECUCION'!$F$9:$F$1208,MATCH($AT1140,'2_IMPORTAR_EJECUCION'!$J$9:$J$1208,0)),0))</f>
        <v/>
      </c>
      <c r="AL1140" s="18">
        <f>IF($A1140="","",MAX(0,IFERROR(INDEX('2_IMPORTAR_EJECUCION'!$H$9:$H$1208,MATCH($AT1140,'2_IMPORTAR_EJECUCION'!$J$9:$J$1208,0)),0)-$AK1140))</f>
        <v/>
      </c>
      <c r="AM1140" s="18">
        <f>IF($A1140="","",$AK1140+$AL1140)</f>
        <v/>
      </c>
      <c r="AN1140" s="5">
        <f>IF($A1140="","",IF(OR((IFERROR(INDEX('CAT_ACTIVIDADES'!$D$4:$D$11,MATCH($H1140,'CAT_ACTIVIDADES'!$A$4:$A$11,0)),""))=0,(IFERROR(INDEX('CAT_ACTIVIDADES'!$D$4:$D$11,MATCH($H1140,'CAT_ACTIVIDADES'!$A$4:$A$11,0)),""))=""),"SIN CLASIFICAR",IFERROR(INDEX('CAT_ACTIVIDADES'!$D$4:$D$11,MATCH($H1140,'CAT_ACTIVIDADES'!$A$4:$A$11,0)),"")))</f>
        <v/>
      </c>
      <c r="AO1140" s="4" t="n"/>
      <c r="AP1140" s="4" t="n"/>
      <c r="AQ1140" s="4" t="n"/>
      <c r="AR1140" s="5">
        <f>IF($AQ1140="","",HYPERLINK(p_ruta_base_checklists&amp;$AQ1140,"abrir"))</f>
        <v/>
      </c>
      <c r="AS1140" s="4" t="n"/>
      <c r="AT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2" t="n"/>
      <c r="K1141" s="5" t="n"/>
      <c r="L1141" s="18" t="n"/>
      <c r="M1141" s="5">
        <f>IF($A1141="","",IFERROR(INDEX('AJUSTES'!$B$4:$B$303,MATCH($AT1141,'AJUSTES'!$A$4:$A$303,0)),IF($K1141="","",$K1141)))</f>
        <v/>
      </c>
      <c r="N1141" s="5">
        <f>IF($A1141="","",IFERROR(INDEX('CAT_ESTADOS_ERP'!$B$4:$B$7,MATCH(IFERROR(INDEX('2_IMPORTAR_EJECUCION'!$C$9:$C$1208,MATCH($AT1141,'2_IMPORTAR_EJECUCION'!$J$9:$J$1208,0)),""),'CAT_ESTADOS_ERP'!$A$4:$A$7,0)),"Pendiente"))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IF($J1141="","",$P1141&amp;"-"&amp;TEXT($Q1141,"00"))</f>
        <v/>
      </c>
      <c r="S1141" s="5">
        <f>IF($J1141="","",INDEX(lista_dias,WEEKDAY($J1141,2)))</f>
        <v/>
      </c>
      <c r="T1141" s="5">
        <f>IF($J1141="","",IFERROR(INDEX('CALENDARIO'!$C$15:$C$214,MATCH(TEXT($J1141,"yyyy-mm-dd")&amp;"|"&amp;$X1141&amp;"|"&amp;$Y1141,'CALENDARIO'!$G$15:$G$214,0)),IFERROR(INDEX('CALENDARIO'!$C$15:$C$214,MATCH(TEXT($J1141,"yyyy-mm-dd")&amp;"|"&amp;$X1141&amp;"|",'CALENDARIO'!$G$15:$G$214,0)),IFERROR(INDEX('CALENDARIO'!$C$15:$C$214,MATCH(TEXT($J1141,"yyyy-mm-dd")&amp;"||",'CALENDARIO'!$G$15:$G$214,0)),INDEX(patronHabil,WEEKDAY($J1141,2))))))</f>
        <v/>
      </c>
      <c r="U1141" s="5">
        <f>IF($I1141="","",IFERROR(INDEX('CAT_TIPOS_OT'!$C$4:$C$8,MATCH($I1141,'CAT_TIPOS_OT'!$A$4:$A$8,0)),"sin_clasificar"))</f>
        <v/>
      </c>
      <c r="V1141" s="5">
        <f>IF($I1141="","",IF(IFERROR(INDEX('CAT_TIPOS_OT'!$D$4:$D$8,MATCH($I1141,'CAT_TIPOS_OT'!$A$4:$A$8,0)),"SIN CLASIFICAR")="","SIN CLASIFICAR",IFERROR(INDEX('CAT_TIPOS_OT'!$D$4:$D$8,MATCH($I1141,'CAT_TIPOS_OT'!$A$4:$A$8,0)),"SIN CLASIFICAR")))</f>
        <v/>
      </c>
      <c r="W1141" s="5">
        <f>IF($F1141="","",IFERROR(INDEX('CAT_CENTROS_COSTO'!$F$4:$F$13,MATCH($F1141,'CAT_CENTROS_COSTO'!$A$4:$A$13,0)),"(sin catálogo)"))</f>
        <v/>
      </c>
      <c r="X1141" s="5">
        <f>IF($F1141="","",IFERROR(INDEX('CAT_CENTROS_COSTO'!$D$4:$D$13,MATCH($F1141,'CAT_CENTROS_COSTO'!$A$4:$A$13,0)),"(sin catálogo)"))</f>
        <v/>
      </c>
      <c r="Y1141" s="5">
        <f>IF($F1141="","",IF((IFERROR(INDEX('CAT_CENTROS_COSTO'!$E$4:$E$13,MATCH($F1141,'CAT_CENTROS_COSTO'!$A$4:$A$13,0)),""))&lt;&gt;"",IFERROR(INDEX('CAT_CENTROS_COSTO'!$E$4:$E$13,MATCH($F1141,'CAT_CENTROS_COSTO'!$A$4:$A$13,0)),""),$X1141))</f>
        <v/>
      </c>
      <c r="Z1141" s="5">
        <f>IF($F1141="","",IFERROR(INDEX('CAT_CENTROS_COSTO'!$G$4:$G$13,MATCH($F1141,'CAT_CENTROS_COSTO'!$A$4:$A$13,0)),"(sin catálogo)"))</f>
        <v/>
      </c>
      <c r="AA1141" s="5">
        <f>IF($G1141="","",IFERROR(INDEX('CAT_PUESTOS'!$B$4:$B$8,MATCH($G1141,'CAT_PUESTOS'!$A$4:$A$8,0)),"(sin catálogo)"))</f>
        <v/>
      </c>
      <c r="AB1141" s="5">
        <f>IF($H1141="","",IFERROR(INDEX('CAT_ACTIVIDADES'!$B$4:$B$11,MATCH($H1141,'CAT_ACTIVIDADES'!$A$4:$A$11,0)),"(sin catálogo)"))</f>
        <v/>
      </c>
      <c r="AC1141" s="20">
        <f>IF($J1141="","",TODAY()-$J1141)</f>
        <v/>
      </c>
      <c r="AD1141" s="20">
        <f>IF($J1141="","",IF($J1141&lt;=TODAY(),COUNTIFS(cal_fechas,"&gt;="&amp;$J1141,cal_fechas,"&lt;"&amp;TODAY(),cal_habil,"sí"),-COUNTIFS(cal_fechas,"&gt;="&amp;TODAY(),cal_fechas,"&lt;"&amp;$J1141,cal_habil,"sí")))</f>
        <v/>
      </c>
      <c r="AE1141" s="5">
        <f>IF($AD1141="","",IF($AD1141&lt;0,"FUTURO",IF($AD1141&gt;p_dias_backlog_max,"BACKLOG","MES CORRIENTE")))</f>
        <v/>
      </c>
      <c r="AF1141" s="5">
        <f>IF($AD1141="",FALSE,AND($AD1141&gt;p_dias_backlog_min,$AD1141&lt;=p_dias_backlog_max))</f>
        <v/>
      </c>
      <c r="AG1141" s="4" t="n"/>
      <c r="AH1141" s="5">
        <f>IF($AG1141="","",IF((IFERROR(INDEX('ASIGNACIONES'!$J$4:$J$451,MATCH($O1141&amp;"|"&amp;$S1141&amp;"|"&amp;$AG1141,'ASIGNACIONES'!$N$4:$N$451,0)),""))=0,"",IFERROR(INDEX('ASIGNACIONES'!$J$4:$J$451,MATCH($O1141&amp;"|"&amp;$S1141&amp;"|"&amp;$AG1141,'ASIGNACIONES'!$N$4:$N$451,0)),"")))</f>
        <v/>
      </c>
      <c r="AI1141" s="25">
        <f>IF($AG1141="","",SUMIFS('ORDENES'!$M$4:$M$1203,'ORDENES'!$AG$4:$AG$1203,$AG1141,'ORDENES'!$O$4:$O$1203,$O1141,'ORDENES'!$S$4:$S$1203,$S1141))</f>
        <v/>
      </c>
      <c r="AJ1141" s="25">
        <f>IF($AI1141="","",p_factor_productividad*IFERROR(INDEX('ASIGNACIONES'!$M$4:$M$451,MATCH($O1141&amp;"|"&amp;$S1141&amp;"|"&amp;$AG1141,'ASIGNACIONES'!$N$4:$N$451,0)),0)-$AI1141)</f>
        <v/>
      </c>
      <c r="AK1141" s="18">
        <f>IF($A1141="","",IFERROR(INDEX('2_IMPORTAR_EJECUCION'!$F$9:$F$1208,MATCH($AT1141,'2_IMPORTAR_EJECUCION'!$J$9:$J$1208,0)),0))</f>
        <v/>
      </c>
      <c r="AL1141" s="18">
        <f>IF($A1141="","",MAX(0,IFERROR(INDEX('2_IMPORTAR_EJECUCION'!$H$9:$H$1208,MATCH($AT1141,'2_IMPORTAR_EJECUCION'!$J$9:$J$1208,0)),0)-$AK1141))</f>
        <v/>
      </c>
      <c r="AM1141" s="18">
        <f>IF($A1141="","",$AK1141+$AL1141)</f>
        <v/>
      </c>
      <c r="AN1141" s="5">
        <f>IF($A1141="","",IF(OR((IFERROR(INDEX('CAT_ACTIVIDADES'!$D$4:$D$11,MATCH($H1141,'CAT_ACTIVIDADES'!$A$4:$A$11,0)),""))=0,(IFERROR(INDEX('CAT_ACTIVIDADES'!$D$4:$D$11,MATCH($H1141,'CAT_ACTIVIDADES'!$A$4:$A$11,0)),""))=""),"SIN CLASIFICAR",IFERROR(INDEX('CAT_ACTIVIDADES'!$D$4:$D$11,MATCH($H1141,'CAT_ACTIVIDADES'!$A$4:$A$11,0)),"")))</f>
        <v/>
      </c>
      <c r="AO1141" s="4" t="n"/>
      <c r="AP1141" s="4" t="n"/>
      <c r="AQ1141" s="4" t="n"/>
      <c r="AR1141" s="5">
        <f>IF($AQ1141="","",HYPERLINK(p_ruta_base_checklists&amp;$AQ1141,"abrir"))</f>
        <v/>
      </c>
      <c r="AS1141" s="4" t="n"/>
      <c r="AT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2" t="n"/>
      <c r="K1142" s="5" t="n"/>
      <c r="L1142" s="18" t="n"/>
      <c r="M1142" s="5">
        <f>IF($A1142="","",IFERROR(INDEX('AJUSTES'!$B$4:$B$303,MATCH($AT1142,'AJUSTES'!$A$4:$A$303,0)),IF($K1142="","",$K1142)))</f>
        <v/>
      </c>
      <c r="N1142" s="5">
        <f>IF($A1142="","",IFERROR(INDEX('CAT_ESTADOS_ERP'!$B$4:$B$7,MATCH(IFERROR(INDEX('2_IMPORTAR_EJECUCION'!$C$9:$C$1208,MATCH($AT1142,'2_IMPORTAR_EJECUCION'!$J$9:$J$1208,0)),""),'CAT_ESTADOS_ERP'!$A$4:$A$7,0)),"Pendiente"))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IF($J1142="","",$P1142&amp;"-"&amp;TEXT($Q1142,"00"))</f>
        <v/>
      </c>
      <c r="S1142" s="5">
        <f>IF($J1142="","",INDEX(lista_dias,WEEKDAY($J1142,2)))</f>
        <v/>
      </c>
      <c r="T1142" s="5">
        <f>IF($J1142="","",IFERROR(INDEX('CALENDARIO'!$C$15:$C$214,MATCH(TEXT($J1142,"yyyy-mm-dd")&amp;"|"&amp;$X1142&amp;"|"&amp;$Y1142,'CALENDARIO'!$G$15:$G$214,0)),IFERROR(INDEX('CALENDARIO'!$C$15:$C$214,MATCH(TEXT($J1142,"yyyy-mm-dd")&amp;"|"&amp;$X1142&amp;"|",'CALENDARIO'!$G$15:$G$214,0)),IFERROR(INDEX('CALENDARIO'!$C$15:$C$214,MATCH(TEXT($J1142,"yyyy-mm-dd")&amp;"||",'CALENDARIO'!$G$15:$G$214,0)),INDEX(patronHabil,WEEKDAY($J1142,2))))))</f>
        <v/>
      </c>
      <c r="U1142" s="5">
        <f>IF($I1142="","",IFERROR(INDEX('CAT_TIPOS_OT'!$C$4:$C$8,MATCH($I1142,'CAT_TIPOS_OT'!$A$4:$A$8,0)),"sin_clasificar"))</f>
        <v/>
      </c>
      <c r="V1142" s="5">
        <f>IF($I1142="","",IF(IFERROR(INDEX('CAT_TIPOS_OT'!$D$4:$D$8,MATCH($I1142,'CAT_TIPOS_OT'!$A$4:$A$8,0)),"SIN CLASIFICAR")="","SIN CLASIFICAR",IFERROR(INDEX('CAT_TIPOS_OT'!$D$4:$D$8,MATCH($I1142,'CAT_TIPOS_OT'!$A$4:$A$8,0)),"SIN CLASIFICAR")))</f>
        <v/>
      </c>
      <c r="W1142" s="5">
        <f>IF($F1142="","",IFERROR(INDEX('CAT_CENTROS_COSTO'!$F$4:$F$13,MATCH($F1142,'CAT_CENTROS_COSTO'!$A$4:$A$13,0)),"(sin catálogo)"))</f>
        <v/>
      </c>
      <c r="X1142" s="5">
        <f>IF($F1142="","",IFERROR(INDEX('CAT_CENTROS_COSTO'!$D$4:$D$13,MATCH($F1142,'CAT_CENTROS_COSTO'!$A$4:$A$13,0)),"(sin catálogo)"))</f>
        <v/>
      </c>
      <c r="Y1142" s="5">
        <f>IF($F1142="","",IF((IFERROR(INDEX('CAT_CENTROS_COSTO'!$E$4:$E$13,MATCH($F1142,'CAT_CENTROS_COSTO'!$A$4:$A$13,0)),""))&lt;&gt;"",IFERROR(INDEX('CAT_CENTROS_COSTO'!$E$4:$E$13,MATCH($F1142,'CAT_CENTROS_COSTO'!$A$4:$A$13,0)),""),$X1142))</f>
        <v/>
      </c>
      <c r="Z1142" s="5">
        <f>IF($F1142="","",IFERROR(INDEX('CAT_CENTROS_COSTO'!$G$4:$G$13,MATCH($F1142,'CAT_CENTROS_COSTO'!$A$4:$A$13,0)),"(sin catálogo)"))</f>
        <v/>
      </c>
      <c r="AA1142" s="5">
        <f>IF($G1142="","",IFERROR(INDEX('CAT_PUESTOS'!$B$4:$B$8,MATCH($G1142,'CAT_PUESTOS'!$A$4:$A$8,0)),"(sin catálogo)"))</f>
        <v/>
      </c>
      <c r="AB1142" s="5">
        <f>IF($H1142="","",IFERROR(INDEX('CAT_ACTIVIDADES'!$B$4:$B$11,MATCH($H1142,'CAT_ACTIVIDADES'!$A$4:$A$11,0)),"(sin catálogo)"))</f>
        <v/>
      </c>
      <c r="AC1142" s="20">
        <f>IF($J1142="","",TODAY()-$J1142)</f>
        <v/>
      </c>
      <c r="AD1142" s="20">
        <f>IF($J1142="","",IF($J1142&lt;=TODAY(),COUNTIFS(cal_fechas,"&gt;="&amp;$J1142,cal_fechas,"&lt;"&amp;TODAY(),cal_habil,"sí"),-COUNTIFS(cal_fechas,"&gt;="&amp;TODAY(),cal_fechas,"&lt;"&amp;$J1142,cal_habil,"sí")))</f>
        <v/>
      </c>
      <c r="AE1142" s="5">
        <f>IF($AD1142="","",IF($AD1142&lt;0,"FUTURO",IF($AD1142&gt;p_dias_backlog_max,"BACKLOG","MES CORRIENTE")))</f>
        <v/>
      </c>
      <c r="AF1142" s="5">
        <f>IF($AD1142="",FALSE,AND($AD1142&gt;p_dias_backlog_min,$AD1142&lt;=p_dias_backlog_max))</f>
        <v/>
      </c>
      <c r="AG1142" s="4" t="n"/>
      <c r="AH1142" s="5">
        <f>IF($AG1142="","",IF((IFERROR(INDEX('ASIGNACIONES'!$J$4:$J$451,MATCH($O1142&amp;"|"&amp;$S1142&amp;"|"&amp;$AG1142,'ASIGNACIONES'!$N$4:$N$451,0)),""))=0,"",IFERROR(INDEX('ASIGNACIONES'!$J$4:$J$451,MATCH($O1142&amp;"|"&amp;$S1142&amp;"|"&amp;$AG1142,'ASIGNACIONES'!$N$4:$N$451,0)),"")))</f>
        <v/>
      </c>
      <c r="AI1142" s="25">
        <f>IF($AG1142="","",SUMIFS('ORDENES'!$M$4:$M$1203,'ORDENES'!$AG$4:$AG$1203,$AG1142,'ORDENES'!$O$4:$O$1203,$O1142,'ORDENES'!$S$4:$S$1203,$S1142))</f>
        <v/>
      </c>
      <c r="AJ1142" s="25">
        <f>IF($AI1142="","",p_factor_productividad*IFERROR(INDEX('ASIGNACIONES'!$M$4:$M$451,MATCH($O1142&amp;"|"&amp;$S1142&amp;"|"&amp;$AG1142,'ASIGNACIONES'!$N$4:$N$451,0)),0)-$AI1142)</f>
        <v/>
      </c>
      <c r="AK1142" s="18">
        <f>IF($A1142="","",IFERROR(INDEX('2_IMPORTAR_EJECUCION'!$F$9:$F$1208,MATCH($AT1142,'2_IMPORTAR_EJECUCION'!$J$9:$J$1208,0)),0))</f>
        <v/>
      </c>
      <c r="AL1142" s="18">
        <f>IF($A1142="","",MAX(0,IFERROR(INDEX('2_IMPORTAR_EJECUCION'!$H$9:$H$1208,MATCH($AT1142,'2_IMPORTAR_EJECUCION'!$J$9:$J$1208,0)),0)-$AK1142))</f>
        <v/>
      </c>
      <c r="AM1142" s="18">
        <f>IF($A1142="","",$AK1142+$AL1142)</f>
        <v/>
      </c>
      <c r="AN1142" s="5">
        <f>IF($A1142="","",IF(OR((IFERROR(INDEX('CAT_ACTIVIDADES'!$D$4:$D$11,MATCH($H1142,'CAT_ACTIVIDADES'!$A$4:$A$11,0)),""))=0,(IFERROR(INDEX('CAT_ACTIVIDADES'!$D$4:$D$11,MATCH($H1142,'CAT_ACTIVIDADES'!$A$4:$A$11,0)),""))=""),"SIN CLASIFICAR",IFERROR(INDEX('CAT_ACTIVIDADES'!$D$4:$D$11,MATCH($H1142,'CAT_ACTIVIDADES'!$A$4:$A$11,0)),"")))</f>
        <v/>
      </c>
      <c r="AO1142" s="4" t="n"/>
      <c r="AP1142" s="4" t="n"/>
      <c r="AQ1142" s="4" t="n"/>
      <c r="AR1142" s="5">
        <f>IF($AQ1142="","",HYPERLINK(p_ruta_base_checklists&amp;$AQ1142,"abrir"))</f>
        <v/>
      </c>
      <c r="AS1142" s="4" t="n"/>
      <c r="AT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2" t="n"/>
      <c r="K1143" s="5" t="n"/>
      <c r="L1143" s="18" t="n"/>
      <c r="M1143" s="5">
        <f>IF($A1143="","",IFERROR(INDEX('AJUSTES'!$B$4:$B$303,MATCH($AT1143,'AJUSTES'!$A$4:$A$303,0)),IF($K1143="","",$K1143)))</f>
        <v/>
      </c>
      <c r="N1143" s="5">
        <f>IF($A1143="","",IFERROR(INDEX('CAT_ESTADOS_ERP'!$B$4:$B$7,MATCH(IFERROR(INDEX('2_IMPORTAR_EJECUCION'!$C$9:$C$1208,MATCH($AT1143,'2_IMPORTAR_EJECUCION'!$J$9:$J$1208,0)),""),'CAT_ESTADOS_ERP'!$A$4:$A$7,0)),"Pendiente"))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IF($J1143="","",$P1143&amp;"-"&amp;TEXT($Q1143,"00"))</f>
        <v/>
      </c>
      <c r="S1143" s="5">
        <f>IF($J1143="","",INDEX(lista_dias,WEEKDAY($J1143,2)))</f>
        <v/>
      </c>
      <c r="T1143" s="5">
        <f>IF($J1143="","",IFERROR(INDEX('CALENDARIO'!$C$15:$C$214,MATCH(TEXT($J1143,"yyyy-mm-dd")&amp;"|"&amp;$X1143&amp;"|"&amp;$Y1143,'CALENDARIO'!$G$15:$G$214,0)),IFERROR(INDEX('CALENDARIO'!$C$15:$C$214,MATCH(TEXT($J1143,"yyyy-mm-dd")&amp;"|"&amp;$X1143&amp;"|",'CALENDARIO'!$G$15:$G$214,0)),IFERROR(INDEX('CALENDARIO'!$C$15:$C$214,MATCH(TEXT($J1143,"yyyy-mm-dd")&amp;"||",'CALENDARIO'!$G$15:$G$214,0)),INDEX(patronHabil,WEEKDAY($J1143,2))))))</f>
        <v/>
      </c>
      <c r="U1143" s="5">
        <f>IF($I1143="","",IFERROR(INDEX('CAT_TIPOS_OT'!$C$4:$C$8,MATCH($I1143,'CAT_TIPOS_OT'!$A$4:$A$8,0)),"sin_clasificar"))</f>
        <v/>
      </c>
      <c r="V1143" s="5">
        <f>IF($I1143="","",IF(IFERROR(INDEX('CAT_TIPOS_OT'!$D$4:$D$8,MATCH($I1143,'CAT_TIPOS_OT'!$A$4:$A$8,0)),"SIN CLASIFICAR")="","SIN CLASIFICAR",IFERROR(INDEX('CAT_TIPOS_OT'!$D$4:$D$8,MATCH($I1143,'CAT_TIPOS_OT'!$A$4:$A$8,0)),"SIN CLASIFICAR")))</f>
        <v/>
      </c>
      <c r="W1143" s="5">
        <f>IF($F1143="","",IFERROR(INDEX('CAT_CENTROS_COSTO'!$F$4:$F$13,MATCH($F1143,'CAT_CENTROS_COSTO'!$A$4:$A$13,0)),"(sin catálogo)"))</f>
        <v/>
      </c>
      <c r="X1143" s="5">
        <f>IF($F1143="","",IFERROR(INDEX('CAT_CENTROS_COSTO'!$D$4:$D$13,MATCH($F1143,'CAT_CENTROS_COSTO'!$A$4:$A$13,0)),"(sin catálogo)"))</f>
        <v/>
      </c>
      <c r="Y1143" s="5">
        <f>IF($F1143="","",IF((IFERROR(INDEX('CAT_CENTROS_COSTO'!$E$4:$E$13,MATCH($F1143,'CAT_CENTROS_COSTO'!$A$4:$A$13,0)),""))&lt;&gt;"",IFERROR(INDEX('CAT_CENTROS_COSTO'!$E$4:$E$13,MATCH($F1143,'CAT_CENTROS_COSTO'!$A$4:$A$13,0)),""),$X1143))</f>
        <v/>
      </c>
      <c r="Z1143" s="5">
        <f>IF($F1143="","",IFERROR(INDEX('CAT_CENTROS_COSTO'!$G$4:$G$13,MATCH($F1143,'CAT_CENTROS_COSTO'!$A$4:$A$13,0)),"(sin catálogo)"))</f>
        <v/>
      </c>
      <c r="AA1143" s="5">
        <f>IF($G1143="","",IFERROR(INDEX('CAT_PUESTOS'!$B$4:$B$8,MATCH($G1143,'CAT_PUESTOS'!$A$4:$A$8,0)),"(sin catálogo)"))</f>
        <v/>
      </c>
      <c r="AB1143" s="5">
        <f>IF($H1143="","",IFERROR(INDEX('CAT_ACTIVIDADES'!$B$4:$B$11,MATCH($H1143,'CAT_ACTIVIDADES'!$A$4:$A$11,0)),"(sin catálogo)"))</f>
        <v/>
      </c>
      <c r="AC1143" s="20">
        <f>IF($J1143="","",TODAY()-$J1143)</f>
        <v/>
      </c>
      <c r="AD1143" s="20">
        <f>IF($J1143="","",IF($J1143&lt;=TODAY(),COUNTIFS(cal_fechas,"&gt;="&amp;$J1143,cal_fechas,"&lt;"&amp;TODAY(),cal_habil,"sí"),-COUNTIFS(cal_fechas,"&gt;="&amp;TODAY(),cal_fechas,"&lt;"&amp;$J1143,cal_habil,"sí")))</f>
        <v/>
      </c>
      <c r="AE1143" s="5">
        <f>IF($AD1143="","",IF($AD1143&lt;0,"FUTURO",IF($AD1143&gt;p_dias_backlog_max,"BACKLOG","MES CORRIENTE")))</f>
        <v/>
      </c>
      <c r="AF1143" s="5">
        <f>IF($AD1143="",FALSE,AND($AD1143&gt;p_dias_backlog_min,$AD1143&lt;=p_dias_backlog_max))</f>
        <v/>
      </c>
      <c r="AG1143" s="4" t="n"/>
      <c r="AH1143" s="5">
        <f>IF($AG1143="","",IF((IFERROR(INDEX('ASIGNACIONES'!$J$4:$J$451,MATCH($O1143&amp;"|"&amp;$S1143&amp;"|"&amp;$AG1143,'ASIGNACIONES'!$N$4:$N$451,0)),""))=0,"",IFERROR(INDEX('ASIGNACIONES'!$J$4:$J$451,MATCH($O1143&amp;"|"&amp;$S1143&amp;"|"&amp;$AG1143,'ASIGNACIONES'!$N$4:$N$451,0)),"")))</f>
        <v/>
      </c>
      <c r="AI1143" s="25">
        <f>IF($AG1143="","",SUMIFS('ORDENES'!$M$4:$M$1203,'ORDENES'!$AG$4:$AG$1203,$AG1143,'ORDENES'!$O$4:$O$1203,$O1143,'ORDENES'!$S$4:$S$1203,$S1143))</f>
        <v/>
      </c>
      <c r="AJ1143" s="25">
        <f>IF($AI1143="","",p_factor_productividad*IFERROR(INDEX('ASIGNACIONES'!$M$4:$M$451,MATCH($O1143&amp;"|"&amp;$S1143&amp;"|"&amp;$AG1143,'ASIGNACIONES'!$N$4:$N$451,0)),0)-$AI1143)</f>
        <v/>
      </c>
      <c r="AK1143" s="18">
        <f>IF($A1143="","",IFERROR(INDEX('2_IMPORTAR_EJECUCION'!$F$9:$F$1208,MATCH($AT1143,'2_IMPORTAR_EJECUCION'!$J$9:$J$1208,0)),0))</f>
        <v/>
      </c>
      <c r="AL1143" s="18">
        <f>IF($A1143="","",MAX(0,IFERROR(INDEX('2_IMPORTAR_EJECUCION'!$H$9:$H$1208,MATCH($AT1143,'2_IMPORTAR_EJECUCION'!$J$9:$J$1208,0)),0)-$AK1143))</f>
        <v/>
      </c>
      <c r="AM1143" s="18">
        <f>IF($A1143="","",$AK1143+$AL1143)</f>
        <v/>
      </c>
      <c r="AN1143" s="5">
        <f>IF($A1143="","",IF(OR((IFERROR(INDEX('CAT_ACTIVIDADES'!$D$4:$D$11,MATCH($H1143,'CAT_ACTIVIDADES'!$A$4:$A$11,0)),""))=0,(IFERROR(INDEX('CAT_ACTIVIDADES'!$D$4:$D$11,MATCH($H1143,'CAT_ACTIVIDADES'!$A$4:$A$11,0)),""))=""),"SIN CLASIFICAR",IFERROR(INDEX('CAT_ACTIVIDADES'!$D$4:$D$11,MATCH($H1143,'CAT_ACTIVIDADES'!$A$4:$A$11,0)),"")))</f>
        <v/>
      </c>
      <c r="AO1143" s="4" t="n"/>
      <c r="AP1143" s="4" t="n"/>
      <c r="AQ1143" s="4" t="n"/>
      <c r="AR1143" s="5">
        <f>IF($AQ1143="","",HYPERLINK(p_ruta_base_checklists&amp;$AQ1143,"abrir"))</f>
        <v/>
      </c>
      <c r="AS1143" s="4" t="n"/>
      <c r="AT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2" t="n"/>
      <c r="K1144" s="5" t="n"/>
      <c r="L1144" s="18" t="n"/>
      <c r="M1144" s="5">
        <f>IF($A1144="","",IFERROR(INDEX('AJUSTES'!$B$4:$B$303,MATCH($AT1144,'AJUSTES'!$A$4:$A$303,0)),IF($K1144="","",$K1144)))</f>
        <v/>
      </c>
      <c r="N1144" s="5">
        <f>IF($A1144="","",IFERROR(INDEX('CAT_ESTADOS_ERP'!$B$4:$B$7,MATCH(IFERROR(INDEX('2_IMPORTAR_EJECUCION'!$C$9:$C$1208,MATCH($AT1144,'2_IMPORTAR_EJECUCION'!$J$9:$J$1208,0)),""),'CAT_ESTADOS_ERP'!$A$4:$A$7,0)),"Pendiente"))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IF($J1144="","",$P1144&amp;"-"&amp;TEXT($Q1144,"00"))</f>
        <v/>
      </c>
      <c r="S1144" s="5">
        <f>IF($J1144="","",INDEX(lista_dias,WEEKDAY($J1144,2)))</f>
        <v/>
      </c>
      <c r="T1144" s="5">
        <f>IF($J1144="","",IFERROR(INDEX('CALENDARIO'!$C$15:$C$214,MATCH(TEXT($J1144,"yyyy-mm-dd")&amp;"|"&amp;$X1144&amp;"|"&amp;$Y1144,'CALENDARIO'!$G$15:$G$214,0)),IFERROR(INDEX('CALENDARIO'!$C$15:$C$214,MATCH(TEXT($J1144,"yyyy-mm-dd")&amp;"|"&amp;$X1144&amp;"|",'CALENDARIO'!$G$15:$G$214,0)),IFERROR(INDEX('CALENDARIO'!$C$15:$C$214,MATCH(TEXT($J1144,"yyyy-mm-dd")&amp;"||",'CALENDARIO'!$G$15:$G$214,0)),INDEX(patronHabil,WEEKDAY($J1144,2))))))</f>
        <v/>
      </c>
      <c r="U1144" s="5">
        <f>IF($I1144="","",IFERROR(INDEX('CAT_TIPOS_OT'!$C$4:$C$8,MATCH($I1144,'CAT_TIPOS_OT'!$A$4:$A$8,0)),"sin_clasificar"))</f>
        <v/>
      </c>
      <c r="V1144" s="5">
        <f>IF($I1144="","",IF(IFERROR(INDEX('CAT_TIPOS_OT'!$D$4:$D$8,MATCH($I1144,'CAT_TIPOS_OT'!$A$4:$A$8,0)),"SIN CLASIFICAR")="","SIN CLASIFICAR",IFERROR(INDEX('CAT_TIPOS_OT'!$D$4:$D$8,MATCH($I1144,'CAT_TIPOS_OT'!$A$4:$A$8,0)),"SIN CLASIFICAR")))</f>
        <v/>
      </c>
      <c r="W1144" s="5">
        <f>IF($F1144="","",IFERROR(INDEX('CAT_CENTROS_COSTO'!$F$4:$F$13,MATCH($F1144,'CAT_CENTROS_COSTO'!$A$4:$A$13,0)),"(sin catálogo)"))</f>
        <v/>
      </c>
      <c r="X1144" s="5">
        <f>IF($F1144="","",IFERROR(INDEX('CAT_CENTROS_COSTO'!$D$4:$D$13,MATCH($F1144,'CAT_CENTROS_COSTO'!$A$4:$A$13,0)),"(sin catálogo)"))</f>
        <v/>
      </c>
      <c r="Y1144" s="5">
        <f>IF($F1144="","",IF((IFERROR(INDEX('CAT_CENTROS_COSTO'!$E$4:$E$13,MATCH($F1144,'CAT_CENTROS_COSTO'!$A$4:$A$13,0)),""))&lt;&gt;"",IFERROR(INDEX('CAT_CENTROS_COSTO'!$E$4:$E$13,MATCH($F1144,'CAT_CENTROS_COSTO'!$A$4:$A$13,0)),""),$X1144))</f>
        <v/>
      </c>
      <c r="Z1144" s="5">
        <f>IF($F1144="","",IFERROR(INDEX('CAT_CENTROS_COSTO'!$G$4:$G$13,MATCH($F1144,'CAT_CENTROS_COSTO'!$A$4:$A$13,0)),"(sin catálogo)"))</f>
        <v/>
      </c>
      <c r="AA1144" s="5">
        <f>IF($G1144="","",IFERROR(INDEX('CAT_PUESTOS'!$B$4:$B$8,MATCH($G1144,'CAT_PUESTOS'!$A$4:$A$8,0)),"(sin catálogo)"))</f>
        <v/>
      </c>
      <c r="AB1144" s="5">
        <f>IF($H1144="","",IFERROR(INDEX('CAT_ACTIVIDADES'!$B$4:$B$11,MATCH($H1144,'CAT_ACTIVIDADES'!$A$4:$A$11,0)),"(sin catálogo)"))</f>
        <v/>
      </c>
      <c r="AC1144" s="20">
        <f>IF($J1144="","",TODAY()-$J1144)</f>
        <v/>
      </c>
      <c r="AD1144" s="20">
        <f>IF($J1144="","",IF($J1144&lt;=TODAY(),COUNTIFS(cal_fechas,"&gt;="&amp;$J1144,cal_fechas,"&lt;"&amp;TODAY(),cal_habil,"sí"),-COUNTIFS(cal_fechas,"&gt;="&amp;TODAY(),cal_fechas,"&lt;"&amp;$J1144,cal_habil,"sí")))</f>
        <v/>
      </c>
      <c r="AE1144" s="5">
        <f>IF($AD1144="","",IF($AD1144&lt;0,"FUTURO",IF($AD1144&gt;p_dias_backlog_max,"BACKLOG","MES CORRIENTE")))</f>
        <v/>
      </c>
      <c r="AF1144" s="5">
        <f>IF($AD1144="",FALSE,AND($AD1144&gt;p_dias_backlog_min,$AD1144&lt;=p_dias_backlog_max))</f>
        <v/>
      </c>
      <c r="AG1144" s="4" t="n"/>
      <c r="AH1144" s="5">
        <f>IF($AG1144="","",IF((IFERROR(INDEX('ASIGNACIONES'!$J$4:$J$451,MATCH($O1144&amp;"|"&amp;$S1144&amp;"|"&amp;$AG1144,'ASIGNACIONES'!$N$4:$N$451,0)),""))=0,"",IFERROR(INDEX('ASIGNACIONES'!$J$4:$J$451,MATCH($O1144&amp;"|"&amp;$S1144&amp;"|"&amp;$AG1144,'ASIGNACIONES'!$N$4:$N$451,0)),"")))</f>
        <v/>
      </c>
      <c r="AI1144" s="25">
        <f>IF($AG1144="","",SUMIFS('ORDENES'!$M$4:$M$1203,'ORDENES'!$AG$4:$AG$1203,$AG1144,'ORDENES'!$O$4:$O$1203,$O1144,'ORDENES'!$S$4:$S$1203,$S1144))</f>
        <v/>
      </c>
      <c r="AJ1144" s="25">
        <f>IF($AI1144="","",p_factor_productividad*IFERROR(INDEX('ASIGNACIONES'!$M$4:$M$451,MATCH($O1144&amp;"|"&amp;$S1144&amp;"|"&amp;$AG1144,'ASIGNACIONES'!$N$4:$N$451,0)),0)-$AI1144)</f>
        <v/>
      </c>
      <c r="AK1144" s="18">
        <f>IF($A1144="","",IFERROR(INDEX('2_IMPORTAR_EJECUCION'!$F$9:$F$1208,MATCH($AT1144,'2_IMPORTAR_EJECUCION'!$J$9:$J$1208,0)),0))</f>
        <v/>
      </c>
      <c r="AL1144" s="18">
        <f>IF($A1144="","",MAX(0,IFERROR(INDEX('2_IMPORTAR_EJECUCION'!$H$9:$H$1208,MATCH($AT1144,'2_IMPORTAR_EJECUCION'!$J$9:$J$1208,0)),0)-$AK1144))</f>
        <v/>
      </c>
      <c r="AM1144" s="18">
        <f>IF($A1144="","",$AK1144+$AL1144)</f>
        <v/>
      </c>
      <c r="AN1144" s="5">
        <f>IF($A1144="","",IF(OR((IFERROR(INDEX('CAT_ACTIVIDADES'!$D$4:$D$11,MATCH($H1144,'CAT_ACTIVIDADES'!$A$4:$A$11,0)),""))=0,(IFERROR(INDEX('CAT_ACTIVIDADES'!$D$4:$D$11,MATCH($H1144,'CAT_ACTIVIDADES'!$A$4:$A$11,0)),""))=""),"SIN CLASIFICAR",IFERROR(INDEX('CAT_ACTIVIDADES'!$D$4:$D$11,MATCH($H1144,'CAT_ACTIVIDADES'!$A$4:$A$11,0)),"")))</f>
        <v/>
      </c>
      <c r="AO1144" s="4" t="n"/>
      <c r="AP1144" s="4" t="n"/>
      <c r="AQ1144" s="4" t="n"/>
      <c r="AR1144" s="5">
        <f>IF($AQ1144="","",HYPERLINK(p_ruta_base_checklists&amp;$AQ1144,"abrir"))</f>
        <v/>
      </c>
      <c r="AS1144" s="4" t="n"/>
      <c r="AT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2" t="n"/>
      <c r="K1145" s="5" t="n"/>
      <c r="L1145" s="18" t="n"/>
      <c r="M1145" s="5">
        <f>IF($A1145="","",IFERROR(INDEX('AJUSTES'!$B$4:$B$303,MATCH($AT1145,'AJUSTES'!$A$4:$A$303,0)),IF($K1145="","",$K1145)))</f>
        <v/>
      </c>
      <c r="N1145" s="5">
        <f>IF($A1145="","",IFERROR(INDEX('CAT_ESTADOS_ERP'!$B$4:$B$7,MATCH(IFERROR(INDEX('2_IMPORTAR_EJECUCION'!$C$9:$C$1208,MATCH($AT1145,'2_IMPORTAR_EJECUCION'!$J$9:$J$1208,0)),""),'CAT_ESTADOS_ERP'!$A$4:$A$7,0)),"Pendiente"))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IF($J1145="","",$P1145&amp;"-"&amp;TEXT($Q1145,"00"))</f>
        <v/>
      </c>
      <c r="S1145" s="5">
        <f>IF($J1145="","",INDEX(lista_dias,WEEKDAY($J1145,2)))</f>
        <v/>
      </c>
      <c r="T1145" s="5">
        <f>IF($J1145="","",IFERROR(INDEX('CALENDARIO'!$C$15:$C$214,MATCH(TEXT($J1145,"yyyy-mm-dd")&amp;"|"&amp;$X1145&amp;"|"&amp;$Y1145,'CALENDARIO'!$G$15:$G$214,0)),IFERROR(INDEX('CALENDARIO'!$C$15:$C$214,MATCH(TEXT($J1145,"yyyy-mm-dd")&amp;"|"&amp;$X1145&amp;"|",'CALENDARIO'!$G$15:$G$214,0)),IFERROR(INDEX('CALENDARIO'!$C$15:$C$214,MATCH(TEXT($J1145,"yyyy-mm-dd")&amp;"||",'CALENDARIO'!$G$15:$G$214,0)),INDEX(patronHabil,WEEKDAY($J1145,2))))))</f>
        <v/>
      </c>
      <c r="U1145" s="5">
        <f>IF($I1145="","",IFERROR(INDEX('CAT_TIPOS_OT'!$C$4:$C$8,MATCH($I1145,'CAT_TIPOS_OT'!$A$4:$A$8,0)),"sin_clasificar"))</f>
        <v/>
      </c>
      <c r="V1145" s="5">
        <f>IF($I1145="","",IF(IFERROR(INDEX('CAT_TIPOS_OT'!$D$4:$D$8,MATCH($I1145,'CAT_TIPOS_OT'!$A$4:$A$8,0)),"SIN CLASIFICAR")="","SIN CLASIFICAR",IFERROR(INDEX('CAT_TIPOS_OT'!$D$4:$D$8,MATCH($I1145,'CAT_TIPOS_OT'!$A$4:$A$8,0)),"SIN CLASIFICAR")))</f>
        <v/>
      </c>
      <c r="W1145" s="5">
        <f>IF($F1145="","",IFERROR(INDEX('CAT_CENTROS_COSTO'!$F$4:$F$13,MATCH($F1145,'CAT_CENTROS_COSTO'!$A$4:$A$13,0)),"(sin catálogo)"))</f>
        <v/>
      </c>
      <c r="X1145" s="5">
        <f>IF($F1145="","",IFERROR(INDEX('CAT_CENTROS_COSTO'!$D$4:$D$13,MATCH($F1145,'CAT_CENTROS_COSTO'!$A$4:$A$13,0)),"(sin catálogo)"))</f>
        <v/>
      </c>
      <c r="Y1145" s="5">
        <f>IF($F1145="","",IF((IFERROR(INDEX('CAT_CENTROS_COSTO'!$E$4:$E$13,MATCH($F1145,'CAT_CENTROS_COSTO'!$A$4:$A$13,0)),""))&lt;&gt;"",IFERROR(INDEX('CAT_CENTROS_COSTO'!$E$4:$E$13,MATCH($F1145,'CAT_CENTROS_COSTO'!$A$4:$A$13,0)),""),$X1145))</f>
        <v/>
      </c>
      <c r="Z1145" s="5">
        <f>IF($F1145="","",IFERROR(INDEX('CAT_CENTROS_COSTO'!$G$4:$G$13,MATCH($F1145,'CAT_CENTROS_COSTO'!$A$4:$A$13,0)),"(sin catálogo)"))</f>
        <v/>
      </c>
      <c r="AA1145" s="5">
        <f>IF($G1145="","",IFERROR(INDEX('CAT_PUESTOS'!$B$4:$B$8,MATCH($G1145,'CAT_PUESTOS'!$A$4:$A$8,0)),"(sin catálogo)"))</f>
        <v/>
      </c>
      <c r="AB1145" s="5">
        <f>IF($H1145="","",IFERROR(INDEX('CAT_ACTIVIDADES'!$B$4:$B$11,MATCH($H1145,'CAT_ACTIVIDADES'!$A$4:$A$11,0)),"(sin catálogo)"))</f>
        <v/>
      </c>
      <c r="AC1145" s="20">
        <f>IF($J1145="","",TODAY()-$J1145)</f>
        <v/>
      </c>
      <c r="AD1145" s="20">
        <f>IF($J1145="","",IF($J1145&lt;=TODAY(),COUNTIFS(cal_fechas,"&gt;="&amp;$J1145,cal_fechas,"&lt;"&amp;TODAY(),cal_habil,"sí"),-COUNTIFS(cal_fechas,"&gt;="&amp;TODAY(),cal_fechas,"&lt;"&amp;$J1145,cal_habil,"sí")))</f>
        <v/>
      </c>
      <c r="AE1145" s="5">
        <f>IF($AD1145="","",IF($AD1145&lt;0,"FUTURO",IF($AD1145&gt;p_dias_backlog_max,"BACKLOG","MES CORRIENTE")))</f>
        <v/>
      </c>
      <c r="AF1145" s="5">
        <f>IF($AD1145="",FALSE,AND($AD1145&gt;p_dias_backlog_min,$AD1145&lt;=p_dias_backlog_max))</f>
        <v/>
      </c>
      <c r="AG1145" s="4" t="n"/>
      <c r="AH1145" s="5">
        <f>IF($AG1145="","",IF((IFERROR(INDEX('ASIGNACIONES'!$J$4:$J$451,MATCH($O1145&amp;"|"&amp;$S1145&amp;"|"&amp;$AG1145,'ASIGNACIONES'!$N$4:$N$451,0)),""))=0,"",IFERROR(INDEX('ASIGNACIONES'!$J$4:$J$451,MATCH($O1145&amp;"|"&amp;$S1145&amp;"|"&amp;$AG1145,'ASIGNACIONES'!$N$4:$N$451,0)),"")))</f>
        <v/>
      </c>
      <c r="AI1145" s="25">
        <f>IF($AG1145="","",SUMIFS('ORDENES'!$M$4:$M$1203,'ORDENES'!$AG$4:$AG$1203,$AG1145,'ORDENES'!$O$4:$O$1203,$O1145,'ORDENES'!$S$4:$S$1203,$S1145))</f>
        <v/>
      </c>
      <c r="AJ1145" s="25">
        <f>IF($AI1145="","",p_factor_productividad*IFERROR(INDEX('ASIGNACIONES'!$M$4:$M$451,MATCH($O1145&amp;"|"&amp;$S1145&amp;"|"&amp;$AG1145,'ASIGNACIONES'!$N$4:$N$451,0)),0)-$AI1145)</f>
        <v/>
      </c>
      <c r="AK1145" s="18">
        <f>IF($A1145="","",IFERROR(INDEX('2_IMPORTAR_EJECUCION'!$F$9:$F$1208,MATCH($AT1145,'2_IMPORTAR_EJECUCION'!$J$9:$J$1208,0)),0))</f>
        <v/>
      </c>
      <c r="AL1145" s="18">
        <f>IF($A1145="","",MAX(0,IFERROR(INDEX('2_IMPORTAR_EJECUCION'!$H$9:$H$1208,MATCH($AT1145,'2_IMPORTAR_EJECUCION'!$J$9:$J$1208,0)),0)-$AK1145))</f>
        <v/>
      </c>
      <c r="AM1145" s="18">
        <f>IF($A1145="","",$AK1145+$AL1145)</f>
        <v/>
      </c>
      <c r="AN1145" s="5">
        <f>IF($A1145="","",IF(OR((IFERROR(INDEX('CAT_ACTIVIDADES'!$D$4:$D$11,MATCH($H1145,'CAT_ACTIVIDADES'!$A$4:$A$11,0)),""))=0,(IFERROR(INDEX('CAT_ACTIVIDADES'!$D$4:$D$11,MATCH($H1145,'CAT_ACTIVIDADES'!$A$4:$A$11,0)),""))=""),"SIN CLASIFICAR",IFERROR(INDEX('CAT_ACTIVIDADES'!$D$4:$D$11,MATCH($H1145,'CAT_ACTIVIDADES'!$A$4:$A$11,0)),"")))</f>
        <v/>
      </c>
      <c r="AO1145" s="4" t="n"/>
      <c r="AP1145" s="4" t="n"/>
      <c r="AQ1145" s="4" t="n"/>
      <c r="AR1145" s="5">
        <f>IF($AQ1145="","",HYPERLINK(p_ruta_base_checklists&amp;$AQ1145,"abrir"))</f>
        <v/>
      </c>
      <c r="AS1145" s="4" t="n"/>
      <c r="AT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2" t="n"/>
      <c r="K1146" s="5" t="n"/>
      <c r="L1146" s="18" t="n"/>
      <c r="M1146" s="5">
        <f>IF($A1146="","",IFERROR(INDEX('AJUSTES'!$B$4:$B$303,MATCH($AT1146,'AJUSTES'!$A$4:$A$303,0)),IF($K1146="","",$K1146)))</f>
        <v/>
      </c>
      <c r="N1146" s="5">
        <f>IF($A1146="","",IFERROR(INDEX('CAT_ESTADOS_ERP'!$B$4:$B$7,MATCH(IFERROR(INDEX('2_IMPORTAR_EJECUCION'!$C$9:$C$1208,MATCH($AT1146,'2_IMPORTAR_EJECUCION'!$J$9:$J$1208,0)),""),'CAT_ESTADOS_ERP'!$A$4:$A$7,0)),"Pendiente"))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IF($J1146="","",$P1146&amp;"-"&amp;TEXT($Q1146,"00"))</f>
        <v/>
      </c>
      <c r="S1146" s="5">
        <f>IF($J1146="","",INDEX(lista_dias,WEEKDAY($J1146,2)))</f>
        <v/>
      </c>
      <c r="T1146" s="5">
        <f>IF($J1146="","",IFERROR(INDEX('CALENDARIO'!$C$15:$C$214,MATCH(TEXT($J1146,"yyyy-mm-dd")&amp;"|"&amp;$X1146&amp;"|"&amp;$Y1146,'CALENDARIO'!$G$15:$G$214,0)),IFERROR(INDEX('CALENDARIO'!$C$15:$C$214,MATCH(TEXT($J1146,"yyyy-mm-dd")&amp;"|"&amp;$X1146&amp;"|",'CALENDARIO'!$G$15:$G$214,0)),IFERROR(INDEX('CALENDARIO'!$C$15:$C$214,MATCH(TEXT($J1146,"yyyy-mm-dd")&amp;"||",'CALENDARIO'!$G$15:$G$214,0)),INDEX(patronHabil,WEEKDAY($J1146,2))))))</f>
        <v/>
      </c>
      <c r="U1146" s="5">
        <f>IF($I1146="","",IFERROR(INDEX('CAT_TIPOS_OT'!$C$4:$C$8,MATCH($I1146,'CAT_TIPOS_OT'!$A$4:$A$8,0)),"sin_clasificar"))</f>
        <v/>
      </c>
      <c r="V1146" s="5">
        <f>IF($I1146="","",IF(IFERROR(INDEX('CAT_TIPOS_OT'!$D$4:$D$8,MATCH($I1146,'CAT_TIPOS_OT'!$A$4:$A$8,0)),"SIN CLASIFICAR")="","SIN CLASIFICAR",IFERROR(INDEX('CAT_TIPOS_OT'!$D$4:$D$8,MATCH($I1146,'CAT_TIPOS_OT'!$A$4:$A$8,0)),"SIN CLASIFICAR")))</f>
        <v/>
      </c>
      <c r="W1146" s="5">
        <f>IF($F1146="","",IFERROR(INDEX('CAT_CENTROS_COSTO'!$F$4:$F$13,MATCH($F1146,'CAT_CENTROS_COSTO'!$A$4:$A$13,0)),"(sin catálogo)"))</f>
        <v/>
      </c>
      <c r="X1146" s="5">
        <f>IF($F1146="","",IFERROR(INDEX('CAT_CENTROS_COSTO'!$D$4:$D$13,MATCH($F1146,'CAT_CENTROS_COSTO'!$A$4:$A$13,0)),"(sin catálogo)"))</f>
        <v/>
      </c>
      <c r="Y1146" s="5">
        <f>IF($F1146="","",IF((IFERROR(INDEX('CAT_CENTROS_COSTO'!$E$4:$E$13,MATCH($F1146,'CAT_CENTROS_COSTO'!$A$4:$A$13,0)),""))&lt;&gt;"",IFERROR(INDEX('CAT_CENTROS_COSTO'!$E$4:$E$13,MATCH($F1146,'CAT_CENTROS_COSTO'!$A$4:$A$13,0)),""),$X1146))</f>
        <v/>
      </c>
      <c r="Z1146" s="5">
        <f>IF($F1146="","",IFERROR(INDEX('CAT_CENTROS_COSTO'!$G$4:$G$13,MATCH($F1146,'CAT_CENTROS_COSTO'!$A$4:$A$13,0)),"(sin catálogo)"))</f>
        <v/>
      </c>
      <c r="AA1146" s="5">
        <f>IF($G1146="","",IFERROR(INDEX('CAT_PUESTOS'!$B$4:$B$8,MATCH($G1146,'CAT_PUESTOS'!$A$4:$A$8,0)),"(sin catálogo)"))</f>
        <v/>
      </c>
      <c r="AB1146" s="5">
        <f>IF($H1146="","",IFERROR(INDEX('CAT_ACTIVIDADES'!$B$4:$B$11,MATCH($H1146,'CAT_ACTIVIDADES'!$A$4:$A$11,0)),"(sin catálogo)"))</f>
        <v/>
      </c>
      <c r="AC1146" s="20">
        <f>IF($J1146="","",TODAY()-$J1146)</f>
        <v/>
      </c>
      <c r="AD1146" s="20">
        <f>IF($J1146="","",IF($J1146&lt;=TODAY(),COUNTIFS(cal_fechas,"&gt;="&amp;$J1146,cal_fechas,"&lt;"&amp;TODAY(),cal_habil,"sí"),-COUNTIFS(cal_fechas,"&gt;="&amp;TODAY(),cal_fechas,"&lt;"&amp;$J1146,cal_habil,"sí")))</f>
        <v/>
      </c>
      <c r="AE1146" s="5">
        <f>IF($AD1146="","",IF($AD1146&lt;0,"FUTURO",IF($AD1146&gt;p_dias_backlog_max,"BACKLOG","MES CORRIENTE")))</f>
        <v/>
      </c>
      <c r="AF1146" s="5">
        <f>IF($AD1146="",FALSE,AND($AD1146&gt;p_dias_backlog_min,$AD1146&lt;=p_dias_backlog_max))</f>
        <v/>
      </c>
      <c r="AG1146" s="4" t="n"/>
      <c r="AH1146" s="5">
        <f>IF($AG1146="","",IF((IFERROR(INDEX('ASIGNACIONES'!$J$4:$J$451,MATCH($O1146&amp;"|"&amp;$S1146&amp;"|"&amp;$AG1146,'ASIGNACIONES'!$N$4:$N$451,0)),""))=0,"",IFERROR(INDEX('ASIGNACIONES'!$J$4:$J$451,MATCH($O1146&amp;"|"&amp;$S1146&amp;"|"&amp;$AG1146,'ASIGNACIONES'!$N$4:$N$451,0)),"")))</f>
        <v/>
      </c>
      <c r="AI1146" s="25">
        <f>IF($AG1146="","",SUMIFS('ORDENES'!$M$4:$M$1203,'ORDENES'!$AG$4:$AG$1203,$AG1146,'ORDENES'!$O$4:$O$1203,$O1146,'ORDENES'!$S$4:$S$1203,$S1146))</f>
        <v/>
      </c>
      <c r="AJ1146" s="25">
        <f>IF($AI1146="","",p_factor_productividad*IFERROR(INDEX('ASIGNACIONES'!$M$4:$M$451,MATCH($O1146&amp;"|"&amp;$S1146&amp;"|"&amp;$AG1146,'ASIGNACIONES'!$N$4:$N$451,0)),0)-$AI1146)</f>
        <v/>
      </c>
      <c r="AK1146" s="18">
        <f>IF($A1146="","",IFERROR(INDEX('2_IMPORTAR_EJECUCION'!$F$9:$F$1208,MATCH($AT1146,'2_IMPORTAR_EJECUCION'!$J$9:$J$1208,0)),0))</f>
        <v/>
      </c>
      <c r="AL1146" s="18">
        <f>IF($A1146="","",MAX(0,IFERROR(INDEX('2_IMPORTAR_EJECUCION'!$H$9:$H$1208,MATCH($AT1146,'2_IMPORTAR_EJECUCION'!$J$9:$J$1208,0)),0)-$AK1146))</f>
        <v/>
      </c>
      <c r="AM1146" s="18">
        <f>IF($A1146="","",$AK1146+$AL1146)</f>
        <v/>
      </c>
      <c r="AN1146" s="5">
        <f>IF($A1146="","",IF(OR((IFERROR(INDEX('CAT_ACTIVIDADES'!$D$4:$D$11,MATCH($H1146,'CAT_ACTIVIDADES'!$A$4:$A$11,0)),""))=0,(IFERROR(INDEX('CAT_ACTIVIDADES'!$D$4:$D$11,MATCH($H1146,'CAT_ACTIVIDADES'!$A$4:$A$11,0)),""))=""),"SIN CLASIFICAR",IFERROR(INDEX('CAT_ACTIVIDADES'!$D$4:$D$11,MATCH($H1146,'CAT_ACTIVIDADES'!$A$4:$A$11,0)),"")))</f>
        <v/>
      </c>
      <c r="AO1146" s="4" t="n"/>
      <c r="AP1146" s="4" t="n"/>
      <c r="AQ1146" s="4" t="n"/>
      <c r="AR1146" s="5">
        <f>IF($AQ1146="","",HYPERLINK(p_ruta_base_checklists&amp;$AQ1146,"abrir"))</f>
        <v/>
      </c>
      <c r="AS1146" s="4" t="n"/>
      <c r="AT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2" t="n"/>
      <c r="K1147" s="5" t="n"/>
      <c r="L1147" s="18" t="n"/>
      <c r="M1147" s="5">
        <f>IF($A1147="","",IFERROR(INDEX('AJUSTES'!$B$4:$B$303,MATCH($AT1147,'AJUSTES'!$A$4:$A$303,0)),IF($K1147="","",$K1147)))</f>
        <v/>
      </c>
      <c r="N1147" s="5">
        <f>IF($A1147="","",IFERROR(INDEX('CAT_ESTADOS_ERP'!$B$4:$B$7,MATCH(IFERROR(INDEX('2_IMPORTAR_EJECUCION'!$C$9:$C$1208,MATCH($AT1147,'2_IMPORTAR_EJECUCION'!$J$9:$J$1208,0)),""),'CAT_ESTADOS_ERP'!$A$4:$A$7,0)),"Pendiente"))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IF($J1147="","",$P1147&amp;"-"&amp;TEXT($Q1147,"00"))</f>
        <v/>
      </c>
      <c r="S1147" s="5">
        <f>IF($J1147="","",INDEX(lista_dias,WEEKDAY($J1147,2)))</f>
        <v/>
      </c>
      <c r="T1147" s="5">
        <f>IF($J1147="","",IFERROR(INDEX('CALENDARIO'!$C$15:$C$214,MATCH(TEXT($J1147,"yyyy-mm-dd")&amp;"|"&amp;$X1147&amp;"|"&amp;$Y1147,'CALENDARIO'!$G$15:$G$214,0)),IFERROR(INDEX('CALENDARIO'!$C$15:$C$214,MATCH(TEXT($J1147,"yyyy-mm-dd")&amp;"|"&amp;$X1147&amp;"|",'CALENDARIO'!$G$15:$G$214,0)),IFERROR(INDEX('CALENDARIO'!$C$15:$C$214,MATCH(TEXT($J1147,"yyyy-mm-dd")&amp;"||",'CALENDARIO'!$G$15:$G$214,0)),INDEX(patronHabil,WEEKDAY($J1147,2))))))</f>
        <v/>
      </c>
      <c r="U1147" s="5">
        <f>IF($I1147="","",IFERROR(INDEX('CAT_TIPOS_OT'!$C$4:$C$8,MATCH($I1147,'CAT_TIPOS_OT'!$A$4:$A$8,0)),"sin_clasificar"))</f>
        <v/>
      </c>
      <c r="V1147" s="5">
        <f>IF($I1147="","",IF(IFERROR(INDEX('CAT_TIPOS_OT'!$D$4:$D$8,MATCH($I1147,'CAT_TIPOS_OT'!$A$4:$A$8,0)),"SIN CLASIFICAR")="","SIN CLASIFICAR",IFERROR(INDEX('CAT_TIPOS_OT'!$D$4:$D$8,MATCH($I1147,'CAT_TIPOS_OT'!$A$4:$A$8,0)),"SIN CLASIFICAR")))</f>
        <v/>
      </c>
      <c r="W1147" s="5">
        <f>IF($F1147="","",IFERROR(INDEX('CAT_CENTROS_COSTO'!$F$4:$F$13,MATCH($F1147,'CAT_CENTROS_COSTO'!$A$4:$A$13,0)),"(sin catálogo)"))</f>
        <v/>
      </c>
      <c r="X1147" s="5">
        <f>IF($F1147="","",IFERROR(INDEX('CAT_CENTROS_COSTO'!$D$4:$D$13,MATCH($F1147,'CAT_CENTROS_COSTO'!$A$4:$A$13,0)),"(sin catálogo)"))</f>
        <v/>
      </c>
      <c r="Y1147" s="5">
        <f>IF($F1147="","",IF((IFERROR(INDEX('CAT_CENTROS_COSTO'!$E$4:$E$13,MATCH($F1147,'CAT_CENTROS_COSTO'!$A$4:$A$13,0)),""))&lt;&gt;"",IFERROR(INDEX('CAT_CENTROS_COSTO'!$E$4:$E$13,MATCH($F1147,'CAT_CENTROS_COSTO'!$A$4:$A$13,0)),""),$X1147))</f>
        <v/>
      </c>
      <c r="Z1147" s="5">
        <f>IF($F1147="","",IFERROR(INDEX('CAT_CENTROS_COSTO'!$G$4:$G$13,MATCH($F1147,'CAT_CENTROS_COSTO'!$A$4:$A$13,0)),"(sin catálogo)"))</f>
        <v/>
      </c>
      <c r="AA1147" s="5">
        <f>IF($G1147="","",IFERROR(INDEX('CAT_PUESTOS'!$B$4:$B$8,MATCH($G1147,'CAT_PUESTOS'!$A$4:$A$8,0)),"(sin catálogo)"))</f>
        <v/>
      </c>
      <c r="AB1147" s="5">
        <f>IF($H1147="","",IFERROR(INDEX('CAT_ACTIVIDADES'!$B$4:$B$11,MATCH($H1147,'CAT_ACTIVIDADES'!$A$4:$A$11,0)),"(sin catálogo)"))</f>
        <v/>
      </c>
      <c r="AC1147" s="20">
        <f>IF($J1147="","",TODAY()-$J1147)</f>
        <v/>
      </c>
      <c r="AD1147" s="20">
        <f>IF($J1147="","",IF($J1147&lt;=TODAY(),COUNTIFS(cal_fechas,"&gt;="&amp;$J1147,cal_fechas,"&lt;"&amp;TODAY(),cal_habil,"sí"),-COUNTIFS(cal_fechas,"&gt;="&amp;TODAY(),cal_fechas,"&lt;"&amp;$J1147,cal_habil,"sí")))</f>
        <v/>
      </c>
      <c r="AE1147" s="5">
        <f>IF($AD1147="","",IF($AD1147&lt;0,"FUTURO",IF($AD1147&gt;p_dias_backlog_max,"BACKLOG","MES CORRIENTE")))</f>
        <v/>
      </c>
      <c r="AF1147" s="5">
        <f>IF($AD1147="",FALSE,AND($AD1147&gt;p_dias_backlog_min,$AD1147&lt;=p_dias_backlog_max))</f>
        <v/>
      </c>
      <c r="AG1147" s="4" t="n"/>
      <c r="AH1147" s="5">
        <f>IF($AG1147="","",IF((IFERROR(INDEX('ASIGNACIONES'!$J$4:$J$451,MATCH($O1147&amp;"|"&amp;$S1147&amp;"|"&amp;$AG1147,'ASIGNACIONES'!$N$4:$N$451,0)),""))=0,"",IFERROR(INDEX('ASIGNACIONES'!$J$4:$J$451,MATCH($O1147&amp;"|"&amp;$S1147&amp;"|"&amp;$AG1147,'ASIGNACIONES'!$N$4:$N$451,0)),"")))</f>
        <v/>
      </c>
      <c r="AI1147" s="25">
        <f>IF($AG1147="","",SUMIFS('ORDENES'!$M$4:$M$1203,'ORDENES'!$AG$4:$AG$1203,$AG1147,'ORDENES'!$O$4:$O$1203,$O1147,'ORDENES'!$S$4:$S$1203,$S1147))</f>
        <v/>
      </c>
      <c r="AJ1147" s="25">
        <f>IF($AI1147="","",p_factor_productividad*IFERROR(INDEX('ASIGNACIONES'!$M$4:$M$451,MATCH($O1147&amp;"|"&amp;$S1147&amp;"|"&amp;$AG1147,'ASIGNACIONES'!$N$4:$N$451,0)),0)-$AI1147)</f>
        <v/>
      </c>
      <c r="AK1147" s="18">
        <f>IF($A1147="","",IFERROR(INDEX('2_IMPORTAR_EJECUCION'!$F$9:$F$1208,MATCH($AT1147,'2_IMPORTAR_EJECUCION'!$J$9:$J$1208,0)),0))</f>
        <v/>
      </c>
      <c r="AL1147" s="18">
        <f>IF($A1147="","",MAX(0,IFERROR(INDEX('2_IMPORTAR_EJECUCION'!$H$9:$H$1208,MATCH($AT1147,'2_IMPORTAR_EJECUCION'!$J$9:$J$1208,0)),0)-$AK1147))</f>
        <v/>
      </c>
      <c r="AM1147" s="18">
        <f>IF($A1147="","",$AK1147+$AL1147)</f>
        <v/>
      </c>
      <c r="AN1147" s="5">
        <f>IF($A1147="","",IF(OR((IFERROR(INDEX('CAT_ACTIVIDADES'!$D$4:$D$11,MATCH($H1147,'CAT_ACTIVIDADES'!$A$4:$A$11,0)),""))=0,(IFERROR(INDEX('CAT_ACTIVIDADES'!$D$4:$D$11,MATCH($H1147,'CAT_ACTIVIDADES'!$A$4:$A$11,0)),""))=""),"SIN CLASIFICAR",IFERROR(INDEX('CAT_ACTIVIDADES'!$D$4:$D$11,MATCH($H1147,'CAT_ACTIVIDADES'!$A$4:$A$11,0)),"")))</f>
        <v/>
      </c>
      <c r="AO1147" s="4" t="n"/>
      <c r="AP1147" s="4" t="n"/>
      <c r="AQ1147" s="4" t="n"/>
      <c r="AR1147" s="5">
        <f>IF($AQ1147="","",HYPERLINK(p_ruta_base_checklists&amp;$AQ1147,"abrir"))</f>
        <v/>
      </c>
      <c r="AS1147" s="4" t="n"/>
      <c r="AT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2" t="n"/>
      <c r="K1148" s="5" t="n"/>
      <c r="L1148" s="18" t="n"/>
      <c r="M1148" s="5">
        <f>IF($A1148="","",IFERROR(INDEX('AJUSTES'!$B$4:$B$303,MATCH($AT1148,'AJUSTES'!$A$4:$A$303,0)),IF($K1148="","",$K1148)))</f>
        <v/>
      </c>
      <c r="N1148" s="5">
        <f>IF($A1148="","",IFERROR(INDEX('CAT_ESTADOS_ERP'!$B$4:$B$7,MATCH(IFERROR(INDEX('2_IMPORTAR_EJECUCION'!$C$9:$C$1208,MATCH($AT1148,'2_IMPORTAR_EJECUCION'!$J$9:$J$1208,0)),""),'CAT_ESTADOS_ERP'!$A$4:$A$7,0)),"Pendiente"))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IF($J1148="","",$P1148&amp;"-"&amp;TEXT($Q1148,"00"))</f>
        <v/>
      </c>
      <c r="S1148" s="5">
        <f>IF($J1148="","",INDEX(lista_dias,WEEKDAY($J1148,2)))</f>
        <v/>
      </c>
      <c r="T1148" s="5">
        <f>IF($J1148="","",IFERROR(INDEX('CALENDARIO'!$C$15:$C$214,MATCH(TEXT($J1148,"yyyy-mm-dd")&amp;"|"&amp;$X1148&amp;"|"&amp;$Y1148,'CALENDARIO'!$G$15:$G$214,0)),IFERROR(INDEX('CALENDARIO'!$C$15:$C$214,MATCH(TEXT($J1148,"yyyy-mm-dd")&amp;"|"&amp;$X1148&amp;"|",'CALENDARIO'!$G$15:$G$214,0)),IFERROR(INDEX('CALENDARIO'!$C$15:$C$214,MATCH(TEXT($J1148,"yyyy-mm-dd")&amp;"||",'CALENDARIO'!$G$15:$G$214,0)),INDEX(patronHabil,WEEKDAY($J1148,2))))))</f>
        <v/>
      </c>
      <c r="U1148" s="5">
        <f>IF($I1148="","",IFERROR(INDEX('CAT_TIPOS_OT'!$C$4:$C$8,MATCH($I1148,'CAT_TIPOS_OT'!$A$4:$A$8,0)),"sin_clasificar"))</f>
        <v/>
      </c>
      <c r="V1148" s="5">
        <f>IF($I1148="","",IF(IFERROR(INDEX('CAT_TIPOS_OT'!$D$4:$D$8,MATCH($I1148,'CAT_TIPOS_OT'!$A$4:$A$8,0)),"SIN CLASIFICAR")="","SIN CLASIFICAR",IFERROR(INDEX('CAT_TIPOS_OT'!$D$4:$D$8,MATCH($I1148,'CAT_TIPOS_OT'!$A$4:$A$8,0)),"SIN CLASIFICAR")))</f>
        <v/>
      </c>
      <c r="W1148" s="5">
        <f>IF($F1148="","",IFERROR(INDEX('CAT_CENTROS_COSTO'!$F$4:$F$13,MATCH($F1148,'CAT_CENTROS_COSTO'!$A$4:$A$13,0)),"(sin catálogo)"))</f>
        <v/>
      </c>
      <c r="X1148" s="5">
        <f>IF($F1148="","",IFERROR(INDEX('CAT_CENTROS_COSTO'!$D$4:$D$13,MATCH($F1148,'CAT_CENTROS_COSTO'!$A$4:$A$13,0)),"(sin catálogo)"))</f>
        <v/>
      </c>
      <c r="Y1148" s="5">
        <f>IF($F1148="","",IF((IFERROR(INDEX('CAT_CENTROS_COSTO'!$E$4:$E$13,MATCH($F1148,'CAT_CENTROS_COSTO'!$A$4:$A$13,0)),""))&lt;&gt;"",IFERROR(INDEX('CAT_CENTROS_COSTO'!$E$4:$E$13,MATCH($F1148,'CAT_CENTROS_COSTO'!$A$4:$A$13,0)),""),$X1148))</f>
        <v/>
      </c>
      <c r="Z1148" s="5">
        <f>IF($F1148="","",IFERROR(INDEX('CAT_CENTROS_COSTO'!$G$4:$G$13,MATCH($F1148,'CAT_CENTROS_COSTO'!$A$4:$A$13,0)),"(sin catálogo)"))</f>
        <v/>
      </c>
      <c r="AA1148" s="5">
        <f>IF($G1148="","",IFERROR(INDEX('CAT_PUESTOS'!$B$4:$B$8,MATCH($G1148,'CAT_PUESTOS'!$A$4:$A$8,0)),"(sin catálogo)"))</f>
        <v/>
      </c>
      <c r="AB1148" s="5">
        <f>IF($H1148="","",IFERROR(INDEX('CAT_ACTIVIDADES'!$B$4:$B$11,MATCH($H1148,'CAT_ACTIVIDADES'!$A$4:$A$11,0)),"(sin catálogo)"))</f>
        <v/>
      </c>
      <c r="AC1148" s="20">
        <f>IF($J1148="","",TODAY()-$J1148)</f>
        <v/>
      </c>
      <c r="AD1148" s="20">
        <f>IF($J1148="","",IF($J1148&lt;=TODAY(),COUNTIFS(cal_fechas,"&gt;="&amp;$J1148,cal_fechas,"&lt;"&amp;TODAY(),cal_habil,"sí"),-COUNTIFS(cal_fechas,"&gt;="&amp;TODAY(),cal_fechas,"&lt;"&amp;$J1148,cal_habil,"sí")))</f>
        <v/>
      </c>
      <c r="AE1148" s="5">
        <f>IF($AD1148="","",IF($AD1148&lt;0,"FUTURO",IF($AD1148&gt;p_dias_backlog_max,"BACKLOG","MES CORRIENTE")))</f>
        <v/>
      </c>
      <c r="AF1148" s="5">
        <f>IF($AD1148="",FALSE,AND($AD1148&gt;p_dias_backlog_min,$AD1148&lt;=p_dias_backlog_max))</f>
        <v/>
      </c>
      <c r="AG1148" s="4" t="n"/>
      <c r="AH1148" s="5">
        <f>IF($AG1148="","",IF((IFERROR(INDEX('ASIGNACIONES'!$J$4:$J$451,MATCH($O1148&amp;"|"&amp;$S1148&amp;"|"&amp;$AG1148,'ASIGNACIONES'!$N$4:$N$451,0)),""))=0,"",IFERROR(INDEX('ASIGNACIONES'!$J$4:$J$451,MATCH($O1148&amp;"|"&amp;$S1148&amp;"|"&amp;$AG1148,'ASIGNACIONES'!$N$4:$N$451,0)),"")))</f>
        <v/>
      </c>
      <c r="AI1148" s="25">
        <f>IF($AG1148="","",SUMIFS('ORDENES'!$M$4:$M$1203,'ORDENES'!$AG$4:$AG$1203,$AG1148,'ORDENES'!$O$4:$O$1203,$O1148,'ORDENES'!$S$4:$S$1203,$S1148))</f>
        <v/>
      </c>
      <c r="AJ1148" s="25">
        <f>IF($AI1148="","",p_factor_productividad*IFERROR(INDEX('ASIGNACIONES'!$M$4:$M$451,MATCH($O1148&amp;"|"&amp;$S1148&amp;"|"&amp;$AG1148,'ASIGNACIONES'!$N$4:$N$451,0)),0)-$AI1148)</f>
        <v/>
      </c>
      <c r="AK1148" s="18">
        <f>IF($A1148="","",IFERROR(INDEX('2_IMPORTAR_EJECUCION'!$F$9:$F$1208,MATCH($AT1148,'2_IMPORTAR_EJECUCION'!$J$9:$J$1208,0)),0))</f>
        <v/>
      </c>
      <c r="AL1148" s="18">
        <f>IF($A1148="","",MAX(0,IFERROR(INDEX('2_IMPORTAR_EJECUCION'!$H$9:$H$1208,MATCH($AT1148,'2_IMPORTAR_EJECUCION'!$J$9:$J$1208,0)),0)-$AK1148))</f>
        <v/>
      </c>
      <c r="AM1148" s="18">
        <f>IF($A1148="","",$AK1148+$AL1148)</f>
        <v/>
      </c>
      <c r="AN1148" s="5">
        <f>IF($A1148="","",IF(OR((IFERROR(INDEX('CAT_ACTIVIDADES'!$D$4:$D$11,MATCH($H1148,'CAT_ACTIVIDADES'!$A$4:$A$11,0)),""))=0,(IFERROR(INDEX('CAT_ACTIVIDADES'!$D$4:$D$11,MATCH($H1148,'CAT_ACTIVIDADES'!$A$4:$A$11,0)),""))=""),"SIN CLASIFICAR",IFERROR(INDEX('CAT_ACTIVIDADES'!$D$4:$D$11,MATCH($H1148,'CAT_ACTIVIDADES'!$A$4:$A$11,0)),"")))</f>
        <v/>
      </c>
      <c r="AO1148" s="4" t="n"/>
      <c r="AP1148" s="4" t="n"/>
      <c r="AQ1148" s="4" t="n"/>
      <c r="AR1148" s="5">
        <f>IF($AQ1148="","",HYPERLINK(p_ruta_base_checklists&amp;$AQ1148,"abrir"))</f>
        <v/>
      </c>
      <c r="AS1148" s="4" t="n"/>
      <c r="AT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2" t="n"/>
      <c r="K1149" s="5" t="n"/>
      <c r="L1149" s="18" t="n"/>
      <c r="M1149" s="5">
        <f>IF($A1149="","",IFERROR(INDEX('AJUSTES'!$B$4:$B$303,MATCH($AT1149,'AJUSTES'!$A$4:$A$303,0)),IF($K1149="","",$K1149)))</f>
        <v/>
      </c>
      <c r="N1149" s="5">
        <f>IF($A1149="","",IFERROR(INDEX('CAT_ESTADOS_ERP'!$B$4:$B$7,MATCH(IFERROR(INDEX('2_IMPORTAR_EJECUCION'!$C$9:$C$1208,MATCH($AT1149,'2_IMPORTAR_EJECUCION'!$J$9:$J$1208,0)),""),'CAT_ESTADOS_ERP'!$A$4:$A$7,0)),"Pendiente"))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IF($J1149="","",$P1149&amp;"-"&amp;TEXT($Q1149,"00"))</f>
        <v/>
      </c>
      <c r="S1149" s="5">
        <f>IF($J1149="","",INDEX(lista_dias,WEEKDAY($J1149,2)))</f>
        <v/>
      </c>
      <c r="T1149" s="5">
        <f>IF($J1149="","",IFERROR(INDEX('CALENDARIO'!$C$15:$C$214,MATCH(TEXT($J1149,"yyyy-mm-dd")&amp;"|"&amp;$X1149&amp;"|"&amp;$Y1149,'CALENDARIO'!$G$15:$G$214,0)),IFERROR(INDEX('CALENDARIO'!$C$15:$C$214,MATCH(TEXT($J1149,"yyyy-mm-dd")&amp;"|"&amp;$X1149&amp;"|",'CALENDARIO'!$G$15:$G$214,0)),IFERROR(INDEX('CALENDARIO'!$C$15:$C$214,MATCH(TEXT($J1149,"yyyy-mm-dd")&amp;"||",'CALENDARIO'!$G$15:$G$214,0)),INDEX(patronHabil,WEEKDAY($J1149,2))))))</f>
        <v/>
      </c>
      <c r="U1149" s="5">
        <f>IF($I1149="","",IFERROR(INDEX('CAT_TIPOS_OT'!$C$4:$C$8,MATCH($I1149,'CAT_TIPOS_OT'!$A$4:$A$8,0)),"sin_clasificar"))</f>
        <v/>
      </c>
      <c r="V1149" s="5">
        <f>IF($I1149="","",IF(IFERROR(INDEX('CAT_TIPOS_OT'!$D$4:$D$8,MATCH($I1149,'CAT_TIPOS_OT'!$A$4:$A$8,0)),"SIN CLASIFICAR")="","SIN CLASIFICAR",IFERROR(INDEX('CAT_TIPOS_OT'!$D$4:$D$8,MATCH($I1149,'CAT_TIPOS_OT'!$A$4:$A$8,0)),"SIN CLASIFICAR")))</f>
        <v/>
      </c>
      <c r="W1149" s="5">
        <f>IF($F1149="","",IFERROR(INDEX('CAT_CENTROS_COSTO'!$F$4:$F$13,MATCH($F1149,'CAT_CENTROS_COSTO'!$A$4:$A$13,0)),"(sin catálogo)"))</f>
        <v/>
      </c>
      <c r="X1149" s="5">
        <f>IF($F1149="","",IFERROR(INDEX('CAT_CENTROS_COSTO'!$D$4:$D$13,MATCH($F1149,'CAT_CENTROS_COSTO'!$A$4:$A$13,0)),"(sin catálogo)"))</f>
        <v/>
      </c>
      <c r="Y1149" s="5">
        <f>IF($F1149="","",IF((IFERROR(INDEX('CAT_CENTROS_COSTO'!$E$4:$E$13,MATCH($F1149,'CAT_CENTROS_COSTO'!$A$4:$A$13,0)),""))&lt;&gt;"",IFERROR(INDEX('CAT_CENTROS_COSTO'!$E$4:$E$13,MATCH($F1149,'CAT_CENTROS_COSTO'!$A$4:$A$13,0)),""),$X1149))</f>
        <v/>
      </c>
      <c r="Z1149" s="5">
        <f>IF($F1149="","",IFERROR(INDEX('CAT_CENTROS_COSTO'!$G$4:$G$13,MATCH($F1149,'CAT_CENTROS_COSTO'!$A$4:$A$13,0)),"(sin catálogo)"))</f>
        <v/>
      </c>
      <c r="AA1149" s="5">
        <f>IF($G1149="","",IFERROR(INDEX('CAT_PUESTOS'!$B$4:$B$8,MATCH($G1149,'CAT_PUESTOS'!$A$4:$A$8,0)),"(sin catálogo)"))</f>
        <v/>
      </c>
      <c r="AB1149" s="5">
        <f>IF($H1149="","",IFERROR(INDEX('CAT_ACTIVIDADES'!$B$4:$B$11,MATCH($H1149,'CAT_ACTIVIDADES'!$A$4:$A$11,0)),"(sin catálogo)"))</f>
        <v/>
      </c>
      <c r="AC1149" s="20">
        <f>IF($J1149="","",TODAY()-$J1149)</f>
        <v/>
      </c>
      <c r="AD1149" s="20">
        <f>IF($J1149="","",IF($J1149&lt;=TODAY(),COUNTIFS(cal_fechas,"&gt;="&amp;$J1149,cal_fechas,"&lt;"&amp;TODAY(),cal_habil,"sí"),-COUNTIFS(cal_fechas,"&gt;="&amp;TODAY(),cal_fechas,"&lt;"&amp;$J1149,cal_habil,"sí")))</f>
        <v/>
      </c>
      <c r="AE1149" s="5">
        <f>IF($AD1149="","",IF($AD1149&lt;0,"FUTURO",IF($AD1149&gt;p_dias_backlog_max,"BACKLOG","MES CORRIENTE")))</f>
        <v/>
      </c>
      <c r="AF1149" s="5">
        <f>IF($AD1149="",FALSE,AND($AD1149&gt;p_dias_backlog_min,$AD1149&lt;=p_dias_backlog_max))</f>
        <v/>
      </c>
      <c r="AG1149" s="4" t="n"/>
      <c r="AH1149" s="5">
        <f>IF($AG1149="","",IF((IFERROR(INDEX('ASIGNACIONES'!$J$4:$J$451,MATCH($O1149&amp;"|"&amp;$S1149&amp;"|"&amp;$AG1149,'ASIGNACIONES'!$N$4:$N$451,0)),""))=0,"",IFERROR(INDEX('ASIGNACIONES'!$J$4:$J$451,MATCH($O1149&amp;"|"&amp;$S1149&amp;"|"&amp;$AG1149,'ASIGNACIONES'!$N$4:$N$451,0)),"")))</f>
        <v/>
      </c>
      <c r="AI1149" s="25">
        <f>IF($AG1149="","",SUMIFS('ORDENES'!$M$4:$M$1203,'ORDENES'!$AG$4:$AG$1203,$AG1149,'ORDENES'!$O$4:$O$1203,$O1149,'ORDENES'!$S$4:$S$1203,$S1149))</f>
        <v/>
      </c>
      <c r="AJ1149" s="25">
        <f>IF($AI1149="","",p_factor_productividad*IFERROR(INDEX('ASIGNACIONES'!$M$4:$M$451,MATCH($O1149&amp;"|"&amp;$S1149&amp;"|"&amp;$AG1149,'ASIGNACIONES'!$N$4:$N$451,0)),0)-$AI1149)</f>
        <v/>
      </c>
      <c r="AK1149" s="18">
        <f>IF($A1149="","",IFERROR(INDEX('2_IMPORTAR_EJECUCION'!$F$9:$F$1208,MATCH($AT1149,'2_IMPORTAR_EJECUCION'!$J$9:$J$1208,0)),0))</f>
        <v/>
      </c>
      <c r="AL1149" s="18">
        <f>IF($A1149="","",MAX(0,IFERROR(INDEX('2_IMPORTAR_EJECUCION'!$H$9:$H$1208,MATCH($AT1149,'2_IMPORTAR_EJECUCION'!$J$9:$J$1208,0)),0)-$AK1149))</f>
        <v/>
      </c>
      <c r="AM1149" s="18">
        <f>IF($A1149="","",$AK1149+$AL1149)</f>
        <v/>
      </c>
      <c r="AN1149" s="5">
        <f>IF($A1149="","",IF(OR((IFERROR(INDEX('CAT_ACTIVIDADES'!$D$4:$D$11,MATCH($H1149,'CAT_ACTIVIDADES'!$A$4:$A$11,0)),""))=0,(IFERROR(INDEX('CAT_ACTIVIDADES'!$D$4:$D$11,MATCH($H1149,'CAT_ACTIVIDADES'!$A$4:$A$11,0)),""))=""),"SIN CLASIFICAR",IFERROR(INDEX('CAT_ACTIVIDADES'!$D$4:$D$11,MATCH($H1149,'CAT_ACTIVIDADES'!$A$4:$A$11,0)),"")))</f>
        <v/>
      </c>
      <c r="AO1149" s="4" t="n"/>
      <c r="AP1149" s="4" t="n"/>
      <c r="AQ1149" s="4" t="n"/>
      <c r="AR1149" s="5">
        <f>IF($AQ1149="","",HYPERLINK(p_ruta_base_checklists&amp;$AQ1149,"abrir"))</f>
        <v/>
      </c>
      <c r="AS1149" s="4" t="n"/>
      <c r="AT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2" t="n"/>
      <c r="K1150" s="5" t="n"/>
      <c r="L1150" s="18" t="n"/>
      <c r="M1150" s="5">
        <f>IF($A1150="","",IFERROR(INDEX('AJUSTES'!$B$4:$B$303,MATCH($AT1150,'AJUSTES'!$A$4:$A$303,0)),IF($K1150="","",$K1150)))</f>
        <v/>
      </c>
      <c r="N1150" s="5">
        <f>IF($A1150="","",IFERROR(INDEX('CAT_ESTADOS_ERP'!$B$4:$B$7,MATCH(IFERROR(INDEX('2_IMPORTAR_EJECUCION'!$C$9:$C$1208,MATCH($AT1150,'2_IMPORTAR_EJECUCION'!$J$9:$J$1208,0)),""),'CAT_ESTADOS_ERP'!$A$4:$A$7,0)),"Pendiente"))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IF($J1150="","",$P1150&amp;"-"&amp;TEXT($Q1150,"00"))</f>
        <v/>
      </c>
      <c r="S1150" s="5">
        <f>IF($J1150="","",INDEX(lista_dias,WEEKDAY($J1150,2)))</f>
        <v/>
      </c>
      <c r="T1150" s="5">
        <f>IF($J1150="","",IFERROR(INDEX('CALENDARIO'!$C$15:$C$214,MATCH(TEXT($J1150,"yyyy-mm-dd")&amp;"|"&amp;$X1150&amp;"|"&amp;$Y1150,'CALENDARIO'!$G$15:$G$214,0)),IFERROR(INDEX('CALENDARIO'!$C$15:$C$214,MATCH(TEXT($J1150,"yyyy-mm-dd")&amp;"|"&amp;$X1150&amp;"|",'CALENDARIO'!$G$15:$G$214,0)),IFERROR(INDEX('CALENDARIO'!$C$15:$C$214,MATCH(TEXT($J1150,"yyyy-mm-dd")&amp;"||",'CALENDARIO'!$G$15:$G$214,0)),INDEX(patronHabil,WEEKDAY($J1150,2))))))</f>
        <v/>
      </c>
      <c r="U1150" s="5">
        <f>IF($I1150="","",IFERROR(INDEX('CAT_TIPOS_OT'!$C$4:$C$8,MATCH($I1150,'CAT_TIPOS_OT'!$A$4:$A$8,0)),"sin_clasificar"))</f>
        <v/>
      </c>
      <c r="V1150" s="5">
        <f>IF($I1150="","",IF(IFERROR(INDEX('CAT_TIPOS_OT'!$D$4:$D$8,MATCH($I1150,'CAT_TIPOS_OT'!$A$4:$A$8,0)),"SIN CLASIFICAR")="","SIN CLASIFICAR",IFERROR(INDEX('CAT_TIPOS_OT'!$D$4:$D$8,MATCH($I1150,'CAT_TIPOS_OT'!$A$4:$A$8,0)),"SIN CLASIFICAR")))</f>
        <v/>
      </c>
      <c r="W1150" s="5">
        <f>IF($F1150="","",IFERROR(INDEX('CAT_CENTROS_COSTO'!$F$4:$F$13,MATCH($F1150,'CAT_CENTROS_COSTO'!$A$4:$A$13,0)),"(sin catálogo)"))</f>
        <v/>
      </c>
      <c r="X1150" s="5">
        <f>IF($F1150="","",IFERROR(INDEX('CAT_CENTROS_COSTO'!$D$4:$D$13,MATCH($F1150,'CAT_CENTROS_COSTO'!$A$4:$A$13,0)),"(sin catálogo)"))</f>
        <v/>
      </c>
      <c r="Y1150" s="5">
        <f>IF($F1150="","",IF((IFERROR(INDEX('CAT_CENTROS_COSTO'!$E$4:$E$13,MATCH($F1150,'CAT_CENTROS_COSTO'!$A$4:$A$13,0)),""))&lt;&gt;"",IFERROR(INDEX('CAT_CENTROS_COSTO'!$E$4:$E$13,MATCH($F1150,'CAT_CENTROS_COSTO'!$A$4:$A$13,0)),""),$X1150))</f>
        <v/>
      </c>
      <c r="Z1150" s="5">
        <f>IF($F1150="","",IFERROR(INDEX('CAT_CENTROS_COSTO'!$G$4:$G$13,MATCH($F1150,'CAT_CENTROS_COSTO'!$A$4:$A$13,0)),"(sin catálogo)"))</f>
        <v/>
      </c>
      <c r="AA1150" s="5">
        <f>IF($G1150="","",IFERROR(INDEX('CAT_PUESTOS'!$B$4:$B$8,MATCH($G1150,'CAT_PUESTOS'!$A$4:$A$8,0)),"(sin catálogo)"))</f>
        <v/>
      </c>
      <c r="AB1150" s="5">
        <f>IF($H1150="","",IFERROR(INDEX('CAT_ACTIVIDADES'!$B$4:$B$11,MATCH($H1150,'CAT_ACTIVIDADES'!$A$4:$A$11,0)),"(sin catálogo)"))</f>
        <v/>
      </c>
      <c r="AC1150" s="20">
        <f>IF($J1150="","",TODAY()-$J1150)</f>
        <v/>
      </c>
      <c r="AD1150" s="20">
        <f>IF($J1150="","",IF($J1150&lt;=TODAY(),COUNTIFS(cal_fechas,"&gt;="&amp;$J1150,cal_fechas,"&lt;"&amp;TODAY(),cal_habil,"sí"),-COUNTIFS(cal_fechas,"&gt;="&amp;TODAY(),cal_fechas,"&lt;"&amp;$J1150,cal_habil,"sí")))</f>
        <v/>
      </c>
      <c r="AE1150" s="5">
        <f>IF($AD1150="","",IF($AD1150&lt;0,"FUTURO",IF($AD1150&gt;p_dias_backlog_max,"BACKLOG","MES CORRIENTE")))</f>
        <v/>
      </c>
      <c r="AF1150" s="5">
        <f>IF($AD1150="",FALSE,AND($AD1150&gt;p_dias_backlog_min,$AD1150&lt;=p_dias_backlog_max))</f>
        <v/>
      </c>
      <c r="AG1150" s="4" t="n"/>
      <c r="AH1150" s="5">
        <f>IF($AG1150="","",IF((IFERROR(INDEX('ASIGNACIONES'!$J$4:$J$451,MATCH($O1150&amp;"|"&amp;$S1150&amp;"|"&amp;$AG1150,'ASIGNACIONES'!$N$4:$N$451,0)),""))=0,"",IFERROR(INDEX('ASIGNACIONES'!$J$4:$J$451,MATCH($O1150&amp;"|"&amp;$S1150&amp;"|"&amp;$AG1150,'ASIGNACIONES'!$N$4:$N$451,0)),"")))</f>
        <v/>
      </c>
      <c r="AI1150" s="25">
        <f>IF($AG1150="","",SUMIFS('ORDENES'!$M$4:$M$1203,'ORDENES'!$AG$4:$AG$1203,$AG1150,'ORDENES'!$O$4:$O$1203,$O1150,'ORDENES'!$S$4:$S$1203,$S1150))</f>
        <v/>
      </c>
      <c r="AJ1150" s="25">
        <f>IF($AI1150="","",p_factor_productividad*IFERROR(INDEX('ASIGNACIONES'!$M$4:$M$451,MATCH($O1150&amp;"|"&amp;$S1150&amp;"|"&amp;$AG1150,'ASIGNACIONES'!$N$4:$N$451,0)),0)-$AI1150)</f>
        <v/>
      </c>
      <c r="AK1150" s="18">
        <f>IF($A1150="","",IFERROR(INDEX('2_IMPORTAR_EJECUCION'!$F$9:$F$1208,MATCH($AT1150,'2_IMPORTAR_EJECUCION'!$J$9:$J$1208,0)),0))</f>
        <v/>
      </c>
      <c r="AL1150" s="18">
        <f>IF($A1150="","",MAX(0,IFERROR(INDEX('2_IMPORTAR_EJECUCION'!$H$9:$H$1208,MATCH($AT1150,'2_IMPORTAR_EJECUCION'!$J$9:$J$1208,0)),0)-$AK1150))</f>
        <v/>
      </c>
      <c r="AM1150" s="18">
        <f>IF($A1150="","",$AK1150+$AL1150)</f>
        <v/>
      </c>
      <c r="AN1150" s="5">
        <f>IF($A1150="","",IF(OR((IFERROR(INDEX('CAT_ACTIVIDADES'!$D$4:$D$11,MATCH($H1150,'CAT_ACTIVIDADES'!$A$4:$A$11,0)),""))=0,(IFERROR(INDEX('CAT_ACTIVIDADES'!$D$4:$D$11,MATCH($H1150,'CAT_ACTIVIDADES'!$A$4:$A$11,0)),""))=""),"SIN CLASIFICAR",IFERROR(INDEX('CAT_ACTIVIDADES'!$D$4:$D$11,MATCH($H1150,'CAT_ACTIVIDADES'!$A$4:$A$11,0)),"")))</f>
        <v/>
      </c>
      <c r="AO1150" s="4" t="n"/>
      <c r="AP1150" s="4" t="n"/>
      <c r="AQ1150" s="4" t="n"/>
      <c r="AR1150" s="5">
        <f>IF($AQ1150="","",HYPERLINK(p_ruta_base_checklists&amp;$AQ1150,"abrir"))</f>
        <v/>
      </c>
      <c r="AS1150" s="4" t="n"/>
      <c r="AT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2" t="n"/>
      <c r="K1151" s="5" t="n"/>
      <c r="L1151" s="18" t="n"/>
      <c r="M1151" s="5">
        <f>IF($A1151="","",IFERROR(INDEX('AJUSTES'!$B$4:$B$303,MATCH($AT1151,'AJUSTES'!$A$4:$A$303,0)),IF($K1151="","",$K1151)))</f>
        <v/>
      </c>
      <c r="N1151" s="5">
        <f>IF($A1151="","",IFERROR(INDEX('CAT_ESTADOS_ERP'!$B$4:$B$7,MATCH(IFERROR(INDEX('2_IMPORTAR_EJECUCION'!$C$9:$C$1208,MATCH($AT1151,'2_IMPORTAR_EJECUCION'!$J$9:$J$1208,0)),""),'CAT_ESTADOS_ERP'!$A$4:$A$7,0)),"Pendiente"))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IF($J1151="","",$P1151&amp;"-"&amp;TEXT($Q1151,"00"))</f>
        <v/>
      </c>
      <c r="S1151" s="5">
        <f>IF($J1151="","",INDEX(lista_dias,WEEKDAY($J1151,2)))</f>
        <v/>
      </c>
      <c r="T1151" s="5">
        <f>IF($J1151="","",IFERROR(INDEX('CALENDARIO'!$C$15:$C$214,MATCH(TEXT($J1151,"yyyy-mm-dd")&amp;"|"&amp;$X1151&amp;"|"&amp;$Y1151,'CALENDARIO'!$G$15:$G$214,0)),IFERROR(INDEX('CALENDARIO'!$C$15:$C$214,MATCH(TEXT($J1151,"yyyy-mm-dd")&amp;"|"&amp;$X1151&amp;"|",'CALENDARIO'!$G$15:$G$214,0)),IFERROR(INDEX('CALENDARIO'!$C$15:$C$214,MATCH(TEXT($J1151,"yyyy-mm-dd")&amp;"||",'CALENDARIO'!$G$15:$G$214,0)),INDEX(patronHabil,WEEKDAY($J1151,2))))))</f>
        <v/>
      </c>
      <c r="U1151" s="5">
        <f>IF($I1151="","",IFERROR(INDEX('CAT_TIPOS_OT'!$C$4:$C$8,MATCH($I1151,'CAT_TIPOS_OT'!$A$4:$A$8,0)),"sin_clasificar"))</f>
        <v/>
      </c>
      <c r="V1151" s="5">
        <f>IF($I1151="","",IF(IFERROR(INDEX('CAT_TIPOS_OT'!$D$4:$D$8,MATCH($I1151,'CAT_TIPOS_OT'!$A$4:$A$8,0)),"SIN CLASIFICAR")="","SIN CLASIFICAR",IFERROR(INDEX('CAT_TIPOS_OT'!$D$4:$D$8,MATCH($I1151,'CAT_TIPOS_OT'!$A$4:$A$8,0)),"SIN CLASIFICAR")))</f>
        <v/>
      </c>
      <c r="W1151" s="5">
        <f>IF($F1151="","",IFERROR(INDEX('CAT_CENTROS_COSTO'!$F$4:$F$13,MATCH($F1151,'CAT_CENTROS_COSTO'!$A$4:$A$13,0)),"(sin catálogo)"))</f>
        <v/>
      </c>
      <c r="X1151" s="5">
        <f>IF($F1151="","",IFERROR(INDEX('CAT_CENTROS_COSTO'!$D$4:$D$13,MATCH($F1151,'CAT_CENTROS_COSTO'!$A$4:$A$13,0)),"(sin catálogo)"))</f>
        <v/>
      </c>
      <c r="Y1151" s="5">
        <f>IF($F1151="","",IF((IFERROR(INDEX('CAT_CENTROS_COSTO'!$E$4:$E$13,MATCH($F1151,'CAT_CENTROS_COSTO'!$A$4:$A$13,0)),""))&lt;&gt;"",IFERROR(INDEX('CAT_CENTROS_COSTO'!$E$4:$E$13,MATCH($F1151,'CAT_CENTROS_COSTO'!$A$4:$A$13,0)),""),$X1151))</f>
        <v/>
      </c>
      <c r="Z1151" s="5">
        <f>IF($F1151="","",IFERROR(INDEX('CAT_CENTROS_COSTO'!$G$4:$G$13,MATCH($F1151,'CAT_CENTROS_COSTO'!$A$4:$A$13,0)),"(sin catálogo)"))</f>
        <v/>
      </c>
      <c r="AA1151" s="5">
        <f>IF($G1151="","",IFERROR(INDEX('CAT_PUESTOS'!$B$4:$B$8,MATCH($G1151,'CAT_PUESTOS'!$A$4:$A$8,0)),"(sin catálogo)"))</f>
        <v/>
      </c>
      <c r="AB1151" s="5">
        <f>IF($H1151="","",IFERROR(INDEX('CAT_ACTIVIDADES'!$B$4:$B$11,MATCH($H1151,'CAT_ACTIVIDADES'!$A$4:$A$11,0)),"(sin catálogo)"))</f>
        <v/>
      </c>
      <c r="AC1151" s="20">
        <f>IF($J1151="","",TODAY()-$J1151)</f>
        <v/>
      </c>
      <c r="AD1151" s="20">
        <f>IF($J1151="","",IF($J1151&lt;=TODAY(),COUNTIFS(cal_fechas,"&gt;="&amp;$J1151,cal_fechas,"&lt;"&amp;TODAY(),cal_habil,"sí"),-COUNTIFS(cal_fechas,"&gt;="&amp;TODAY(),cal_fechas,"&lt;"&amp;$J1151,cal_habil,"sí")))</f>
        <v/>
      </c>
      <c r="AE1151" s="5">
        <f>IF($AD1151="","",IF($AD1151&lt;0,"FUTURO",IF($AD1151&gt;p_dias_backlog_max,"BACKLOG","MES CORRIENTE")))</f>
        <v/>
      </c>
      <c r="AF1151" s="5">
        <f>IF($AD1151="",FALSE,AND($AD1151&gt;p_dias_backlog_min,$AD1151&lt;=p_dias_backlog_max))</f>
        <v/>
      </c>
      <c r="AG1151" s="4" t="n"/>
      <c r="AH1151" s="5">
        <f>IF($AG1151="","",IF((IFERROR(INDEX('ASIGNACIONES'!$J$4:$J$451,MATCH($O1151&amp;"|"&amp;$S1151&amp;"|"&amp;$AG1151,'ASIGNACIONES'!$N$4:$N$451,0)),""))=0,"",IFERROR(INDEX('ASIGNACIONES'!$J$4:$J$451,MATCH($O1151&amp;"|"&amp;$S1151&amp;"|"&amp;$AG1151,'ASIGNACIONES'!$N$4:$N$451,0)),"")))</f>
        <v/>
      </c>
      <c r="AI1151" s="25">
        <f>IF($AG1151="","",SUMIFS('ORDENES'!$M$4:$M$1203,'ORDENES'!$AG$4:$AG$1203,$AG1151,'ORDENES'!$O$4:$O$1203,$O1151,'ORDENES'!$S$4:$S$1203,$S1151))</f>
        <v/>
      </c>
      <c r="AJ1151" s="25">
        <f>IF($AI1151="","",p_factor_productividad*IFERROR(INDEX('ASIGNACIONES'!$M$4:$M$451,MATCH($O1151&amp;"|"&amp;$S1151&amp;"|"&amp;$AG1151,'ASIGNACIONES'!$N$4:$N$451,0)),0)-$AI1151)</f>
        <v/>
      </c>
      <c r="AK1151" s="18">
        <f>IF($A1151="","",IFERROR(INDEX('2_IMPORTAR_EJECUCION'!$F$9:$F$1208,MATCH($AT1151,'2_IMPORTAR_EJECUCION'!$J$9:$J$1208,0)),0))</f>
        <v/>
      </c>
      <c r="AL1151" s="18">
        <f>IF($A1151="","",MAX(0,IFERROR(INDEX('2_IMPORTAR_EJECUCION'!$H$9:$H$1208,MATCH($AT1151,'2_IMPORTAR_EJECUCION'!$J$9:$J$1208,0)),0)-$AK1151))</f>
        <v/>
      </c>
      <c r="AM1151" s="18">
        <f>IF($A1151="","",$AK1151+$AL1151)</f>
        <v/>
      </c>
      <c r="AN1151" s="5">
        <f>IF($A1151="","",IF(OR((IFERROR(INDEX('CAT_ACTIVIDADES'!$D$4:$D$11,MATCH($H1151,'CAT_ACTIVIDADES'!$A$4:$A$11,0)),""))=0,(IFERROR(INDEX('CAT_ACTIVIDADES'!$D$4:$D$11,MATCH($H1151,'CAT_ACTIVIDADES'!$A$4:$A$11,0)),""))=""),"SIN CLASIFICAR",IFERROR(INDEX('CAT_ACTIVIDADES'!$D$4:$D$11,MATCH($H1151,'CAT_ACTIVIDADES'!$A$4:$A$11,0)),"")))</f>
        <v/>
      </c>
      <c r="AO1151" s="4" t="n"/>
      <c r="AP1151" s="4" t="n"/>
      <c r="AQ1151" s="4" t="n"/>
      <c r="AR1151" s="5">
        <f>IF($AQ1151="","",HYPERLINK(p_ruta_base_checklists&amp;$AQ1151,"abrir"))</f>
        <v/>
      </c>
      <c r="AS1151" s="4" t="n"/>
      <c r="AT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2" t="n"/>
      <c r="K1152" s="5" t="n"/>
      <c r="L1152" s="18" t="n"/>
      <c r="M1152" s="5">
        <f>IF($A1152="","",IFERROR(INDEX('AJUSTES'!$B$4:$B$303,MATCH($AT1152,'AJUSTES'!$A$4:$A$303,0)),IF($K1152="","",$K1152)))</f>
        <v/>
      </c>
      <c r="N1152" s="5">
        <f>IF($A1152="","",IFERROR(INDEX('CAT_ESTADOS_ERP'!$B$4:$B$7,MATCH(IFERROR(INDEX('2_IMPORTAR_EJECUCION'!$C$9:$C$1208,MATCH($AT1152,'2_IMPORTAR_EJECUCION'!$J$9:$J$1208,0)),""),'CAT_ESTADOS_ERP'!$A$4:$A$7,0)),"Pendiente"))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IF($J1152="","",$P1152&amp;"-"&amp;TEXT($Q1152,"00"))</f>
        <v/>
      </c>
      <c r="S1152" s="5">
        <f>IF($J1152="","",INDEX(lista_dias,WEEKDAY($J1152,2)))</f>
        <v/>
      </c>
      <c r="T1152" s="5">
        <f>IF($J1152="","",IFERROR(INDEX('CALENDARIO'!$C$15:$C$214,MATCH(TEXT($J1152,"yyyy-mm-dd")&amp;"|"&amp;$X1152&amp;"|"&amp;$Y1152,'CALENDARIO'!$G$15:$G$214,0)),IFERROR(INDEX('CALENDARIO'!$C$15:$C$214,MATCH(TEXT($J1152,"yyyy-mm-dd")&amp;"|"&amp;$X1152&amp;"|",'CALENDARIO'!$G$15:$G$214,0)),IFERROR(INDEX('CALENDARIO'!$C$15:$C$214,MATCH(TEXT($J1152,"yyyy-mm-dd")&amp;"||",'CALENDARIO'!$G$15:$G$214,0)),INDEX(patronHabil,WEEKDAY($J1152,2))))))</f>
        <v/>
      </c>
      <c r="U1152" s="5">
        <f>IF($I1152="","",IFERROR(INDEX('CAT_TIPOS_OT'!$C$4:$C$8,MATCH($I1152,'CAT_TIPOS_OT'!$A$4:$A$8,0)),"sin_clasificar"))</f>
        <v/>
      </c>
      <c r="V1152" s="5">
        <f>IF($I1152="","",IF(IFERROR(INDEX('CAT_TIPOS_OT'!$D$4:$D$8,MATCH($I1152,'CAT_TIPOS_OT'!$A$4:$A$8,0)),"SIN CLASIFICAR")="","SIN CLASIFICAR",IFERROR(INDEX('CAT_TIPOS_OT'!$D$4:$D$8,MATCH($I1152,'CAT_TIPOS_OT'!$A$4:$A$8,0)),"SIN CLASIFICAR")))</f>
        <v/>
      </c>
      <c r="W1152" s="5">
        <f>IF($F1152="","",IFERROR(INDEX('CAT_CENTROS_COSTO'!$F$4:$F$13,MATCH($F1152,'CAT_CENTROS_COSTO'!$A$4:$A$13,0)),"(sin catálogo)"))</f>
        <v/>
      </c>
      <c r="X1152" s="5">
        <f>IF($F1152="","",IFERROR(INDEX('CAT_CENTROS_COSTO'!$D$4:$D$13,MATCH($F1152,'CAT_CENTROS_COSTO'!$A$4:$A$13,0)),"(sin catálogo)"))</f>
        <v/>
      </c>
      <c r="Y1152" s="5">
        <f>IF($F1152="","",IF((IFERROR(INDEX('CAT_CENTROS_COSTO'!$E$4:$E$13,MATCH($F1152,'CAT_CENTROS_COSTO'!$A$4:$A$13,0)),""))&lt;&gt;"",IFERROR(INDEX('CAT_CENTROS_COSTO'!$E$4:$E$13,MATCH($F1152,'CAT_CENTROS_COSTO'!$A$4:$A$13,0)),""),$X1152))</f>
        <v/>
      </c>
      <c r="Z1152" s="5">
        <f>IF($F1152="","",IFERROR(INDEX('CAT_CENTROS_COSTO'!$G$4:$G$13,MATCH($F1152,'CAT_CENTROS_COSTO'!$A$4:$A$13,0)),"(sin catálogo)"))</f>
        <v/>
      </c>
      <c r="AA1152" s="5">
        <f>IF($G1152="","",IFERROR(INDEX('CAT_PUESTOS'!$B$4:$B$8,MATCH($G1152,'CAT_PUESTOS'!$A$4:$A$8,0)),"(sin catálogo)"))</f>
        <v/>
      </c>
      <c r="AB1152" s="5">
        <f>IF($H1152="","",IFERROR(INDEX('CAT_ACTIVIDADES'!$B$4:$B$11,MATCH($H1152,'CAT_ACTIVIDADES'!$A$4:$A$11,0)),"(sin catálogo)"))</f>
        <v/>
      </c>
      <c r="AC1152" s="20">
        <f>IF($J1152="","",TODAY()-$J1152)</f>
        <v/>
      </c>
      <c r="AD1152" s="20">
        <f>IF($J1152="","",IF($J1152&lt;=TODAY(),COUNTIFS(cal_fechas,"&gt;="&amp;$J1152,cal_fechas,"&lt;"&amp;TODAY(),cal_habil,"sí"),-COUNTIFS(cal_fechas,"&gt;="&amp;TODAY(),cal_fechas,"&lt;"&amp;$J1152,cal_habil,"sí")))</f>
        <v/>
      </c>
      <c r="AE1152" s="5">
        <f>IF($AD1152="","",IF($AD1152&lt;0,"FUTURO",IF($AD1152&gt;p_dias_backlog_max,"BACKLOG","MES CORRIENTE")))</f>
        <v/>
      </c>
      <c r="AF1152" s="5">
        <f>IF($AD1152="",FALSE,AND($AD1152&gt;p_dias_backlog_min,$AD1152&lt;=p_dias_backlog_max))</f>
        <v/>
      </c>
      <c r="AG1152" s="4" t="n"/>
      <c r="AH1152" s="5">
        <f>IF($AG1152="","",IF((IFERROR(INDEX('ASIGNACIONES'!$J$4:$J$451,MATCH($O1152&amp;"|"&amp;$S1152&amp;"|"&amp;$AG1152,'ASIGNACIONES'!$N$4:$N$451,0)),""))=0,"",IFERROR(INDEX('ASIGNACIONES'!$J$4:$J$451,MATCH($O1152&amp;"|"&amp;$S1152&amp;"|"&amp;$AG1152,'ASIGNACIONES'!$N$4:$N$451,0)),"")))</f>
        <v/>
      </c>
      <c r="AI1152" s="25">
        <f>IF($AG1152="","",SUMIFS('ORDENES'!$M$4:$M$1203,'ORDENES'!$AG$4:$AG$1203,$AG1152,'ORDENES'!$O$4:$O$1203,$O1152,'ORDENES'!$S$4:$S$1203,$S1152))</f>
        <v/>
      </c>
      <c r="AJ1152" s="25">
        <f>IF($AI1152="","",p_factor_productividad*IFERROR(INDEX('ASIGNACIONES'!$M$4:$M$451,MATCH($O1152&amp;"|"&amp;$S1152&amp;"|"&amp;$AG1152,'ASIGNACIONES'!$N$4:$N$451,0)),0)-$AI1152)</f>
        <v/>
      </c>
      <c r="AK1152" s="18">
        <f>IF($A1152="","",IFERROR(INDEX('2_IMPORTAR_EJECUCION'!$F$9:$F$1208,MATCH($AT1152,'2_IMPORTAR_EJECUCION'!$J$9:$J$1208,0)),0))</f>
        <v/>
      </c>
      <c r="AL1152" s="18">
        <f>IF($A1152="","",MAX(0,IFERROR(INDEX('2_IMPORTAR_EJECUCION'!$H$9:$H$1208,MATCH($AT1152,'2_IMPORTAR_EJECUCION'!$J$9:$J$1208,0)),0)-$AK1152))</f>
        <v/>
      </c>
      <c r="AM1152" s="18">
        <f>IF($A1152="","",$AK1152+$AL1152)</f>
        <v/>
      </c>
      <c r="AN1152" s="5">
        <f>IF($A1152="","",IF(OR((IFERROR(INDEX('CAT_ACTIVIDADES'!$D$4:$D$11,MATCH($H1152,'CAT_ACTIVIDADES'!$A$4:$A$11,0)),""))=0,(IFERROR(INDEX('CAT_ACTIVIDADES'!$D$4:$D$11,MATCH($H1152,'CAT_ACTIVIDADES'!$A$4:$A$11,0)),""))=""),"SIN CLASIFICAR",IFERROR(INDEX('CAT_ACTIVIDADES'!$D$4:$D$11,MATCH($H1152,'CAT_ACTIVIDADES'!$A$4:$A$11,0)),"")))</f>
        <v/>
      </c>
      <c r="AO1152" s="4" t="n"/>
      <c r="AP1152" s="4" t="n"/>
      <c r="AQ1152" s="4" t="n"/>
      <c r="AR1152" s="5">
        <f>IF($AQ1152="","",HYPERLINK(p_ruta_base_checklists&amp;$AQ1152,"abrir"))</f>
        <v/>
      </c>
      <c r="AS1152" s="4" t="n"/>
      <c r="AT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2" t="n"/>
      <c r="K1153" s="5" t="n"/>
      <c r="L1153" s="18" t="n"/>
      <c r="M1153" s="5">
        <f>IF($A1153="","",IFERROR(INDEX('AJUSTES'!$B$4:$B$303,MATCH($AT1153,'AJUSTES'!$A$4:$A$303,0)),IF($K1153="","",$K1153)))</f>
        <v/>
      </c>
      <c r="N1153" s="5">
        <f>IF($A1153="","",IFERROR(INDEX('CAT_ESTADOS_ERP'!$B$4:$B$7,MATCH(IFERROR(INDEX('2_IMPORTAR_EJECUCION'!$C$9:$C$1208,MATCH($AT1153,'2_IMPORTAR_EJECUCION'!$J$9:$J$1208,0)),""),'CAT_ESTADOS_ERP'!$A$4:$A$7,0)),"Pendiente"))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IF($J1153="","",$P1153&amp;"-"&amp;TEXT($Q1153,"00"))</f>
        <v/>
      </c>
      <c r="S1153" s="5">
        <f>IF($J1153="","",INDEX(lista_dias,WEEKDAY($J1153,2)))</f>
        <v/>
      </c>
      <c r="T1153" s="5">
        <f>IF($J1153="","",IFERROR(INDEX('CALENDARIO'!$C$15:$C$214,MATCH(TEXT($J1153,"yyyy-mm-dd")&amp;"|"&amp;$X1153&amp;"|"&amp;$Y1153,'CALENDARIO'!$G$15:$G$214,0)),IFERROR(INDEX('CALENDARIO'!$C$15:$C$214,MATCH(TEXT($J1153,"yyyy-mm-dd")&amp;"|"&amp;$X1153&amp;"|",'CALENDARIO'!$G$15:$G$214,0)),IFERROR(INDEX('CALENDARIO'!$C$15:$C$214,MATCH(TEXT($J1153,"yyyy-mm-dd")&amp;"||",'CALENDARIO'!$G$15:$G$214,0)),INDEX(patronHabil,WEEKDAY($J1153,2))))))</f>
        <v/>
      </c>
      <c r="U1153" s="5">
        <f>IF($I1153="","",IFERROR(INDEX('CAT_TIPOS_OT'!$C$4:$C$8,MATCH($I1153,'CAT_TIPOS_OT'!$A$4:$A$8,0)),"sin_clasificar"))</f>
        <v/>
      </c>
      <c r="V1153" s="5">
        <f>IF($I1153="","",IF(IFERROR(INDEX('CAT_TIPOS_OT'!$D$4:$D$8,MATCH($I1153,'CAT_TIPOS_OT'!$A$4:$A$8,0)),"SIN CLASIFICAR")="","SIN CLASIFICAR",IFERROR(INDEX('CAT_TIPOS_OT'!$D$4:$D$8,MATCH($I1153,'CAT_TIPOS_OT'!$A$4:$A$8,0)),"SIN CLASIFICAR")))</f>
        <v/>
      </c>
      <c r="W1153" s="5">
        <f>IF($F1153="","",IFERROR(INDEX('CAT_CENTROS_COSTO'!$F$4:$F$13,MATCH($F1153,'CAT_CENTROS_COSTO'!$A$4:$A$13,0)),"(sin catálogo)"))</f>
        <v/>
      </c>
      <c r="X1153" s="5">
        <f>IF($F1153="","",IFERROR(INDEX('CAT_CENTROS_COSTO'!$D$4:$D$13,MATCH($F1153,'CAT_CENTROS_COSTO'!$A$4:$A$13,0)),"(sin catálogo)"))</f>
        <v/>
      </c>
      <c r="Y1153" s="5">
        <f>IF($F1153="","",IF((IFERROR(INDEX('CAT_CENTROS_COSTO'!$E$4:$E$13,MATCH($F1153,'CAT_CENTROS_COSTO'!$A$4:$A$13,0)),""))&lt;&gt;"",IFERROR(INDEX('CAT_CENTROS_COSTO'!$E$4:$E$13,MATCH($F1153,'CAT_CENTROS_COSTO'!$A$4:$A$13,0)),""),$X1153))</f>
        <v/>
      </c>
      <c r="Z1153" s="5">
        <f>IF($F1153="","",IFERROR(INDEX('CAT_CENTROS_COSTO'!$G$4:$G$13,MATCH($F1153,'CAT_CENTROS_COSTO'!$A$4:$A$13,0)),"(sin catálogo)"))</f>
        <v/>
      </c>
      <c r="AA1153" s="5">
        <f>IF($G1153="","",IFERROR(INDEX('CAT_PUESTOS'!$B$4:$B$8,MATCH($G1153,'CAT_PUESTOS'!$A$4:$A$8,0)),"(sin catálogo)"))</f>
        <v/>
      </c>
      <c r="AB1153" s="5">
        <f>IF($H1153="","",IFERROR(INDEX('CAT_ACTIVIDADES'!$B$4:$B$11,MATCH($H1153,'CAT_ACTIVIDADES'!$A$4:$A$11,0)),"(sin catálogo)"))</f>
        <v/>
      </c>
      <c r="AC1153" s="20">
        <f>IF($J1153="","",TODAY()-$J1153)</f>
        <v/>
      </c>
      <c r="AD1153" s="20">
        <f>IF($J1153="","",IF($J1153&lt;=TODAY(),COUNTIFS(cal_fechas,"&gt;="&amp;$J1153,cal_fechas,"&lt;"&amp;TODAY(),cal_habil,"sí"),-COUNTIFS(cal_fechas,"&gt;="&amp;TODAY(),cal_fechas,"&lt;"&amp;$J1153,cal_habil,"sí")))</f>
        <v/>
      </c>
      <c r="AE1153" s="5">
        <f>IF($AD1153="","",IF($AD1153&lt;0,"FUTURO",IF($AD1153&gt;p_dias_backlog_max,"BACKLOG","MES CORRIENTE")))</f>
        <v/>
      </c>
      <c r="AF1153" s="5">
        <f>IF($AD1153="",FALSE,AND($AD1153&gt;p_dias_backlog_min,$AD1153&lt;=p_dias_backlog_max))</f>
        <v/>
      </c>
      <c r="AG1153" s="4" t="n"/>
      <c r="AH1153" s="5">
        <f>IF($AG1153="","",IF((IFERROR(INDEX('ASIGNACIONES'!$J$4:$J$451,MATCH($O1153&amp;"|"&amp;$S1153&amp;"|"&amp;$AG1153,'ASIGNACIONES'!$N$4:$N$451,0)),""))=0,"",IFERROR(INDEX('ASIGNACIONES'!$J$4:$J$451,MATCH($O1153&amp;"|"&amp;$S1153&amp;"|"&amp;$AG1153,'ASIGNACIONES'!$N$4:$N$451,0)),"")))</f>
        <v/>
      </c>
      <c r="AI1153" s="25">
        <f>IF($AG1153="","",SUMIFS('ORDENES'!$M$4:$M$1203,'ORDENES'!$AG$4:$AG$1203,$AG1153,'ORDENES'!$O$4:$O$1203,$O1153,'ORDENES'!$S$4:$S$1203,$S1153))</f>
        <v/>
      </c>
      <c r="AJ1153" s="25">
        <f>IF($AI1153="","",p_factor_productividad*IFERROR(INDEX('ASIGNACIONES'!$M$4:$M$451,MATCH($O1153&amp;"|"&amp;$S1153&amp;"|"&amp;$AG1153,'ASIGNACIONES'!$N$4:$N$451,0)),0)-$AI1153)</f>
        <v/>
      </c>
      <c r="AK1153" s="18">
        <f>IF($A1153="","",IFERROR(INDEX('2_IMPORTAR_EJECUCION'!$F$9:$F$1208,MATCH($AT1153,'2_IMPORTAR_EJECUCION'!$J$9:$J$1208,0)),0))</f>
        <v/>
      </c>
      <c r="AL1153" s="18">
        <f>IF($A1153="","",MAX(0,IFERROR(INDEX('2_IMPORTAR_EJECUCION'!$H$9:$H$1208,MATCH($AT1153,'2_IMPORTAR_EJECUCION'!$J$9:$J$1208,0)),0)-$AK1153))</f>
        <v/>
      </c>
      <c r="AM1153" s="18">
        <f>IF($A1153="","",$AK1153+$AL1153)</f>
        <v/>
      </c>
      <c r="AN1153" s="5">
        <f>IF($A1153="","",IF(OR((IFERROR(INDEX('CAT_ACTIVIDADES'!$D$4:$D$11,MATCH($H1153,'CAT_ACTIVIDADES'!$A$4:$A$11,0)),""))=0,(IFERROR(INDEX('CAT_ACTIVIDADES'!$D$4:$D$11,MATCH($H1153,'CAT_ACTIVIDADES'!$A$4:$A$11,0)),""))=""),"SIN CLASIFICAR",IFERROR(INDEX('CAT_ACTIVIDADES'!$D$4:$D$11,MATCH($H1153,'CAT_ACTIVIDADES'!$A$4:$A$11,0)),"")))</f>
        <v/>
      </c>
      <c r="AO1153" s="4" t="n"/>
      <c r="AP1153" s="4" t="n"/>
      <c r="AQ1153" s="4" t="n"/>
      <c r="AR1153" s="5">
        <f>IF($AQ1153="","",HYPERLINK(p_ruta_base_checklists&amp;$AQ1153,"abrir"))</f>
        <v/>
      </c>
      <c r="AS1153" s="4" t="n"/>
      <c r="AT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2" t="n"/>
      <c r="K1154" s="5" t="n"/>
      <c r="L1154" s="18" t="n"/>
      <c r="M1154" s="5">
        <f>IF($A1154="","",IFERROR(INDEX('AJUSTES'!$B$4:$B$303,MATCH($AT1154,'AJUSTES'!$A$4:$A$303,0)),IF($K1154="","",$K1154)))</f>
        <v/>
      </c>
      <c r="N1154" s="5">
        <f>IF($A1154="","",IFERROR(INDEX('CAT_ESTADOS_ERP'!$B$4:$B$7,MATCH(IFERROR(INDEX('2_IMPORTAR_EJECUCION'!$C$9:$C$1208,MATCH($AT1154,'2_IMPORTAR_EJECUCION'!$J$9:$J$1208,0)),""),'CAT_ESTADOS_ERP'!$A$4:$A$7,0)),"Pendiente"))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IF($J1154="","",$P1154&amp;"-"&amp;TEXT($Q1154,"00"))</f>
        <v/>
      </c>
      <c r="S1154" s="5">
        <f>IF($J1154="","",INDEX(lista_dias,WEEKDAY($J1154,2)))</f>
        <v/>
      </c>
      <c r="T1154" s="5">
        <f>IF($J1154="","",IFERROR(INDEX('CALENDARIO'!$C$15:$C$214,MATCH(TEXT($J1154,"yyyy-mm-dd")&amp;"|"&amp;$X1154&amp;"|"&amp;$Y1154,'CALENDARIO'!$G$15:$G$214,0)),IFERROR(INDEX('CALENDARIO'!$C$15:$C$214,MATCH(TEXT($J1154,"yyyy-mm-dd")&amp;"|"&amp;$X1154&amp;"|",'CALENDARIO'!$G$15:$G$214,0)),IFERROR(INDEX('CALENDARIO'!$C$15:$C$214,MATCH(TEXT($J1154,"yyyy-mm-dd")&amp;"||",'CALENDARIO'!$G$15:$G$214,0)),INDEX(patronHabil,WEEKDAY($J1154,2))))))</f>
        <v/>
      </c>
      <c r="U1154" s="5">
        <f>IF($I1154="","",IFERROR(INDEX('CAT_TIPOS_OT'!$C$4:$C$8,MATCH($I1154,'CAT_TIPOS_OT'!$A$4:$A$8,0)),"sin_clasificar"))</f>
        <v/>
      </c>
      <c r="V1154" s="5">
        <f>IF($I1154="","",IF(IFERROR(INDEX('CAT_TIPOS_OT'!$D$4:$D$8,MATCH($I1154,'CAT_TIPOS_OT'!$A$4:$A$8,0)),"SIN CLASIFICAR")="","SIN CLASIFICAR",IFERROR(INDEX('CAT_TIPOS_OT'!$D$4:$D$8,MATCH($I1154,'CAT_TIPOS_OT'!$A$4:$A$8,0)),"SIN CLASIFICAR")))</f>
        <v/>
      </c>
      <c r="W1154" s="5">
        <f>IF($F1154="","",IFERROR(INDEX('CAT_CENTROS_COSTO'!$F$4:$F$13,MATCH($F1154,'CAT_CENTROS_COSTO'!$A$4:$A$13,0)),"(sin catálogo)"))</f>
        <v/>
      </c>
      <c r="X1154" s="5">
        <f>IF($F1154="","",IFERROR(INDEX('CAT_CENTROS_COSTO'!$D$4:$D$13,MATCH($F1154,'CAT_CENTROS_COSTO'!$A$4:$A$13,0)),"(sin catálogo)"))</f>
        <v/>
      </c>
      <c r="Y1154" s="5">
        <f>IF($F1154="","",IF((IFERROR(INDEX('CAT_CENTROS_COSTO'!$E$4:$E$13,MATCH($F1154,'CAT_CENTROS_COSTO'!$A$4:$A$13,0)),""))&lt;&gt;"",IFERROR(INDEX('CAT_CENTROS_COSTO'!$E$4:$E$13,MATCH($F1154,'CAT_CENTROS_COSTO'!$A$4:$A$13,0)),""),$X1154))</f>
        <v/>
      </c>
      <c r="Z1154" s="5">
        <f>IF($F1154="","",IFERROR(INDEX('CAT_CENTROS_COSTO'!$G$4:$G$13,MATCH($F1154,'CAT_CENTROS_COSTO'!$A$4:$A$13,0)),"(sin catálogo)"))</f>
        <v/>
      </c>
      <c r="AA1154" s="5">
        <f>IF($G1154="","",IFERROR(INDEX('CAT_PUESTOS'!$B$4:$B$8,MATCH($G1154,'CAT_PUESTOS'!$A$4:$A$8,0)),"(sin catálogo)"))</f>
        <v/>
      </c>
      <c r="AB1154" s="5">
        <f>IF($H1154="","",IFERROR(INDEX('CAT_ACTIVIDADES'!$B$4:$B$11,MATCH($H1154,'CAT_ACTIVIDADES'!$A$4:$A$11,0)),"(sin catálogo)"))</f>
        <v/>
      </c>
      <c r="AC1154" s="20">
        <f>IF($J1154="","",TODAY()-$J1154)</f>
        <v/>
      </c>
      <c r="AD1154" s="20">
        <f>IF($J1154="","",IF($J1154&lt;=TODAY(),COUNTIFS(cal_fechas,"&gt;="&amp;$J1154,cal_fechas,"&lt;"&amp;TODAY(),cal_habil,"sí"),-COUNTIFS(cal_fechas,"&gt;="&amp;TODAY(),cal_fechas,"&lt;"&amp;$J1154,cal_habil,"sí")))</f>
        <v/>
      </c>
      <c r="AE1154" s="5">
        <f>IF($AD1154="","",IF($AD1154&lt;0,"FUTURO",IF($AD1154&gt;p_dias_backlog_max,"BACKLOG","MES CORRIENTE")))</f>
        <v/>
      </c>
      <c r="AF1154" s="5">
        <f>IF($AD1154="",FALSE,AND($AD1154&gt;p_dias_backlog_min,$AD1154&lt;=p_dias_backlog_max))</f>
        <v/>
      </c>
      <c r="AG1154" s="4" t="n"/>
      <c r="AH1154" s="5">
        <f>IF($AG1154="","",IF((IFERROR(INDEX('ASIGNACIONES'!$J$4:$J$451,MATCH($O1154&amp;"|"&amp;$S1154&amp;"|"&amp;$AG1154,'ASIGNACIONES'!$N$4:$N$451,0)),""))=0,"",IFERROR(INDEX('ASIGNACIONES'!$J$4:$J$451,MATCH($O1154&amp;"|"&amp;$S1154&amp;"|"&amp;$AG1154,'ASIGNACIONES'!$N$4:$N$451,0)),"")))</f>
        <v/>
      </c>
      <c r="AI1154" s="25">
        <f>IF($AG1154="","",SUMIFS('ORDENES'!$M$4:$M$1203,'ORDENES'!$AG$4:$AG$1203,$AG1154,'ORDENES'!$O$4:$O$1203,$O1154,'ORDENES'!$S$4:$S$1203,$S1154))</f>
        <v/>
      </c>
      <c r="AJ1154" s="25">
        <f>IF($AI1154="","",p_factor_productividad*IFERROR(INDEX('ASIGNACIONES'!$M$4:$M$451,MATCH($O1154&amp;"|"&amp;$S1154&amp;"|"&amp;$AG1154,'ASIGNACIONES'!$N$4:$N$451,0)),0)-$AI1154)</f>
        <v/>
      </c>
      <c r="AK1154" s="18">
        <f>IF($A1154="","",IFERROR(INDEX('2_IMPORTAR_EJECUCION'!$F$9:$F$1208,MATCH($AT1154,'2_IMPORTAR_EJECUCION'!$J$9:$J$1208,0)),0))</f>
        <v/>
      </c>
      <c r="AL1154" s="18">
        <f>IF($A1154="","",MAX(0,IFERROR(INDEX('2_IMPORTAR_EJECUCION'!$H$9:$H$1208,MATCH($AT1154,'2_IMPORTAR_EJECUCION'!$J$9:$J$1208,0)),0)-$AK1154))</f>
        <v/>
      </c>
      <c r="AM1154" s="18">
        <f>IF($A1154="","",$AK1154+$AL1154)</f>
        <v/>
      </c>
      <c r="AN1154" s="5">
        <f>IF($A1154="","",IF(OR((IFERROR(INDEX('CAT_ACTIVIDADES'!$D$4:$D$11,MATCH($H1154,'CAT_ACTIVIDADES'!$A$4:$A$11,0)),""))=0,(IFERROR(INDEX('CAT_ACTIVIDADES'!$D$4:$D$11,MATCH($H1154,'CAT_ACTIVIDADES'!$A$4:$A$11,0)),""))=""),"SIN CLASIFICAR",IFERROR(INDEX('CAT_ACTIVIDADES'!$D$4:$D$11,MATCH($H1154,'CAT_ACTIVIDADES'!$A$4:$A$11,0)),"")))</f>
        <v/>
      </c>
      <c r="AO1154" s="4" t="n"/>
      <c r="AP1154" s="4" t="n"/>
      <c r="AQ1154" s="4" t="n"/>
      <c r="AR1154" s="5">
        <f>IF($AQ1154="","",HYPERLINK(p_ruta_base_checklists&amp;$AQ1154,"abrir"))</f>
        <v/>
      </c>
      <c r="AS1154" s="4" t="n"/>
      <c r="AT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2" t="n"/>
      <c r="K1155" s="5" t="n"/>
      <c r="L1155" s="18" t="n"/>
      <c r="M1155" s="5">
        <f>IF($A1155="","",IFERROR(INDEX('AJUSTES'!$B$4:$B$303,MATCH($AT1155,'AJUSTES'!$A$4:$A$303,0)),IF($K1155="","",$K1155)))</f>
        <v/>
      </c>
      <c r="N1155" s="5">
        <f>IF($A1155="","",IFERROR(INDEX('CAT_ESTADOS_ERP'!$B$4:$B$7,MATCH(IFERROR(INDEX('2_IMPORTAR_EJECUCION'!$C$9:$C$1208,MATCH($AT1155,'2_IMPORTAR_EJECUCION'!$J$9:$J$1208,0)),""),'CAT_ESTADOS_ERP'!$A$4:$A$7,0)),"Pendiente"))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IF($J1155="","",$P1155&amp;"-"&amp;TEXT($Q1155,"00"))</f>
        <v/>
      </c>
      <c r="S1155" s="5">
        <f>IF($J1155="","",INDEX(lista_dias,WEEKDAY($J1155,2)))</f>
        <v/>
      </c>
      <c r="T1155" s="5">
        <f>IF($J1155="","",IFERROR(INDEX('CALENDARIO'!$C$15:$C$214,MATCH(TEXT($J1155,"yyyy-mm-dd")&amp;"|"&amp;$X1155&amp;"|"&amp;$Y1155,'CALENDARIO'!$G$15:$G$214,0)),IFERROR(INDEX('CALENDARIO'!$C$15:$C$214,MATCH(TEXT($J1155,"yyyy-mm-dd")&amp;"|"&amp;$X1155&amp;"|",'CALENDARIO'!$G$15:$G$214,0)),IFERROR(INDEX('CALENDARIO'!$C$15:$C$214,MATCH(TEXT($J1155,"yyyy-mm-dd")&amp;"||",'CALENDARIO'!$G$15:$G$214,0)),INDEX(patronHabil,WEEKDAY($J1155,2))))))</f>
        <v/>
      </c>
      <c r="U1155" s="5">
        <f>IF($I1155="","",IFERROR(INDEX('CAT_TIPOS_OT'!$C$4:$C$8,MATCH($I1155,'CAT_TIPOS_OT'!$A$4:$A$8,0)),"sin_clasificar"))</f>
        <v/>
      </c>
      <c r="V1155" s="5">
        <f>IF($I1155="","",IF(IFERROR(INDEX('CAT_TIPOS_OT'!$D$4:$D$8,MATCH($I1155,'CAT_TIPOS_OT'!$A$4:$A$8,0)),"SIN CLASIFICAR")="","SIN CLASIFICAR",IFERROR(INDEX('CAT_TIPOS_OT'!$D$4:$D$8,MATCH($I1155,'CAT_TIPOS_OT'!$A$4:$A$8,0)),"SIN CLASIFICAR")))</f>
        <v/>
      </c>
      <c r="W1155" s="5">
        <f>IF($F1155="","",IFERROR(INDEX('CAT_CENTROS_COSTO'!$F$4:$F$13,MATCH($F1155,'CAT_CENTROS_COSTO'!$A$4:$A$13,0)),"(sin catálogo)"))</f>
        <v/>
      </c>
      <c r="X1155" s="5">
        <f>IF($F1155="","",IFERROR(INDEX('CAT_CENTROS_COSTO'!$D$4:$D$13,MATCH($F1155,'CAT_CENTROS_COSTO'!$A$4:$A$13,0)),"(sin catálogo)"))</f>
        <v/>
      </c>
      <c r="Y1155" s="5">
        <f>IF($F1155="","",IF((IFERROR(INDEX('CAT_CENTROS_COSTO'!$E$4:$E$13,MATCH($F1155,'CAT_CENTROS_COSTO'!$A$4:$A$13,0)),""))&lt;&gt;"",IFERROR(INDEX('CAT_CENTROS_COSTO'!$E$4:$E$13,MATCH($F1155,'CAT_CENTROS_COSTO'!$A$4:$A$13,0)),""),$X1155))</f>
        <v/>
      </c>
      <c r="Z1155" s="5">
        <f>IF($F1155="","",IFERROR(INDEX('CAT_CENTROS_COSTO'!$G$4:$G$13,MATCH($F1155,'CAT_CENTROS_COSTO'!$A$4:$A$13,0)),"(sin catálogo)"))</f>
        <v/>
      </c>
      <c r="AA1155" s="5">
        <f>IF($G1155="","",IFERROR(INDEX('CAT_PUESTOS'!$B$4:$B$8,MATCH($G1155,'CAT_PUESTOS'!$A$4:$A$8,0)),"(sin catálogo)"))</f>
        <v/>
      </c>
      <c r="AB1155" s="5">
        <f>IF($H1155="","",IFERROR(INDEX('CAT_ACTIVIDADES'!$B$4:$B$11,MATCH($H1155,'CAT_ACTIVIDADES'!$A$4:$A$11,0)),"(sin catálogo)"))</f>
        <v/>
      </c>
      <c r="AC1155" s="20">
        <f>IF($J1155="","",TODAY()-$J1155)</f>
        <v/>
      </c>
      <c r="AD1155" s="20">
        <f>IF($J1155="","",IF($J1155&lt;=TODAY(),COUNTIFS(cal_fechas,"&gt;="&amp;$J1155,cal_fechas,"&lt;"&amp;TODAY(),cal_habil,"sí"),-COUNTIFS(cal_fechas,"&gt;="&amp;TODAY(),cal_fechas,"&lt;"&amp;$J1155,cal_habil,"sí")))</f>
        <v/>
      </c>
      <c r="AE1155" s="5">
        <f>IF($AD1155="","",IF($AD1155&lt;0,"FUTURO",IF($AD1155&gt;p_dias_backlog_max,"BACKLOG","MES CORRIENTE")))</f>
        <v/>
      </c>
      <c r="AF1155" s="5">
        <f>IF($AD1155="",FALSE,AND($AD1155&gt;p_dias_backlog_min,$AD1155&lt;=p_dias_backlog_max))</f>
        <v/>
      </c>
      <c r="AG1155" s="4" t="n"/>
      <c r="AH1155" s="5">
        <f>IF($AG1155="","",IF((IFERROR(INDEX('ASIGNACIONES'!$J$4:$J$451,MATCH($O1155&amp;"|"&amp;$S1155&amp;"|"&amp;$AG1155,'ASIGNACIONES'!$N$4:$N$451,0)),""))=0,"",IFERROR(INDEX('ASIGNACIONES'!$J$4:$J$451,MATCH($O1155&amp;"|"&amp;$S1155&amp;"|"&amp;$AG1155,'ASIGNACIONES'!$N$4:$N$451,0)),"")))</f>
        <v/>
      </c>
      <c r="AI1155" s="25">
        <f>IF($AG1155="","",SUMIFS('ORDENES'!$M$4:$M$1203,'ORDENES'!$AG$4:$AG$1203,$AG1155,'ORDENES'!$O$4:$O$1203,$O1155,'ORDENES'!$S$4:$S$1203,$S1155))</f>
        <v/>
      </c>
      <c r="AJ1155" s="25">
        <f>IF($AI1155="","",p_factor_productividad*IFERROR(INDEX('ASIGNACIONES'!$M$4:$M$451,MATCH($O1155&amp;"|"&amp;$S1155&amp;"|"&amp;$AG1155,'ASIGNACIONES'!$N$4:$N$451,0)),0)-$AI1155)</f>
        <v/>
      </c>
      <c r="AK1155" s="18">
        <f>IF($A1155="","",IFERROR(INDEX('2_IMPORTAR_EJECUCION'!$F$9:$F$1208,MATCH($AT1155,'2_IMPORTAR_EJECUCION'!$J$9:$J$1208,0)),0))</f>
        <v/>
      </c>
      <c r="AL1155" s="18">
        <f>IF($A1155="","",MAX(0,IFERROR(INDEX('2_IMPORTAR_EJECUCION'!$H$9:$H$1208,MATCH($AT1155,'2_IMPORTAR_EJECUCION'!$J$9:$J$1208,0)),0)-$AK1155))</f>
        <v/>
      </c>
      <c r="AM1155" s="18">
        <f>IF($A1155="","",$AK1155+$AL1155)</f>
        <v/>
      </c>
      <c r="AN1155" s="5">
        <f>IF($A1155="","",IF(OR((IFERROR(INDEX('CAT_ACTIVIDADES'!$D$4:$D$11,MATCH($H1155,'CAT_ACTIVIDADES'!$A$4:$A$11,0)),""))=0,(IFERROR(INDEX('CAT_ACTIVIDADES'!$D$4:$D$11,MATCH($H1155,'CAT_ACTIVIDADES'!$A$4:$A$11,0)),""))=""),"SIN CLASIFICAR",IFERROR(INDEX('CAT_ACTIVIDADES'!$D$4:$D$11,MATCH($H1155,'CAT_ACTIVIDADES'!$A$4:$A$11,0)),"")))</f>
        <v/>
      </c>
      <c r="AO1155" s="4" t="n"/>
      <c r="AP1155" s="4" t="n"/>
      <c r="AQ1155" s="4" t="n"/>
      <c r="AR1155" s="5">
        <f>IF($AQ1155="","",HYPERLINK(p_ruta_base_checklists&amp;$AQ1155,"abrir"))</f>
        <v/>
      </c>
      <c r="AS1155" s="4" t="n"/>
      <c r="AT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2" t="n"/>
      <c r="K1156" s="5" t="n"/>
      <c r="L1156" s="18" t="n"/>
      <c r="M1156" s="5">
        <f>IF($A1156="","",IFERROR(INDEX('AJUSTES'!$B$4:$B$303,MATCH($AT1156,'AJUSTES'!$A$4:$A$303,0)),IF($K1156="","",$K1156)))</f>
        <v/>
      </c>
      <c r="N1156" s="5">
        <f>IF($A1156="","",IFERROR(INDEX('CAT_ESTADOS_ERP'!$B$4:$B$7,MATCH(IFERROR(INDEX('2_IMPORTAR_EJECUCION'!$C$9:$C$1208,MATCH($AT1156,'2_IMPORTAR_EJECUCION'!$J$9:$J$1208,0)),""),'CAT_ESTADOS_ERP'!$A$4:$A$7,0)),"Pendiente"))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IF($J1156="","",$P1156&amp;"-"&amp;TEXT($Q1156,"00"))</f>
        <v/>
      </c>
      <c r="S1156" s="5">
        <f>IF($J1156="","",INDEX(lista_dias,WEEKDAY($J1156,2)))</f>
        <v/>
      </c>
      <c r="T1156" s="5">
        <f>IF($J1156="","",IFERROR(INDEX('CALENDARIO'!$C$15:$C$214,MATCH(TEXT($J1156,"yyyy-mm-dd")&amp;"|"&amp;$X1156&amp;"|"&amp;$Y1156,'CALENDARIO'!$G$15:$G$214,0)),IFERROR(INDEX('CALENDARIO'!$C$15:$C$214,MATCH(TEXT($J1156,"yyyy-mm-dd")&amp;"|"&amp;$X1156&amp;"|",'CALENDARIO'!$G$15:$G$214,0)),IFERROR(INDEX('CALENDARIO'!$C$15:$C$214,MATCH(TEXT($J1156,"yyyy-mm-dd")&amp;"||",'CALENDARIO'!$G$15:$G$214,0)),INDEX(patronHabil,WEEKDAY($J1156,2))))))</f>
        <v/>
      </c>
      <c r="U1156" s="5">
        <f>IF($I1156="","",IFERROR(INDEX('CAT_TIPOS_OT'!$C$4:$C$8,MATCH($I1156,'CAT_TIPOS_OT'!$A$4:$A$8,0)),"sin_clasificar"))</f>
        <v/>
      </c>
      <c r="V1156" s="5">
        <f>IF($I1156="","",IF(IFERROR(INDEX('CAT_TIPOS_OT'!$D$4:$D$8,MATCH($I1156,'CAT_TIPOS_OT'!$A$4:$A$8,0)),"SIN CLASIFICAR")="","SIN CLASIFICAR",IFERROR(INDEX('CAT_TIPOS_OT'!$D$4:$D$8,MATCH($I1156,'CAT_TIPOS_OT'!$A$4:$A$8,0)),"SIN CLASIFICAR")))</f>
        <v/>
      </c>
      <c r="W1156" s="5">
        <f>IF($F1156="","",IFERROR(INDEX('CAT_CENTROS_COSTO'!$F$4:$F$13,MATCH($F1156,'CAT_CENTROS_COSTO'!$A$4:$A$13,0)),"(sin catálogo)"))</f>
        <v/>
      </c>
      <c r="X1156" s="5">
        <f>IF($F1156="","",IFERROR(INDEX('CAT_CENTROS_COSTO'!$D$4:$D$13,MATCH($F1156,'CAT_CENTROS_COSTO'!$A$4:$A$13,0)),"(sin catálogo)"))</f>
        <v/>
      </c>
      <c r="Y1156" s="5">
        <f>IF($F1156="","",IF((IFERROR(INDEX('CAT_CENTROS_COSTO'!$E$4:$E$13,MATCH($F1156,'CAT_CENTROS_COSTO'!$A$4:$A$13,0)),""))&lt;&gt;"",IFERROR(INDEX('CAT_CENTROS_COSTO'!$E$4:$E$13,MATCH($F1156,'CAT_CENTROS_COSTO'!$A$4:$A$13,0)),""),$X1156))</f>
        <v/>
      </c>
      <c r="Z1156" s="5">
        <f>IF($F1156="","",IFERROR(INDEX('CAT_CENTROS_COSTO'!$G$4:$G$13,MATCH($F1156,'CAT_CENTROS_COSTO'!$A$4:$A$13,0)),"(sin catálogo)"))</f>
        <v/>
      </c>
      <c r="AA1156" s="5">
        <f>IF($G1156="","",IFERROR(INDEX('CAT_PUESTOS'!$B$4:$B$8,MATCH($G1156,'CAT_PUESTOS'!$A$4:$A$8,0)),"(sin catálogo)"))</f>
        <v/>
      </c>
      <c r="AB1156" s="5">
        <f>IF($H1156="","",IFERROR(INDEX('CAT_ACTIVIDADES'!$B$4:$B$11,MATCH($H1156,'CAT_ACTIVIDADES'!$A$4:$A$11,0)),"(sin catálogo)"))</f>
        <v/>
      </c>
      <c r="AC1156" s="20">
        <f>IF($J1156="","",TODAY()-$J1156)</f>
        <v/>
      </c>
      <c r="AD1156" s="20">
        <f>IF($J1156="","",IF($J1156&lt;=TODAY(),COUNTIFS(cal_fechas,"&gt;="&amp;$J1156,cal_fechas,"&lt;"&amp;TODAY(),cal_habil,"sí"),-COUNTIFS(cal_fechas,"&gt;="&amp;TODAY(),cal_fechas,"&lt;"&amp;$J1156,cal_habil,"sí")))</f>
        <v/>
      </c>
      <c r="AE1156" s="5">
        <f>IF($AD1156="","",IF($AD1156&lt;0,"FUTURO",IF($AD1156&gt;p_dias_backlog_max,"BACKLOG","MES CORRIENTE")))</f>
        <v/>
      </c>
      <c r="AF1156" s="5">
        <f>IF($AD1156="",FALSE,AND($AD1156&gt;p_dias_backlog_min,$AD1156&lt;=p_dias_backlog_max))</f>
        <v/>
      </c>
      <c r="AG1156" s="4" t="n"/>
      <c r="AH1156" s="5">
        <f>IF($AG1156="","",IF((IFERROR(INDEX('ASIGNACIONES'!$J$4:$J$451,MATCH($O1156&amp;"|"&amp;$S1156&amp;"|"&amp;$AG1156,'ASIGNACIONES'!$N$4:$N$451,0)),""))=0,"",IFERROR(INDEX('ASIGNACIONES'!$J$4:$J$451,MATCH($O1156&amp;"|"&amp;$S1156&amp;"|"&amp;$AG1156,'ASIGNACIONES'!$N$4:$N$451,0)),"")))</f>
        <v/>
      </c>
      <c r="AI1156" s="25">
        <f>IF($AG1156="","",SUMIFS('ORDENES'!$M$4:$M$1203,'ORDENES'!$AG$4:$AG$1203,$AG1156,'ORDENES'!$O$4:$O$1203,$O1156,'ORDENES'!$S$4:$S$1203,$S1156))</f>
        <v/>
      </c>
      <c r="AJ1156" s="25">
        <f>IF($AI1156="","",p_factor_productividad*IFERROR(INDEX('ASIGNACIONES'!$M$4:$M$451,MATCH($O1156&amp;"|"&amp;$S1156&amp;"|"&amp;$AG1156,'ASIGNACIONES'!$N$4:$N$451,0)),0)-$AI1156)</f>
        <v/>
      </c>
      <c r="AK1156" s="18">
        <f>IF($A1156="","",IFERROR(INDEX('2_IMPORTAR_EJECUCION'!$F$9:$F$1208,MATCH($AT1156,'2_IMPORTAR_EJECUCION'!$J$9:$J$1208,0)),0))</f>
        <v/>
      </c>
      <c r="AL1156" s="18">
        <f>IF($A1156="","",MAX(0,IFERROR(INDEX('2_IMPORTAR_EJECUCION'!$H$9:$H$1208,MATCH($AT1156,'2_IMPORTAR_EJECUCION'!$J$9:$J$1208,0)),0)-$AK1156))</f>
        <v/>
      </c>
      <c r="AM1156" s="18">
        <f>IF($A1156="","",$AK1156+$AL1156)</f>
        <v/>
      </c>
      <c r="AN1156" s="5">
        <f>IF($A1156="","",IF(OR((IFERROR(INDEX('CAT_ACTIVIDADES'!$D$4:$D$11,MATCH($H1156,'CAT_ACTIVIDADES'!$A$4:$A$11,0)),""))=0,(IFERROR(INDEX('CAT_ACTIVIDADES'!$D$4:$D$11,MATCH($H1156,'CAT_ACTIVIDADES'!$A$4:$A$11,0)),""))=""),"SIN CLASIFICAR",IFERROR(INDEX('CAT_ACTIVIDADES'!$D$4:$D$11,MATCH($H1156,'CAT_ACTIVIDADES'!$A$4:$A$11,0)),"")))</f>
        <v/>
      </c>
      <c r="AO1156" s="4" t="n"/>
      <c r="AP1156" s="4" t="n"/>
      <c r="AQ1156" s="4" t="n"/>
      <c r="AR1156" s="5">
        <f>IF($AQ1156="","",HYPERLINK(p_ruta_base_checklists&amp;$AQ1156,"abrir"))</f>
        <v/>
      </c>
      <c r="AS1156" s="4" t="n"/>
      <c r="AT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2" t="n"/>
      <c r="K1157" s="5" t="n"/>
      <c r="L1157" s="18" t="n"/>
      <c r="M1157" s="5">
        <f>IF($A1157="","",IFERROR(INDEX('AJUSTES'!$B$4:$B$303,MATCH($AT1157,'AJUSTES'!$A$4:$A$303,0)),IF($K1157="","",$K1157)))</f>
        <v/>
      </c>
      <c r="N1157" s="5">
        <f>IF($A1157="","",IFERROR(INDEX('CAT_ESTADOS_ERP'!$B$4:$B$7,MATCH(IFERROR(INDEX('2_IMPORTAR_EJECUCION'!$C$9:$C$1208,MATCH($AT1157,'2_IMPORTAR_EJECUCION'!$J$9:$J$1208,0)),""),'CAT_ESTADOS_ERP'!$A$4:$A$7,0)),"Pendiente"))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IF($J1157="","",$P1157&amp;"-"&amp;TEXT($Q1157,"00"))</f>
        <v/>
      </c>
      <c r="S1157" s="5">
        <f>IF($J1157="","",INDEX(lista_dias,WEEKDAY($J1157,2)))</f>
        <v/>
      </c>
      <c r="T1157" s="5">
        <f>IF($J1157="","",IFERROR(INDEX('CALENDARIO'!$C$15:$C$214,MATCH(TEXT($J1157,"yyyy-mm-dd")&amp;"|"&amp;$X1157&amp;"|"&amp;$Y1157,'CALENDARIO'!$G$15:$G$214,0)),IFERROR(INDEX('CALENDARIO'!$C$15:$C$214,MATCH(TEXT($J1157,"yyyy-mm-dd")&amp;"|"&amp;$X1157&amp;"|",'CALENDARIO'!$G$15:$G$214,0)),IFERROR(INDEX('CALENDARIO'!$C$15:$C$214,MATCH(TEXT($J1157,"yyyy-mm-dd")&amp;"||",'CALENDARIO'!$G$15:$G$214,0)),INDEX(patronHabil,WEEKDAY($J1157,2))))))</f>
        <v/>
      </c>
      <c r="U1157" s="5">
        <f>IF($I1157="","",IFERROR(INDEX('CAT_TIPOS_OT'!$C$4:$C$8,MATCH($I1157,'CAT_TIPOS_OT'!$A$4:$A$8,0)),"sin_clasificar"))</f>
        <v/>
      </c>
      <c r="V1157" s="5">
        <f>IF($I1157="","",IF(IFERROR(INDEX('CAT_TIPOS_OT'!$D$4:$D$8,MATCH($I1157,'CAT_TIPOS_OT'!$A$4:$A$8,0)),"SIN CLASIFICAR")="","SIN CLASIFICAR",IFERROR(INDEX('CAT_TIPOS_OT'!$D$4:$D$8,MATCH($I1157,'CAT_TIPOS_OT'!$A$4:$A$8,0)),"SIN CLASIFICAR")))</f>
        <v/>
      </c>
      <c r="W1157" s="5">
        <f>IF($F1157="","",IFERROR(INDEX('CAT_CENTROS_COSTO'!$F$4:$F$13,MATCH($F1157,'CAT_CENTROS_COSTO'!$A$4:$A$13,0)),"(sin catálogo)"))</f>
        <v/>
      </c>
      <c r="X1157" s="5">
        <f>IF($F1157="","",IFERROR(INDEX('CAT_CENTROS_COSTO'!$D$4:$D$13,MATCH($F1157,'CAT_CENTROS_COSTO'!$A$4:$A$13,0)),"(sin catálogo)"))</f>
        <v/>
      </c>
      <c r="Y1157" s="5">
        <f>IF($F1157="","",IF((IFERROR(INDEX('CAT_CENTROS_COSTO'!$E$4:$E$13,MATCH($F1157,'CAT_CENTROS_COSTO'!$A$4:$A$13,0)),""))&lt;&gt;"",IFERROR(INDEX('CAT_CENTROS_COSTO'!$E$4:$E$13,MATCH($F1157,'CAT_CENTROS_COSTO'!$A$4:$A$13,0)),""),$X1157))</f>
        <v/>
      </c>
      <c r="Z1157" s="5">
        <f>IF($F1157="","",IFERROR(INDEX('CAT_CENTROS_COSTO'!$G$4:$G$13,MATCH($F1157,'CAT_CENTROS_COSTO'!$A$4:$A$13,0)),"(sin catálogo)"))</f>
        <v/>
      </c>
      <c r="AA1157" s="5">
        <f>IF($G1157="","",IFERROR(INDEX('CAT_PUESTOS'!$B$4:$B$8,MATCH($G1157,'CAT_PUESTOS'!$A$4:$A$8,0)),"(sin catálogo)"))</f>
        <v/>
      </c>
      <c r="AB1157" s="5">
        <f>IF($H1157="","",IFERROR(INDEX('CAT_ACTIVIDADES'!$B$4:$B$11,MATCH($H1157,'CAT_ACTIVIDADES'!$A$4:$A$11,0)),"(sin catálogo)"))</f>
        <v/>
      </c>
      <c r="AC1157" s="20">
        <f>IF($J1157="","",TODAY()-$J1157)</f>
        <v/>
      </c>
      <c r="AD1157" s="20">
        <f>IF($J1157="","",IF($J1157&lt;=TODAY(),COUNTIFS(cal_fechas,"&gt;="&amp;$J1157,cal_fechas,"&lt;"&amp;TODAY(),cal_habil,"sí"),-COUNTIFS(cal_fechas,"&gt;="&amp;TODAY(),cal_fechas,"&lt;"&amp;$J1157,cal_habil,"sí")))</f>
        <v/>
      </c>
      <c r="AE1157" s="5">
        <f>IF($AD1157="","",IF($AD1157&lt;0,"FUTURO",IF($AD1157&gt;p_dias_backlog_max,"BACKLOG","MES CORRIENTE")))</f>
        <v/>
      </c>
      <c r="AF1157" s="5">
        <f>IF($AD1157="",FALSE,AND($AD1157&gt;p_dias_backlog_min,$AD1157&lt;=p_dias_backlog_max))</f>
        <v/>
      </c>
      <c r="AG1157" s="4" t="n"/>
      <c r="AH1157" s="5">
        <f>IF($AG1157="","",IF((IFERROR(INDEX('ASIGNACIONES'!$J$4:$J$451,MATCH($O1157&amp;"|"&amp;$S1157&amp;"|"&amp;$AG1157,'ASIGNACIONES'!$N$4:$N$451,0)),""))=0,"",IFERROR(INDEX('ASIGNACIONES'!$J$4:$J$451,MATCH($O1157&amp;"|"&amp;$S1157&amp;"|"&amp;$AG1157,'ASIGNACIONES'!$N$4:$N$451,0)),"")))</f>
        <v/>
      </c>
      <c r="AI1157" s="25">
        <f>IF($AG1157="","",SUMIFS('ORDENES'!$M$4:$M$1203,'ORDENES'!$AG$4:$AG$1203,$AG1157,'ORDENES'!$O$4:$O$1203,$O1157,'ORDENES'!$S$4:$S$1203,$S1157))</f>
        <v/>
      </c>
      <c r="AJ1157" s="25">
        <f>IF($AI1157="","",p_factor_productividad*IFERROR(INDEX('ASIGNACIONES'!$M$4:$M$451,MATCH($O1157&amp;"|"&amp;$S1157&amp;"|"&amp;$AG1157,'ASIGNACIONES'!$N$4:$N$451,0)),0)-$AI1157)</f>
        <v/>
      </c>
      <c r="AK1157" s="18">
        <f>IF($A1157="","",IFERROR(INDEX('2_IMPORTAR_EJECUCION'!$F$9:$F$1208,MATCH($AT1157,'2_IMPORTAR_EJECUCION'!$J$9:$J$1208,0)),0))</f>
        <v/>
      </c>
      <c r="AL1157" s="18">
        <f>IF($A1157="","",MAX(0,IFERROR(INDEX('2_IMPORTAR_EJECUCION'!$H$9:$H$1208,MATCH($AT1157,'2_IMPORTAR_EJECUCION'!$J$9:$J$1208,0)),0)-$AK1157))</f>
        <v/>
      </c>
      <c r="AM1157" s="18">
        <f>IF($A1157="","",$AK1157+$AL1157)</f>
        <v/>
      </c>
      <c r="AN1157" s="5">
        <f>IF($A1157="","",IF(OR((IFERROR(INDEX('CAT_ACTIVIDADES'!$D$4:$D$11,MATCH($H1157,'CAT_ACTIVIDADES'!$A$4:$A$11,0)),""))=0,(IFERROR(INDEX('CAT_ACTIVIDADES'!$D$4:$D$11,MATCH($H1157,'CAT_ACTIVIDADES'!$A$4:$A$11,0)),""))=""),"SIN CLASIFICAR",IFERROR(INDEX('CAT_ACTIVIDADES'!$D$4:$D$11,MATCH($H1157,'CAT_ACTIVIDADES'!$A$4:$A$11,0)),"")))</f>
        <v/>
      </c>
      <c r="AO1157" s="4" t="n"/>
      <c r="AP1157" s="4" t="n"/>
      <c r="AQ1157" s="4" t="n"/>
      <c r="AR1157" s="5">
        <f>IF($AQ1157="","",HYPERLINK(p_ruta_base_checklists&amp;$AQ1157,"abrir"))</f>
        <v/>
      </c>
      <c r="AS1157" s="4" t="n"/>
      <c r="AT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2" t="n"/>
      <c r="K1158" s="5" t="n"/>
      <c r="L1158" s="18" t="n"/>
      <c r="M1158" s="5">
        <f>IF($A1158="","",IFERROR(INDEX('AJUSTES'!$B$4:$B$303,MATCH($AT1158,'AJUSTES'!$A$4:$A$303,0)),IF($K1158="","",$K1158)))</f>
        <v/>
      </c>
      <c r="N1158" s="5">
        <f>IF($A1158="","",IFERROR(INDEX('CAT_ESTADOS_ERP'!$B$4:$B$7,MATCH(IFERROR(INDEX('2_IMPORTAR_EJECUCION'!$C$9:$C$1208,MATCH($AT1158,'2_IMPORTAR_EJECUCION'!$J$9:$J$1208,0)),""),'CAT_ESTADOS_ERP'!$A$4:$A$7,0)),"Pendiente"))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IF($J1158="","",$P1158&amp;"-"&amp;TEXT($Q1158,"00"))</f>
        <v/>
      </c>
      <c r="S1158" s="5">
        <f>IF($J1158="","",INDEX(lista_dias,WEEKDAY($J1158,2)))</f>
        <v/>
      </c>
      <c r="T1158" s="5">
        <f>IF($J1158="","",IFERROR(INDEX('CALENDARIO'!$C$15:$C$214,MATCH(TEXT($J1158,"yyyy-mm-dd")&amp;"|"&amp;$X1158&amp;"|"&amp;$Y1158,'CALENDARIO'!$G$15:$G$214,0)),IFERROR(INDEX('CALENDARIO'!$C$15:$C$214,MATCH(TEXT($J1158,"yyyy-mm-dd")&amp;"|"&amp;$X1158&amp;"|",'CALENDARIO'!$G$15:$G$214,0)),IFERROR(INDEX('CALENDARIO'!$C$15:$C$214,MATCH(TEXT($J1158,"yyyy-mm-dd")&amp;"||",'CALENDARIO'!$G$15:$G$214,0)),INDEX(patronHabil,WEEKDAY($J1158,2))))))</f>
        <v/>
      </c>
      <c r="U1158" s="5">
        <f>IF($I1158="","",IFERROR(INDEX('CAT_TIPOS_OT'!$C$4:$C$8,MATCH($I1158,'CAT_TIPOS_OT'!$A$4:$A$8,0)),"sin_clasificar"))</f>
        <v/>
      </c>
      <c r="V1158" s="5">
        <f>IF($I1158="","",IF(IFERROR(INDEX('CAT_TIPOS_OT'!$D$4:$D$8,MATCH($I1158,'CAT_TIPOS_OT'!$A$4:$A$8,0)),"SIN CLASIFICAR")="","SIN CLASIFICAR",IFERROR(INDEX('CAT_TIPOS_OT'!$D$4:$D$8,MATCH($I1158,'CAT_TIPOS_OT'!$A$4:$A$8,0)),"SIN CLASIFICAR")))</f>
        <v/>
      </c>
      <c r="W1158" s="5">
        <f>IF($F1158="","",IFERROR(INDEX('CAT_CENTROS_COSTO'!$F$4:$F$13,MATCH($F1158,'CAT_CENTROS_COSTO'!$A$4:$A$13,0)),"(sin catálogo)"))</f>
        <v/>
      </c>
      <c r="X1158" s="5">
        <f>IF($F1158="","",IFERROR(INDEX('CAT_CENTROS_COSTO'!$D$4:$D$13,MATCH($F1158,'CAT_CENTROS_COSTO'!$A$4:$A$13,0)),"(sin catálogo)"))</f>
        <v/>
      </c>
      <c r="Y1158" s="5">
        <f>IF($F1158="","",IF((IFERROR(INDEX('CAT_CENTROS_COSTO'!$E$4:$E$13,MATCH($F1158,'CAT_CENTROS_COSTO'!$A$4:$A$13,0)),""))&lt;&gt;"",IFERROR(INDEX('CAT_CENTROS_COSTO'!$E$4:$E$13,MATCH($F1158,'CAT_CENTROS_COSTO'!$A$4:$A$13,0)),""),$X1158))</f>
        <v/>
      </c>
      <c r="Z1158" s="5">
        <f>IF($F1158="","",IFERROR(INDEX('CAT_CENTROS_COSTO'!$G$4:$G$13,MATCH($F1158,'CAT_CENTROS_COSTO'!$A$4:$A$13,0)),"(sin catálogo)"))</f>
        <v/>
      </c>
      <c r="AA1158" s="5">
        <f>IF($G1158="","",IFERROR(INDEX('CAT_PUESTOS'!$B$4:$B$8,MATCH($G1158,'CAT_PUESTOS'!$A$4:$A$8,0)),"(sin catálogo)"))</f>
        <v/>
      </c>
      <c r="AB1158" s="5">
        <f>IF($H1158="","",IFERROR(INDEX('CAT_ACTIVIDADES'!$B$4:$B$11,MATCH($H1158,'CAT_ACTIVIDADES'!$A$4:$A$11,0)),"(sin catálogo)"))</f>
        <v/>
      </c>
      <c r="AC1158" s="20">
        <f>IF($J1158="","",TODAY()-$J1158)</f>
        <v/>
      </c>
      <c r="AD1158" s="20">
        <f>IF($J1158="","",IF($J1158&lt;=TODAY(),COUNTIFS(cal_fechas,"&gt;="&amp;$J1158,cal_fechas,"&lt;"&amp;TODAY(),cal_habil,"sí"),-COUNTIFS(cal_fechas,"&gt;="&amp;TODAY(),cal_fechas,"&lt;"&amp;$J1158,cal_habil,"sí")))</f>
        <v/>
      </c>
      <c r="AE1158" s="5">
        <f>IF($AD1158="","",IF($AD1158&lt;0,"FUTURO",IF($AD1158&gt;p_dias_backlog_max,"BACKLOG","MES CORRIENTE")))</f>
        <v/>
      </c>
      <c r="AF1158" s="5">
        <f>IF($AD1158="",FALSE,AND($AD1158&gt;p_dias_backlog_min,$AD1158&lt;=p_dias_backlog_max))</f>
        <v/>
      </c>
      <c r="AG1158" s="4" t="n"/>
      <c r="AH1158" s="5">
        <f>IF($AG1158="","",IF((IFERROR(INDEX('ASIGNACIONES'!$J$4:$J$451,MATCH($O1158&amp;"|"&amp;$S1158&amp;"|"&amp;$AG1158,'ASIGNACIONES'!$N$4:$N$451,0)),""))=0,"",IFERROR(INDEX('ASIGNACIONES'!$J$4:$J$451,MATCH($O1158&amp;"|"&amp;$S1158&amp;"|"&amp;$AG1158,'ASIGNACIONES'!$N$4:$N$451,0)),"")))</f>
        <v/>
      </c>
      <c r="AI1158" s="25">
        <f>IF($AG1158="","",SUMIFS('ORDENES'!$M$4:$M$1203,'ORDENES'!$AG$4:$AG$1203,$AG1158,'ORDENES'!$O$4:$O$1203,$O1158,'ORDENES'!$S$4:$S$1203,$S1158))</f>
        <v/>
      </c>
      <c r="AJ1158" s="25">
        <f>IF($AI1158="","",p_factor_productividad*IFERROR(INDEX('ASIGNACIONES'!$M$4:$M$451,MATCH($O1158&amp;"|"&amp;$S1158&amp;"|"&amp;$AG1158,'ASIGNACIONES'!$N$4:$N$451,0)),0)-$AI1158)</f>
        <v/>
      </c>
      <c r="AK1158" s="18">
        <f>IF($A1158="","",IFERROR(INDEX('2_IMPORTAR_EJECUCION'!$F$9:$F$1208,MATCH($AT1158,'2_IMPORTAR_EJECUCION'!$J$9:$J$1208,0)),0))</f>
        <v/>
      </c>
      <c r="AL1158" s="18">
        <f>IF($A1158="","",MAX(0,IFERROR(INDEX('2_IMPORTAR_EJECUCION'!$H$9:$H$1208,MATCH($AT1158,'2_IMPORTAR_EJECUCION'!$J$9:$J$1208,0)),0)-$AK1158))</f>
        <v/>
      </c>
      <c r="AM1158" s="18">
        <f>IF($A1158="","",$AK1158+$AL1158)</f>
        <v/>
      </c>
      <c r="AN1158" s="5">
        <f>IF($A1158="","",IF(OR((IFERROR(INDEX('CAT_ACTIVIDADES'!$D$4:$D$11,MATCH($H1158,'CAT_ACTIVIDADES'!$A$4:$A$11,0)),""))=0,(IFERROR(INDEX('CAT_ACTIVIDADES'!$D$4:$D$11,MATCH($H1158,'CAT_ACTIVIDADES'!$A$4:$A$11,0)),""))=""),"SIN CLASIFICAR",IFERROR(INDEX('CAT_ACTIVIDADES'!$D$4:$D$11,MATCH($H1158,'CAT_ACTIVIDADES'!$A$4:$A$11,0)),"")))</f>
        <v/>
      </c>
      <c r="AO1158" s="4" t="n"/>
      <c r="AP1158" s="4" t="n"/>
      <c r="AQ1158" s="4" t="n"/>
      <c r="AR1158" s="5">
        <f>IF($AQ1158="","",HYPERLINK(p_ruta_base_checklists&amp;$AQ1158,"abrir"))</f>
        <v/>
      </c>
      <c r="AS1158" s="4" t="n"/>
      <c r="AT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2" t="n"/>
      <c r="K1159" s="5" t="n"/>
      <c r="L1159" s="18" t="n"/>
      <c r="M1159" s="5">
        <f>IF($A1159="","",IFERROR(INDEX('AJUSTES'!$B$4:$B$303,MATCH($AT1159,'AJUSTES'!$A$4:$A$303,0)),IF($K1159="","",$K1159)))</f>
        <v/>
      </c>
      <c r="N1159" s="5">
        <f>IF($A1159="","",IFERROR(INDEX('CAT_ESTADOS_ERP'!$B$4:$B$7,MATCH(IFERROR(INDEX('2_IMPORTAR_EJECUCION'!$C$9:$C$1208,MATCH($AT1159,'2_IMPORTAR_EJECUCION'!$J$9:$J$1208,0)),""),'CAT_ESTADOS_ERP'!$A$4:$A$7,0)),"Pendiente"))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IF($J1159="","",$P1159&amp;"-"&amp;TEXT($Q1159,"00"))</f>
        <v/>
      </c>
      <c r="S1159" s="5">
        <f>IF($J1159="","",INDEX(lista_dias,WEEKDAY($J1159,2)))</f>
        <v/>
      </c>
      <c r="T1159" s="5">
        <f>IF($J1159="","",IFERROR(INDEX('CALENDARIO'!$C$15:$C$214,MATCH(TEXT($J1159,"yyyy-mm-dd")&amp;"|"&amp;$X1159&amp;"|"&amp;$Y1159,'CALENDARIO'!$G$15:$G$214,0)),IFERROR(INDEX('CALENDARIO'!$C$15:$C$214,MATCH(TEXT($J1159,"yyyy-mm-dd")&amp;"|"&amp;$X1159&amp;"|",'CALENDARIO'!$G$15:$G$214,0)),IFERROR(INDEX('CALENDARIO'!$C$15:$C$214,MATCH(TEXT($J1159,"yyyy-mm-dd")&amp;"||",'CALENDARIO'!$G$15:$G$214,0)),INDEX(patronHabil,WEEKDAY($J1159,2))))))</f>
        <v/>
      </c>
      <c r="U1159" s="5">
        <f>IF($I1159="","",IFERROR(INDEX('CAT_TIPOS_OT'!$C$4:$C$8,MATCH($I1159,'CAT_TIPOS_OT'!$A$4:$A$8,0)),"sin_clasificar"))</f>
        <v/>
      </c>
      <c r="V1159" s="5">
        <f>IF($I1159="","",IF(IFERROR(INDEX('CAT_TIPOS_OT'!$D$4:$D$8,MATCH($I1159,'CAT_TIPOS_OT'!$A$4:$A$8,0)),"SIN CLASIFICAR")="","SIN CLASIFICAR",IFERROR(INDEX('CAT_TIPOS_OT'!$D$4:$D$8,MATCH($I1159,'CAT_TIPOS_OT'!$A$4:$A$8,0)),"SIN CLASIFICAR")))</f>
        <v/>
      </c>
      <c r="W1159" s="5">
        <f>IF($F1159="","",IFERROR(INDEX('CAT_CENTROS_COSTO'!$F$4:$F$13,MATCH($F1159,'CAT_CENTROS_COSTO'!$A$4:$A$13,0)),"(sin catálogo)"))</f>
        <v/>
      </c>
      <c r="X1159" s="5">
        <f>IF($F1159="","",IFERROR(INDEX('CAT_CENTROS_COSTO'!$D$4:$D$13,MATCH($F1159,'CAT_CENTROS_COSTO'!$A$4:$A$13,0)),"(sin catálogo)"))</f>
        <v/>
      </c>
      <c r="Y1159" s="5">
        <f>IF($F1159="","",IF((IFERROR(INDEX('CAT_CENTROS_COSTO'!$E$4:$E$13,MATCH($F1159,'CAT_CENTROS_COSTO'!$A$4:$A$13,0)),""))&lt;&gt;"",IFERROR(INDEX('CAT_CENTROS_COSTO'!$E$4:$E$13,MATCH($F1159,'CAT_CENTROS_COSTO'!$A$4:$A$13,0)),""),$X1159))</f>
        <v/>
      </c>
      <c r="Z1159" s="5">
        <f>IF($F1159="","",IFERROR(INDEX('CAT_CENTROS_COSTO'!$G$4:$G$13,MATCH($F1159,'CAT_CENTROS_COSTO'!$A$4:$A$13,0)),"(sin catálogo)"))</f>
        <v/>
      </c>
      <c r="AA1159" s="5">
        <f>IF($G1159="","",IFERROR(INDEX('CAT_PUESTOS'!$B$4:$B$8,MATCH($G1159,'CAT_PUESTOS'!$A$4:$A$8,0)),"(sin catálogo)"))</f>
        <v/>
      </c>
      <c r="AB1159" s="5">
        <f>IF($H1159="","",IFERROR(INDEX('CAT_ACTIVIDADES'!$B$4:$B$11,MATCH($H1159,'CAT_ACTIVIDADES'!$A$4:$A$11,0)),"(sin catálogo)"))</f>
        <v/>
      </c>
      <c r="AC1159" s="20">
        <f>IF($J1159="","",TODAY()-$J1159)</f>
        <v/>
      </c>
      <c r="AD1159" s="20">
        <f>IF($J1159="","",IF($J1159&lt;=TODAY(),COUNTIFS(cal_fechas,"&gt;="&amp;$J1159,cal_fechas,"&lt;"&amp;TODAY(),cal_habil,"sí"),-COUNTIFS(cal_fechas,"&gt;="&amp;TODAY(),cal_fechas,"&lt;"&amp;$J1159,cal_habil,"sí")))</f>
        <v/>
      </c>
      <c r="AE1159" s="5">
        <f>IF($AD1159="","",IF($AD1159&lt;0,"FUTURO",IF($AD1159&gt;p_dias_backlog_max,"BACKLOG","MES CORRIENTE")))</f>
        <v/>
      </c>
      <c r="AF1159" s="5">
        <f>IF($AD1159="",FALSE,AND($AD1159&gt;p_dias_backlog_min,$AD1159&lt;=p_dias_backlog_max))</f>
        <v/>
      </c>
      <c r="AG1159" s="4" t="n"/>
      <c r="AH1159" s="5">
        <f>IF($AG1159="","",IF((IFERROR(INDEX('ASIGNACIONES'!$J$4:$J$451,MATCH($O1159&amp;"|"&amp;$S1159&amp;"|"&amp;$AG1159,'ASIGNACIONES'!$N$4:$N$451,0)),""))=0,"",IFERROR(INDEX('ASIGNACIONES'!$J$4:$J$451,MATCH($O1159&amp;"|"&amp;$S1159&amp;"|"&amp;$AG1159,'ASIGNACIONES'!$N$4:$N$451,0)),"")))</f>
        <v/>
      </c>
      <c r="AI1159" s="25">
        <f>IF($AG1159="","",SUMIFS('ORDENES'!$M$4:$M$1203,'ORDENES'!$AG$4:$AG$1203,$AG1159,'ORDENES'!$O$4:$O$1203,$O1159,'ORDENES'!$S$4:$S$1203,$S1159))</f>
        <v/>
      </c>
      <c r="AJ1159" s="25">
        <f>IF($AI1159="","",p_factor_productividad*IFERROR(INDEX('ASIGNACIONES'!$M$4:$M$451,MATCH($O1159&amp;"|"&amp;$S1159&amp;"|"&amp;$AG1159,'ASIGNACIONES'!$N$4:$N$451,0)),0)-$AI1159)</f>
        <v/>
      </c>
      <c r="AK1159" s="18">
        <f>IF($A1159="","",IFERROR(INDEX('2_IMPORTAR_EJECUCION'!$F$9:$F$1208,MATCH($AT1159,'2_IMPORTAR_EJECUCION'!$J$9:$J$1208,0)),0))</f>
        <v/>
      </c>
      <c r="AL1159" s="18">
        <f>IF($A1159="","",MAX(0,IFERROR(INDEX('2_IMPORTAR_EJECUCION'!$H$9:$H$1208,MATCH($AT1159,'2_IMPORTAR_EJECUCION'!$J$9:$J$1208,0)),0)-$AK1159))</f>
        <v/>
      </c>
      <c r="AM1159" s="18">
        <f>IF($A1159="","",$AK1159+$AL1159)</f>
        <v/>
      </c>
      <c r="AN1159" s="5">
        <f>IF($A1159="","",IF(OR((IFERROR(INDEX('CAT_ACTIVIDADES'!$D$4:$D$11,MATCH($H1159,'CAT_ACTIVIDADES'!$A$4:$A$11,0)),""))=0,(IFERROR(INDEX('CAT_ACTIVIDADES'!$D$4:$D$11,MATCH($H1159,'CAT_ACTIVIDADES'!$A$4:$A$11,0)),""))=""),"SIN CLASIFICAR",IFERROR(INDEX('CAT_ACTIVIDADES'!$D$4:$D$11,MATCH($H1159,'CAT_ACTIVIDADES'!$A$4:$A$11,0)),"")))</f>
        <v/>
      </c>
      <c r="AO1159" s="4" t="n"/>
      <c r="AP1159" s="4" t="n"/>
      <c r="AQ1159" s="4" t="n"/>
      <c r="AR1159" s="5">
        <f>IF($AQ1159="","",HYPERLINK(p_ruta_base_checklists&amp;$AQ1159,"abrir"))</f>
        <v/>
      </c>
      <c r="AS1159" s="4" t="n"/>
      <c r="AT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2" t="n"/>
      <c r="K1160" s="5" t="n"/>
      <c r="L1160" s="18" t="n"/>
      <c r="M1160" s="5">
        <f>IF($A1160="","",IFERROR(INDEX('AJUSTES'!$B$4:$B$303,MATCH($AT1160,'AJUSTES'!$A$4:$A$303,0)),IF($K1160="","",$K1160)))</f>
        <v/>
      </c>
      <c r="N1160" s="5">
        <f>IF($A1160="","",IFERROR(INDEX('CAT_ESTADOS_ERP'!$B$4:$B$7,MATCH(IFERROR(INDEX('2_IMPORTAR_EJECUCION'!$C$9:$C$1208,MATCH($AT1160,'2_IMPORTAR_EJECUCION'!$J$9:$J$1208,0)),""),'CAT_ESTADOS_ERP'!$A$4:$A$7,0)),"Pendiente"))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IF($J1160="","",$P1160&amp;"-"&amp;TEXT($Q1160,"00"))</f>
        <v/>
      </c>
      <c r="S1160" s="5">
        <f>IF($J1160="","",INDEX(lista_dias,WEEKDAY($J1160,2)))</f>
        <v/>
      </c>
      <c r="T1160" s="5">
        <f>IF($J1160="","",IFERROR(INDEX('CALENDARIO'!$C$15:$C$214,MATCH(TEXT($J1160,"yyyy-mm-dd")&amp;"|"&amp;$X1160&amp;"|"&amp;$Y1160,'CALENDARIO'!$G$15:$G$214,0)),IFERROR(INDEX('CALENDARIO'!$C$15:$C$214,MATCH(TEXT($J1160,"yyyy-mm-dd")&amp;"|"&amp;$X1160&amp;"|",'CALENDARIO'!$G$15:$G$214,0)),IFERROR(INDEX('CALENDARIO'!$C$15:$C$214,MATCH(TEXT($J1160,"yyyy-mm-dd")&amp;"||",'CALENDARIO'!$G$15:$G$214,0)),INDEX(patronHabil,WEEKDAY($J1160,2))))))</f>
        <v/>
      </c>
      <c r="U1160" s="5">
        <f>IF($I1160="","",IFERROR(INDEX('CAT_TIPOS_OT'!$C$4:$C$8,MATCH($I1160,'CAT_TIPOS_OT'!$A$4:$A$8,0)),"sin_clasificar"))</f>
        <v/>
      </c>
      <c r="V1160" s="5">
        <f>IF($I1160="","",IF(IFERROR(INDEX('CAT_TIPOS_OT'!$D$4:$D$8,MATCH($I1160,'CAT_TIPOS_OT'!$A$4:$A$8,0)),"SIN CLASIFICAR")="","SIN CLASIFICAR",IFERROR(INDEX('CAT_TIPOS_OT'!$D$4:$D$8,MATCH($I1160,'CAT_TIPOS_OT'!$A$4:$A$8,0)),"SIN CLASIFICAR")))</f>
        <v/>
      </c>
      <c r="W1160" s="5">
        <f>IF($F1160="","",IFERROR(INDEX('CAT_CENTROS_COSTO'!$F$4:$F$13,MATCH($F1160,'CAT_CENTROS_COSTO'!$A$4:$A$13,0)),"(sin catálogo)"))</f>
        <v/>
      </c>
      <c r="X1160" s="5">
        <f>IF($F1160="","",IFERROR(INDEX('CAT_CENTROS_COSTO'!$D$4:$D$13,MATCH($F1160,'CAT_CENTROS_COSTO'!$A$4:$A$13,0)),"(sin catálogo)"))</f>
        <v/>
      </c>
      <c r="Y1160" s="5">
        <f>IF($F1160="","",IF((IFERROR(INDEX('CAT_CENTROS_COSTO'!$E$4:$E$13,MATCH($F1160,'CAT_CENTROS_COSTO'!$A$4:$A$13,0)),""))&lt;&gt;"",IFERROR(INDEX('CAT_CENTROS_COSTO'!$E$4:$E$13,MATCH($F1160,'CAT_CENTROS_COSTO'!$A$4:$A$13,0)),""),$X1160))</f>
        <v/>
      </c>
      <c r="Z1160" s="5">
        <f>IF($F1160="","",IFERROR(INDEX('CAT_CENTROS_COSTO'!$G$4:$G$13,MATCH($F1160,'CAT_CENTROS_COSTO'!$A$4:$A$13,0)),"(sin catálogo)"))</f>
        <v/>
      </c>
      <c r="AA1160" s="5">
        <f>IF($G1160="","",IFERROR(INDEX('CAT_PUESTOS'!$B$4:$B$8,MATCH($G1160,'CAT_PUESTOS'!$A$4:$A$8,0)),"(sin catálogo)"))</f>
        <v/>
      </c>
      <c r="AB1160" s="5">
        <f>IF($H1160="","",IFERROR(INDEX('CAT_ACTIVIDADES'!$B$4:$B$11,MATCH($H1160,'CAT_ACTIVIDADES'!$A$4:$A$11,0)),"(sin catálogo)"))</f>
        <v/>
      </c>
      <c r="AC1160" s="20">
        <f>IF($J1160="","",TODAY()-$J1160)</f>
        <v/>
      </c>
      <c r="AD1160" s="20">
        <f>IF($J1160="","",IF($J1160&lt;=TODAY(),COUNTIFS(cal_fechas,"&gt;="&amp;$J1160,cal_fechas,"&lt;"&amp;TODAY(),cal_habil,"sí"),-COUNTIFS(cal_fechas,"&gt;="&amp;TODAY(),cal_fechas,"&lt;"&amp;$J1160,cal_habil,"sí")))</f>
        <v/>
      </c>
      <c r="AE1160" s="5">
        <f>IF($AD1160="","",IF($AD1160&lt;0,"FUTURO",IF($AD1160&gt;p_dias_backlog_max,"BACKLOG","MES CORRIENTE")))</f>
        <v/>
      </c>
      <c r="AF1160" s="5">
        <f>IF($AD1160="",FALSE,AND($AD1160&gt;p_dias_backlog_min,$AD1160&lt;=p_dias_backlog_max))</f>
        <v/>
      </c>
      <c r="AG1160" s="4" t="n"/>
      <c r="AH1160" s="5">
        <f>IF($AG1160="","",IF((IFERROR(INDEX('ASIGNACIONES'!$J$4:$J$451,MATCH($O1160&amp;"|"&amp;$S1160&amp;"|"&amp;$AG1160,'ASIGNACIONES'!$N$4:$N$451,0)),""))=0,"",IFERROR(INDEX('ASIGNACIONES'!$J$4:$J$451,MATCH($O1160&amp;"|"&amp;$S1160&amp;"|"&amp;$AG1160,'ASIGNACIONES'!$N$4:$N$451,0)),"")))</f>
        <v/>
      </c>
      <c r="AI1160" s="25">
        <f>IF($AG1160="","",SUMIFS('ORDENES'!$M$4:$M$1203,'ORDENES'!$AG$4:$AG$1203,$AG1160,'ORDENES'!$O$4:$O$1203,$O1160,'ORDENES'!$S$4:$S$1203,$S1160))</f>
        <v/>
      </c>
      <c r="AJ1160" s="25">
        <f>IF($AI1160="","",p_factor_productividad*IFERROR(INDEX('ASIGNACIONES'!$M$4:$M$451,MATCH($O1160&amp;"|"&amp;$S1160&amp;"|"&amp;$AG1160,'ASIGNACIONES'!$N$4:$N$451,0)),0)-$AI1160)</f>
        <v/>
      </c>
      <c r="AK1160" s="18">
        <f>IF($A1160="","",IFERROR(INDEX('2_IMPORTAR_EJECUCION'!$F$9:$F$1208,MATCH($AT1160,'2_IMPORTAR_EJECUCION'!$J$9:$J$1208,0)),0))</f>
        <v/>
      </c>
      <c r="AL1160" s="18">
        <f>IF($A1160="","",MAX(0,IFERROR(INDEX('2_IMPORTAR_EJECUCION'!$H$9:$H$1208,MATCH($AT1160,'2_IMPORTAR_EJECUCION'!$J$9:$J$1208,0)),0)-$AK1160))</f>
        <v/>
      </c>
      <c r="AM1160" s="18">
        <f>IF($A1160="","",$AK1160+$AL1160)</f>
        <v/>
      </c>
      <c r="AN1160" s="5">
        <f>IF($A1160="","",IF(OR((IFERROR(INDEX('CAT_ACTIVIDADES'!$D$4:$D$11,MATCH($H1160,'CAT_ACTIVIDADES'!$A$4:$A$11,0)),""))=0,(IFERROR(INDEX('CAT_ACTIVIDADES'!$D$4:$D$11,MATCH($H1160,'CAT_ACTIVIDADES'!$A$4:$A$11,0)),""))=""),"SIN CLASIFICAR",IFERROR(INDEX('CAT_ACTIVIDADES'!$D$4:$D$11,MATCH($H1160,'CAT_ACTIVIDADES'!$A$4:$A$11,0)),"")))</f>
        <v/>
      </c>
      <c r="AO1160" s="4" t="n"/>
      <c r="AP1160" s="4" t="n"/>
      <c r="AQ1160" s="4" t="n"/>
      <c r="AR1160" s="5">
        <f>IF($AQ1160="","",HYPERLINK(p_ruta_base_checklists&amp;$AQ1160,"abrir"))</f>
        <v/>
      </c>
      <c r="AS1160" s="4" t="n"/>
      <c r="AT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2" t="n"/>
      <c r="K1161" s="5" t="n"/>
      <c r="L1161" s="18" t="n"/>
      <c r="M1161" s="5">
        <f>IF($A1161="","",IFERROR(INDEX('AJUSTES'!$B$4:$B$303,MATCH($AT1161,'AJUSTES'!$A$4:$A$303,0)),IF($K1161="","",$K1161)))</f>
        <v/>
      </c>
      <c r="N1161" s="5">
        <f>IF($A1161="","",IFERROR(INDEX('CAT_ESTADOS_ERP'!$B$4:$B$7,MATCH(IFERROR(INDEX('2_IMPORTAR_EJECUCION'!$C$9:$C$1208,MATCH($AT1161,'2_IMPORTAR_EJECUCION'!$J$9:$J$1208,0)),""),'CAT_ESTADOS_ERP'!$A$4:$A$7,0)),"Pendiente"))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IF($J1161="","",$P1161&amp;"-"&amp;TEXT($Q1161,"00"))</f>
        <v/>
      </c>
      <c r="S1161" s="5">
        <f>IF($J1161="","",INDEX(lista_dias,WEEKDAY($J1161,2)))</f>
        <v/>
      </c>
      <c r="T1161" s="5">
        <f>IF($J1161="","",IFERROR(INDEX('CALENDARIO'!$C$15:$C$214,MATCH(TEXT($J1161,"yyyy-mm-dd")&amp;"|"&amp;$X1161&amp;"|"&amp;$Y1161,'CALENDARIO'!$G$15:$G$214,0)),IFERROR(INDEX('CALENDARIO'!$C$15:$C$214,MATCH(TEXT($J1161,"yyyy-mm-dd")&amp;"|"&amp;$X1161&amp;"|",'CALENDARIO'!$G$15:$G$214,0)),IFERROR(INDEX('CALENDARIO'!$C$15:$C$214,MATCH(TEXT($J1161,"yyyy-mm-dd")&amp;"||",'CALENDARIO'!$G$15:$G$214,0)),INDEX(patronHabil,WEEKDAY($J1161,2))))))</f>
        <v/>
      </c>
      <c r="U1161" s="5">
        <f>IF($I1161="","",IFERROR(INDEX('CAT_TIPOS_OT'!$C$4:$C$8,MATCH($I1161,'CAT_TIPOS_OT'!$A$4:$A$8,0)),"sin_clasificar"))</f>
        <v/>
      </c>
      <c r="V1161" s="5">
        <f>IF($I1161="","",IF(IFERROR(INDEX('CAT_TIPOS_OT'!$D$4:$D$8,MATCH($I1161,'CAT_TIPOS_OT'!$A$4:$A$8,0)),"SIN CLASIFICAR")="","SIN CLASIFICAR",IFERROR(INDEX('CAT_TIPOS_OT'!$D$4:$D$8,MATCH($I1161,'CAT_TIPOS_OT'!$A$4:$A$8,0)),"SIN CLASIFICAR")))</f>
        <v/>
      </c>
      <c r="W1161" s="5">
        <f>IF($F1161="","",IFERROR(INDEX('CAT_CENTROS_COSTO'!$F$4:$F$13,MATCH($F1161,'CAT_CENTROS_COSTO'!$A$4:$A$13,0)),"(sin catálogo)"))</f>
        <v/>
      </c>
      <c r="X1161" s="5">
        <f>IF($F1161="","",IFERROR(INDEX('CAT_CENTROS_COSTO'!$D$4:$D$13,MATCH($F1161,'CAT_CENTROS_COSTO'!$A$4:$A$13,0)),"(sin catálogo)"))</f>
        <v/>
      </c>
      <c r="Y1161" s="5">
        <f>IF($F1161="","",IF((IFERROR(INDEX('CAT_CENTROS_COSTO'!$E$4:$E$13,MATCH($F1161,'CAT_CENTROS_COSTO'!$A$4:$A$13,0)),""))&lt;&gt;"",IFERROR(INDEX('CAT_CENTROS_COSTO'!$E$4:$E$13,MATCH($F1161,'CAT_CENTROS_COSTO'!$A$4:$A$13,0)),""),$X1161))</f>
        <v/>
      </c>
      <c r="Z1161" s="5">
        <f>IF($F1161="","",IFERROR(INDEX('CAT_CENTROS_COSTO'!$G$4:$G$13,MATCH($F1161,'CAT_CENTROS_COSTO'!$A$4:$A$13,0)),"(sin catálogo)"))</f>
        <v/>
      </c>
      <c r="AA1161" s="5">
        <f>IF($G1161="","",IFERROR(INDEX('CAT_PUESTOS'!$B$4:$B$8,MATCH($G1161,'CAT_PUESTOS'!$A$4:$A$8,0)),"(sin catálogo)"))</f>
        <v/>
      </c>
      <c r="AB1161" s="5">
        <f>IF($H1161="","",IFERROR(INDEX('CAT_ACTIVIDADES'!$B$4:$B$11,MATCH($H1161,'CAT_ACTIVIDADES'!$A$4:$A$11,0)),"(sin catálogo)"))</f>
        <v/>
      </c>
      <c r="AC1161" s="20">
        <f>IF($J1161="","",TODAY()-$J1161)</f>
        <v/>
      </c>
      <c r="AD1161" s="20">
        <f>IF($J1161="","",IF($J1161&lt;=TODAY(),COUNTIFS(cal_fechas,"&gt;="&amp;$J1161,cal_fechas,"&lt;"&amp;TODAY(),cal_habil,"sí"),-COUNTIFS(cal_fechas,"&gt;="&amp;TODAY(),cal_fechas,"&lt;"&amp;$J1161,cal_habil,"sí")))</f>
        <v/>
      </c>
      <c r="AE1161" s="5">
        <f>IF($AD1161="","",IF($AD1161&lt;0,"FUTURO",IF($AD1161&gt;p_dias_backlog_max,"BACKLOG","MES CORRIENTE")))</f>
        <v/>
      </c>
      <c r="AF1161" s="5">
        <f>IF($AD1161="",FALSE,AND($AD1161&gt;p_dias_backlog_min,$AD1161&lt;=p_dias_backlog_max))</f>
        <v/>
      </c>
      <c r="AG1161" s="4" t="n"/>
      <c r="AH1161" s="5">
        <f>IF($AG1161="","",IF((IFERROR(INDEX('ASIGNACIONES'!$J$4:$J$451,MATCH($O1161&amp;"|"&amp;$S1161&amp;"|"&amp;$AG1161,'ASIGNACIONES'!$N$4:$N$451,0)),""))=0,"",IFERROR(INDEX('ASIGNACIONES'!$J$4:$J$451,MATCH($O1161&amp;"|"&amp;$S1161&amp;"|"&amp;$AG1161,'ASIGNACIONES'!$N$4:$N$451,0)),"")))</f>
        <v/>
      </c>
      <c r="AI1161" s="25">
        <f>IF($AG1161="","",SUMIFS('ORDENES'!$M$4:$M$1203,'ORDENES'!$AG$4:$AG$1203,$AG1161,'ORDENES'!$O$4:$O$1203,$O1161,'ORDENES'!$S$4:$S$1203,$S1161))</f>
        <v/>
      </c>
      <c r="AJ1161" s="25">
        <f>IF($AI1161="","",p_factor_productividad*IFERROR(INDEX('ASIGNACIONES'!$M$4:$M$451,MATCH($O1161&amp;"|"&amp;$S1161&amp;"|"&amp;$AG1161,'ASIGNACIONES'!$N$4:$N$451,0)),0)-$AI1161)</f>
        <v/>
      </c>
      <c r="AK1161" s="18">
        <f>IF($A1161="","",IFERROR(INDEX('2_IMPORTAR_EJECUCION'!$F$9:$F$1208,MATCH($AT1161,'2_IMPORTAR_EJECUCION'!$J$9:$J$1208,0)),0))</f>
        <v/>
      </c>
      <c r="AL1161" s="18">
        <f>IF($A1161="","",MAX(0,IFERROR(INDEX('2_IMPORTAR_EJECUCION'!$H$9:$H$1208,MATCH($AT1161,'2_IMPORTAR_EJECUCION'!$J$9:$J$1208,0)),0)-$AK1161))</f>
        <v/>
      </c>
      <c r="AM1161" s="18">
        <f>IF($A1161="","",$AK1161+$AL1161)</f>
        <v/>
      </c>
      <c r="AN1161" s="5">
        <f>IF($A1161="","",IF(OR((IFERROR(INDEX('CAT_ACTIVIDADES'!$D$4:$D$11,MATCH($H1161,'CAT_ACTIVIDADES'!$A$4:$A$11,0)),""))=0,(IFERROR(INDEX('CAT_ACTIVIDADES'!$D$4:$D$11,MATCH($H1161,'CAT_ACTIVIDADES'!$A$4:$A$11,0)),""))=""),"SIN CLASIFICAR",IFERROR(INDEX('CAT_ACTIVIDADES'!$D$4:$D$11,MATCH($H1161,'CAT_ACTIVIDADES'!$A$4:$A$11,0)),"")))</f>
        <v/>
      </c>
      <c r="AO1161" s="4" t="n"/>
      <c r="AP1161" s="4" t="n"/>
      <c r="AQ1161" s="4" t="n"/>
      <c r="AR1161" s="5">
        <f>IF($AQ1161="","",HYPERLINK(p_ruta_base_checklists&amp;$AQ1161,"abrir"))</f>
        <v/>
      </c>
      <c r="AS1161" s="4" t="n"/>
      <c r="AT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2" t="n"/>
      <c r="K1162" s="5" t="n"/>
      <c r="L1162" s="18" t="n"/>
      <c r="M1162" s="5">
        <f>IF($A1162="","",IFERROR(INDEX('AJUSTES'!$B$4:$B$303,MATCH($AT1162,'AJUSTES'!$A$4:$A$303,0)),IF($K1162="","",$K1162)))</f>
        <v/>
      </c>
      <c r="N1162" s="5">
        <f>IF($A1162="","",IFERROR(INDEX('CAT_ESTADOS_ERP'!$B$4:$B$7,MATCH(IFERROR(INDEX('2_IMPORTAR_EJECUCION'!$C$9:$C$1208,MATCH($AT1162,'2_IMPORTAR_EJECUCION'!$J$9:$J$1208,0)),""),'CAT_ESTADOS_ERP'!$A$4:$A$7,0)),"Pendiente"))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IF($J1162="","",$P1162&amp;"-"&amp;TEXT($Q1162,"00"))</f>
        <v/>
      </c>
      <c r="S1162" s="5">
        <f>IF($J1162="","",INDEX(lista_dias,WEEKDAY($J1162,2)))</f>
        <v/>
      </c>
      <c r="T1162" s="5">
        <f>IF($J1162="","",IFERROR(INDEX('CALENDARIO'!$C$15:$C$214,MATCH(TEXT($J1162,"yyyy-mm-dd")&amp;"|"&amp;$X1162&amp;"|"&amp;$Y1162,'CALENDARIO'!$G$15:$G$214,0)),IFERROR(INDEX('CALENDARIO'!$C$15:$C$214,MATCH(TEXT($J1162,"yyyy-mm-dd")&amp;"|"&amp;$X1162&amp;"|",'CALENDARIO'!$G$15:$G$214,0)),IFERROR(INDEX('CALENDARIO'!$C$15:$C$214,MATCH(TEXT($J1162,"yyyy-mm-dd")&amp;"||",'CALENDARIO'!$G$15:$G$214,0)),INDEX(patronHabil,WEEKDAY($J1162,2))))))</f>
        <v/>
      </c>
      <c r="U1162" s="5">
        <f>IF($I1162="","",IFERROR(INDEX('CAT_TIPOS_OT'!$C$4:$C$8,MATCH($I1162,'CAT_TIPOS_OT'!$A$4:$A$8,0)),"sin_clasificar"))</f>
        <v/>
      </c>
      <c r="V1162" s="5">
        <f>IF($I1162="","",IF(IFERROR(INDEX('CAT_TIPOS_OT'!$D$4:$D$8,MATCH($I1162,'CAT_TIPOS_OT'!$A$4:$A$8,0)),"SIN CLASIFICAR")="","SIN CLASIFICAR",IFERROR(INDEX('CAT_TIPOS_OT'!$D$4:$D$8,MATCH($I1162,'CAT_TIPOS_OT'!$A$4:$A$8,0)),"SIN CLASIFICAR")))</f>
        <v/>
      </c>
      <c r="W1162" s="5">
        <f>IF($F1162="","",IFERROR(INDEX('CAT_CENTROS_COSTO'!$F$4:$F$13,MATCH($F1162,'CAT_CENTROS_COSTO'!$A$4:$A$13,0)),"(sin catálogo)"))</f>
        <v/>
      </c>
      <c r="X1162" s="5">
        <f>IF($F1162="","",IFERROR(INDEX('CAT_CENTROS_COSTO'!$D$4:$D$13,MATCH($F1162,'CAT_CENTROS_COSTO'!$A$4:$A$13,0)),"(sin catálogo)"))</f>
        <v/>
      </c>
      <c r="Y1162" s="5">
        <f>IF($F1162="","",IF((IFERROR(INDEX('CAT_CENTROS_COSTO'!$E$4:$E$13,MATCH($F1162,'CAT_CENTROS_COSTO'!$A$4:$A$13,0)),""))&lt;&gt;"",IFERROR(INDEX('CAT_CENTROS_COSTO'!$E$4:$E$13,MATCH($F1162,'CAT_CENTROS_COSTO'!$A$4:$A$13,0)),""),$X1162))</f>
        <v/>
      </c>
      <c r="Z1162" s="5">
        <f>IF($F1162="","",IFERROR(INDEX('CAT_CENTROS_COSTO'!$G$4:$G$13,MATCH($F1162,'CAT_CENTROS_COSTO'!$A$4:$A$13,0)),"(sin catálogo)"))</f>
        <v/>
      </c>
      <c r="AA1162" s="5">
        <f>IF($G1162="","",IFERROR(INDEX('CAT_PUESTOS'!$B$4:$B$8,MATCH($G1162,'CAT_PUESTOS'!$A$4:$A$8,0)),"(sin catálogo)"))</f>
        <v/>
      </c>
      <c r="AB1162" s="5">
        <f>IF($H1162="","",IFERROR(INDEX('CAT_ACTIVIDADES'!$B$4:$B$11,MATCH($H1162,'CAT_ACTIVIDADES'!$A$4:$A$11,0)),"(sin catálogo)"))</f>
        <v/>
      </c>
      <c r="AC1162" s="20">
        <f>IF($J1162="","",TODAY()-$J1162)</f>
        <v/>
      </c>
      <c r="AD1162" s="20">
        <f>IF($J1162="","",IF($J1162&lt;=TODAY(),COUNTIFS(cal_fechas,"&gt;="&amp;$J1162,cal_fechas,"&lt;"&amp;TODAY(),cal_habil,"sí"),-COUNTIFS(cal_fechas,"&gt;="&amp;TODAY(),cal_fechas,"&lt;"&amp;$J1162,cal_habil,"sí")))</f>
        <v/>
      </c>
      <c r="AE1162" s="5">
        <f>IF($AD1162="","",IF($AD1162&lt;0,"FUTURO",IF($AD1162&gt;p_dias_backlog_max,"BACKLOG","MES CORRIENTE")))</f>
        <v/>
      </c>
      <c r="AF1162" s="5">
        <f>IF($AD1162="",FALSE,AND($AD1162&gt;p_dias_backlog_min,$AD1162&lt;=p_dias_backlog_max))</f>
        <v/>
      </c>
      <c r="AG1162" s="4" t="n"/>
      <c r="AH1162" s="5">
        <f>IF($AG1162="","",IF((IFERROR(INDEX('ASIGNACIONES'!$J$4:$J$451,MATCH($O1162&amp;"|"&amp;$S1162&amp;"|"&amp;$AG1162,'ASIGNACIONES'!$N$4:$N$451,0)),""))=0,"",IFERROR(INDEX('ASIGNACIONES'!$J$4:$J$451,MATCH($O1162&amp;"|"&amp;$S1162&amp;"|"&amp;$AG1162,'ASIGNACIONES'!$N$4:$N$451,0)),"")))</f>
        <v/>
      </c>
      <c r="AI1162" s="25">
        <f>IF($AG1162="","",SUMIFS('ORDENES'!$M$4:$M$1203,'ORDENES'!$AG$4:$AG$1203,$AG1162,'ORDENES'!$O$4:$O$1203,$O1162,'ORDENES'!$S$4:$S$1203,$S1162))</f>
        <v/>
      </c>
      <c r="AJ1162" s="25">
        <f>IF($AI1162="","",p_factor_productividad*IFERROR(INDEX('ASIGNACIONES'!$M$4:$M$451,MATCH($O1162&amp;"|"&amp;$S1162&amp;"|"&amp;$AG1162,'ASIGNACIONES'!$N$4:$N$451,0)),0)-$AI1162)</f>
        <v/>
      </c>
      <c r="AK1162" s="18">
        <f>IF($A1162="","",IFERROR(INDEX('2_IMPORTAR_EJECUCION'!$F$9:$F$1208,MATCH($AT1162,'2_IMPORTAR_EJECUCION'!$J$9:$J$1208,0)),0))</f>
        <v/>
      </c>
      <c r="AL1162" s="18">
        <f>IF($A1162="","",MAX(0,IFERROR(INDEX('2_IMPORTAR_EJECUCION'!$H$9:$H$1208,MATCH($AT1162,'2_IMPORTAR_EJECUCION'!$J$9:$J$1208,0)),0)-$AK1162))</f>
        <v/>
      </c>
      <c r="AM1162" s="18">
        <f>IF($A1162="","",$AK1162+$AL1162)</f>
        <v/>
      </c>
      <c r="AN1162" s="5">
        <f>IF($A1162="","",IF(OR((IFERROR(INDEX('CAT_ACTIVIDADES'!$D$4:$D$11,MATCH($H1162,'CAT_ACTIVIDADES'!$A$4:$A$11,0)),""))=0,(IFERROR(INDEX('CAT_ACTIVIDADES'!$D$4:$D$11,MATCH($H1162,'CAT_ACTIVIDADES'!$A$4:$A$11,0)),""))=""),"SIN CLASIFICAR",IFERROR(INDEX('CAT_ACTIVIDADES'!$D$4:$D$11,MATCH($H1162,'CAT_ACTIVIDADES'!$A$4:$A$11,0)),"")))</f>
        <v/>
      </c>
      <c r="AO1162" s="4" t="n"/>
      <c r="AP1162" s="4" t="n"/>
      <c r="AQ1162" s="4" t="n"/>
      <c r="AR1162" s="5">
        <f>IF($AQ1162="","",HYPERLINK(p_ruta_base_checklists&amp;$AQ1162,"abrir"))</f>
        <v/>
      </c>
      <c r="AS1162" s="4" t="n"/>
      <c r="AT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2" t="n"/>
      <c r="K1163" s="5" t="n"/>
      <c r="L1163" s="18" t="n"/>
      <c r="M1163" s="5">
        <f>IF($A1163="","",IFERROR(INDEX('AJUSTES'!$B$4:$B$303,MATCH($AT1163,'AJUSTES'!$A$4:$A$303,0)),IF($K1163="","",$K1163)))</f>
        <v/>
      </c>
      <c r="N1163" s="5">
        <f>IF($A1163="","",IFERROR(INDEX('CAT_ESTADOS_ERP'!$B$4:$B$7,MATCH(IFERROR(INDEX('2_IMPORTAR_EJECUCION'!$C$9:$C$1208,MATCH($AT1163,'2_IMPORTAR_EJECUCION'!$J$9:$J$1208,0)),""),'CAT_ESTADOS_ERP'!$A$4:$A$7,0)),"Pendiente"))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IF($J1163="","",$P1163&amp;"-"&amp;TEXT($Q1163,"00"))</f>
        <v/>
      </c>
      <c r="S1163" s="5">
        <f>IF($J1163="","",INDEX(lista_dias,WEEKDAY($J1163,2)))</f>
        <v/>
      </c>
      <c r="T1163" s="5">
        <f>IF($J1163="","",IFERROR(INDEX('CALENDARIO'!$C$15:$C$214,MATCH(TEXT($J1163,"yyyy-mm-dd")&amp;"|"&amp;$X1163&amp;"|"&amp;$Y1163,'CALENDARIO'!$G$15:$G$214,0)),IFERROR(INDEX('CALENDARIO'!$C$15:$C$214,MATCH(TEXT($J1163,"yyyy-mm-dd")&amp;"|"&amp;$X1163&amp;"|",'CALENDARIO'!$G$15:$G$214,0)),IFERROR(INDEX('CALENDARIO'!$C$15:$C$214,MATCH(TEXT($J1163,"yyyy-mm-dd")&amp;"||",'CALENDARIO'!$G$15:$G$214,0)),INDEX(patronHabil,WEEKDAY($J1163,2))))))</f>
        <v/>
      </c>
      <c r="U1163" s="5">
        <f>IF($I1163="","",IFERROR(INDEX('CAT_TIPOS_OT'!$C$4:$C$8,MATCH($I1163,'CAT_TIPOS_OT'!$A$4:$A$8,0)),"sin_clasificar"))</f>
        <v/>
      </c>
      <c r="V1163" s="5">
        <f>IF($I1163="","",IF(IFERROR(INDEX('CAT_TIPOS_OT'!$D$4:$D$8,MATCH($I1163,'CAT_TIPOS_OT'!$A$4:$A$8,0)),"SIN CLASIFICAR")="","SIN CLASIFICAR",IFERROR(INDEX('CAT_TIPOS_OT'!$D$4:$D$8,MATCH($I1163,'CAT_TIPOS_OT'!$A$4:$A$8,0)),"SIN CLASIFICAR")))</f>
        <v/>
      </c>
      <c r="W1163" s="5">
        <f>IF($F1163="","",IFERROR(INDEX('CAT_CENTROS_COSTO'!$F$4:$F$13,MATCH($F1163,'CAT_CENTROS_COSTO'!$A$4:$A$13,0)),"(sin catálogo)"))</f>
        <v/>
      </c>
      <c r="X1163" s="5">
        <f>IF($F1163="","",IFERROR(INDEX('CAT_CENTROS_COSTO'!$D$4:$D$13,MATCH($F1163,'CAT_CENTROS_COSTO'!$A$4:$A$13,0)),"(sin catálogo)"))</f>
        <v/>
      </c>
      <c r="Y1163" s="5">
        <f>IF($F1163="","",IF((IFERROR(INDEX('CAT_CENTROS_COSTO'!$E$4:$E$13,MATCH($F1163,'CAT_CENTROS_COSTO'!$A$4:$A$13,0)),""))&lt;&gt;"",IFERROR(INDEX('CAT_CENTROS_COSTO'!$E$4:$E$13,MATCH($F1163,'CAT_CENTROS_COSTO'!$A$4:$A$13,0)),""),$X1163))</f>
        <v/>
      </c>
      <c r="Z1163" s="5">
        <f>IF($F1163="","",IFERROR(INDEX('CAT_CENTROS_COSTO'!$G$4:$G$13,MATCH($F1163,'CAT_CENTROS_COSTO'!$A$4:$A$13,0)),"(sin catálogo)"))</f>
        <v/>
      </c>
      <c r="AA1163" s="5">
        <f>IF($G1163="","",IFERROR(INDEX('CAT_PUESTOS'!$B$4:$B$8,MATCH($G1163,'CAT_PUESTOS'!$A$4:$A$8,0)),"(sin catálogo)"))</f>
        <v/>
      </c>
      <c r="AB1163" s="5">
        <f>IF($H1163="","",IFERROR(INDEX('CAT_ACTIVIDADES'!$B$4:$B$11,MATCH($H1163,'CAT_ACTIVIDADES'!$A$4:$A$11,0)),"(sin catálogo)"))</f>
        <v/>
      </c>
      <c r="AC1163" s="20">
        <f>IF($J1163="","",TODAY()-$J1163)</f>
        <v/>
      </c>
      <c r="AD1163" s="20">
        <f>IF($J1163="","",IF($J1163&lt;=TODAY(),COUNTIFS(cal_fechas,"&gt;="&amp;$J1163,cal_fechas,"&lt;"&amp;TODAY(),cal_habil,"sí"),-COUNTIFS(cal_fechas,"&gt;="&amp;TODAY(),cal_fechas,"&lt;"&amp;$J1163,cal_habil,"sí")))</f>
        <v/>
      </c>
      <c r="AE1163" s="5">
        <f>IF($AD1163="","",IF($AD1163&lt;0,"FUTURO",IF($AD1163&gt;p_dias_backlog_max,"BACKLOG","MES CORRIENTE")))</f>
        <v/>
      </c>
      <c r="AF1163" s="5">
        <f>IF($AD1163="",FALSE,AND($AD1163&gt;p_dias_backlog_min,$AD1163&lt;=p_dias_backlog_max))</f>
        <v/>
      </c>
      <c r="AG1163" s="4" t="n"/>
      <c r="AH1163" s="5">
        <f>IF($AG1163="","",IF((IFERROR(INDEX('ASIGNACIONES'!$J$4:$J$451,MATCH($O1163&amp;"|"&amp;$S1163&amp;"|"&amp;$AG1163,'ASIGNACIONES'!$N$4:$N$451,0)),""))=0,"",IFERROR(INDEX('ASIGNACIONES'!$J$4:$J$451,MATCH($O1163&amp;"|"&amp;$S1163&amp;"|"&amp;$AG1163,'ASIGNACIONES'!$N$4:$N$451,0)),"")))</f>
        <v/>
      </c>
      <c r="AI1163" s="25">
        <f>IF($AG1163="","",SUMIFS('ORDENES'!$M$4:$M$1203,'ORDENES'!$AG$4:$AG$1203,$AG1163,'ORDENES'!$O$4:$O$1203,$O1163,'ORDENES'!$S$4:$S$1203,$S1163))</f>
        <v/>
      </c>
      <c r="AJ1163" s="25">
        <f>IF($AI1163="","",p_factor_productividad*IFERROR(INDEX('ASIGNACIONES'!$M$4:$M$451,MATCH($O1163&amp;"|"&amp;$S1163&amp;"|"&amp;$AG1163,'ASIGNACIONES'!$N$4:$N$451,0)),0)-$AI1163)</f>
        <v/>
      </c>
      <c r="AK1163" s="18">
        <f>IF($A1163="","",IFERROR(INDEX('2_IMPORTAR_EJECUCION'!$F$9:$F$1208,MATCH($AT1163,'2_IMPORTAR_EJECUCION'!$J$9:$J$1208,0)),0))</f>
        <v/>
      </c>
      <c r="AL1163" s="18">
        <f>IF($A1163="","",MAX(0,IFERROR(INDEX('2_IMPORTAR_EJECUCION'!$H$9:$H$1208,MATCH($AT1163,'2_IMPORTAR_EJECUCION'!$J$9:$J$1208,0)),0)-$AK1163))</f>
        <v/>
      </c>
      <c r="AM1163" s="18">
        <f>IF($A1163="","",$AK1163+$AL1163)</f>
        <v/>
      </c>
      <c r="AN1163" s="5">
        <f>IF($A1163="","",IF(OR((IFERROR(INDEX('CAT_ACTIVIDADES'!$D$4:$D$11,MATCH($H1163,'CAT_ACTIVIDADES'!$A$4:$A$11,0)),""))=0,(IFERROR(INDEX('CAT_ACTIVIDADES'!$D$4:$D$11,MATCH($H1163,'CAT_ACTIVIDADES'!$A$4:$A$11,0)),""))=""),"SIN CLASIFICAR",IFERROR(INDEX('CAT_ACTIVIDADES'!$D$4:$D$11,MATCH($H1163,'CAT_ACTIVIDADES'!$A$4:$A$11,0)),"")))</f>
        <v/>
      </c>
      <c r="AO1163" s="4" t="n"/>
      <c r="AP1163" s="4" t="n"/>
      <c r="AQ1163" s="4" t="n"/>
      <c r="AR1163" s="5">
        <f>IF($AQ1163="","",HYPERLINK(p_ruta_base_checklists&amp;$AQ1163,"abrir"))</f>
        <v/>
      </c>
      <c r="AS1163" s="4" t="n"/>
      <c r="AT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2" t="n"/>
      <c r="K1164" s="5" t="n"/>
      <c r="L1164" s="18" t="n"/>
      <c r="M1164" s="5">
        <f>IF($A1164="","",IFERROR(INDEX('AJUSTES'!$B$4:$B$303,MATCH($AT1164,'AJUSTES'!$A$4:$A$303,0)),IF($K1164="","",$K1164)))</f>
        <v/>
      </c>
      <c r="N1164" s="5">
        <f>IF($A1164="","",IFERROR(INDEX('CAT_ESTADOS_ERP'!$B$4:$B$7,MATCH(IFERROR(INDEX('2_IMPORTAR_EJECUCION'!$C$9:$C$1208,MATCH($AT1164,'2_IMPORTAR_EJECUCION'!$J$9:$J$1208,0)),""),'CAT_ESTADOS_ERP'!$A$4:$A$7,0)),"Pendiente"))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IF($J1164="","",$P1164&amp;"-"&amp;TEXT($Q1164,"00"))</f>
        <v/>
      </c>
      <c r="S1164" s="5">
        <f>IF($J1164="","",INDEX(lista_dias,WEEKDAY($J1164,2)))</f>
        <v/>
      </c>
      <c r="T1164" s="5">
        <f>IF($J1164="","",IFERROR(INDEX('CALENDARIO'!$C$15:$C$214,MATCH(TEXT($J1164,"yyyy-mm-dd")&amp;"|"&amp;$X1164&amp;"|"&amp;$Y1164,'CALENDARIO'!$G$15:$G$214,0)),IFERROR(INDEX('CALENDARIO'!$C$15:$C$214,MATCH(TEXT($J1164,"yyyy-mm-dd")&amp;"|"&amp;$X1164&amp;"|",'CALENDARIO'!$G$15:$G$214,0)),IFERROR(INDEX('CALENDARIO'!$C$15:$C$214,MATCH(TEXT($J1164,"yyyy-mm-dd")&amp;"||",'CALENDARIO'!$G$15:$G$214,0)),INDEX(patronHabil,WEEKDAY($J1164,2))))))</f>
        <v/>
      </c>
      <c r="U1164" s="5">
        <f>IF($I1164="","",IFERROR(INDEX('CAT_TIPOS_OT'!$C$4:$C$8,MATCH($I1164,'CAT_TIPOS_OT'!$A$4:$A$8,0)),"sin_clasificar"))</f>
        <v/>
      </c>
      <c r="V1164" s="5">
        <f>IF($I1164="","",IF(IFERROR(INDEX('CAT_TIPOS_OT'!$D$4:$D$8,MATCH($I1164,'CAT_TIPOS_OT'!$A$4:$A$8,0)),"SIN CLASIFICAR")="","SIN CLASIFICAR",IFERROR(INDEX('CAT_TIPOS_OT'!$D$4:$D$8,MATCH($I1164,'CAT_TIPOS_OT'!$A$4:$A$8,0)),"SIN CLASIFICAR")))</f>
        <v/>
      </c>
      <c r="W1164" s="5">
        <f>IF($F1164="","",IFERROR(INDEX('CAT_CENTROS_COSTO'!$F$4:$F$13,MATCH($F1164,'CAT_CENTROS_COSTO'!$A$4:$A$13,0)),"(sin catálogo)"))</f>
        <v/>
      </c>
      <c r="X1164" s="5">
        <f>IF($F1164="","",IFERROR(INDEX('CAT_CENTROS_COSTO'!$D$4:$D$13,MATCH($F1164,'CAT_CENTROS_COSTO'!$A$4:$A$13,0)),"(sin catálogo)"))</f>
        <v/>
      </c>
      <c r="Y1164" s="5">
        <f>IF($F1164="","",IF((IFERROR(INDEX('CAT_CENTROS_COSTO'!$E$4:$E$13,MATCH($F1164,'CAT_CENTROS_COSTO'!$A$4:$A$13,0)),""))&lt;&gt;"",IFERROR(INDEX('CAT_CENTROS_COSTO'!$E$4:$E$13,MATCH($F1164,'CAT_CENTROS_COSTO'!$A$4:$A$13,0)),""),$X1164))</f>
        <v/>
      </c>
      <c r="Z1164" s="5">
        <f>IF($F1164="","",IFERROR(INDEX('CAT_CENTROS_COSTO'!$G$4:$G$13,MATCH($F1164,'CAT_CENTROS_COSTO'!$A$4:$A$13,0)),"(sin catálogo)"))</f>
        <v/>
      </c>
      <c r="AA1164" s="5">
        <f>IF($G1164="","",IFERROR(INDEX('CAT_PUESTOS'!$B$4:$B$8,MATCH($G1164,'CAT_PUESTOS'!$A$4:$A$8,0)),"(sin catálogo)"))</f>
        <v/>
      </c>
      <c r="AB1164" s="5">
        <f>IF($H1164="","",IFERROR(INDEX('CAT_ACTIVIDADES'!$B$4:$B$11,MATCH($H1164,'CAT_ACTIVIDADES'!$A$4:$A$11,0)),"(sin catálogo)"))</f>
        <v/>
      </c>
      <c r="AC1164" s="20">
        <f>IF($J1164="","",TODAY()-$J1164)</f>
        <v/>
      </c>
      <c r="AD1164" s="20">
        <f>IF($J1164="","",IF($J1164&lt;=TODAY(),COUNTIFS(cal_fechas,"&gt;="&amp;$J1164,cal_fechas,"&lt;"&amp;TODAY(),cal_habil,"sí"),-COUNTIFS(cal_fechas,"&gt;="&amp;TODAY(),cal_fechas,"&lt;"&amp;$J1164,cal_habil,"sí")))</f>
        <v/>
      </c>
      <c r="AE1164" s="5">
        <f>IF($AD1164="","",IF($AD1164&lt;0,"FUTURO",IF($AD1164&gt;p_dias_backlog_max,"BACKLOG","MES CORRIENTE")))</f>
        <v/>
      </c>
      <c r="AF1164" s="5">
        <f>IF($AD1164="",FALSE,AND($AD1164&gt;p_dias_backlog_min,$AD1164&lt;=p_dias_backlog_max))</f>
        <v/>
      </c>
      <c r="AG1164" s="4" t="n"/>
      <c r="AH1164" s="5">
        <f>IF($AG1164="","",IF((IFERROR(INDEX('ASIGNACIONES'!$J$4:$J$451,MATCH($O1164&amp;"|"&amp;$S1164&amp;"|"&amp;$AG1164,'ASIGNACIONES'!$N$4:$N$451,0)),""))=0,"",IFERROR(INDEX('ASIGNACIONES'!$J$4:$J$451,MATCH($O1164&amp;"|"&amp;$S1164&amp;"|"&amp;$AG1164,'ASIGNACIONES'!$N$4:$N$451,0)),"")))</f>
        <v/>
      </c>
      <c r="AI1164" s="25">
        <f>IF($AG1164="","",SUMIFS('ORDENES'!$M$4:$M$1203,'ORDENES'!$AG$4:$AG$1203,$AG1164,'ORDENES'!$O$4:$O$1203,$O1164,'ORDENES'!$S$4:$S$1203,$S1164))</f>
        <v/>
      </c>
      <c r="AJ1164" s="25">
        <f>IF($AI1164="","",p_factor_productividad*IFERROR(INDEX('ASIGNACIONES'!$M$4:$M$451,MATCH($O1164&amp;"|"&amp;$S1164&amp;"|"&amp;$AG1164,'ASIGNACIONES'!$N$4:$N$451,0)),0)-$AI1164)</f>
        <v/>
      </c>
      <c r="AK1164" s="18">
        <f>IF($A1164="","",IFERROR(INDEX('2_IMPORTAR_EJECUCION'!$F$9:$F$1208,MATCH($AT1164,'2_IMPORTAR_EJECUCION'!$J$9:$J$1208,0)),0))</f>
        <v/>
      </c>
      <c r="AL1164" s="18">
        <f>IF($A1164="","",MAX(0,IFERROR(INDEX('2_IMPORTAR_EJECUCION'!$H$9:$H$1208,MATCH($AT1164,'2_IMPORTAR_EJECUCION'!$J$9:$J$1208,0)),0)-$AK1164))</f>
        <v/>
      </c>
      <c r="AM1164" s="18">
        <f>IF($A1164="","",$AK1164+$AL1164)</f>
        <v/>
      </c>
      <c r="AN1164" s="5">
        <f>IF($A1164="","",IF(OR((IFERROR(INDEX('CAT_ACTIVIDADES'!$D$4:$D$11,MATCH($H1164,'CAT_ACTIVIDADES'!$A$4:$A$11,0)),""))=0,(IFERROR(INDEX('CAT_ACTIVIDADES'!$D$4:$D$11,MATCH($H1164,'CAT_ACTIVIDADES'!$A$4:$A$11,0)),""))=""),"SIN CLASIFICAR",IFERROR(INDEX('CAT_ACTIVIDADES'!$D$4:$D$11,MATCH($H1164,'CAT_ACTIVIDADES'!$A$4:$A$11,0)),"")))</f>
        <v/>
      </c>
      <c r="AO1164" s="4" t="n"/>
      <c r="AP1164" s="4" t="n"/>
      <c r="AQ1164" s="4" t="n"/>
      <c r="AR1164" s="5">
        <f>IF($AQ1164="","",HYPERLINK(p_ruta_base_checklists&amp;$AQ1164,"abrir"))</f>
        <v/>
      </c>
      <c r="AS1164" s="4" t="n"/>
      <c r="AT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2" t="n"/>
      <c r="K1165" s="5" t="n"/>
      <c r="L1165" s="18" t="n"/>
      <c r="M1165" s="5">
        <f>IF($A1165="","",IFERROR(INDEX('AJUSTES'!$B$4:$B$303,MATCH($AT1165,'AJUSTES'!$A$4:$A$303,0)),IF($K1165="","",$K1165)))</f>
        <v/>
      </c>
      <c r="N1165" s="5">
        <f>IF($A1165="","",IFERROR(INDEX('CAT_ESTADOS_ERP'!$B$4:$B$7,MATCH(IFERROR(INDEX('2_IMPORTAR_EJECUCION'!$C$9:$C$1208,MATCH($AT1165,'2_IMPORTAR_EJECUCION'!$J$9:$J$1208,0)),""),'CAT_ESTADOS_ERP'!$A$4:$A$7,0)),"Pendiente"))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IF($J1165="","",$P1165&amp;"-"&amp;TEXT($Q1165,"00"))</f>
        <v/>
      </c>
      <c r="S1165" s="5">
        <f>IF($J1165="","",INDEX(lista_dias,WEEKDAY($J1165,2)))</f>
        <v/>
      </c>
      <c r="T1165" s="5">
        <f>IF($J1165="","",IFERROR(INDEX('CALENDARIO'!$C$15:$C$214,MATCH(TEXT($J1165,"yyyy-mm-dd")&amp;"|"&amp;$X1165&amp;"|"&amp;$Y1165,'CALENDARIO'!$G$15:$G$214,0)),IFERROR(INDEX('CALENDARIO'!$C$15:$C$214,MATCH(TEXT($J1165,"yyyy-mm-dd")&amp;"|"&amp;$X1165&amp;"|",'CALENDARIO'!$G$15:$G$214,0)),IFERROR(INDEX('CALENDARIO'!$C$15:$C$214,MATCH(TEXT($J1165,"yyyy-mm-dd")&amp;"||",'CALENDARIO'!$G$15:$G$214,0)),INDEX(patronHabil,WEEKDAY($J1165,2))))))</f>
        <v/>
      </c>
      <c r="U1165" s="5">
        <f>IF($I1165="","",IFERROR(INDEX('CAT_TIPOS_OT'!$C$4:$C$8,MATCH($I1165,'CAT_TIPOS_OT'!$A$4:$A$8,0)),"sin_clasificar"))</f>
        <v/>
      </c>
      <c r="V1165" s="5">
        <f>IF($I1165="","",IF(IFERROR(INDEX('CAT_TIPOS_OT'!$D$4:$D$8,MATCH($I1165,'CAT_TIPOS_OT'!$A$4:$A$8,0)),"SIN CLASIFICAR")="","SIN CLASIFICAR",IFERROR(INDEX('CAT_TIPOS_OT'!$D$4:$D$8,MATCH($I1165,'CAT_TIPOS_OT'!$A$4:$A$8,0)),"SIN CLASIFICAR")))</f>
        <v/>
      </c>
      <c r="W1165" s="5">
        <f>IF($F1165="","",IFERROR(INDEX('CAT_CENTROS_COSTO'!$F$4:$F$13,MATCH($F1165,'CAT_CENTROS_COSTO'!$A$4:$A$13,0)),"(sin catálogo)"))</f>
        <v/>
      </c>
      <c r="X1165" s="5">
        <f>IF($F1165="","",IFERROR(INDEX('CAT_CENTROS_COSTO'!$D$4:$D$13,MATCH($F1165,'CAT_CENTROS_COSTO'!$A$4:$A$13,0)),"(sin catálogo)"))</f>
        <v/>
      </c>
      <c r="Y1165" s="5">
        <f>IF($F1165="","",IF((IFERROR(INDEX('CAT_CENTROS_COSTO'!$E$4:$E$13,MATCH($F1165,'CAT_CENTROS_COSTO'!$A$4:$A$13,0)),""))&lt;&gt;"",IFERROR(INDEX('CAT_CENTROS_COSTO'!$E$4:$E$13,MATCH($F1165,'CAT_CENTROS_COSTO'!$A$4:$A$13,0)),""),$X1165))</f>
        <v/>
      </c>
      <c r="Z1165" s="5">
        <f>IF($F1165="","",IFERROR(INDEX('CAT_CENTROS_COSTO'!$G$4:$G$13,MATCH($F1165,'CAT_CENTROS_COSTO'!$A$4:$A$13,0)),"(sin catálogo)"))</f>
        <v/>
      </c>
      <c r="AA1165" s="5">
        <f>IF($G1165="","",IFERROR(INDEX('CAT_PUESTOS'!$B$4:$B$8,MATCH($G1165,'CAT_PUESTOS'!$A$4:$A$8,0)),"(sin catálogo)"))</f>
        <v/>
      </c>
      <c r="AB1165" s="5">
        <f>IF($H1165="","",IFERROR(INDEX('CAT_ACTIVIDADES'!$B$4:$B$11,MATCH($H1165,'CAT_ACTIVIDADES'!$A$4:$A$11,0)),"(sin catálogo)"))</f>
        <v/>
      </c>
      <c r="AC1165" s="20">
        <f>IF($J1165="","",TODAY()-$J1165)</f>
        <v/>
      </c>
      <c r="AD1165" s="20">
        <f>IF($J1165="","",IF($J1165&lt;=TODAY(),COUNTIFS(cal_fechas,"&gt;="&amp;$J1165,cal_fechas,"&lt;"&amp;TODAY(),cal_habil,"sí"),-COUNTIFS(cal_fechas,"&gt;="&amp;TODAY(),cal_fechas,"&lt;"&amp;$J1165,cal_habil,"sí")))</f>
        <v/>
      </c>
      <c r="AE1165" s="5">
        <f>IF($AD1165="","",IF($AD1165&lt;0,"FUTURO",IF($AD1165&gt;p_dias_backlog_max,"BACKLOG","MES CORRIENTE")))</f>
        <v/>
      </c>
      <c r="AF1165" s="5">
        <f>IF($AD1165="",FALSE,AND($AD1165&gt;p_dias_backlog_min,$AD1165&lt;=p_dias_backlog_max))</f>
        <v/>
      </c>
      <c r="AG1165" s="4" t="n"/>
      <c r="AH1165" s="5">
        <f>IF($AG1165="","",IF((IFERROR(INDEX('ASIGNACIONES'!$J$4:$J$451,MATCH($O1165&amp;"|"&amp;$S1165&amp;"|"&amp;$AG1165,'ASIGNACIONES'!$N$4:$N$451,0)),""))=0,"",IFERROR(INDEX('ASIGNACIONES'!$J$4:$J$451,MATCH($O1165&amp;"|"&amp;$S1165&amp;"|"&amp;$AG1165,'ASIGNACIONES'!$N$4:$N$451,0)),"")))</f>
        <v/>
      </c>
      <c r="AI1165" s="25">
        <f>IF($AG1165="","",SUMIFS('ORDENES'!$M$4:$M$1203,'ORDENES'!$AG$4:$AG$1203,$AG1165,'ORDENES'!$O$4:$O$1203,$O1165,'ORDENES'!$S$4:$S$1203,$S1165))</f>
        <v/>
      </c>
      <c r="AJ1165" s="25">
        <f>IF($AI1165="","",p_factor_productividad*IFERROR(INDEX('ASIGNACIONES'!$M$4:$M$451,MATCH($O1165&amp;"|"&amp;$S1165&amp;"|"&amp;$AG1165,'ASIGNACIONES'!$N$4:$N$451,0)),0)-$AI1165)</f>
        <v/>
      </c>
      <c r="AK1165" s="18">
        <f>IF($A1165="","",IFERROR(INDEX('2_IMPORTAR_EJECUCION'!$F$9:$F$1208,MATCH($AT1165,'2_IMPORTAR_EJECUCION'!$J$9:$J$1208,0)),0))</f>
        <v/>
      </c>
      <c r="AL1165" s="18">
        <f>IF($A1165="","",MAX(0,IFERROR(INDEX('2_IMPORTAR_EJECUCION'!$H$9:$H$1208,MATCH($AT1165,'2_IMPORTAR_EJECUCION'!$J$9:$J$1208,0)),0)-$AK1165))</f>
        <v/>
      </c>
      <c r="AM1165" s="18">
        <f>IF($A1165="","",$AK1165+$AL1165)</f>
        <v/>
      </c>
      <c r="AN1165" s="5">
        <f>IF($A1165="","",IF(OR((IFERROR(INDEX('CAT_ACTIVIDADES'!$D$4:$D$11,MATCH($H1165,'CAT_ACTIVIDADES'!$A$4:$A$11,0)),""))=0,(IFERROR(INDEX('CAT_ACTIVIDADES'!$D$4:$D$11,MATCH($H1165,'CAT_ACTIVIDADES'!$A$4:$A$11,0)),""))=""),"SIN CLASIFICAR",IFERROR(INDEX('CAT_ACTIVIDADES'!$D$4:$D$11,MATCH($H1165,'CAT_ACTIVIDADES'!$A$4:$A$11,0)),"")))</f>
        <v/>
      </c>
      <c r="AO1165" s="4" t="n"/>
      <c r="AP1165" s="4" t="n"/>
      <c r="AQ1165" s="4" t="n"/>
      <c r="AR1165" s="5">
        <f>IF($AQ1165="","",HYPERLINK(p_ruta_base_checklists&amp;$AQ1165,"abrir"))</f>
        <v/>
      </c>
      <c r="AS1165" s="4" t="n"/>
      <c r="AT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2" t="n"/>
      <c r="K1166" s="5" t="n"/>
      <c r="L1166" s="18" t="n"/>
      <c r="M1166" s="5">
        <f>IF($A1166="","",IFERROR(INDEX('AJUSTES'!$B$4:$B$303,MATCH($AT1166,'AJUSTES'!$A$4:$A$303,0)),IF($K1166="","",$K1166)))</f>
        <v/>
      </c>
      <c r="N1166" s="5">
        <f>IF($A1166="","",IFERROR(INDEX('CAT_ESTADOS_ERP'!$B$4:$B$7,MATCH(IFERROR(INDEX('2_IMPORTAR_EJECUCION'!$C$9:$C$1208,MATCH($AT1166,'2_IMPORTAR_EJECUCION'!$J$9:$J$1208,0)),""),'CAT_ESTADOS_ERP'!$A$4:$A$7,0)),"Pendiente"))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IF($J1166="","",$P1166&amp;"-"&amp;TEXT($Q1166,"00"))</f>
        <v/>
      </c>
      <c r="S1166" s="5">
        <f>IF($J1166="","",INDEX(lista_dias,WEEKDAY($J1166,2)))</f>
        <v/>
      </c>
      <c r="T1166" s="5">
        <f>IF($J1166="","",IFERROR(INDEX('CALENDARIO'!$C$15:$C$214,MATCH(TEXT($J1166,"yyyy-mm-dd")&amp;"|"&amp;$X1166&amp;"|"&amp;$Y1166,'CALENDARIO'!$G$15:$G$214,0)),IFERROR(INDEX('CALENDARIO'!$C$15:$C$214,MATCH(TEXT($J1166,"yyyy-mm-dd")&amp;"|"&amp;$X1166&amp;"|",'CALENDARIO'!$G$15:$G$214,0)),IFERROR(INDEX('CALENDARIO'!$C$15:$C$214,MATCH(TEXT($J1166,"yyyy-mm-dd")&amp;"||",'CALENDARIO'!$G$15:$G$214,0)),INDEX(patronHabil,WEEKDAY($J1166,2))))))</f>
        <v/>
      </c>
      <c r="U1166" s="5">
        <f>IF($I1166="","",IFERROR(INDEX('CAT_TIPOS_OT'!$C$4:$C$8,MATCH($I1166,'CAT_TIPOS_OT'!$A$4:$A$8,0)),"sin_clasificar"))</f>
        <v/>
      </c>
      <c r="V1166" s="5">
        <f>IF($I1166="","",IF(IFERROR(INDEX('CAT_TIPOS_OT'!$D$4:$D$8,MATCH($I1166,'CAT_TIPOS_OT'!$A$4:$A$8,0)),"SIN CLASIFICAR")="","SIN CLASIFICAR",IFERROR(INDEX('CAT_TIPOS_OT'!$D$4:$D$8,MATCH($I1166,'CAT_TIPOS_OT'!$A$4:$A$8,0)),"SIN CLASIFICAR")))</f>
        <v/>
      </c>
      <c r="W1166" s="5">
        <f>IF($F1166="","",IFERROR(INDEX('CAT_CENTROS_COSTO'!$F$4:$F$13,MATCH($F1166,'CAT_CENTROS_COSTO'!$A$4:$A$13,0)),"(sin catálogo)"))</f>
        <v/>
      </c>
      <c r="X1166" s="5">
        <f>IF($F1166="","",IFERROR(INDEX('CAT_CENTROS_COSTO'!$D$4:$D$13,MATCH($F1166,'CAT_CENTROS_COSTO'!$A$4:$A$13,0)),"(sin catálogo)"))</f>
        <v/>
      </c>
      <c r="Y1166" s="5">
        <f>IF($F1166="","",IF((IFERROR(INDEX('CAT_CENTROS_COSTO'!$E$4:$E$13,MATCH($F1166,'CAT_CENTROS_COSTO'!$A$4:$A$13,0)),""))&lt;&gt;"",IFERROR(INDEX('CAT_CENTROS_COSTO'!$E$4:$E$13,MATCH($F1166,'CAT_CENTROS_COSTO'!$A$4:$A$13,0)),""),$X1166))</f>
        <v/>
      </c>
      <c r="Z1166" s="5">
        <f>IF($F1166="","",IFERROR(INDEX('CAT_CENTROS_COSTO'!$G$4:$G$13,MATCH($F1166,'CAT_CENTROS_COSTO'!$A$4:$A$13,0)),"(sin catálogo)"))</f>
        <v/>
      </c>
      <c r="AA1166" s="5">
        <f>IF($G1166="","",IFERROR(INDEX('CAT_PUESTOS'!$B$4:$B$8,MATCH($G1166,'CAT_PUESTOS'!$A$4:$A$8,0)),"(sin catálogo)"))</f>
        <v/>
      </c>
      <c r="AB1166" s="5">
        <f>IF($H1166="","",IFERROR(INDEX('CAT_ACTIVIDADES'!$B$4:$B$11,MATCH($H1166,'CAT_ACTIVIDADES'!$A$4:$A$11,0)),"(sin catálogo)"))</f>
        <v/>
      </c>
      <c r="AC1166" s="20">
        <f>IF($J1166="","",TODAY()-$J1166)</f>
        <v/>
      </c>
      <c r="AD1166" s="20">
        <f>IF($J1166="","",IF($J1166&lt;=TODAY(),COUNTIFS(cal_fechas,"&gt;="&amp;$J1166,cal_fechas,"&lt;"&amp;TODAY(),cal_habil,"sí"),-COUNTIFS(cal_fechas,"&gt;="&amp;TODAY(),cal_fechas,"&lt;"&amp;$J1166,cal_habil,"sí")))</f>
        <v/>
      </c>
      <c r="AE1166" s="5">
        <f>IF($AD1166="","",IF($AD1166&lt;0,"FUTURO",IF($AD1166&gt;p_dias_backlog_max,"BACKLOG","MES CORRIENTE")))</f>
        <v/>
      </c>
      <c r="AF1166" s="5">
        <f>IF($AD1166="",FALSE,AND($AD1166&gt;p_dias_backlog_min,$AD1166&lt;=p_dias_backlog_max))</f>
        <v/>
      </c>
      <c r="AG1166" s="4" t="n"/>
      <c r="AH1166" s="5">
        <f>IF($AG1166="","",IF((IFERROR(INDEX('ASIGNACIONES'!$J$4:$J$451,MATCH($O1166&amp;"|"&amp;$S1166&amp;"|"&amp;$AG1166,'ASIGNACIONES'!$N$4:$N$451,0)),""))=0,"",IFERROR(INDEX('ASIGNACIONES'!$J$4:$J$451,MATCH($O1166&amp;"|"&amp;$S1166&amp;"|"&amp;$AG1166,'ASIGNACIONES'!$N$4:$N$451,0)),"")))</f>
        <v/>
      </c>
      <c r="AI1166" s="25">
        <f>IF($AG1166="","",SUMIFS('ORDENES'!$M$4:$M$1203,'ORDENES'!$AG$4:$AG$1203,$AG1166,'ORDENES'!$O$4:$O$1203,$O1166,'ORDENES'!$S$4:$S$1203,$S1166))</f>
        <v/>
      </c>
      <c r="AJ1166" s="25">
        <f>IF($AI1166="","",p_factor_productividad*IFERROR(INDEX('ASIGNACIONES'!$M$4:$M$451,MATCH($O1166&amp;"|"&amp;$S1166&amp;"|"&amp;$AG1166,'ASIGNACIONES'!$N$4:$N$451,0)),0)-$AI1166)</f>
        <v/>
      </c>
      <c r="AK1166" s="18">
        <f>IF($A1166="","",IFERROR(INDEX('2_IMPORTAR_EJECUCION'!$F$9:$F$1208,MATCH($AT1166,'2_IMPORTAR_EJECUCION'!$J$9:$J$1208,0)),0))</f>
        <v/>
      </c>
      <c r="AL1166" s="18">
        <f>IF($A1166="","",MAX(0,IFERROR(INDEX('2_IMPORTAR_EJECUCION'!$H$9:$H$1208,MATCH($AT1166,'2_IMPORTAR_EJECUCION'!$J$9:$J$1208,0)),0)-$AK1166))</f>
        <v/>
      </c>
      <c r="AM1166" s="18">
        <f>IF($A1166="","",$AK1166+$AL1166)</f>
        <v/>
      </c>
      <c r="AN1166" s="5">
        <f>IF($A1166="","",IF(OR((IFERROR(INDEX('CAT_ACTIVIDADES'!$D$4:$D$11,MATCH($H1166,'CAT_ACTIVIDADES'!$A$4:$A$11,0)),""))=0,(IFERROR(INDEX('CAT_ACTIVIDADES'!$D$4:$D$11,MATCH($H1166,'CAT_ACTIVIDADES'!$A$4:$A$11,0)),""))=""),"SIN CLASIFICAR",IFERROR(INDEX('CAT_ACTIVIDADES'!$D$4:$D$11,MATCH($H1166,'CAT_ACTIVIDADES'!$A$4:$A$11,0)),"")))</f>
        <v/>
      </c>
      <c r="AO1166" s="4" t="n"/>
      <c r="AP1166" s="4" t="n"/>
      <c r="AQ1166" s="4" t="n"/>
      <c r="AR1166" s="5">
        <f>IF($AQ1166="","",HYPERLINK(p_ruta_base_checklists&amp;$AQ1166,"abrir"))</f>
        <v/>
      </c>
      <c r="AS1166" s="4" t="n"/>
      <c r="AT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2" t="n"/>
      <c r="K1167" s="5" t="n"/>
      <c r="L1167" s="18" t="n"/>
      <c r="M1167" s="5">
        <f>IF($A1167="","",IFERROR(INDEX('AJUSTES'!$B$4:$B$303,MATCH($AT1167,'AJUSTES'!$A$4:$A$303,0)),IF($K1167="","",$K1167)))</f>
        <v/>
      </c>
      <c r="N1167" s="5">
        <f>IF($A1167="","",IFERROR(INDEX('CAT_ESTADOS_ERP'!$B$4:$B$7,MATCH(IFERROR(INDEX('2_IMPORTAR_EJECUCION'!$C$9:$C$1208,MATCH($AT1167,'2_IMPORTAR_EJECUCION'!$J$9:$J$1208,0)),""),'CAT_ESTADOS_ERP'!$A$4:$A$7,0)),"Pendiente"))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IF($J1167="","",$P1167&amp;"-"&amp;TEXT($Q1167,"00"))</f>
        <v/>
      </c>
      <c r="S1167" s="5">
        <f>IF($J1167="","",INDEX(lista_dias,WEEKDAY($J1167,2)))</f>
        <v/>
      </c>
      <c r="T1167" s="5">
        <f>IF($J1167="","",IFERROR(INDEX('CALENDARIO'!$C$15:$C$214,MATCH(TEXT($J1167,"yyyy-mm-dd")&amp;"|"&amp;$X1167&amp;"|"&amp;$Y1167,'CALENDARIO'!$G$15:$G$214,0)),IFERROR(INDEX('CALENDARIO'!$C$15:$C$214,MATCH(TEXT($J1167,"yyyy-mm-dd")&amp;"|"&amp;$X1167&amp;"|",'CALENDARIO'!$G$15:$G$214,0)),IFERROR(INDEX('CALENDARIO'!$C$15:$C$214,MATCH(TEXT($J1167,"yyyy-mm-dd")&amp;"||",'CALENDARIO'!$G$15:$G$214,0)),INDEX(patronHabil,WEEKDAY($J1167,2))))))</f>
        <v/>
      </c>
      <c r="U1167" s="5">
        <f>IF($I1167="","",IFERROR(INDEX('CAT_TIPOS_OT'!$C$4:$C$8,MATCH($I1167,'CAT_TIPOS_OT'!$A$4:$A$8,0)),"sin_clasificar"))</f>
        <v/>
      </c>
      <c r="V1167" s="5">
        <f>IF($I1167="","",IF(IFERROR(INDEX('CAT_TIPOS_OT'!$D$4:$D$8,MATCH($I1167,'CAT_TIPOS_OT'!$A$4:$A$8,0)),"SIN CLASIFICAR")="","SIN CLASIFICAR",IFERROR(INDEX('CAT_TIPOS_OT'!$D$4:$D$8,MATCH($I1167,'CAT_TIPOS_OT'!$A$4:$A$8,0)),"SIN CLASIFICAR")))</f>
        <v/>
      </c>
      <c r="W1167" s="5">
        <f>IF($F1167="","",IFERROR(INDEX('CAT_CENTROS_COSTO'!$F$4:$F$13,MATCH($F1167,'CAT_CENTROS_COSTO'!$A$4:$A$13,0)),"(sin catálogo)"))</f>
        <v/>
      </c>
      <c r="X1167" s="5">
        <f>IF($F1167="","",IFERROR(INDEX('CAT_CENTROS_COSTO'!$D$4:$D$13,MATCH($F1167,'CAT_CENTROS_COSTO'!$A$4:$A$13,0)),"(sin catálogo)"))</f>
        <v/>
      </c>
      <c r="Y1167" s="5">
        <f>IF($F1167="","",IF((IFERROR(INDEX('CAT_CENTROS_COSTO'!$E$4:$E$13,MATCH($F1167,'CAT_CENTROS_COSTO'!$A$4:$A$13,0)),""))&lt;&gt;"",IFERROR(INDEX('CAT_CENTROS_COSTO'!$E$4:$E$13,MATCH($F1167,'CAT_CENTROS_COSTO'!$A$4:$A$13,0)),""),$X1167))</f>
        <v/>
      </c>
      <c r="Z1167" s="5">
        <f>IF($F1167="","",IFERROR(INDEX('CAT_CENTROS_COSTO'!$G$4:$G$13,MATCH($F1167,'CAT_CENTROS_COSTO'!$A$4:$A$13,0)),"(sin catálogo)"))</f>
        <v/>
      </c>
      <c r="AA1167" s="5">
        <f>IF($G1167="","",IFERROR(INDEX('CAT_PUESTOS'!$B$4:$B$8,MATCH($G1167,'CAT_PUESTOS'!$A$4:$A$8,0)),"(sin catálogo)"))</f>
        <v/>
      </c>
      <c r="AB1167" s="5">
        <f>IF($H1167="","",IFERROR(INDEX('CAT_ACTIVIDADES'!$B$4:$B$11,MATCH($H1167,'CAT_ACTIVIDADES'!$A$4:$A$11,0)),"(sin catálogo)"))</f>
        <v/>
      </c>
      <c r="AC1167" s="20">
        <f>IF($J1167="","",TODAY()-$J1167)</f>
        <v/>
      </c>
      <c r="AD1167" s="20">
        <f>IF($J1167="","",IF($J1167&lt;=TODAY(),COUNTIFS(cal_fechas,"&gt;="&amp;$J1167,cal_fechas,"&lt;"&amp;TODAY(),cal_habil,"sí"),-COUNTIFS(cal_fechas,"&gt;="&amp;TODAY(),cal_fechas,"&lt;"&amp;$J1167,cal_habil,"sí")))</f>
        <v/>
      </c>
      <c r="AE1167" s="5">
        <f>IF($AD1167="","",IF($AD1167&lt;0,"FUTURO",IF($AD1167&gt;p_dias_backlog_max,"BACKLOG","MES CORRIENTE")))</f>
        <v/>
      </c>
      <c r="AF1167" s="5">
        <f>IF($AD1167="",FALSE,AND($AD1167&gt;p_dias_backlog_min,$AD1167&lt;=p_dias_backlog_max))</f>
        <v/>
      </c>
      <c r="AG1167" s="4" t="n"/>
      <c r="AH1167" s="5">
        <f>IF($AG1167="","",IF((IFERROR(INDEX('ASIGNACIONES'!$J$4:$J$451,MATCH($O1167&amp;"|"&amp;$S1167&amp;"|"&amp;$AG1167,'ASIGNACIONES'!$N$4:$N$451,0)),""))=0,"",IFERROR(INDEX('ASIGNACIONES'!$J$4:$J$451,MATCH($O1167&amp;"|"&amp;$S1167&amp;"|"&amp;$AG1167,'ASIGNACIONES'!$N$4:$N$451,0)),"")))</f>
        <v/>
      </c>
      <c r="AI1167" s="25">
        <f>IF($AG1167="","",SUMIFS('ORDENES'!$M$4:$M$1203,'ORDENES'!$AG$4:$AG$1203,$AG1167,'ORDENES'!$O$4:$O$1203,$O1167,'ORDENES'!$S$4:$S$1203,$S1167))</f>
        <v/>
      </c>
      <c r="AJ1167" s="25">
        <f>IF($AI1167="","",p_factor_productividad*IFERROR(INDEX('ASIGNACIONES'!$M$4:$M$451,MATCH($O1167&amp;"|"&amp;$S1167&amp;"|"&amp;$AG1167,'ASIGNACIONES'!$N$4:$N$451,0)),0)-$AI1167)</f>
        <v/>
      </c>
      <c r="AK1167" s="18">
        <f>IF($A1167="","",IFERROR(INDEX('2_IMPORTAR_EJECUCION'!$F$9:$F$1208,MATCH($AT1167,'2_IMPORTAR_EJECUCION'!$J$9:$J$1208,0)),0))</f>
        <v/>
      </c>
      <c r="AL1167" s="18">
        <f>IF($A1167="","",MAX(0,IFERROR(INDEX('2_IMPORTAR_EJECUCION'!$H$9:$H$1208,MATCH($AT1167,'2_IMPORTAR_EJECUCION'!$J$9:$J$1208,0)),0)-$AK1167))</f>
        <v/>
      </c>
      <c r="AM1167" s="18">
        <f>IF($A1167="","",$AK1167+$AL1167)</f>
        <v/>
      </c>
      <c r="AN1167" s="5">
        <f>IF($A1167="","",IF(OR((IFERROR(INDEX('CAT_ACTIVIDADES'!$D$4:$D$11,MATCH($H1167,'CAT_ACTIVIDADES'!$A$4:$A$11,0)),""))=0,(IFERROR(INDEX('CAT_ACTIVIDADES'!$D$4:$D$11,MATCH($H1167,'CAT_ACTIVIDADES'!$A$4:$A$11,0)),""))=""),"SIN CLASIFICAR",IFERROR(INDEX('CAT_ACTIVIDADES'!$D$4:$D$11,MATCH($H1167,'CAT_ACTIVIDADES'!$A$4:$A$11,0)),"")))</f>
        <v/>
      </c>
      <c r="AO1167" s="4" t="n"/>
      <c r="AP1167" s="4" t="n"/>
      <c r="AQ1167" s="4" t="n"/>
      <c r="AR1167" s="5">
        <f>IF($AQ1167="","",HYPERLINK(p_ruta_base_checklists&amp;$AQ1167,"abrir"))</f>
        <v/>
      </c>
      <c r="AS1167" s="4" t="n"/>
      <c r="AT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2" t="n"/>
      <c r="K1168" s="5" t="n"/>
      <c r="L1168" s="18" t="n"/>
      <c r="M1168" s="5">
        <f>IF($A1168="","",IFERROR(INDEX('AJUSTES'!$B$4:$B$303,MATCH($AT1168,'AJUSTES'!$A$4:$A$303,0)),IF($K1168="","",$K1168)))</f>
        <v/>
      </c>
      <c r="N1168" s="5">
        <f>IF($A1168="","",IFERROR(INDEX('CAT_ESTADOS_ERP'!$B$4:$B$7,MATCH(IFERROR(INDEX('2_IMPORTAR_EJECUCION'!$C$9:$C$1208,MATCH($AT1168,'2_IMPORTAR_EJECUCION'!$J$9:$J$1208,0)),""),'CAT_ESTADOS_ERP'!$A$4:$A$7,0)),"Pendiente"))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IF($J1168="","",$P1168&amp;"-"&amp;TEXT($Q1168,"00"))</f>
        <v/>
      </c>
      <c r="S1168" s="5">
        <f>IF($J1168="","",INDEX(lista_dias,WEEKDAY($J1168,2)))</f>
        <v/>
      </c>
      <c r="T1168" s="5">
        <f>IF($J1168="","",IFERROR(INDEX('CALENDARIO'!$C$15:$C$214,MATCH(TEXT($J1168,"yyyy-mm-dd")&amp;"|"&amp;$X1168&amp;"|"&amp;$Y1168,'CALENDARIO'!$G$15:$G$214,0)),IFERROR(INDEX('CALENDARIO'!$C$15:$C$214,MATCH(TEXT($J1168,"yyyy-mm-dd")&amp;"|"&amp;$X1168&amp;"|",'CALENDARIO'!$G$15:$G$214,0)),IFERROR(INDEX('CALENDARIO'!$C$15:$C$214,MATCH(TEXT($J1168,"yyyy-mm-dd")&amp;"||",'CALENDARIO'!$G$15:$G$214,0)),INDEX(patronHabil,WEEKDAY($J1168,2))))))</f>
        <v/>
      </c>
      <c r="U1168" s="5">
        <f>IF($I1168="","",IFERROR(INDEX('CAT_TIPOS_OT'!$C$4:$C$8,MATCH($I1168,'CAT_TIPOS_OT'!$A$4:$A$8,0)),"sin_clasificar"))</f>
        <v/>
      </c>
      <c r="V1168" s="5">
        <f>IF($I1168="","",IF(IFERROR(INDEX('CAT_TIPOS_OT'!$D$4:$D$8,MATCH($I1168,'CAT_TIPOS_OT'!$A$4:$A$8,0)),"SIN CLASIFICAR")="","SIN CLASIFICAR",IFERROR(INDEX('CAT_TIPOS_OT'!$D$4:$D$8,MATCH($I1168,'CAT_TIPOS_OT'!$A$4:$A$8,0)),"SIN CLASIFICAR")))</f>
        <v/>
      </c>
      <c r="W1168" s="5">
        <f>IF($F1168="","",IFERROR(INDEX('CAT_CENTROS_COSTO'!$F$4:$F$13,MATCH($F1168,'CAT_CENTROS_COSTO'!$A$4:$A$13,0)),"(sin catálogo)"))</f>
        <v/>
      </c>
      <c r="X1168" s="5">
        <f>IF($F1168="","",IFERROR(INDEX('CAT_CENTROS_COSTO'!$D$4:$D$13,MATCH($F1168,'CAT_CENTROS_COSTO'!$A$4:$A$13,0)),"(sin catálogo)"))</f>
        <v/>
      </c>
      <c r="Y1168" s="5">
        <f>IF($F1168="","",IF((IFERROR(INDEX('CAT_CENTROS_COSTO'!$E$4:$E$13,MATCH($F1168,'CAT_CENTROS_COSTO'!$A$4:$A$13,0)),""))&lt;&gt;"",IFERROR(INDEX('CAT_CENTROS_COSTO'!$E$4:$E$13,MATCH($F1168,'CAT_CENTROS_COSTO'!$A$4:$A$13,0)),""),$X1168))</f>
        <v/>
      </c>
      <c r="Z1168" s="5">
        <f>IF($F1168="","",IFERROR(INDEX('CAT_CENTROS_COSTO'!$G$4:$G$13,MATCH($F1168,'CAT_CENTROS_COSTO'!$A$4:$A$13,0)),"(sin catálogo)"))</f>
        <v/>
      </c>
      <c r="AA1168" s="5">
        <f>IF($G1168="","",IFERROR(INDEX('CAT_PUESTOS'!$B$4:$B$8,MATCH($G1168,'CAT_PUESTOS'!$A$4:$A$8,0)),"(sin catálogo)"))</f>
        <v/>
      </c>
      <c r="AB1168" s="5">
        <f>IF($H1168="","",IFERROR(INDEX('CAT_ACTIVIDADES'!$B$4:$B$11,MATCH($H1168,'CAT_ACTIVIDADES'!$A$4:$A$11,0)),"(sin catálogo)"))</f>
        <v/>
      </c>
      <c r="AC1168" s="20">
        <f>IF($J1168="","",TODAY()-$J1168)</f>
        <v/>
      </c>
      <c r="AD1168" s="20">
        <f>IF($J1168="","",IF($J1168&lt;=TODAY(),COUNTIFS(cal_fechas,"&gt;="&amp;$J1168,cal_fechas,"&lt;"&amp;TODAY(),cal_habil,"sí"),-COUNTIFS(cal_fechas,"&gt;="&amp;TODAY(),cal_fechas,"&lt;"&amp;$J1168,cal_habil,"sí")))</f>
        <v/>
      </c>
      <c r="AE1168" s="5">
        <f>IF($AD1168="","",IF($AD1168&lt;0,"FUTURO",IF($AD1168&gt;p_dias_backlog_max,"BACKLOG","MES CORRIENTE")))</f>
        <v/>
      </c>
      <c r="AF1168" s="5">
        <f>IF($AD1168="",FALSE,AND($AD1168&gt;p_dias_backlog_min,$AD1168&lt;=p_dias_backlog_max))</f>
        <v/>
      </c>
      <c r="AG1168" s="4" t="n"/>
      <c r="AH1168" s="5">
        <f>IF($AG1168="","",IF((IFERROR(INDEX('ASIGNACIONES'!$J$4:$J$451,MATCH($O1168&amp;"|"&amp;$S1168&amp;"|"&amp;$AG1168,'ASIGNACIONES'!$N$4:$N$451,0)),""))=0,"",IFERROR(INDEX('ASIGNACIONES'!$J$4:$J$451,MATCH($O1168&amp;"|"&amp;$S1168&amp;"|"&amp;$AG1168,'ASIGNACIONES'!$N$4:$N$451,0)),"")))</f>
        <v/>
      </c>
      <c r="AI1168" s="25">
        <f>IF($AG1168="","",SUMIFS('ORDENES'!$M$4:$M$1203,'ORDENES'!$AG$4:$AG$1203,$AG1168,'ORDENES'!$O$4:$O$1203,$O1168,'ORDENES'!$S$4:$S$1203,$S1168))</f>
        <v/>
      </c>
      <c r="AJ1168" s="25">
        <f>IF($AI1168="","",p_factor_productividad*IFERROR(INDEX('ASIGNACIONES'!$M$4:$M$451,MATCH($O1168&amp;"|"&amp;$S1168&amp;"|"&amp;$AG1168,'ASIGNACIONES'!$N$4:$N$451,0)),0)-$AI1168)</f>
        <v/>
      </c>
      <c r="AK1168" s="18">
        <f>IF($A1168="","",IFERROR(INDEX('2_IMPORTAR_EJECUCION'!$F$9:$F$1208,MATCH($AT1168,'2_IMPORTAR_EJECUCION'!$J$9:$J$1208,0)),0))</f>
        <v/>
      </c>
      <c r="AL1168" s="18">
        <f>IF($A1168="","",MAX(0,IFERROR(INDEX('2_IMPORTAR_EJECUCION'!$H$9:$H$1208,MATCH($AT1168,'2_IMPORTAR_EJECUCION'!$J$9:$J$1208,0)),0)-$AK1168))</f>
        <v/>
      </c>
      <c r="AM1168" s="18">
        <f>IF($A1168="","",$AK1168+$AL1168)</f>
        <v/>
      </c>
      <c r="AN1168" s="5">
        <f>IF($A1168="","",IF(OR((IFERROR(INDEX('CAT_ACTIVIDADES'!$D$4:$D$11,MATCH($H1168,'CAT_ACTIVIDADES'!$A$4:$A$11,0)),""))=0,(IFERROR(INDEX('CAT_ACTIVIDADES'!$D$4:$D$11,MATCH($H1168,'CAT_ACTIVIDADES'!$A$4:$A$11,0)),""))=""),"SIN CLASIFICAR",IFERROR(INDEX('CAT_ACTIVIDADES'!$D$4:$D$11,MATCH($H1168,'CAT_ACTIVIDADES'!$A$4:$A$11,0)),"")))</f>
        <v/>
      </c>
      <c r="AO1168" s="4" t="n"/>
      <c r="AP1168" s="4" t="n"/>
      <c r="AQ1168" s="4" t="n"/>
      <c r="AR1168" s="5">
        <f>IF($AQ1168="","",HYPERLINK(p_ruta_base_checklists&amp;$AQ1168,"abrir"))</f>
        <v/>
      </c>
      <c r="AS1168" s="4" t="n"/>
      <c r="AT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2" t="n"/>
      <c r="K1169" s="5" t="n"/>
      <c r="L1169" s="18" t="n"/>
      <c r="M1169" s="5">
        <f>IF($A1169="","",IFERROR(INDEX('AJUSTES'!$B$4:$B$303,MATCH($AT1169,'AJUSTES'!$A$4:$A$303,0)),IF($K1169="","",$K1169)))</f>
        <v/>
      </c>
      <c r="N1169" s="5">
        <f>IF($A1169="","",IFERROR(INDEX('CAT_ESTADOS_ERP'!$B$4:$B$7,MATCH(IFERROR(INDEX('2_IMPORTAR_EJECUCION'!$C$9:$C$1208,MATCH($AT1169,'2_IMPORTAR_EJECUCION'!$J$9:$J$1208,0)),""),'CAT_ESTADOS_ERP'!$A$4:$A$7,0)),"Pendiente"))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IF($J1169="","",$P1169&amp;"-"&amp;TEXT($Q1169,"00"))</f>
        <v/>
      </c>
      <c r="S1169" s="5">
        <f>IF($J1169="","",INDEX(lista_dias,WEEKDAY($J1169,2)))</f>
        <v/>
      </c>
      <c r="T1169" s="5">
        <f>IF($J1169="","",IFERROR(INDEX('CALENDARIO'!$C$15:$C$214,MATCH(TEXT($J1169,"yyyy-mm-dd")&amp;"|"&amp;$X1169&amp;"|"&amp;$Y1169,'CALENDARIO'!$G$15:$G$214,0)),IFERROR(INDEX('CALENDARIO'!$C$15:$C$214,MATCH(TEXT($J1169,"yyyy-mm-dd")&amp;"|"&amp;$X1169&amp;"|",'CALENDARIO'!$G$15:$G$214,0)),IFERROR(INDEX('CALENDARIO'!$C$15:$C$214,MATCH(TEXT($J1169,"yyyy-mm-dd")&amp;"||",'CALENDARIO'!$G$15:$G$214,0)),INDEX(patronHabil,WEEKDAY($J1169,2))))))</f>
        <v/>
      </c>
      <c r="U1169" s="5">
        <f>IF($I1169="","",IFERROR(INDEX('CAT_TIPOS_OT'!$C$4:$C$8,MATCH($I1169,'CAT_TIPOS_OT'!$A$4:$A$8,0)),"sin_clasificar"))</f>
        <v/>
      </c>
      <c r="V1169" s="5">
        <f>IF($I1169="","",IF(IFERROR(INDEX('CAT_TIPOS_OT'!$D$4:$D$8,MATCH($I1169,'CAT_TIPOS_OT'!$A$4:$A$8,0)),"SIN CLASIFICAR")="","SIN CLASIFICAR",IFERROR(INDEX('CAT_TIPOS_OT'!$D$4:$D$8,MATCH($I1169,'CAT_TIPOS_OT'!$A$4:$A$8,0)),"SIN CLASIFICAR")))</f>
        <v/>
      </c>
      <c r="W1169" s="5">
        <f>IF($F1169="","",IFERROR(INDEX('CAT_CENTROS_COSTO'!$F$4:$F$13,MATCH($F1169,'CAT_CENTROS_COSTO'!$A$4:$A$13,0)),"(sin catálogo)"))</f>
        <v/>
      </c>
      <c r="X1169" s="5">
        <f>IF($F1169="","",IFERROR(INDEX('CAT_CENTROS_COSTO'!$D$4:$D$13,MATCH($F1169,'CAT_CENTROS_COSTO'!$A$4:$A$13,0)),"(sin catálogo)"))</f>
        <v/>
      </c>
      <c r="Y1169" s="5">
        <f>IF($F1169="","",IF((IFERROR(INDEX('CAT_CENTROS_COSTO'!$E$4:$E$13,MATCH($F1169,'CAT_CENTROS_COSTO'!$A$4:$A$13,0)),""))&lt;&gt;"",IFERROR(INDEX('CAT_CENTROS_COSTO'!$E$4:$E$13,MATCH($F1169,'CAT_CENTROS_COSTO'!$A$4:$A$13,0)),""),$X1169))</f>
        <v/>
      </c>
      <c r="Z1169" s="5">
        <f>IF($F1169="","",IFERROR(INDEX('CAT_CENTROS_COSTO'!$G$4:$G$13,MATCH($F1169,'CAT_CENTROS_COSTO'!$A$4:$A$13,0)),"(sin catálogo)"))</f>
        <v/>
      </c>
      <c r="AA1169" s="5">
        <f>IF($G1169="","",IFERROR(INDEX('CAT_PUESTOS'!$B$4:$B$8,MATCH($G1169,'CAT_PUESTOS'!$A$4:$A$8,0)),"(sin catálogo)"))</f>
        <v/>
      </c>
      <c r="AB1169" s="5">
        <f>IF($H1169="","",IFERROR(INDEX('CAT_ACTIVIDADES'!$B$4:$B$11,MATCH($H1169,'CAT_ACTIVIDADES'!$A$4:$A$11,0)),"(sin catálogo)"))</f>
        <v/>
      </c>
      <c r="AC1169" s="20">
        <f>IF($J1169="","",TODAY()-$J1169)</f>
        <v/>
      </c>
      <c r="AD1169" s="20">
        <f>IF($J1169="","",IF($J1169&lt;=TODAY(),COUNTIFS(cal_fechas,"&gt;="&amp;$J1169,cal_fechas,"&lt;"&amp;TODAY(),cal_habil,"sí"),-COUNTIFS(cal_fechas,"&gt;="&amp;TODAY(),cal_fechas,"&lt;"&amp;$J1169,cal_habil,"sí")))</f>
        <v/>
      </c>
      <c r="AE1169" s="5">
        <f>IF($AD1169="","",IF($AD1169&lt;0,"FUTURO",IF($AD1169&gt;p_dias_backlog_max,"BACKLOG","MES CORRIENTE")))</f>
        <v/>
      </c>
      <c r="AF1169" s="5">
        <f>IF($AD1169="",FALSE,AND($AD1169&gt;p_dias_backlog_min,$AD1169&lt;=p_dias_backlog_max))</f>
        <v/>
      </c>
      <c r="AG1169" s="4" t="n"/>
      <c r="AH1169" s="5">
        <f>IF($AG1169="","",IF((IFERROR(INDEX('ASIGNACIONES'!$J$4:$J$451,MATCH($O1169&amp;"|"&amp;$S1169&amp;"|"&amp;$AG1169,'ASIGNACIONES'!$N$4:$N$451,0)),""))=0,"",IFERROR(INDEX('ASIGNACIONES'!$J$4:$J$451,MATCH($O1169&amp;"|"&amp;$S1169&amp;"|"&amp;$AG1169,'ASIGNACIONES'!$N$4:$N$451,0)),"")))</f>
        <v/>
      </c>
      <c r="AI1169" s="25">
        <f>IF($AG1169="","",SUMIFS('ORDENES'!$M$4:$M$1203,'ORDENES'!$AG$4:$AG$1203,$AG1169,'ORDENES'!$O$4:$O$1203,$O1169,'ORDENES'!$S$4:$S$1203,$S1169))</f>
        <v/>
      </c>
      <c r="AJ1169" s="25">
        <f>IF($AI1169="","",p_factor_productividad*IFERROR(INDEX('ASIGNACIONES'!$M$4:$M$451,MATCH($O1169&amp;"|"&amp;$S1169&amp;"|"&amp;$AG1169,'ASIGNACIONES'!$N$4:$N$451,0)),0)-$AI1169)</f>
        <v/>
      </c>
      <c r="AK1169" s="18">
        <f>IF($A1169="","",IFERROR(INDEX('2_IMPORTAR_EJECUCION'!$F$9:$F$1208,MATCH($AT1169,'2_IMPORTAR_EJECUCION'!$J$9:$J$1208,0)),0))</f>
        <v/>
      </c>
      <c r="AL1169" s="18">
        <f>IF($A1169="","",MAX(0,IFERROR(INDEX('2_IMPORTAR_EJECUCION'!$H$9:$H$1208,MATCH($AT1169,'2_IMPORTAR_EJECUCION'!$J$9:$J$1208,0)),0)-$AK1169))</f>
        <v/>
      </c>
      <c r="AM1169" s="18">
        <f>IF($A1169="","",$AK1169+$AL1169)</f>
        <v/>
      </c>
      <c r="AN1169" s="5">
        <f>IF($A1169="","",IF(OR((IFERROR(INDEX('CAT_ACTIVIDADES'!$D$4:$D$11,MATCH($H1169,'CAT_ACTIVIDADES'!$A$4:$A$11,0)),""))=0,(IFERROR(INDEX('CAT_ACTIVIDADES'!$D$4:$D$11,MATCH($H1169,'CAT_ACTIVIDADES'!$A$4:$A$11,0)),""))=""),"SIN CLASIFICAR",IFERROR(INDEX('CAT_ACTIVIDADES'!$D$4:$D$11,MATCH($H1169,'CAT_ACTIVIDADES'!$A$4:$A$11,0)),"")))</f>
        <v/>
      </c>
      <c r="AO1169" s="4" t="n"/>
      <c r="AP1169" s="4" t="n"/>
      <c r="AQ1169" s="4" t="n"/>
      <c r="AR1169" s="5">
        <f>IF($AQ1169="","",HYPERLINK(p_ruta_base_checklists&amp;$AQ1169,"abrir"))</f>
        <v/>
      </c>
      <c r="AS1169" s="4" t="n"/>
      <c r="AT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2" t="n"/>
      <c r="K1170" s="5" t="n"/>
      <c r="L1170" s="18" t="n"/>
      <c r="M1170" s="5">
        <f>IF($A1170="","",IFERROR(INDEX('AJUSTES'!$B$4:$B$303,MATCH($AT1170,'AJUSTES'!$A$4:$A$303,0)),IF($K1170="","",$K1170)))</f>
        <v/>
      </c>
      <c r="N1170" s="5">
        <f>IF($A1170="","",IFERROR(INDEX('CAT_ESTADOS_ERP'!$B$4:$B$7,MATCH(IFERROR(INDEX('2_IMPORTAR_EJECUCION'!$C$9:$C$1208,MATCH($AT1170,'2_IMPORTAR_EJECUCION'!$J$9:$J$1208,0)),""),'CAT_ESTADOS_ERP'!$A$4:$A$7,0)),"Pendiente"))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IF($J1170="","",$P1170&amp;"-"&amp;TEXT($Q1170,"00"))</f>
        <v/>
      </c>
      <c r="S1170" s="5">
        <f>IF($J1170="","",INDEX(lista_dias,WEEKDAY($J1170,2)))</f>
        <v/>
      </c>
      <c r="T1170" s="5">
        <f>IF($J1170="","",IFERROR(INDEX('CALENDARIO'!$C$15:$C$214,MATCH(TEXT($J1170,"yyyy-mm-dd")&amp;"|"&amp;$X1170&amp;"|"&amp;$Y1170,'CALENDARIO'!$G$15:$G$214,0)),IFERROR(INDEX('CALENDARIO'!$C$15:$C$214,MATCH(TEXT($J1170,"yyyy-mm-dd")&amp;"|"&amp;$X1170&amp;"|",'CALENDARIO'!$G$15:$G$214,0)),IFERROR(INDEX('CALENDARIO'!$C$15:$C$214,MATCH(TEXT($J1170,"yyyy-mm-dd")&amp;"||",'CALENDARIO'!$G$15:$G$214,0)),INDEX(patronHabil,WEEKDAY($J1170,2))))))</f>
        <v/>
      </c>
      <c r="U1170" s="5">
        <f>IF($I1170="","",IFERROR(INDEX('CAT_TIPOS_OT'!$C$4:$C$8,MATCH($I1170,'CAT_TIPOS_OT'!$A$4:$A$8,0)),"sin_clasificar"))</f>
        <v/>
      </c>
      <c r="V1170" s="5">
        <f>IF($I1170="","",IF(IFERROR(INDEX('CAT_TIPOS_OT'!$D$4:$D$8,MATCH($I1170,'CAT_TIPOS_OT'!$A$4:$A$8,0)),"SIN CLASIFICAR")="","SIN CLASIFICAR",IFERROR(INDEX('CAT_TIPOS_OT'!$D$4:$D$8,MATCH($I1170,'CAT_TIPOS_OT'!$A$4:$A$8,0)),"SIN CLASIFICAR")))</f>
        <v/>
      </c>
      <c r="W1170" s="5">
        <f>IF($F1170="","",IFERROR(INDEX('CAT_CENTROS_COSTO'!$F$4:$F$13,MATCH($F1170,'CAT_CENTROS_COSTO'!$A$4:$A$13,0)),"(sin catálogo)"))</f>
        <v/>
      </c>
      <c r="X1170" s="5">
        <f>IF($F1170="","",IFERROR(INDEX('CAT_CENTROS_COSTO'!$D$4:$D$13,MATCH($F1170,'CAT_CENTROS_COSTO'!$A$4:$A$13,0)),"(sin catálogo)"))</f>
        <v/>
      </c>
      <c r="Y1170" s="5">
        <f>IF($F1170="","",IF((IFERROR(INDEX('CAT_CENTROS_COSTO'!$E$4:$E$13,MATCH($F1170,'CAT_CENTROS_COSTO'!$A$4:$A$13,0)),""))&lt;&gt;"",IFERROR(INDEX('CAT_CENTROS_COSTO'!$E$4:$E$13,MATCH($F1170,'CAT_CENTROS_COSTO'!$A$4:$A$13,0)),""),$X1170))</f>
        <v/>
      </c>
      <c r="Z1170" s="5">
        <f>IF($F1170="","",IFERROR(INDEX('CAT_CENTROS_COSTO'!$G$4:$G$13,MATCH($F1170,'CAT_CENTROS_COSTO'!$A$4:$A$13,0)),"(sin catálogo)"))</f>
        <v/>
      </c>
      <c r="AA1170" s="5">
        <f>IF($G1170="","",IFERROR(INDEX('CAT_PUESTOS'!$B$4:$B$8,MATCH($G1170,'CAT_PUESTOS'!$A$4:$A$8,0)),"(sin catálogo)"))</f>
        <v/>
      </c>
      <c r="AB1170" s="5">
        <f>IF($H1170="","",IFERROR(INDEX('CAT_ACTIVIDADES'!$B$4:$B$11,MATCH($H1170,'CAT_ACTIVIDADES'!$A$4:$A$11,0)),"(sin catálogo)"))</f>
        <v/>
      </c>
      <c r="AC1170" s="20">
        <f>IF($J1170="","",TODAY()-$J1170)</f>
        <v/>
      </c>
      <c r="AD1170" s="20">
        <f>IF($J1170="","",IF($J1170&lt;=TODAY(),COUNTIFS(cal_fechas,"&gt;="&amp;$J1170,cal_fechas,"&lt;"&amp;TODAY(),cal_habil,"sí"),-COUNTIFS(cal_fechas,"&gt;="&amp;TODAY(),cal_fechas,"&lt;"&amp;$J1170,cal_habil,"sí")))</f>
        <v/>
      </c>
      <c r="AE1170" s="5">
        <f>IF($AD1170="","",IF($AD1170&lt;0,"FUTURO",IF($AD1170&gt;p_dias_backlog_max,"BACKLOG","MES CORRIENTE")))</f>
        <v/>
      </c>
      <c r="AF1170" s="5">
        <f>IF($AD1170="",FALSE,AND($AD1170&gt;p_dias_backlog_min,$AD1170&lt;=p_dias_backlog_max))</f>
        <v/>
      </c>
      <c r="AG1170" s="4" t="n"/>
      <c r="AH1170" s="5">
        <f>IF($AG1170="","",IF((IFERROR(INDEX('ASIGNACIONES'!$J$4:$J$451,MATCH($O1170&amp;"|"&amp;$S1170&amp;"|"&amp;$AG1170,'ASIGNACIONES'!$N$4:$N$451,0)),""))=0,"",IFERROR(INDEX('ASIGNACIONES'!$J$4:$J$451,MATCH($O1170&amp;"|"&amp;$S1170&amp;"|"&amp;$AG1170,'ASIGNACIONES'!$N$4:$N$451,0)),"")))</f>
        <v/>
      </c>
      <c r="AI1170" s="25">
        <f>IF($AG1170="","",SUMIFS('ORDENES'!$M$4:$M$1203,'ORDENES'!$AG$4:$AG$1203,$AG1170,'ORDENES'!$O$4:$O$1203,$O1170,'ORDENES'!$S$4:$S$1203,$S1170))</f>
        <v/>
      </c>
      <c r="AJ1170" s="25">
        <f>IF($AI1170="","",p_factor_productividad*IFERROR(INDEX('ASIGNACIONES'!$M$4:$M$451,MATCH($O1170&amp;"|"&amp;$S1170&amp;"|"&amp;$AG1170,'ASIGNACIONES'!$N$4:$N$451,0)),0)-$AI1170)</f>
        <v/>
      </c>
      <c r="AK1170" s="18">
        <f>IF($A1170="","",IFERROR(INDEX('2_IMPORTAR_EJECUCION'!$F$9:$F$1208,MATCH($AT1170,'2_IMPORTAR_EJECUCION'!$J$9:$J$1208,0)),0))</f>
        <v/>
      </c>
      <c r="AL1170" s="18">
        <f>IF($A1170="","",MAX(0,IFERROR(INDEX('2_IMPORTAR_EJECUCION'!$H$9:$H$1208,MATCH($AT1170,'2_IMPORTAR_EJECUCION'!$J$9:$J$1208,0)),0)-$AK1170))</f>
        <v/>
      </c>
      <c r="AM1170" s="18">
        <f>IF($A1170="","",$AK1170+$AL1170)</f>
        <v/>
      </c>
      <c r="AN1170" s="5">
        <f>IF($A1170="","",IF(OR((IFERROR(INDEX('CAT_ACTIVIDADES'!$D$4:$D$11,MATCH($H1170,'CAT_ACTIVIDADES'!$A$4:$A$11,0)),""))=0,(IFERROR(INDEX('CAT_ACTIVIDADES'!$D$4:$D$11,MATCH($H1170,'CAT_ACTIVIDADES'!$A$4:$A$11,0)),""))=""),"SIN CLASIFICAR",IFERROR(INDEX('CAT_ACTIVIDADES'!$D$4:$D$11,MATCH($H1170,'CAT_ACTIVIDADES'!$A$4:$A$11,0)),"")))</f>
        <v/>
      </c>
      <c r="AO1170" s="4" t="n"/>
      <c r="AP1170" s="4" t="n"/>
      <c r="AQ1170" s="4" t="n"/>
      <c r="AR1170" s="5">
        <f>IF($AQ1170="","",HYPERLINK(p_ruta_base_checklists&amp;$AQ1170,"abrir"))</f>
        <v/>
      </c>
      <c r="AS1170" s="4" t="n"/>
      <c r="AT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2" t="n"/>
      <c r="K1171" s="5" t="n"/>
      <c r="L1171" s="18" t="n"/>
      <c r="M1171" s="5">
        <f>IF($A1171="","",IFERROR(INDEX('AJUSTES'!$B$4:$B$303,MATCH($AT1171,'AJUSTES'!$A$4:$A$303,0)),IF($K1171="","",$K1171)))</f>
        <v/>
      </c>
      <c r="N1171" s="5">
        <f>IF($A1171="","",IFERROR(INDEX('CAT_ESTADOS_ERP'!$B$4:$B$7,MATCH(IFERROR(INDEX('2_IMPORTAR_EJECUCION'!$C$9:$C$1208,MATCH($AT1171,'2_IMPORTAR_EJECUCION'!$J$9:$J$1208,0)),""),'CAT_ESTADOS_ERP'!$A$4:$A$7,0)),"Pendiente"))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IF($J1171="","",$P1171&amp;"-"&amp;TEXT($Q1171,"00"))</f>
        <v/>
      </c>
      <c r="S1171" s="5">
        <f>IF($J1171="","",INDEX(lista_dias,WEEKDAY($J1171,2)))</f>
        <v/>
      </c>
      <c r="T1171" s="5">
        <f>IF($J1171="","",IFERROR(INDEX('CALENDARIO'!$C$15:$C$214,MATCH(TEXT($J1171,"yyyy-mm-dd")&amp;"|"&amp;$X1171&amp;"|"&amp;$Y1171,'CALENDARIO'!$G$15:$G$214,0)),IFERROR(INDEX('CALENDARIO'!$C$15:$C$214,MATCH(TEXT($J1171,"yyyy-mm-dd")&amp;"|"&amp;$X1171&amp;"|",'CALENDARIO'!$G$15:$G$214,0)),IFERROR(INDEX('CALENDARIO'!$C$15:$C$214,MATCH(TEXT($J1171,"yyyy-mm-dd")&amp;"||",'CALENDARIO'!$G$15:$G$214,0)),INDEX(patronHabil,WEEKDAY($J1171,2))))))</f>
        <v/>
      </c>
      <c r="U1171" s="5">
        <f>IF($I1171="","",IFERROR(INDEX('CAT_TIPOS_OT'!$C$4:$C$8,MATCH($I1171,'CAT_TIPOS_OT'!$A$4:$A$8,0)),"sin_clasificar"))</f>
        <v/>
      </c>
      <c r="V1171" s="5">
        <f>IF($I1171="","",IF(IFERROR(INDEX('CAT_TIPOS_OT'!$D$4:$D$8,MATCH($I1171,'CAT_TIPOS_OT'!$A$4:$A$8,0)),"SIN CLASIFICAR")="","SIN CLASIFICAR",IFERROR(INDEX('CAT_TIPOS_OT'!$D$4:$D$8,MATCH($I1171,'CAT_TIPOS_OT'!$A$4:$A$8,0)),"SIN CLASIFICAR")))</f>
        <v/>
      </c>
      <c r="W1171" s="5">
        <f>IF($F1171="","",IFERROR(INDEX('CAT_CENTROS_COSTO'!$F$4:$F$13,MATCH($F1171,'CAT_CENTROS_COSTO'!$A$4:$A$13,0)),"(sin catálogo)"))</f>
        <v/>
      </c>
      <c r="X1171" s="5">
        <f>IF($F1171="","",IFERROR(INDEX('CAT_CENTROS_COSTO'!$D$4:$D$13,MATCH($F1171,'CAT_CENTROS_COSTO'!$A$4:$A$13,0)),"(sin catálogo)"))</f>
        <v/>
      </c>
      <c r="Y1171" s="5">
        <f>IF($F1171="","",IF((IFERROR(INDEX('CAT_CENTROS_COSTO'!$E$4:$E$13,MATCH($F1171,'CAT_CENTROS_COSTO'!$A$4:$A$13,0)),""))&lt;&gt;"",IFERROR(INDEX('CAT_CENTROS_COSTO'!$E$4:$E$13,MATCH($F1171,'CAT_CENTROS_COSTO'!$A$4:$A$13,0)),""),$X1171))</f>
        <v/>
      </c>
      <c r="Z1171" s="5">
        <f>IF($F1171="","",IFERROR(INDEX('CAT_CENTROS_COSTO'!$G$4:$G$13,MATCH($F1171,'CAT_CENTROS_COSTO'!$A$4:$A$13,0)),"(sin catálogo)"))</f>
        <v/>
      </c>
      <c r="AA1171" s="5">
        <f>IF($G1171="","",IFERROR(INDEX('CAT_PUESTOS'!$B$4:$B$8,MATCH($G1171,'CAT_PUESTOS'!$A$4:$A$8,0)),"(sin catálogo)"))</f>
        <v/>
      </c>
      <c r="AB1171" s="5">
        <f>IF($H1171="","",IFERROR(INDEX('CAT_ACTIVIDADES'!$B$4:$B$11,MATCH($H1171,'CAT_ACTIVIDADES'!$A$4:$A$11,0)),"(sin catálogo)"))</f>
        <v/>
      </c>
      <c r="AC1171" s="20">
        <f>IF($J1171="","",TODAY()-$J1171)</f>
        <v/>
      </c>
      <c r="AD1171" s="20">
        <f>IF($J1171="","",IF($J1171&lt;=TODAY(),COUNTIFS(cal_fechas,"&gt;="&amp;$J1171,cal_fechas,"&lt;"&amp;TODAY(),cal_habil,"sí"),-COUNTIFS(cal_fechas,"&gt;="&amp;TODAY(),cal_fechas,"&lt;"&amp;$J1171,cal_habil,"sí")))</f>
        <v/>
      </c>
      <c r="AE1171" s="5">
        <f>IF($AD1171="","",IF($AD1171&lt;0,"FUTURO",IF($AD1171&gt;p_dias_backlog_max,"BACKLOG","MES CORRIENTE")))</f>
        <v/>
      </c>
      <c r="AF1171" s="5">
        <f>IF($AD1171="",FALSE,AND($AD1171&gt;p_dias_backlog_min,$AD1171&lt;=p_dias_backlog_max))</f>
        <v/>
      </c>
      <c r="AG1171" s="4" t="n"/>
      <c r="AH1171" s="5">
        <f>IF($AG1171="","",IF((IFERROR(INDEX('ASIGNACIONES'!$J$4:$J$451,MATCH($O1171&amp;"|"&amp;$S1171&amp;"|"&amp;$AG1171,'ASIGNACIONES'!$N$4:$N$451,0)),""))=0,"",IFERROR(INDEX('ASIGNACIONES'!$J$4:$J$451,MATCH($O1171&amp;"|"&amp;$S1171&amp;"|"&amp;$AG1171,'ASIGNACIONES'!$N$4:$N$451,0)),"")))</f>
        <v/>
      </c>
      <c r="AI1171" s="25">
        <f>IF($AG1171="","",SUMIFS('ORDENES'!$M$4:$M$1203,'ORDENES'!$AG$4:$AG$1203,$AG1171,'ORDENES'!$O$4:$O$1203,$O1171,'ORDENES'!$S$4:$S$1203,$S1171))</f>
        <v/>
      </c>
      <c r="AJ1171" s="25">
        <f>IF($AI1171="","",p_factor_productividad*IFERROR(INDEX('ASIGNACIONES'!$M$4:$M$451,MATCH($O1171&amp;"|"&amp;$S1171&amp;"|"&amp;$AG1171,'ASIGNACIONES'!$N$4:$N$451,0)),0)-$AI1171)</f>
        <v/>
      </c>
      <c r="AK1171" s="18">
        <f>IF($A1171="","",IFERROR(INDEX('2_IMPORTAR_EJECUCION'!$F$9:$F$1208,MATCH($AT1171,'2_IMPORTAR_EJECUCION'!$J$9:$J$1208,0)),0))</f>
        <v/>
      </c>
      <c r="AL1171" s="18">
        <f>IF($A1171="","",MAX(0,IFERROR(INDEX('2_IMPORTAR_EJECUCION'!$H$9:$H$1208,MATCH($AT1171,'2_IMPORTAR_EJECUCION'!$J$9:$J$1208,0)),0)-$AK1171))</f>
        <v/>
      </c>
      <c r="AM1171" s="18">
        <f>IF($A1171="","",$AK1171+$AL1171)</f>
        <v/>
      </c>
      <c r="AN1171" s="5">
        <f>IF($A1171="","",IF(OR((IFERROR(INDEX('CAT_ACTIVIDADES'!$D$4:$D$11,MATCH($H1171,'CAT_ACTIVIDADES'!$A$4:$A$11,0)),""))=0,(IFERROR(INDEX('CAT_ACTIVIDADES'!$D$4:$D$11,MATCH($H1171,'CAT_ACTIVIDADES'!$A$4:$A$11,0)),""))=""),"SIN CLASIFICAR",IFERROR(INDEX('CAT_ACTIVIDADES'!$D$4:$D$11,MATCH($H1171,'CAT_ACTIVIDADES'!$A$4:$A$11,0)),"")))</f>
        <v/>
      </c>
      <c r="AO1171" s="4" t="n"/>
      <c r="AP1171" s="4" t="n"/>
      <c r="AQ1171" s="4" t="n"/>
      <c r="AR1171" s="5">
        <f>IF($AQ1171="","",HYPERLINK(p_ruta_base_checklists&amp;$AQ1171,"abrir"))</f>
        <v/>
      </c>
      <c r="AS1171" s="4" t="n"/>
      <c r="AT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2" t="n"/>
      <c r="K1172" s="5" t="n"/>
      <c r="L1172" s="18" t="n"/>
      <c r="M1172" s="5">
        <f>IF($A1172="","",IFERROR(INDEX('AJUSTES'!$B$4:$B$303,MATCH($AT1172,'AJUSTES'!$A$4:$A$303,0)),IF($K1172="","",$K1172)))</f>
        <v/>
      </c>
      <c r="N1172" s="5">
        <f>IF($A1172="","",IFERROR(INDEX('CAT_ESTADOS_ERP'!$B$4:$B$7,MATCH(IFERROR(INDEX('2_IMPORTAR_EJECUCION'!$C$9:$C$1208,MATCH($AT1172,'2_IMPORTAR_EJECUCION'!$J$9:$J$1208,0)),""),'CAT_ESTADOS_ERP'!$A$4:$A$7,0)),"Pendiente"))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IF($J1172="","",$P1172&amp;"-"&amp;TEXT($Q1172,"00"))</f>
        <v/>
      </c>
      <c r="S1172" s="5">
        <f>IF($J1172="","",INDEX(lista_dias,WEEKDAY($J1172,2)))</f>
        <v/>
      </c>
      <c r="T1172" s="5">
        <f>IF($J1172="","",IFERROR(INDEX('CALENDARIO'!$C$15:$C$214,MATCH(TEXT($J1172,"yyyy-mm-dd")&amp;"|"&amp;$X1172&amp;"|"&amp;$Y1172,'CALENDARIO'!$G$15:$G$214,0)),IFERROR(INDEX('CALENDARIO'!$C$15:$C$214,MATCH(TEXT($J1172,"yyyy-mm-dd")&amp;"|"&amp;$X1172&amp;"|",'CALENDARIO'!$G$15:$G$214,0)),IFERROR(INDEX('CALENDARIO'!$C$15:$C$214,MATCH(TEXT($J1172,"yyyy-mm-dd")&amp;"||",'CALENDARIO'!$G$15:$G$214,0)),INDEX(patronHabil,WEEKDAY($J1172,2))))))</f>
        <v/>
      </c>
      <c r="U1172" s="5">
        <f>IF($I1172="","",IFERROR(INDEX('CAT_TIPOS_OT'!$C$4:$C$8,MATCH($I1172,'CAT_TIPOS_OT'!$A$4:$A$8,0)),"sin_clasificar"))</f>
        <v/>
      </c>
      <c r="V1172" s="5">
        <f>IF($I1172="","",IF(IFERROR(INDEX('CAT_TIPOS_OT'!$D$4:$D$8,MATCH($I1172,'CAT_TIPOS_OT'!$A$4:$A$8,0)),"SIN CLASIFICAR")="","SIN CLASIFICAR",IFERROR(INDEX('CAT_TIPOS_OT'!$D$4:$D$8,MATCH($I1172,'CAT_TIPOS_OT'!$A$4:$A$8,0)),"SIN CLASIFICAR")))</f>
        <v/>
      </c>
      <c r="W1172" s="5">
        <f>IF($F1172="","",IFERROR(INDEX('CAT_CENTROS_COSTO'!$F$4:$F$13,MATCH($F1172,'CAT_CENTROS_COSTO'!$A$4:$A$13,0)),"(sin catálogo)"))</f>
        <v/>
      </c>
      <c r="X1172" s="5">
        <f>IF($F1172="","",IFERROR(INDEX('CAT_CENTROS_COSTO'!$D$4:$D$13,MATCH($F1172,'CAT_CENTROS_COSTO'!$A$4:$A$13,0)),"(sin catálogo)"))</f>
        <v/>
      </c>
      <c r="Y1172" s="5">
        <f>IF($F1172="","",IF((IFERROR(INDEX('CAT_CENTROS_COSTO'!$E$4:$E$13,MATCH($F1172,'CAT_CENTROS_COSTO'!$A$4:$A$13,0)),""))&lt;&gt;"",IFERROR(INDEX('CAT_CENTROS_COSTO'!$E$4:$E$13,MATCH($F1172,'CAT_CENTROS_COSTO'!$A$4:$A$13,0)),""),$X1172))</f>
        <v/>
      </c>
      <c r="Z1172" s="5">
        <f>IF($F1172="","",IFERROR(INDEX('CAT_CENTROS_COSTO'!$G$4:$G$13,MATCH($F1172,'CAT_CENTROS_COSTO'!$A$4:$A$13,0)),"(sin catálogo)"))</f>
        <v/>
      </c>
      <c r="AA1172" s="5">
        <f>IF($G1172="","",IFERROR(INDEX('CAT_PUESTOS'!$B$4:$B$8,MATCH($G1172,'CAT_PUESTOS'!$A$4:$A$8,0)),"(sin catálogo)"))</f>
        <v/>
      </c>
      <c r="AB1172" s="5">
        <f>IF($H1172="","",IFERROR(INDEX('CAT_ACTIVIDADES'!$B$4:$B$11,MATCH($H1172,'CAT_ACTIVIDADES'!$A$4:$A$11,0)),"(sin catálogo)"))</f>
        <v/>
      </c>
      <c r="AC1172" s="20">
        <f>IF($J1172="","",TODAY()-$J1172)</f>
        <v/>
      </c>
      <c r="AD1172" s="20">
        <f>IF($J1172="","",IF($J1172&lt;=TODAY(),COUNTIFS(cal_fechas,"&gt;="&amp;$J1172,cal_fechas,"&lt;"&amp;TODAY(),cal_habil,"sí"),-COUNTIFS(cal_fechas,"&gt;="&amp;TODAY(),cal_fechas,"&lt;"&amp;$J1172,cal_habil,"sí")))</f>
        <v/>
      </c>
      <c r="AE1172" s="5">
        <f>IF($AD1172="","",IF($AD1172&lt;0,"FUTURO",IF($AD1172&gt;p_dias_backlog_max,"BACKLOG","MES CORRIENTE")))</f>
        <v/>
      </c>
      <c r="AF1172" s="5">
        <f>IF($AD1172="",FALSE,AND($AD1172&gt;p_dias_backlog_min,$AD1172&lt;=p_dias_backlog_max))</f>
        <v/>
      </c>
      <c r="AG1172" s="4" t="n"/>
      <c r="AH1172" s="5">
        <f>IF($AG1172="","",IF((IFERROR(INDEX('ASIGNACIONES'!$J$4:$J$451,MATCH($O1172&amp;"|"&amp;$S1172&amp;"|"&amp;$AG1172,'ASIGNACIONES'!$N$4:$N$451,0)),""))=0,"",IFERROR(INDEX('ASIGNACIONES'!$J$4:$J$451,MATCH($O1172&amp;"|"&amp;$S1172&amp;"|"&amp;$AG1172,'ASIGNACIONES'!$N$4:$N$451,0)),"")))</f>
        <v/>
      </c>
      <c r="AI1172" s="25">
        <f>IF($AG1172="","",SUMIFS('ORDENES'!$M$4:$M$1203,'ORDENES'!$AG$4:$AG$1203,$AG1172,'ORDENES'!$O$4:$O$1203,$O1172,'ORDENES'!$S$4:$S$1203,$S1172))</f>
        <v/>
      </c>
      <c r="AJ1172" s="25">
        <f>IF($AI1172="","",p_factor_productividad*IFERROR(INDEX('ASIGNACIONES'!$M$4:$M$451,MATCH($O1172&amp;"|"&amp;$S1172&amp;"|"&amp;$AG1172,'ASIGNACIONES'!$N$4:$N$451,0)),0)-$AI1172)</f>
        <v/>
      </c>
      <c r="AK1172" s="18">
        <f>IF($A1172="","",IFERROR(INDEX('2_IMPORTAR_EJECUCION'!$F$9:$F$1208,MATCH($AT1172,'2_IMPORTAR_EJECUCION'!$J$9:$J$1208,0)),0))</f>
        <v/>
      </c>
      <c r="AL1172" s="18">
        <f>IF($A1172="","",MAX(0,IFERROR(INDEX('2_IMPORTAR_EJECUCION'!$H$9:$H$1208,MATCH($AT1172,'2_IMPORTAR_EJECUCION'!$J$9:$J$1208,0)),0)-$AK1172))</f>
        <v/>
      </c>
      <c r="AM1172" s="18">
        <f>IF($A1172="","",$AK1172+$AL1172)</f>
        <v/>
      </c>
      <c r="AN1172" s="5">
        <f>IF($A1172="","",IF(OR((IFERROR(INDEX('CAT_ACTIVIDADES'!$D$4:$D$11,MATCH($H1172,'CAT_ACTIVIDADES'!$A$4:$A$11,0)),""))=0,(IFERROR(INDEX('CAT_ACTIVIDADES'!$D$4:$D$11,MATCH($H1172,'CAT_ACTIVIDADES'!$A$4:$A$11,0)),""))=""),"SIN CLASIFICAR",IFERROR(INDEX('CAT_ACTIVIDADES'!$D$4:$D$11,MATCH($H1172,'CAT_ACTIVIDADES'!$A$4:$A$11,0)),"")))</f>
        <v/>
      </c>
      <c r="AO1172" s="4" t="n"/>
      <c r="AP1172" s="4" t="n"/>
      <c r="AQ1172" s="4" t="n"/>
      <c r="AR1172" s="5">
        <f>IF($AQ1172="","",HYPERLINK(p_ruta_base_checklists&amp;$AQ1172,"abrir"))</f>
        <v/>
      </c>
      <c r="AS1172" s="4" t="n"/>
      <c r="AT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2" t="n"/>
      <c r="K1173" s="5" t="n"/>
      <c r="L1173" s="18" t="n"/>
      <c r="M1173" s="5">
        <f>IF($A1173="","",IFERROR(INDEX('AJUSTES'!$B$4:$B$303,MATCH($AT1173,'AJUSTES'!$A$4:$A$303,0)),IF($K1173="","",$K1173)))</f>
        <v/>
      </c>
      <c r="N1173" s="5">
        <f>IF($A1173="","",IFERROR(INDEX('CAT_ESTADOS_ERP'!$B$4:$B$7,MATCH(IFERROR(INDEX('2_IMPORTAR_EJECUCION'!$C$9:$C$1208,MATCH($AT1173,'2_IMPORTAR_EJECUCION'!$J$9:$J$1208,0)),""),'CAT_ESTADOS_ERP'!$A$4:$A$7,0)),"Pendiente"))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IF($J1173="","",$P1173&amp;"-"&amp;TEXT($Q1173,"00"))</f>
        <v/>
      </c>
      <c r="S1173" s="5">
        <f>IF($J1173="","",INDEX(lista_dias,WEEKDAY($J1173,2)))</f>
        <v/>
      </c>
      <c r="T1173" s="5">
        <f>IF($J1173="","",IFERROR(INDEX('CALENDARIO'!$C$15:$C$214,MATCH(TEXT($J1173,"yyyy-mm-dd")&amp;"|"&amp;$X1173&amp;"|"&amp;$Y1173,'CALENDARIO'!$G$15:$G$214,0)),IFERROR(INDEX('CALENDARIO'!$C$15:$C$214,MATCH(TEXT($J1173,"yyyy-mm-dd")&amp;"|"&amp;$X1173&amp;"|",'CALENDARIO'!$G$15:$G$214,0)),IFERROR(INDEX('CALENDARIO'!$C$15:$C$214,MATCH(TEXT($J1173,"yyyy-mm-dd")&amp;"||",'CALENDARIO'!$G$15:$G$214,0)),INDEX(patronHabil,WEEKDAY($J1173,2))))))</f>
        <v/>
      </c>
      <c r="U1173" s="5">
        <f>IF($I1173="","",IFERROR(INDEX('CAT_TIPOS_OT'!$C$4:$C$8,MATCH($I1173,'CAT_TIPOS_OT'!$A$4:$A$8,0)),"sin_clasificar"))</f>
        <v/>
      </c>
      <c r="V1173" s="5">
        <f>IF($I1173="","",IF(IFERROR(INDEX('CAT_TIPOS_OT'!$D$4:$D$8,MATCH($I1173,'CAT_TIPOS_OT'!$A$4:$A$8,0)),"SIN CLASIFICAR")="","SIN CLASIFICAR",IFERROR(INDEX('CAT_TIPOS_OT'!$D$4:$D$8,MATCH($I1173,'CAT_TIPOS_OT'!$A$4:$A$8,0)),"SIN CLASIFICAR")))</f>
        <v/>
      </c>
      <c r="W1173" s="5">
        <f>IF($F1173="","",IFERROR(INDEX('CAT_CENTROS_COSTO'!$F$4:$F$13,MATCH($F1173,'CAT_CENTROS_COSTO'!$A$4:$A$13,0)),"(sin catálogo)"))</f>
        <v/>
      </c>
      <c r="X1173" s="5">
        <f>IF($F1173="","",IFERROR(INDEX('CAT_CENTROS_COSTO'!$D$4:$D$13,MATCH($F1173,'CAT_CENTROS_COSTO'!$A$4:$A$13,0)),"(sin catálogo)"))</f>
        <v/>
      </c>
      <c r="Y1173" s="5">
        <f>IF($F1173="","",IF((IFERROR(INDEX('CAT_CENTROS_COSTO'!$E$4:$E$13,MATCH($F1173,'CAT_CENTROS_COSTO'!$A$4:$A$13,0)),""))&lt;&gt;"",IFERROR(INDEX('CAT_CENTROS_COSTO'!$E$4:$E$13,MATCH($F1173,'CAT_CENTROS_COSTO'!$A$4:$A$13,0)),""),$X1173))</f>
        <v/>
      </c>
      <c r="Z1173" s="5">
        <f>IF($F1173="","",IFERROR(INDEX('CAT_CENTROS_COSTO'!$G$4:$G$13,MATCH($F1173,'CAT_CENTROS_COSTO'!$A$4:$A$13,0)),"(sin catálogo)"))</f>
        <v/>
      </c>
      <c r="AA1173" s="5">
        <f>IF($G1173="","",IFERROR(INDEX('CAT_PUESTOS'!$B$4:$B$8,MATCH($G1173,'CAT_PUESTOS'!$A$4:$A$8,0)),"(sin catálogo)"))</f>
        <v/>
      </c>
      <c r="AB1173" s="5">
        <f>IF($H1173="","",IFERROR(INDEX('CAT_ACTIVIDADES'!$B$4:$B$11,MATCH($H1173,'CAT_ACTIVIDADES'!$A$4:$A$11,0)),"(sin catálogo)"))</f>
        <v/>
      </c>
      <c r="AC1173" s="20">
        <f>IF($J1173="","",TODAY()-$J1173)</f>
        <v/>
      </c>
      <c r="AD1173" s="20">
        <f>IF($J1173="","",IF($J1173&lt;=TODAY(),COUNTIFS(cal_fechas,"&gt;="&amp;$J1173,cal_fechas,"&lt;"&amp;TODAY(),cal_habil,"sí"),-COUNTIFS(cal_fechas,"&gt;="&amp;TODAY(),cal_fechas,"&lt;"&amp;$J1173,cal_habil,"sí")))</f>
        <v/>
      </c>
      <c r="AE1173" s="5">
        <f>IF($AD1173="","",IF($AD1173&lt;0,"FUTURO",IF($AD1173&gt;p_dias_backlog_max,"BACKLOG","MES CORRIENTE")))</f>
        <v/>
      </c>
      <c r="AF1173" s="5">
        <f>IF($AD1173="",FALSE,AND($AD1173&gt;p_dias_backlog_min,$AD1173&lt;=p_dias_backlog_max))</f>
        <v/>
      </c>
      <c r="AG1173" s="4" t="n"/>
      <c r="AH1173" s="5">
        <f>IF($AG1173="","",IF((IFERROR(INDEX('ASIGNACIONES'!$J$4:$J$451,MATCH($O1173&amp;"|"&amp;$S1173&amp;"|"&amp;$AG1173,'ASIGNACIONES'!$N$4:$N$451,0)),""))=0,"",IFERROR(INDEX('ASIGNACIONES'!$J$4:$J$451,MATCH($O1173&amp;"|"&amp;$S1173&amp;"|"&amp;$AG1173,'ASIGNACIONES'!$N$4:$N$451,0)),"")))</f>
        <v/>
      </c>
      <c r="AI1173" s="25">
        <f>IF($AG1173="","",SUMIFS('ORDENES'!$M$4:$M$1203,'ORDENES'!$AG$4:$AG$1203,$AG1173,'ORDENES'!$O$4:$O$1203,$O1173,'ORDENES'!$S$4:$S$1203,$S1173))</f>
        <v/>
      </c>
      <c r="AJ1173" s="25">
        <f>IF($AI1173="","",p_factor_productividad*IFERROR(INDEX('ASIGNACIONES'!$M$4:$M$451,MATCH($O1173&amp;"|"&amp;$S1173&amp;"|"&amp;$AG1173,'ASIGNACIONES'!$N$4:$N$451,0)),0)-$AI1173)</f>
        <v/>
      </c>
      <c r="AK1173" s="18">
        <f>IF($A1173="","",IFERROR(INDEX('2_IMPORTAR_EJECUCION'!$F$9:$F$1208,MATCH($AT1173,'2_IMPORTAR_EJECUCION'!$J$9:$J$1208,0)),0))</f>
        <v/>
      </c>
      <c r="AL1173" s="18">
        <f>IF($A1173="","",MAX(0,IFERROR(INDEX('2_IMPORTAR_EJECUCION'!$H$9:$H$1208,MATCH($AT1173,'2_IMPORTAR_EJECUCION'!$J$9:$J$1208,0)),0)-$AK1173))</f>
        <v/>
      </c>
      <c r="AM1173" s="18">
        <f>IF($A1173="","",$AK1173+$AL1173)</f>
        <v/>
      </c>
      <c r="AN1173" s="5">
        <f>IF($A1173="","",IF(OR((IFERROR(INDEX('CAT_ACTIVIDADES'!$D$4:$D$11,MATCH($H1173,'CAT_ACTIVIDADES'!$A$4:$A$11,0)),""))=0,(IFERROR(INDEX('CAT_ACTIVIDADES'!$D$4:$D$11,MATCH($H1173,'CAT_ACTIVIDADES'!$A$4:$A$11,0)),""))=""),"SIN CLASIFICAR",IFERROR(INDEX('CAT_ACTIVIDADES'!$D$4:$D$11,MATCH($H1173,'CAT_ACTIVIDADES'!$A$4:$A$11,0)),"")))</f>
        <v/>
      </c>
      <c r="AO1173" s="4" t="n"/>
      <c r="AP1173" s="4" t="n"/>
      <c r="AQ1173" s="4" t="n"/>
      <c r="AR1173" s="5">
        <f>IF($AQ1173="","",HYPERLINK(p_ruta_base_checklists&amp;$AQ1173,"abrir"))</f>
        <v/>
      </c>
      <c r="AS1173" s="4" t="n"/>
      <c r="AT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2" t="n"/>
      <c r="K1174" s="5" t="n"/>
      <c r="L1174" s="18" t="n"/>
      <c r="M1174" s="5">
        <f>IF($A1174="","",IFERROR(INDEX('AJUSTES'!$B$4:$B$303,MATCH($AT1174,'AJUSTES'!$A$4:$A$303,0)),IF($K1174="","",$K1174)))</f>
        <v/>
      </c>
      <c r="N1174" s="5">
        <f>IF($A1174="","",IFERROR(INDEX('CAT_ESTADOS_ERP'!$B$4:$B$7,MATCH(IFERROR(INDEX('2_IMPORTAR_EJECUCION'!$C$9:$C$1208,MATCH($AT1174,'2_IMPORTAR_EJECUCION'!$J$9:$J$1208,0)),""),'CAT_ESTADOS_ERP'!$A$4:$A$7,0)),"Pendiente"))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IF($J1174="","",$P1174&amp;"-"&amp;TEXT($Q1174,"00"))</f>
        <v/>
      </c>
      <c r="S1174" s="5">
        <f>IF($J1174="","",INDEX(lista_dias,WEEKDAY($J1174,2)))</f>
        <v/>
      </c>
      <c r="T1174" s="5">
        <f>IF($J1174="","",IFERROR(INDEX('CALENDARIO'!$C$15:$C$214,MATCH(TEXT($J1174,"yyyy-mm-dd")&amp;"|"&amp;$X1174&amp;"|"&amp;$Y1174,'CALENDARIO'!$G$15:$G$214,0)),IFERROR(INDEX('CALENDARIO'!$C$15:$C$214,MATCH(TEXT($J1174,"yyyy-mm-dd")&amp;"|"&amp;$X1174&amp;"|",'CALENDARIO'!$G$15:$G$214,0)),IFERROR(INDEX('CALENDARIO'!$C$15:$C$214,MATCH(TEXT($J1174,"yyyy-mm-dd")&amp;"||",'CALENDARIO'!$G$15:$G$214,0)),INDEX(patronHabil,WEEKDAY($J1174,2))))))</f>
        <v/>
      </c>
      <c r="U1174" s="5">
        <f>IF($I1174="","",IFERROR(INDEX('CAT_TIPOS_OT'!$C$4:$C$8,MATCH($I1174,'CAT_TIPOS_OT'!$A$4:$A$8,0)),"sin_clasificar"))</f>
        <v/>
      </c>
      <c r="V1174" s="5">
        <f>IF($I1174="","",IF(IFERROR(INDEX('CAT_TIPOS_OT'!$D$4:$D$8,MATCH($I1174,'CAT_TIPOS_OT'!$A$4:$A$8,0)),"SIN CLASIFICAR")="","SIN CLASIFICAR",IFERROR(INDEX('CAT_TIPOS_OT'!$D$4:$D$8,MATCH($I1174,'CAT_TIPOS_OT'!$A$4:$A$8,0)),"SIN CLASIFICAR")))</f>
        <v/>
      </c>
      <c r="W1174" s="5">
        <f>IF($F1174="","",IFERROR(INDEX('CAT_CENTROS_COSTO'!$F$4:$F$13,MATCH($F1174,'CAT_CENTROS_COSTO'!$A$4:$A$13,0)),"(sin catálogo)"))</f>
        <v/>
      </c>
      <c r="X1174" s="5">
        <f>IF($F1174="","",IFERROR(INDEX('CAT_CENTROS_COSTO'!$D$4:$D$13,MATCH($F1174,'CAT_CENTROS_COSTO'!$A$4:$A$13,0)),"(sin catálogo)"))</f>
        <v/>
      </c>
      <c r="Y1174" s="5">
        <f>IF($F1174="","",IF((IFERROR(INDEX('CAT_CENTROS_COSTO'!$E$4:$E$13,MATCH($F1174,'CAT_CENTROS_COSTO'!$A$4:$A$13,0)),""))&lt;&gt;"",IFERROR(INDEX('CAT_CENTROS_COSTO'!$E$4:$E$13,MATCH($F1174,'CAT_CENTROS_COSTO'!$A$4:$A$13,0)),""),$X1174))</f>
        <v/>
      </c>
      <c r="Z1174" s="5">
        <f>IF($F1174="","",IFERROR(INDEX('CAT_CENTROS_COSTO'!$G$4:$G$13,MATCH($F1174,'CAT_CENTROS_COSTO'!$A$4:$A$13,0)),"(sin catálogo)"))</f>
        <v/>
      </c>
      <c r="AA1174" s="5">
        <f>IF($G1174="","",IFERROR(INDEX('CAT_PUESTOS'!$B$4:$B$8,MATCH($G1174,'CAT_PUESTOS'!$A$4:$A$8,0)),"(sin catálogo)"))</f>
        <v/>
      </c>
      <c r="AB1174" s="5">
        <f>IF($H1174="","",IFERROR(INDEX('CAT_ACTIVIDADES'!$B$4:$B$11,MATCH($H1174,'CAT_ACTIVIDADES'!$A$4:$A$11,0)),"(sin catálogo)"))</f>
        <v/>
      </c>
      <c r="AC1174" s="20">
        <f>IF($J1174="","",TODAY()-$J1174)</f>
        <v/>
      </c>
      <c r="AD1174" s="20">
        <f>IF($J1174="","",IF($J1174&lt;=TODAY(),COUNTIFS(cal_fechas,"&gt;="&amp;$J1174,cal_fechas,"&lt;"&amp;TODAY(),cal_habil,"sí"),-COUNTIFS(cal_fechas,"&gt;="&amp;TODAY(),cal_fechas,"&lt;"&amp;$J1174,cal_habil,"sí")))</f>
        <v/>
      </c>
      <c r="AE1174" s="5">
        <f>IF($AD1174="","",IF($AD1174&lt;0,"FUTURO",IF($AD1174&gt;p_dias_backlog_max,"BACKLOG","MES CORRIENTE")))</f>
        <v/>
      </c>
      <c r="AF1174" s="5">
        <f>IF($AD1174="",FALSE,AND($AD1174&gt;p_dias_backlog_min,$AD1174&lt;=p_dias_backlog_max))</f>
        <v/>
      </c>
      <c r="AG1174" s="4" t="n"/>
      <c r="AH1174" s="5">
        <f>IF($AG1174="","",IF((IFERROR(INDEX('ASIGNACIONES'!$J$4:$J$451,MATCH($O1174&amp;"|"&amp;$S1174&amp;"|"&amp;$AG1174,'ASIGNACIONES'!$N$4:$N$451,0)),""))=0,"",IFERROR(INDEX('ASIGNACIONES'!$J$4:$J$451,MATCH($O1174&amp;"|"&amp;$S1174&amp;"|"&amp;$AG1174,'ASIGNACIONES'!$N$4:$N$451,0)),"")))</f>
        <v/>
      </c>
      <c r="AI1174" s="25">
        <f>IF($AG1174="","",SUMIFS('ORDENES'!$M$4:$M$1203,'ORDENES'!$AG$4:$AG$1203,$AG1174,'ORDENES'!$O$4:$O$1203,$O1174,'ORDENES'!$S$4:$S$1203,$S1174))</f>
        <v/>
      </c>
      <c r="AJ1174" s="25">
        <f>IF($AI1174="","",p_factor_productividad*IFERROR(INDEX('ASIGNACIONES'!$M$4:$M$451,MATCH($O1174&amp;"|"&amp;$S1174&amp;"|"&amp;$AG1174,'ASIGNACIONES'!$N$4:$N$451,0)),0)-$AI1174)</f>
        <v/>
      </c>
      <c r="AK1174" s="18">
        <f>IF($A1174="","",IFERROR(INDEX('2_IMPORTAR_EJECUCION'!$F$9:$F$1208,MATCH($AT1174,'2_IMPORTAR_EJECUCION'!$J$9:$J$1208,0)),0))</f>
        <v/>
      </c>
      <c r="AL1174" s="18">
        <f>IF($A1174="","",MAX(0,IFERROR(INDEX('2_IMPORTAR_EJECUCION'!$H$9:$H$1208,MATCH($AT1174,'2_IMPORTAR_EJECUCION'!$J$9:$J$1208,0)),0)-$AK1174))</f>
        <v/>
      </c>
      <c r="AM1174" s="18">
        <f>IF($A1174="","",$AK1174+$AL1174)</f>
        <v/>
      </c>
      <c r="AN1174" s="5">
        <f>IF($A1174="","",IF(OR((IFERROR(INDEX('CAT_ACTIVIDADES'!$D$4:$D$11,MATCH($H1174,'CAT_ACTIVIDADES'!$A$4:$A$11,0)),""))=0,(IFERROR(INDEX('CAT_ACTIVIDADES'!$D$4:$D$11,MATCH($H1174,'CAT_ACTIVIDADES'!$A$4:$A$11,0)),""))=""),"SIN CLASIFICAR",IFERROR(INDEX('CAT_ACTIVIDADES'!$D$4:$D$11,MATCH($H1174,'CAT_ACTIVIDADES'!$A$4:$A$11,0)),"")))</f>
        <v/>
      </c>
      <c r="AO1174" s="4" t="n"/>
      <c r="AP1174" s="4" t="n"/>
      <c r="AQ1174" s="4" t="n"/>
      <c r="AR1174" s="5">
        <f>IF($AQ1174="","",HYPERLINK(p_ruta_base_checklists&amp;$AQ1174,"abrir"))</f>
        <v/>
      </c>
      <c r="AS1174" s="4" t="n"/>
      <c r="AT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2" t="n"/>
      <c r="K1175" s="5" t="n"/>
      <c r="L1175" s="18" t="n"/>
      <c r="M1175" s="5">
        <f>IF($A1175="","",IFERROR(INDEX('AJUSTES'!$B$4:$B$303,MATCH($AT1175,'AJUSTES'!$A$4:$A$303,0)),IF($K1175="","",$K1175)))</f>
        <v/>
      </c>
      <c r="N1175" s="5">
        <f>IF($A1175="","",IFERROR(INDEX('CAT_ESTADOS_ERP'!$B$4:$B$7,MATCH(IFERROR(INDEX('2_IMPORTAR_EJECUCION'!$C$9:$C$1208,MATCH($AT1175,'2_IMPORTAR_EJECUCION'!$J$9:$J$1208,0)),""),'CAT_ESTADOS_ERP'!$A$4:$A$7,0)),"Pendiente"))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IF($J1175="","",$P1175&amp;"-"&amp;TEXT($Q1175,"00"))</f>
        <v/>
      </c>
      <c r="S1175" s="5">
        <f>IF($J1175="","",INDEX(lista_dias,WEEKDAY($J1175,2)))</f>
        <v/>
      </c>
      <c r="T1175" s="5">
        <f>IF($J1175="","",IFERROR(INDEX('CALENDARIO'!$C$15:$C$214,MATCH(TEXT($J1175,"yyyy-mm-dd")&amp;"|"&amp;$X1175&amp;"|"&amp;$Y1175,'CALENDARIO'!$G$15:$G$214,0)),IFERROR(INDEX('CALENDARIO'!$C$15:$C$214,MATCH(TEXT($J1175,"yyyy-mm-dd")&amp;"|"&amp;$X1175&amp;"|",'CALENDARIO'!$G$15:$G$214,0)),IFERROR(INDEX('CALENDARIO'!$C$15:$C$214,MATCH(TEXT($J1175,"yyyy-mm-dd")&amp;"||",'CALENDARIO'!$G$15:$G$214,0)),INDEX(patronHabil,WEEKDAY($J1175,2))))))</f>
        <v/>
      </c>
      <c r="U1175" s="5">
        <f>IF($I1175="","",IFERROR(INDEX('CAT_TIPOS_OT'!$C$4:$C$8,MATCH($I1175,'CAT_TIPOS_OT'!$A$4:$A$8,0)),"sin_clasificar"))</f>
        <v/>
      </c>
      <c r="V1175" s="5">
        <f>IF($I1175="","",IF(IFERROR(INDEX('CAT_TIPOS_OT'!$D$4:$D$8,MATCH($I1175,'CAT_TIPOS_OT'!$A$4:$A$8,0)),"SIN CLASIFICAR")="","SIN CLASIFICAR",IFERROR(INDEX('CAT_TIPOS_OT'!$D$4:$D$8,MATCH($I1175,'CAT_TIPOS_OT'!$A$4:$A$8,0)),"SIN CLASIFICAR")))</f>
        <v/>
      </c>
      <c r="W1175" s="5">
        <f>IF($F1175="","",IFERROR(INDEX('CAT_CENTROS_COSTO'!$F$4:$F$13,MATCH($F1175,'CAT_CENTROS_COSTO'!$A$4:$A$13,0)),"(sin catálogo)"))</f>
        <v/>
      </c>
      <c r="X1175" s="5">
        <f>IF($F1175="","",IFERROR(INDEX('CAT_CENTROS_COSTO'!$D$4:$D$13,MATCH($F1175,'CAT_CENTROS_COSTO'!$A$4:$A$13,0)),"(sin catálogo)"))</f>
        <v/>
      </c>
      <c r="Y1175" s="5">
        <f>IF($F1175="","",IF((IFERROR(INDEX('CAT_CENTROS_COSTO'!$E$4:$E$13,MATCH($F1175,'CAT_CENTROS_COSTO'!$A$4:$A$13,0)),""))&lt;&gt;"",IFERROR(INDEX('CAT_CENTROS_COSTO'!$E$4:$E$13,MATCH($F1175,'CAT_CENTROS_COSTO'!$A$4:$A$13,0)),""),$X1175))</f>
        <v/>
      </c>
      <c r="Z1175" s="5">
        <f>IF($F1175="","",IFERROR(INDEX('CAT_CENTROS_COSTO'!$G$4:$G$13,MATCH($F1175,'CAT_CENTROS_COSTO'!$A$4:$A$13,0)),"(sin catálogo)"))</f>
        <v/>
      </c>
      <c r="AA1175" s="5">
        <f>IF($G1175="","",IFERROR(INDEX('CAT_PUESTOS'!$B$4:$B$8,MATCH($G1175,'CAT_PUESTOS'!$A$4:$A$8,0)),"(sin catálogo)"))</f>
        <v/>
      </c>
      <c r="AB1175" s="5">
        <f>IF($H1175="","",IFERROR(INDEX('CAT_ACTIVIDADES'!$B$4:$B$11,MATCH($H1175,'CAT_ACTIVIDADES'!$A$4:$A$11,0)),"(sin catálogo)"))</f>
        <v/>
      </c>
      <c r="AC1175" s="20">
        <f>IF($J1175="","",TODAY()-$J1175)</f>
        <v/>
      </c>
      <c r="AD1175" s="20">
        <f>IF($J1175="","",IF($J1175&lt;=TODAY(),COUNTIFS(cal_fechas,"&gt;="&amp;$J1175,cal_fechas,"&lt;"&amp;TODAY(),cal_habil,"sí"),-COUNTIFS(cal_fechas,"&gt;="&amp;TODAY(),cal_fechas,"&lt;"&amp;$J1175,cal_habil,"sí")))</f>
        <v/>
      </c>
      <c r="AE1175" s="5">
        <f>IF($AD1175="","",IF($AD1175&lt;0,"FUTURO",IF($AD1175&gt;p_dias_backlog_max,"BACKLOG","MES CORRIENTE")))</f>
        <v/>
      </c>
      <c r="AF1175" s="5">
        <f>IF($AD1175="",FALSE,AND($AD1175&gt;p_dias_backlog_min,$AD1175&lt;=p_dias_backlog_max))</f>
        <v/>
      </c>
      <c r="AG1175" s="4" t="n"/>
      <c r="AH1175" s="5">
        <f>IF($AG1175="","",IF((IFERROR(INDEX('ASIGNACIONES'!$J$4:$J$451,MATCH($O1175&amp;"|"&amp;$S1175&amp;"|"&amp;$AG1175,'ASIGNACIONES'!$N$4:$N$451,0)),""))=0,"",IFERROR(INDEX('ASIGNACIONES'!$J$4:$J$451,MATCH($O1175&amp;"|"&amp;$S1175&amp;"|"&amp;$AG1175,'ASIGNACIONES'!$N$4:$N$451,0)),"")))</f>
        <v/>
      </c>
      <c r="AI1175" s="25">
        <f>IF($AG1175="","",SUMIFS('ORDENES'!$M$4:$M$1203,'ORDENES'!$AG$4:$AG$1203,$AG1175,'ORDENES'!$O$4:$O$1203,$O1175,'ORDENES'!$S$4:$S$1203,$S1175))</f>
        <v/>
      </c>
      <c r="AJ1175" s="25">
        <f>IF($AI1175="","",p_factor_productividad*IFERROR(INDEX('ASIGNACIONES'!$M$4:$M$451,MATCH($O1175&amp;"|"&amp;$S1175&amp;"|"&amp;$AG1175,'ASIGNACIONES'!$N$4:$N$451,0)),0)-$AI1175)</f>
        <v/>
      </c>
      <c r="AK1175" s="18">
        <f>IF($A1175="","",IFERROR(INDEX('2_IMPORTAR_EJECUCION'!$F$9:$F$1208,MATCH($AT1175,'2_IMPORTAR_EJECUCION'!$J$9:$J$1208,0)),0))</f>
        <v/>
      </c>
      <c r="AL1175" s="18">
        <f>IF($A1175="","",MAX(0,IFERROR(INDEX('2_IMPORTAR_EJECUCION'!$H$9:$H$1208,MATCH($AT1175,'2_IMPORTAR_EJECUCION'!$J$9:$J$1208,0)),0)-$AK1175))</f>
        <v/>
      </c>
      <c r="AM1175" s="18">
        <f>IF($A1175="","",$AK1175+$AL1175)</f>
        <v/>
      </c>
      <c r="AN1175" s="5">
        <f>IF($A1175="","",IF(OR((IFERROR(INDEX('CAT_ACTIVIDADES'!$D$4:$D$11,MATCH($H1175,'CAT_ACTIVIDADES'!$A$4:$A$11,0)),""))=0,(IFERROR(INDEX('CAT_ACTIVIDADES'!$D$4:$D$11,MATCH($H1175,'CAT_ACTIVIDADES'!$A$4:$A$11,0)),""))=""),"SIN CLASIFICAR",IFERROR(INDEX('CAT_ACTIVIDADES'!$D$4:$D$11,MATCH($H1175,'CAT_ACTIVIDADES'!$A$4:$A$11,0)),"")))</f>
        <v/>
      </c>
      <c r="AO1175" s="4" t="n"/>
      <c r="AP1175" s="4" t="n"/>
      <c r="AQ1175" s="4" t="n"/>
      <c r="AR1175" s="5">
        <f>IF($AQ1175="","",HYPERLINK(p_ruta_base_checklists&amp;$AQ1175,"abrir"))</f>
        <v/>
      </c>
      <c r="AS1175" s="4" t="n"/>
      <c r="AT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2" t="n"/>
      <c r="K1176" s="5" t="n"/>
      <c r="L1176" s="18" t="n"/>
      <c r="M1176" s="5">
        <f>IF($A1176="","",IFERROR(INDEX('AJUSTES'!$B$4:$B$303,MATCH($AT1176,'AJUSTES'!$A$4:$A$303,0)),IF($K1176="","",$K1176)))</f>
        <v/>
      </c>
      <c r="N1176" s="5">
        <f>IF($A1176="","",IFERROR(INDEX('CAT_ESTADOS_ERP'!$B$4:$B$7,MATCH(IFERROR(INDEX('2_IMPORTAR_EJECUCION'!$C$9:$C$1208,MATCH($AT1176,'2_IMPORTAR_EJECUCION'!$J$9:$J$1208,0)),""),'CAT_ESTADOS_ERP'!$A$4:$A$7,0)),"Pendiente"))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IF($J1176="","",$P1176&amp;"-"&amp;TEXT($Q1176,"00"))</f>
        <v/>
      </c>
      <c r="S1176" s="5">
        <f>IF($J1176="","",INDEX(lista_dias,WEEKDAY($J1176,2)))</f>
        <v/>
      </c>
      <c r="T1176" s="5">
        <f>IF($J1176="","",IFERROR(INDEX('CALENDARIO'!$C$15:$C$214,MATCH(TEXT($J1176,"yyyy-mm-dd")&amp;"|"&amp;$X1176&amp;"|"&amp;$Y1176,'CALENDARIO'!$G$15:$G$214,0)),IFERROR(INDEX('CALENDARIO'!$C$15:$C$214,MATCH(TEXT($J1176,"yyyy-mm-dd")&amp;"|"&amp;$X1176&amp;"|",'CALENDARIO'!$G$15:$G$214,0)),IFERROR(INDEX('CALENDARIO'!$C$15:$C$214,MATCH(TEXT($J1176,"yyyy-mm-dd")&amp;"||",'CALENDARIO'!$G$15:$G$214,0)),INDEX(patronHabil,WEEKDAY($J1176,2))))))</f>
        <v/>
      </c>
      <c r="U1176" s="5">
        <f>IF($I1176="","",IFERROR(INDEX('CAT_TIPOS_OT'!$C$4:$C$8,MATCH($I1176,'CAT_TIPOS_OT'!$A$4:$A$8,0)),"sin_clasificar"))</f>
        <v/>
      </c>
      <c r="V1176" s="5">
        <f>IF($I1176="","",IF(IFERROR(INDEX('CAT_TIPOS_OT'!$D$4:$D$8,MATCH($I1176,'CAT_TIPOS_OT'!$A$4:$A$8,0)),"SIN CLASIFICAR")="","SIN CLASIFICAR",IFERROR(INDEX('CAT_TIPOS_OT'!$D$4:$D$8,MATCH($I1176,'CAT_TIPOS_OT'!$A$4:$A$8,0)),"SIN CLASIFICAR")))</f>
        <v/>
      </c>
      <c r="W1176" s="5">
        <f>IF($F1176="","",IFERROR(INDEX('CAT_CENTROS_COSTO'!$F$4:$F$13,MATCH($F1176,'CAT_CENTROS_COSTO'!$A$4:$A$13,0)),"(sin catálogo)"))</f>
        <v/>
      </c>
      <c r="X1176" s="5">
        <f>IF($F1176="","",IFERROR(INDEX('CAT_CENTROS_COSTO'!$D$4:$D$13,MATCH($F1176,'CAT_CENTROS_COSTO'!$A$4:$A$13,0)),"(sin catálogo)"))</f>
        <v/>
      </c>
      <c r="Y1176" s="5">
        <f>IF($F1176="","",IF((IFERROR(INDEX('CAT_CENTROS_COSTO'!$E$4:$E$13,MATCH($F1176,'CAT_CENTROS_COSTO'!$A$4:$A$13,0)),""))&lt;&gt;"",IFERROR(INDEX('CAT_CENTROS_COSTO'!$E$4:$E$13,MATCH($F1176,'CAT_CENTROS_COSTO'!$A$4:$A$13,0)),""),$X1176))</f>
        <v/>
      </c>
      <c r="Z1176" s="5">
        <f>IF($F1176="","",IFERROR(INDEX('CAT_CENTROS_COSTO'!$G$4:$G$13,MATCH($F1176,'CAT_CENTROS_COSTO'!$A$4:$A$13,0)),"(sin catálogo)"))</f>
        <v/>
      </c>
      <c r="AA1176" s="5">
        <f>IF($G1176="","",IFERROR(INDEX('CAT_PUESTOS'!$B$4:$B$8,MATCH($G1176,'CAT_PUESTOS'!$A$4:$A$8,0)),"(sin catálogo)"))</f>
        <v/>
      </c>
      <c r="AB1176" s="5">
        <f>IF($H1176="","",IFERROR(INDEX('CAT_ACTIVIDADES'!$B$4:$B$11,MATCH($H1176,'CAT_ACTIVIDADES'!$A$4:$A$11,0)),"(sin catálogo)"))</f>
        <v/>
      </c>
      <c r="AC1176" s="20">
        <f>IF($J1176="","",TODAY()-$J1176)</f>
        <v/>
      </c>
      <c r="AD1176" s="20">
        <f>IF($J1176="","",IF($J1176&lt;=TODAY(),COUNTIFS(cal_fechas,"&gt;="&amp;$J1176,cal_fechas,"&lt;"&amp;TODAY(),cal_habil,"sí"),-COUNTIFS(cal_fechas,"&gt;="&amp;TODAY(),cal_fechas,"&lt;"&amp;$J1176,cal_habil,"sí")))</f>
        <v/>
      </c>
      <c r="AE1176" s="5">
        <f>IF($AD1176="","",IF($AD1176&lt;0,"FUTURO",IF($AD1176&gt;p_dias_backlog_max,"BACKLOG","MES CORRIENTE")))</f>
        <v/>
      </c>
      <c r="AF1176" s="5">
        <f>IF($AD1176="",FALSE,AND($AD1176&gt;p_dias_backlog_min,$AD1176&lt;=p_dias_backlog_max))</f>
        <v/>
      </c>
      <c r="AG1176" s="4" t="n"/>
      <c r="AH1176" s="5">
        <f>IF($AG1176="","",IF((IFERROR(INDEX('ASIGNACIONES'!$J$4:$J$451,MATCH($O1176&amp;"|"&amp;$S1176&amp;"|"&amp;$AG1176,'ASIGNACIONES'!$N$4:$N$451,0)),""))=0,"",IFERROR(INDEX('ASIGNACIONES'!$J$4:$J$451,MATCH($O1176&amp;"|"&amp;$S1176&amp;"|"&amp;$AG1176,'ASIGNACIONES'!$N$4:$N$451,0)),"")))</f>
        <v/>
      </c>
      <c r="AI1176" s="25">
        <f>IF($AG1176="","",SUMIFS('ORDENES'!$M$4:$M$1203,'ORDENES'!$AG$4:$AG$1203,$AG1176,'ORDENES'!$O$4:$O$1203,$O1176,'ORDENES'!$S$4:$S$1203,$S1176))</f>
        <v/>
      </c>
      <c r="AJ1176" s="25">
        <f>IF($AI1176="","",p_factor_productividad*IFERROR(INDEX('ASIGNACIONES'!$M$4:$M$451,MATCH($O1176&amp;"|"&amp;$S1176&amp;"|"&amp;$AG1176,'ASIGNACIONES'!$N$4:$N$451,0)),0)-$AI1176)</f>
        <v/>
      </c>
      <c r="AK1176" s="18">
        <f>IF($A1176="","",IFERROR(INDEX('2_IMPORTAR_EJECUCION'!$F$9:$F$1208,MATCH($AT1176,'2_IMPORTAR_EJECUCION'!$J$9:$J$1208,0)),0))</f>
        <v/>
      </c>
      <c r="AL1176" s="18">
        <f>IF($A1176="","",MAX(0,IFERROR(INDEX('2_IMPORTAR_EJECUCION'!$H$9:$H$1208,MATCH($AT1176,'2_IMPORTAR_EJECUCION'!$J$9:$J$1208,0)),0)-$AK1176))</f>
        <v/>
      </c>
      <c r="AM1176" s="18">
        <f>IF($A1176="","",$AK1176+$AL1176)</f>
        <v/>
      </c>
      <c r="AN1176" s="5">
        <f>IF($A1176="","",IF(OR((IFERROR(INDEX('CAT_ACTIVIDADES'!$D$4:$D$11,MATCH($H1176,'CAT_ACTIVIDADES'!$A$4:$A$11,0)),""))=0,(IFERROR(INDEX('CAT_ACTIVIDADES'!$D$4:$D$11,MATCH($H1176,'CAT_ACTIVIDADES'!$A$4:$A$11,0)),""))=""),"SIN CLASIFICAR",IFERROR(INDEX('CAT_ACTIVIDADES'!$D$4:$D$11,MATCH($H1176,'CAT_ACTIVIDADES'!$A$4:$A$11,0)),"")))</f>
        <v/>
      </c>
      <c r="AO1176" s="4" t="n"/>
      <c r="AP1176" s="4" t="n"/>
      <c r="AQ1176" s="4" t="n"/>
      <c r="AR1176" s="5">
        <f>IF($AQ1176="","",HYPERLINK(p_ruta_base_checklists&amp;$AQ1176,"abrir"))</f>
        <v/>
      </c>
      <c r="AS1176" s="4" t="n"/>
      <c r="AT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2" t="n"/>
      <c r="K1177" s="5" t="n"/>
      <c r="L1177" s="18" t="n"/>
      <c r="M1177" s="5">
        <f>IF($A1177="","",IFERROR(INDEX('AJUSTES'!$B$4:$B$303,MATCH($AT1177,'AJUSTES'!$A$4:$A$303,0)),IF($K1177="","",$K1177)))</f>
        <v/>
      </c>
      <c r="N1177" s="5">
        <f>IF($A1177="","",IFERROR(INDEX('CAT_ESTADOS_ERP'!$B$4:$B$7,MATCH(IFERROR(INDEX('2_IMPORTAR_EJECUCION'!$C$9:$C$1208,MATCH($AT1177,'2_IMPORTAR_EJECUCION'!$J$9:$J$1208,0)),""),'CAT_ESTADOS_ERP'!$A$4:$A$7,0)),"Pendiente"))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IF($J1177="","",$P1177&amp;"-"&amp;TEXT($Q1177,"00"))</f>
        <v/>
      </c>
      <c r="S1177" s="5">
        <f>IF($J1177="","",INDEX(lista_dias,WEEKDAY($J1177,2)))</f>
        <v/>
      </c>
      <c r="T1177" s="5">
        <f>IF($J1177="","",IFERROR(INDEX('CALENDARIO'!$C$15:$C$214,MATCH(TEXT($J1177,"yyyy-mm-dd")&amp;"|"&amp;$X1177&amp;"|"&amp;$Y1177,'CALENDARIO'!$G$15:$G$214,0)),IFERROR(INDEX('CALENDARIO'!$C$15:$C$214,MATCH(TEXT($J1177,"yyyy-mm-dd")&amp;"|"&amp;$X1177&amp;"|",'CALENDARIO'!$G$15:$G$214,0)),IFERROR(INDEX('CALENDARIO'!$C$15:$C$214,MATCH(TEXT($J1177,"yyyy-mm-dd")&amp;"||",'CALENDARIO'!$G$15:$G$214,0)),INDEX(patronHabil,WEEKDAY($J1177,2))))))</f>
        <v/>
      </c>
      <c r="U1177" s="5">
        <f>IF($I1177="","",IFERROR(INDEX('CAT_TIPOS_OT'!$C$4:$C$8,MATCH($I1177,'CAT_TIPOS_OT'!$A$4:$A$8,0)),"sin_clasificar"))</f>
        <v/>
      </c>
      <c r="V1177" s="5">
        <f>IF($I1177="","",IF(IFERROR(INDEX('CAT_TIPOS_OT'!$D$4:$D$8,MATCH($I1177,'CAT_TIPOS_OT'!$A$4:$A$8,0)),"SIN CLASIFICAR")="","SIN CLASIFICAR",IFERROR(INDEX('CAT_TIPOS_OT'!$D$4:$D$8,MATCH($I1177,'CAT_TIPOS_OT'!$A$4:$A$8,0)),"SIN CLASIFICAR")))</f>
        <v/>
      </c>
      <c r="W1177" s="5">
        <f>IF($F1177="","",IFERROR(INDEX('CAT_CENTROS_COSTO'!$F$4:$F$13,MATCH($F1177,'CAT_CENTROS_COSTO'!$A$4:$A$13,0)),"(sin catálogo)"))</f>
        <v/>
      </c>
      <c r="X1177" s="5">
        <f>IF($F1177="","",IFERROR(INDEX('CAT_CENTROS_COSTO'!$D$4:$D$13,MATCH($F1177,'CAT_CENTROS_COSTO'!$A$4:$A$13,0)),"(sin catálogo)"))</f>
        <v/>
      </c>
      <c r="Y1177" s="5">
        <f>IF($F1177="","",IF((IFERROR(INDEX('CAT_CENTROS_COSTO'!$E$4:$E$13,MATCH($F1177,'CAT_CENTROS_COSTO'!$A$4:$A$13,0)),""))&lt;&gt;"",IFERROR(INDEX('CAT_CENTROS_COSTO'!$E$4:$E$13,MATCH($F1177,'CAT_CENTROS_COSTO'!$A$4:$A$13,0)),""),$X1177))</f>
        <v/>
      </c>
      <c r="Z1177" s="5">
        <f>IF($F1177="","",IFERROR(INDEX('CAT_CENTROS_COSTO'!$G$4:$G$13,MATCH($F1177,'CAT_CENTROS_COSTO'!$A$4:$A$13,0)),"(sin catálogo)"))</f>
        <v/>
      </c>
      <c r="AA1177" s="5">
        <f>IF($G1177="","",IFERROR(INDEX('CAT_PUESTOS'!$B$4:$B$8,MATCH($G1177,'CAT_PUESTOS'!$A$4:$A$8,0)),"(sin catálogo)"))</f>
        <v/>
      </c>
      <c r="AB1177" s="5">
        <f>IF($H1177="","",IFERROR(INDEX('CAT_ACTIVIDADES'!$B$4:$B$11,MATCH($H1177,'CAT_ACTIVIDADES'!$A$4:$A$11,0)),"(sin catálogo)"))</f>
        <v/>
      </c>
      <c r="AC1177" s="20">
        <f>IF($J1177="","",TODAY()-$J1177)</f>
        <v/>
      </c>
      <c r="AD1177" s="20">
        <f>IF($J1177="","",IF($J1177&lt;=TODAY(),COUNTIFS(cal_fechas,"&gt;="&amp;$J1177,cal_fechas,"&lt;"&amp;TODAY(),cal_habil,"sí"),-COUNTIFS(cal_fechas,"&gt;="&amp;TODAY(),cal_fechas,"&lt;"&amp;$J1177,cal_habil,"sí")))</f>
        <v/>
      </c>
      <c r="AE1177" s="5">
        <f>IF($AD1177="","",IF($AD1177&lt;0,"FUTURO",IF($AD1177&gt;p_dias_backlog_max,"BACKLOG","MES CORRIENTE")))</f>
        <v/>
      </c>
      <c r="AF1177" s="5">
        <f>IF($AD1177="",FALSE,AND($AD1177&gt;p_dias_backlog_min,$AD1177&lt;=p_dias_backlog_max))</f>
        <v/>
      </c>
      <c r="AG1177" s="4" t="n"/>
      <c r="AH1177" s="5">
        <f>IF($AG1177="","",IF((IFERROR(INDEX('ASIGNACIONES'!$J$4:$J$451,MATCH($O1177&amp;"|"&amp;$S1177&amp;"|"&amp;$AG1177,'ASIGNACIONES'!$N$4:$N$451,0)),""))=0,"",IFERROR(INDEX('ASIGNACIONES'!$J$4:$J$451,MATCH($O1177&amp;"|"&amp;$S1177&amp;"|"&amp;$AG1177,'ASIGNACIONES'!$N$4:$N$451,0)),"")))</f>
        <v/>
      </c>
      <c r="AI1177" s="25">
        <f>IF($AG1177="","",SUMIFS('ORDENES'!$M$4:$M$1203,'ORDENES'!$AG$4:$AG$1203,$AG1177,'ORDENES'!$O$4:$O$1203,$O1177,'ORDENES'!$S$4:$S$1203,$S1177))</f>
        <v/>
      </c>
      <c r="AJ1177" s="25">
        <f>IF($AI1177="","",p_factor_productividad*IFERROR(INDEX('ASIGNACIONES'!$M$4:$M$451,MATCH($O1177&amp;"|"&amp;$S1177&amp;"|"&amp;$AG1177,'ASIGNACIONES'!$N$4:$N$451,0)),0)-$AI1177)</f>
        <v/>
      </c>
      <c r="AK1177" s="18">
        <f>IF($A1177="","",IFERROR(INDEX('2_IMPORTAR_EJECUCION'!$F$9:$F$1208,MATCH($AT1177,'2_IMPORTAR_EJECUCION'!$J$9:$J$1208,0)),0))</f>
        <v/>
      </c>
      <c r="AL1177" s="18">
        <f>IF($A1177="","",MAX(0,IFERROR(INDEX('2_IMPORTAR_EJECUCION'!$H$9:$H$1208,MATCH($AT1177,'2_IMPORTAR_EJECUCION'!$J$9:$J$1208,0)),0)-$AK1177))</f>
        <v/>
      </c>
      <c r="AM1177" s="18">
        <f>IF($A1177="","",$AK1177+$AL1177)</f>
        <v/>
      </c>
      <c r="AN1177" s="5">
        <f>IF($A1177="","",IF(OR((IFERROR(INDEX('CAT_ACTIVIDADES'!$D$4:$D$11,MATCH($H1177,'CAT_ACTIVIDADES'!$A$4:$A$11,0)),""))=0,(IFERROR(INDEX('CAT_ACTIVIDADES'!$D$4:$D$11,MATCH($H1177,'CAT_ACTIVIDADES'!$A$4:$A$11,0)),""))=""),"SIN CLASIFICAR",IFERROR(INDEX('CAT_ACTIVIDADES'!$D$4:$D$11,MATCH($H1177,'CAT_ACTIVIDADES'!$A$4:$A$11,0)),"")))</f>
        <v/>
      </c>
      <c r="AO1177" s="4" t="n"/>
      <c r="AP1177" s="4" t="n"/>
      <c r="AQ1177" s="4" t="n"/>
      <c r="AR1177" s="5">
        <f>IF($AQ1177="","",HYPERLINK(p_ruta_base_checklists&amp;$AQ1177,"abrir"))</f>
        <v/>
      </c>
      <c r="AS1177" s="4" t="n"/>
      <c r="AT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2" t="n"/>
      <c r="K1178" s="5" t="n"/>
      <c r="L1178" s="18" t="n"/>
      <c r="M1178" s="5">
        <f>IF($A1178="","",IFERROR(INDEX('AJUSTES'!$B$4:$B$303,MATCH($AT1178,'AJUSTES'!$A$4:$A$303,0)),IF($K1178="","",$K1178)))</f>
        <v/>
      </c>
      <c r="N1178" s="5">
        <f>IF($A1178="","",IFERROR(INDEX('CAT_ESTADOS_ERP'!$B$4:$B$7,MATCH(IFERROR(INDEX('2_IMPORTAR_EJECUCION'!$C$9:$C$1208,MATCH($AT1178,'2_IMPORTAR_EJECUCION'!$J$9:$J$1208,0)),""),'CAT_ESTADOS_ERP'!$A$4:$A$7,0)),"Pendiente"))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IF($J1178="","",$P1178&amp;"-"&amp;TEXT($Q1178,"00"))</f>
        <v/>
      </c>
      <c r="S1178" s="5">
        <f>IF($J1178="","",INDEX(lista_dias,WEEKDAY($J1178,2)))</f>
        <v/>
      </c>
      <c r="T1178" s="5">
        <f>IF($J1178="","",IFERROR(INDEX('CALENDARIO'!$C$15:$C$214,MATCH(TEXT($J1178,"yyyy-mm-dd")&amp;"|"&amp;$X1178&amp;"|"&amp;$Y1178,'CALENDARIO'!$G$15:$G$214,0)),IFERROR(INDEX('CALENDARIO'!$C$15:$C$214,MATCH(TEXT($J1178,"yyyy-mm-dd")&amp;"|"&amp;$X1178&amp;"|",'CALENDARIO'!$G$15:$G$214,0)),IFERROR(INDEX('CALENDARIO'!$C$15:$C$214,MATCH(TEXT($J1178,"yyyy-mm-dd")&amp;"||",'CALENDARIO'!$G$15:$G$214,0)),INDEX(patronHabil,WEEKDAY($J1178,2))))))</f>
        <v/>
      </c>
      <c r="U1178" s="5">
        <f>IF($I1178="","",IFERROR(INDEX('CAT_TIPOS_OT'!$C$4:$C$8,MATCH($I1178,'CAT_TIPOS_OT'!$A$4:$A$8,0)),"sin_clasificar"))</f>
        <v/>
      </c>
      <c r="V1178" s="5">
        <f>IF($I1178="","",IF(IFERROR(INDEX('CAT_TIPOS_OT'!$D$4:$D$8,MATCH($I1178,'CAT_TIPOS_OT'!$A$4:$A$8,0)),"SIN CLASIFICAR")="","SIN CLASIFICAR",IFERROR(INDEX('CAT_TIPOS_OT'!$D$4:$D$8,MATCH($I1178,'CAT_TIPOS_OT'!$A$4:$A$8,0)),"SIN CLASIFICAR")))</f>
        <v/>
      </c>
      <c r="W1178" s="5">
        <f>IF($F1178="","",IFERROR(INDEX('CAT_CENTROS_COSTO'!$F$4:$F$13,MATCH($F1178,'CAT_CENTROS_COSTO'!$A$4:$A$13,0)),"(sin catálogo)"))</f>
        <v/>
      </c>
      <c r="X1178" s="5">
        <f>IF($F1178="","",IFERROR(INDEX('CAT_CENTROS_COSTO'!$D$4:$D$13,MATCH($F1178,'CAT_CENTROS_COSTO'!$A$4:$A$13,0)),"(sin catálogo)"))</f>
        <v/>
      </c>
      <c r="Y1178" s="5">
        <f>IF($F1178="","",IF((IFERROR(INDEX('CAT_CENTROS_COSTO'!$E$4:$E$13,MATCH($F1178,'CAT_CENTROS_COSTO'!$A$4:$A$13,0)),""))&lt;&gt;"",IFERROR(INDEX('CAT_CENTROS_COSTO'!$E$4:$E$13,MATCH($F1178,'CAT_CENTROS_COSTO'!$A$4:$A$13,0)),""),$X1178))</f>
        <v/>
      </c>
      <c r="Z1178" s="5">
        <f>IF($F1178="","",IFERROR(INDEX('CAT_CENTROS_COSTO'!$G$4:$G$13,MATCH($F1178,'CAT_CENTROS_COSTO'!$A$4:$A$13,0)),"(sin catálogo)"))</f>
        <v/>
      </c>
      <c r="AA1178" s="5">
        <f>IF($G1178="","",IFERROR(INDEX('CAT_PUESTOS'!$B$4:$B$8,MATCH($G1178,'CAT_PUESTOS'!$A$4:$A$8,0)),"(sin catálogo)"))</f>
        <v/>
      </c>
      <c r="AB1178" s="5">
        <f>IF($H1178="","",IFERROR(INDEX('CAT_ACTIVIDADES'!$B$4:$B$11,MATCH($H1178,'CAT_ACTIVIDADES'!$A$4:$A$11,0)),"(sin catálogo)"))</f>
        <v/>
      </c>
      <c r="AC1178" s="20">
        <f>IF($J1178="","",TODAY()-$J1178)</f>
        <v/>
      </c>
      <c r="AD1178" s="20">
        <f>IF($J1178="","",IF($J1178&lt;=TODAY(),COUNTIFS(cal_fechas,"&gt;="&amp;$J1178,cal_fechas,"&lt;"&amp;TODAY(),cal_habil,"sí"),-COUNTIFS(cal_fechas,"&gt;="&amp;TODAY(),cal_fechas,"&lt;"&amp;$J1178,cal_habil,"sí")))</f>
        <v/>
      </c>
      <c r="AE1178" s="5">
        <f>IF($AD1178="","",IF($AD1178&lt;0,"FUTURO",IF($AD1178&gt;p_dias_backlog_max,"BACKLOG","MES CORRIENTE")))</f>
        <v/>
      </c>
      <c r="AF1178" s="5">
        <f>IF($AD1178="",FALSE,AND($AD1178&gt;p_dias_backlog_min,$AD1178&lt;=p_dias_backlog_max))</f>
        <v/>
      </c>
      <c r="AG1178" s="4" t="n"/>
      <c r="AH1178" s="5">
        <f>IF($AG1178="","",IF((IFERROR(INDEX('ASIGNACIONES'!$J$4:$J$451,MATCH($O1178&amp;"|"&amp;$S1178&amp;"|"&amp;$AG1178,'ASIGNACIONES'!$N$4:$N$451,0)),""))=0,"",IFERROR(INDEX('ASIGNACIONES'!$J$4:$J$451,MATCH($O1178&amp;"|"&amp;$S1178&amp;"|"&amp;$AG1178,'ASIGNACIONES'!$N$4:$N$451,0)),"")))</f>
        <v/>
      </c>
      <c r="AI1178" s="25">
        <f>IF($AG1178="","",SUMIFS('ORDENES'!$M$4:$M$1203,'ORDENES'!$AG$4:$AG$1203,$AG1178,'ORDENES'!$O$4:$O$1203,$O1178,'ORDENES'!$S$4:$S$1203,$S1178))</f>
        <v/>
      </c>
      <c r="AJ1178" s="25">
        <f>IF($AI1178="","",p_factor_productividad*IFERROR(INDEX('ASIGNACIONES'!$M$4:$M$451,MATCH($O1178&amp;"|"&amp;$S1178&amp;"|"&amp;$AG1178,'ASIGNACIONES'!$N$4:$N$451,0)),0)-$AI1178)</f>
        <v/>
      </c>
      <c r="AK1178" s="18">
        <f>IF($A1178="","",IFERROR(INDEX('2_IMPORTAR_EJECUCION'!$F$9:$F$1208,MATCH($AT1178,'2_IMPORTAR_EJECUCION'!$J$9:$J$1208,0)),0))</f>
        <v/>
      </c>
      <c r="AL1178" s="18">
        <f>IF($A1178="","",MAX(0,IFERROR(INDEX('2_IMPORTAR_EJECUCION'!$H$9:$H$1208,MATCH($AT1178,'2_IMPORTAR_EJECUCION'!$J$9:$J$1208,0)),0)-$AK1178))</f>
        <v/>
      </c>
      <c r="AM1178" s="18">
        <f>IF($A1178="","",$AK1178+$AL1178)</f>
        <v/>
      </c>
      <c r="AN1178" s="5">
        <f>IF($A1178="","",IF(OR((IFERROR(INDEX('CAT_ACTIVIDADES'!$D$4:$D$11,MATCH($H1178,'CAT_ACTIVIDADES'!$A$4:$A$11,0)),""))=0,(IFERROR(INDEX('CAT_ACTIVIDADES'!$D$4:$D$11,MATCH($H1178,'CAT_ACTIVIDADES'!$A$4:$A$11,0)),""))=""),"SIN CLASIFICAR",IFERROR(INDEX('CAT_ACTIVIDADES'!$D$4:$D$11,MATCH($H1178,'CAT_ACTIVIDADES'!$A$4:$A$11,0)),"")))</f>
        <v/>
      </c>
      <c r="AO1178" s="4" t="n"/>
      <c r="AP1178" s="4" t="n"/>
      <c r="AQ1178" s="4" t="n"/>
      <c r="AR1178" s="5">
        <f>IF($AQ1178="","",HYPERLINK(p_ruta_base_checklists&amp;$AQ1178,"abrir"))</f>
        <v/>
      </c>
      <c r="AS1178" s="4" t="n"/>
      <c r="AT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2" t="n"/>
      <c r="K1179" s="5" t="n"/>
      <c r="L1179" s="18" t="n"/>
      <c r="M1179" s="5">
        <f>IF($A1179="","",IFERROR(INDEX('AJUSTES'!$B$4:$B$303,MATCH($AT1179,'AJUSTES'!$A$4:$A$303,0)),IF($K1179="","",$K1179)))</f>
        <v/>
      </c>
      <c r="N1179" s="5">
        <f>IF($A1179="","",IFERROR(INDEX('CAT_ESTADOS_ERP'!$B$4:$B$7,MATCH(IFERROR(INDEX('2_IMPORTAR_EJECUCION'!$C$9:$C$1208,MATCH($AT1179,'2_IMPORTAR_EJECUCION'!$J$9:$J$1208,0)),""),'CAT_ESTADOS_ERP'!$A$4:$A$7,0)),"Pendiente"))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IF($J1179="","",$P1179&amp;"-"&amp;TEXT($Q1179,"00"))</f>
        <v/>
      </c>
      <c r="S1179" s="5">
        <f>IF($J1179="","",INDEX(lista_dias,WEEKDAY($J1179,2)))</f>
        <v/>
      </c>
      <c r="T1179" s="5">
        <f>IF($J1179="","",IFERROR(INDEX('CALENDARIO'!$C$15:$C$214,MATCH(TEXT($J1179,"yyyy-mm-dd")&amp;"|"&amp;$X1179&amp;"|"&amp;$Y1179,'CALENDARIO'!$G$15:$G$214,0)),IFERROR(INDEX('CALENDARIO'!$C$15:$C$214,MATCH(TEXT($J1179,"yyyy-mm-dd")&amp;"|"&amp;$X1179&amp;"|",'CALENDARIO'!$G$15:$G$214,0)),IFERROR(INDEX('CALENDARIO'!$C$15:$C$214,MATCH(TEXT($J1179,"yyyy-mm-dd")&amp;"||",'CALENDARIO'!$G$15:$G$214,0)),INDEX(patronHabil,WEEKDAY($J1179,2))))))</f>
        <v/>
      </c>
      <c r="U1179" s="5">
        <f>IF($I1179="","",IFERROR(INDEX('CAT_TIPOS_OT'!$C$4:$C$8,MATCH($I1179,'CAT_TIPOS_OT'!$A$4:$A$8,0)),"sin_clasificar"))</f>
        <v/>
      </c>
      <c r="V1179" s="5">
        <f>IF($I1179="","",IF(IFERROR(INDEX('CAT_TIPOS_OT'!$D$4:$D$8,MATCH($I1179,'CAT_TIPOS_OT'!$A$4:$A$8,0)),"SIN CLASIFICAR")="","SIN CLASIFICAR",IFERROR(INDEX('CAT_TIPOS_OT'!$D$4:$D$8,MATCH($I1179,'CAT_TIPOS_OT'!$A$4:$A$8,0)),"SIN CLASIFICAR")))</f>
        <v/>
      </c>
      <c r="W1179" s="5">
        <f>IF($F1179="","",IFERROR(INDEX('CAT_CENTROS_COSTO'!$F$4:$F$13,MATCH($F1179,'CAT_CENTROS_COSTO'!$A$4:$A$13,0)),"(sin catálogo)"))</f>
        <v/>
      </c>
      <c r="X1179" s="5">
        <f>IF($F1179="","",IFERROR(INDEX('CAT_CENTROS_COSTO'!$D$4:$D$13,MATCH($F1179,'CAT_CENTROS_COSTO'!$A$4:$A$13,0)),"(sin catálogo)"))</f>
        <v/>
      </c>
      <c r="Y1179" s="5">
        <f>IF($F1179="","",IF((IFERROR(INDEX('CAT_CENTROS_COSTO'!$E$4:$E$13,MATCH($F1179,'CAT_CENTROS_COSTO'!$A$4:$A$13,0)),""))&lt;&gt;"",IFERROR(INDEX('CAT_CENTROS_COSTO'!$E$4:$E$13,MATCH($F1179,'CAT_CENTROS_COSTO'!$A$4:$A$13,0)),""),$X1179))</f>
        <v/>
      </c>
      <c r="Z1179" s="5">
        <f>IF($F1179="","",IFERROR(INDEX('CAT_CENTROS_COSTO'!$G$4:$G$13,MATCH($F1179,'CAT_CENTROS_COSTO'!$A$4:$A$13,0)),"(sin catálogo)"))</f>
        <v/>
      </c>
      <c r="AA1179" s="5">
        <f>IF($G1179="","",IFERROR(INDEX('CAT_PUESTOS'!$B$4:$B$8,MATCH($G1179,'CAT_PUESTOS'!$A$4:$A$8,0)),"(sin catálogo)"))</f>
        <v/>
      </c>
      <c r="AB1179" s="5">
        <f>IF($H1179="","",IFERROR(INDEX('CAT_ACTIVIDADES'!$B$4:$B$11,MATCH($H1179,'CAT_ACTIVIDADES'!$A$4:$A$11,0)),"(sin catálogo)"))</f>
        <v/>
      </c>
      <c r="AC1179" s="20">
        <f>IF($J1179="","",TODAY()-$J1179)</f>
        <v/>
      </c>
      <c r="AD1179" s="20">
        <f>IF($J1179="","",IF($J1179&lt;=TODAY(),COUNTIFS(cal_fechas,"&gt;="&amp;$J1179,cal_fechas,"&lt;"&amp;TODAY(),cal_habil,"sí"),-COUNTIFS(cal_fechas,"&gt;="&amp;TODAY(),cal_fechas,"&lt;"&amp;$J1179,cal_habil,"sí")))</f>
        <v/>
      </c>
      <c r="AE1179" s="5">
        <f>IF($AD1179="","",IF($AD1179&lt;0,"FUTURO",IF($AD1179&gt;p_dias_backlog_max,"BACKLOG","MES CORRIENTE")))</f>
        <v/>
      </c>
      <c r="AF1179" s="5">
        <f>IF($AD1179="",FALSE,AND($AD1179&gt;p_dias_backlog_min,$AD1179&lt;=p_dias_backlog_max))</f>
        <v/>
      </c>
      <c r="AG1179" s="4" t="n"/>
      <c r="AH1179" s="5">
        <f>IF($AG1179="","",IF((IFERROR(INDEX('ASIGNACIONES'!$J$4:$J$451,MATCH($O1179&amp;"|"&amp;$S1179&amp;"|"&amp;$AG1179,'ASIGNACIONES'!$N$4:$N$451,0)),""))=0,"",IFERROR(INDEX('ASIGNACIONES'!$J$4:$J$451,MATCH($O1179&amp;"|"&amp;$S1179&amp;"|"&amp;$AG1179,'ASIGNACIONES'!$N$4:$N$451,0)),"")))</f>
        <v/>
      </c>
      <c r="AI1179" s="25">
        <f>IF($AG1179="","",SUMIFS('ORDENES'!$M$4:$M$1203,'ORDENES'!$AG$4:$AG$1203,$AG1179,'ORDENES'!$O$4:$O$1203,$O1179,'ORDENES'!$S$4:$S$1203,$S1179))</f>
        <v/>
      </c>
      <c r="AJ1179" s="25">
        <f>IF($AI1179="","",p_factor_productividad*IFERROR(INDEX('ASIGNACIONES'!$M$4:$M$451,MATCH($O1179&amp;"|"&amp;$S1179&amp;"|"&amp;$AG1179,'ASIGNACIONES'!$N$4:$N$451,0)),0)-$AI1179)</f>
        <v/>
      </c>
      <c r="AK1179" s="18">
        <f>IF($A1179="","",IFERROR(INDEX('2_IMPORTAR_EJECUCION'!$F$9:$F$1208,MATCH($AT1179,'2_IMPORTAR_EJECUCION'!$J$9:$J$1208,0)),0))</f>
        <v/>
      </c>
      <c r="AL1179" s="18">
        <f>IF($A1179="","",MAX(0,IFERROR(INDEX('2_IMPORTAR_EJECUCION'!$H$9:$H$1208,MATCH($AT1179,'2_IMPORTAR_EJECUCION'!$J$9:$J$1208,0)),0)-$AK1179))</f>
        <v/>
      </c>
      <c r="AM1179" s="18">
        <f>IF($A1179="","",$AK1179+$AL1179)</f>
        <v/>
      </c>
      <c r="AN1179" s="5">
        <f>IF($A1179="","",IF(OR((IFERROR(INDEX('CAT_ACTIVIDADES'!$D$4:$D$11,MATCH($H1179,'CAT_ACTIVIDADES'!$A$4:$A$11,0)),""))=0,(IFERROR(INDEX('CAT_ACTIVIDADES'!$D$4:$D$11,MATCH($H1179,'CAT_ACTIVIDADES'!$A$4:$A$11,0)),""))=""),"SIN CLASIFICAR",IFERROR(INDEX('CAT_ACTIVIDADES'!$D$4:$D$11,MATCH($H1179,'CAT_ACTIVIDADES'!$A$4:$A$11,0)),"")))</f>
        <v/>
      </c>
      <c r="AO1179" s="4" t="n"/>
      <c r="AP1179" s="4" t="n"/>
      <c r="AQ1179" s="4" t="n"/>
      <c r="AR1179" s="5">
        <f>IF($AQ1179="","",HYPERLINK(p_ruta_base_checklists&amp;$AQ1179,"abrir"))</f>
        <v/>
      </c>
      <c r="AS1179" s="4" t="n"/>
      <c r="AT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2" t="n"/>
      <c r="K1180" s="5" t="n"/>
      <c r="L1180" s="18" t="n"/>
      <c r="M1180" s="5">
        <f>IF($A1180="","",IFERROR(INDEX('AJUSTES'!$B$4:$B$303,MATCH($AT1180,'AJUSTES'!$A$4:$A$303,0)),IF($K1180="","",$K1180)))</f>
        <v/>
      </c>
      <c r="N1180" s="5">
        <f>IF($A1180="","",IFERROR(INDEX('CAT_ESTADOS_ERP'!$B$4:$B$7,MATCH(IFERROR(INDEX('2_IMPORTAR_EJECUCION'!$C$9:$C$1208,MATCH($AT1180,'2_IMPORTAR_EJECUCION'!$J$9:$J$1208,0)),""),'CAT_ESTADOS_ERP'!$A$4:$A$7,0)),"Pendiente"))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IF($J1180="","",$P1180&amp;"-"&amp;TEXT($Q1180,"00"))</f>
        <v/>
      </c>
      <c r="S1180" s="5">
        <f>IF($J1180="","",INDEX(lista_dias,WEEKDAY($J1180,2)))</f>
        <v/>
      </c>
      <c r="T1180" s="5">
        <f>IF($J1180="","",IFERROR(INDEX('CALENDARIO'!$C$15:$C$214,MATCH(TEXT($J1180,"yyyy-mm-dd")&amp;"|"&amp;$X1180&amp;"|"&amp;$Y1180,'CALENDARIO'!$G$15:$G$214,0)),IFERROR(INDEX('CALENDARIO'!$C$15:$C$214,MATCH(TEXT($J1180,"yyyy-mm-dd")&amp;"|"&amp;$X1180&amp;"|",'CALENDARIO'!$G$15:$G$214,0)),IFERROR(INDEX('CALENDARIO'!$C$15:$C$214,MATCH(TEXT($J1180,"yyyy-mm-dd")&amp;"||",'CALENDARIO'!$G$15:$G$214,0)),INDEX(patronHabil,WEEKDAY($J1180,2))))))</f>
        <v/>
      </c>
      <c r="U1180" s="5">
        <f>IF($I1180="","",IFERROR(INDEX('CAT_TIPOS_OT'!$C$4:$C$8,MATCH($I1180,'CAT_TIPOS_OT'!$A$4:$A$8,0)),"sin_clasificar"))</f>
        <v/>
      </c>
      <c r="V1180" s="5">
        <f>IF($I1180="","",IF(IFERROR(INDEX('CAT_TIPOS_OT'!$D$4:$D$8,MATCH($I1180,'CAT_TIPOS_OT'!$A$4:$A$8,0)),"SIN CLASIFICAR")="","SIN CLASIFICAR",IFERROR(INDEX('CAT_TIPOS_OT'!$D$4:$D$8,MATCH($I1180,'CAT_TIPOS_OT'!$A$4:$A$8,0)),"SIN CLASIFICAR")))</f>
        <v/>
      </c>
      <c r="W1180" s="5">
        <f>IF($F1180="","",IFERROR(INDEX('CAT_CENTROS_COSTO'!$F$4:$F$13,MATCH($F1180,'CAT_CENTROS_COSTO'!$A$4:$A$13,0)),"(sin catálogo)"))</f>
        <v/>
      </c>
      <c r="X1180" s="5">
        <f>IF($F1180="","",IFERROR(INDEX('CAT_CENTROS_COSTO'!$D$4:$D$13,MATCH($F1180,'CAT_CENTROS_COSTO'!$A$4:$A$13,0)),"(sin catálogo)"))</f>
        <v/>
      </c>
      <c r="Y1180" s="5">
        <f>IF($F1180="","",IF((IFERROR(INDEX('CAT_CENTROS_COSTO'!$E$4:$E$13,MATCH($F1180,'CAT_CENTROS_COSTO'!$A$4:$A$13,0)),""))&lt;&gt;"",IFERROR(INDEX('CAT_CENTROS_COSTO'!$E$4:$E$13,MATCH($F1180,'CAT_CENTROS_COSTO'!$A$4:$A$13,0)),""),$X1180))</f>
        <v/>
      </c>
      <c r="Z1180" s="5">
        <f>IF($F1180="","",IFERROR(INDEX('CAT_CENTROS_COSTO'!$G$4:$G$13,MATCH($F1180,'CAT_CENTROS_COSTO'!$A$4:$A$13,0)),"(sin catálogo)"))</f>
        <v/>
      </c>
      <c r="AA1180" s="5">
        <f>IF($G1180="","",IFERROR(INDEX('CAT_PUESTOS'!$B$4:$B$8,MATCH($G1180,'CAT_PUESTOS'!$A$4:$A$8,0)),"(sin catálogo)"))</f>
        <v/>
      </c>
      <c r="AB1180" s="5">
        <f>IF($H1180="","",IFERROR(INDEX('CAT_ACTIVIDADES'!$B$4:$B$11,MATCH($H1180,'CAT_ACTIVIDADES'!$A$4:$A$11,0)),"(sin catálogo)"))</f>
        <v/>
      </c>
      <c r="AC1180" s="20">
        <f>IF($J1180="","",TODAY()-$J1180)</f>
        <v/>
      </c>
      <c r="AD1180" s="20">
        <f>IF($J1180="","",IF($J1180&lt;=TODAY(),COUNTIFS(cal_fechas,"&gt;="&amp;$J1180,cal_fechas,"&lt;"&amp;TODAY(),cal_habil,"sí"),-COUNTIFS(cal_fechas,"&gt;="&amp;TODAY(),cal_fechas,"&lt;"&amp;$J1180,cal_habil,"sí")))</f>
        <v/>
      </c>
      <c r="AE1180" s="5">
        <f>IF($AD1180="","",IF($AD1180&lt;0,"FUTURO",IF($AD1180&gt;p_dias_backlog_max,"BACKLOG","MES CORRIENTE")))</f>
        <v/>
      </c>
      <c r="AF1180" s="5">
        <f>IF($AD1180="",FALSE,AND($AD1180&gt;p_dias_backlog_min,$AD1180&lt;=p_dias_backlog_max))</f>
        <v/>
      </c>
      <c r="AG1180" s="4" t="n"/>
      <c r="AH1180" s="5">
        <f>IF($AG1180="","",IF((IFERROR(INDEX('ASIGNACIONES'!$J$4:$J$451,MATCH($O1180&amp;"|"&amp;$S1180&amp;"|"&amp;$AG1180,'ASIGNACIONES'!$N$4:$N$451,0)),""))=0,"",IFERROR(INDEX('ASIGNACIONES'!$J$4:$J$451,MATCH($O1180&amp;"|"&amp;$S1180&amp;"|"&amp;$AG1180,'ASIGNACIONES'!$N$4:$N$451,0)),"")))</f>
        <v/>
      </c>
      <c r="AI1180" s="25">
        <f>IF($AG1180="","",SUMIFS('ORDENES'!$M$4:$M$1203,'ORDENES'!$AG$4:$AG$1203,$AG1180,'ORDENES'!$O$4:$O$1203,$O1180,'ORDENES'!$S$4:$S$1203,$S1180))</f>
        <v/>
      </c>
      <c r="AJ1180" s="25">
        <f>IF($AI1180="","",p_factor_productividad*IFERROR(INDEX('ASIGNACIONES'!$M$4:$M$451,MATCH($O1180&amp;"|"&amp;$S1180&amp;"|"&amp;$AG1180,'ASIGNACIONES'!$N$4:$N$451,0)),0)-$AI1180)</f>
        <v/>
      </c>
      <c r="AK1180" s="18">
        <f>IF($A1180="","",IFERROR(INDEX('2_IMPORTAR_EJECUCION'!$F$9:$F$1208,MATCH($AT1180,'2_IMPORTAR_EJECUCION'!$J$9:$J$1208,0)),0))</f>
        <v/>
      </c>
      <c r="AL1180" s="18">
        <f>IF($A1180="","",MAX(0,IFERROR(INDEX('2_IMPORTAR_EJECUCION'!$H$9:$H$1208,MATCH($AT1180,'2_IMPORTAR_EJECUCION'!$J$9:$J$1208,0)),0)-$AK1180))</f>
        <v/>
      </c>
      <c r="AM1180" s="18">
        <f>IF($A1180="","",$AK1180+$AL1180)</f>
        <v/>
      </c>
      <c r="AN1180" s="5">
        <f>IF($A1180="","",IF(OR((IFERROR(INDEX('CAT_ACTIVIDADES'!$D$4:$D$11,MATCH($H1180,'CAT_ACTIVIDADES'!$A$4:$A$11,0)),""))=0,(IFERROR(INDEX('CAT_ACTIVIDADES'!$D$4:$D$11,MATCH($H1180,'CAT_ACTIVIDADES'!$A$4:$A$11,0)),""))=""),"SIN CLASIFICAR",IFERROR(INDEX('CAT_ACTIVIDADES'!$D$4:$D$11,MATCH($H1180,'CAT_ACTIVIDADES'!$A$4:$A$11,0)),"")))</f>
        <v/>
      </c>
      <c r="AO1180" s="4" t="n"/>
      <c r="AP1180" s="4" t="n"/>
      <c r="AQ1180" s="4" t="n"/>
      <c r="AR1180" s="5">
        <f>IF($AQ1180="","",HYPERLINK(p_ruta_base_checklists&amp;$AQ1180,"abrir"))</f>
        <v/>
      </c>
      <c r="AS1180" s="4" t="n"/>
      <c r="AT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2" t="n"/>
      <c r="K1181" s="5" t="n"/>
      <c r="L1181" s="18" t="n"/>
      <c r="M1181" s="5">
        <f>IF($A1181="","",IFERROR(INDEX('AJUSTES'!$B$4:$B$303,MATCH($AT1181,'AJUSTES'!$A$4:$A$303,0)),IF($K1181="","",$K1181)))</f>
        <v/>
      </c>
      <c r="N1181" s="5">
        <f>IF($A1181="","",IFERROR(INDEX('CAT_ESTADOS_ERP'!$B$4:$B$7,MATCH(IFERROR(INDEX('2_IMPORTAR_EJECUCION'!$C$9:$C$1208,MATCH($AT1181,'2_IMPORTAR_EJECUCION'!$J$9:$J$1208,0)),""),'CAT_ESTADOS_ERP'!$A$4:$A$7,0)),"Pendiente"))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IF($J1181="","",$P1181&amp;"-"&amp;TEXT($Q1181,"00"))</f>
        <v/>
      </c>
      <c r="S1181" s="5">
        <f>IF($J1181="","",INDEX(lista_dias,WEEKDAY($J1181,2)))</f>
        <v/>
      </c>
      <c r="T1181" s="5">
        <f>IF($J1181="","",IFERROR(INDEX('CALENDARIO'!$C$15:$C$214,MATCH(TEXT($J1181,"yyyy-mm-dd")&amp;"|"&amp;$X1181&amp;"|"&amp;$Y1181,'CALENDARIO'!$G$15:$G$214,0)),IFERROR(INDEX('CALENDARIO'!$C$15:$C$214,MATCH(TEXT($J1181,"yyyy-mm-dd")&amp;"|"&amp;$X1181&amp;"|",'CALENDARIO'!$G$15:$G$214,0)),IFERROR(INDEX('CALENDARIO'!$C$15:$C$214,MATCH(TEXT($J1181,"yyyy-mm-dd")&amp;"||",'CALENDARIO'!$G$15:$G$214,0)),INDEX(patronHabil,WEEKDAY($J1181,2))))))</f>
        <v/>
      </c>
      <c r="U1181" s="5">
        <f>IF($I1181="","",IFERROR(INDEX('CAT_TIPOS_OT'!$C$4:$C$8,MATCH($I1181,'CAT_TIPOS_OT'!$A$4:$A$8,0)),"sin_clasificar"))</f>
        <v/>
      </c>
      <c r="V1181" s="5">
        <f>IF($I1181="","",IF(IFERROR(INDEX('CAT_TIPOS_OT'!$D$4:$D$8,MATCH($I1181,'CAT_TIPOS_OT'!$A$4:$A$8,0)),"SIN CLASIFICAR")="","SIN CLASIFICAR",IFERROR(INDEX('CAT_TIPOS_OT'!$D$4:$D$8,MATCH($I1181,'CAT_TIPOS_OT'!$A$4:$A$8,0)),"SIN CLASIFICAR")))</f>
        <v/>
      </c>
      <c r="W1181" s="5">
        <f>IF($F1181="","",IFERROR(INDEX('CAT_CENTROS_COSTO'!$F$4:$F$13,MATCH($F1181,'CAT_CENTROS_COSTO'!$A$4:$A$13,0)),"(sin catálogo)"))</f>
        <v/>
      </c>
      <c r="X1181" s="5">
        <f>IF($F1181="","",IFERROR(INDEX('CAT_CENTROS_COSTO'!$D$4:$D$13,MATCH($F1181,'CAT_CENTROS_COSTO'!$A$4:$A$13,0)),"(sin catálogo)"))</f>
        <v/>
      </c>
      <c r="Y1181" s="5">
        <f>IF($F1181="","",IF((IFERROR(INDEX('CAT_CENTROS_COSTO'!$E$4:$E$13,MATCH($F1181,'CAT_CENTROS_COSTO'!$A$4:$A$13,0)),""))&lt;&gt;"",IFERROR(INDEX('CAT_CENTROS_COSTO'!$E$4:$E$13,MATCH($F1181,'CAT_CENTROS_COSTO'!$A$4:$A$13,0)),""),$X1181))</f>
        <v/>
      </c>
      <c r="Z1181" s="5">
        <f>IF($F1181="","",IFERROR(INDEX('CAT_CENTROS_COSTO'!$G$4:$G$13,MATCH($F1181,'CAT_CENTROS_COSTO'!$A$4:$A$13,0)),"(sin catálogo)"))</f>
        <v/>
      </c>
      <c r="AA1181" s="5">
        <f>IF($G1181="","",IFERROR(INDEX('CAT_PUESTOS'!$B$4:$B$8,MATCH($G1181,'CAT_PUESTOS'!$A$4:$A$8,0)),"(sin catálogo)"))</f>
        <v/>
      </c>
      <c r="AB1181" s="5">
        <f>IF($H1181="","",IFERROR(INDEX('CAT_ACTIVIDADES'!$B$4:$B$11,MATCH($H1181,'CAT_ACTIVIDADES'!$A$4:$A$11,0)),"(sin catálogo)"))</f>
        <v/>
      </c>
      <c r="AC1181" s="20">
        <f>IF($J1181="","",TODAY()-$J1181)</f>
        <v/>
      </c>
      <c r="AD1181" s="20">
        <f>IF($J1181="","",IF($J1181&lt;=TODAY(),COUNTIFS(cal_fechas,"&gt;="&amp;$J1181,cal_fechas,"&lt;"&amp;TODAY(),cal_habil,"sí"),-COUNTIFS(cal_fechas,"&gt;="&amp;TODAY(),cal_fechas,"&lt;"&amp;$J1181,cal_habil,"sí")))</f>
        <v/>
      </c>
      <c r="AE1181" s="5">
        <f>IF($AD1181="","",IF($AD1181&lt;0,"FUTURO",IF($AD1181&gt;p_dias_backlog_max,"BACKLOG","MES CORRIENTE")))</f>
        <v/>
      </c>
      <c r="AF1181" s="5">
        <f>IF($AD1181="",FALSE,AND($AD1181&gt;p_dias_backlog_min,$AD1181&lt;=p_dias_backlog_max))</f>
        <v/>
      </c>
      <c r="AG1181" s="4" t="n"/>
      <c r="AH1181" s="5">
        <f>IF($AG1181="","",IF((IFERROR(INDEX('ASIGNACIONES'!$J$4:$J$451,MATCH($O1181&amp;"|"&amp;$S1181&amp;"|"&amp;$AG1181,'ASIGNACIONES'!$N$4:$N$451,0)),""))=0,"",IFERROR(INDEX('ASIGNACIONES'!$J$4:$J$451,MATCH($O1181&amp;"|"&amp;$S1181&amp;"|"&amp;$AG1181,'ASIGNACIONES'!$N$4:$N$451,0)),"")))</f>
        <v/>
      </c>
      <c r="AI1181" s="25">
        <f>IF($AG1181="","",SUMIFS('ORDENES'!$M$4:$M$1203,'ORDENES'!$AG$4:$AG$1203,$AG1181,'ORDENES'!$O$4:$O$1203,$O1181,'ORDENES'!$S$4:$S$1203,$S1181))</f>
        <v/>
      </c>
      <c r="AJ1181" s="25">
        <f>IF($AI1181="","",p_factor_productividad*IFERROR(INDEX('ASIGNACIONES'!$M$4:$M$451,MATCH($O1181&amp;"|"&amp;$S1181&amp;"|"&amp;$AG1181,'ASIGNACIONES'!$N$4:$N$451,0)),0)-$AI1181)</f>
        <v/>
      </c>
      <c r="AK1181" s="18">
        <f>IF($A1181="","",IFERROR(INDEX('2_IMPORTAR_EJECUCION'!$F$9:$F$1208,MATCH($AT1181,'2_IMPORTAR_EJECUCION'!$J$9:$J$1208,0)),0))</f>
        <v/>
      </c>
      <c r="AL1181" s="18">
        <f>IF($A1181="","",MAX(0,IFERROR(INDEX('2_IMPORTAR_EJECUCION'!$H$9:$H$1208,MATCH($AT1181,'2_IMPORTAR_EJECUCION'!$J$9:$J$1208,0)),0)-$AK1181))</f>
        <v/>
      </c>
      <c r="AM1181" s="18">
        <f>IF($A1181="","",$AK1181+$AL1181)</f>
        <v/>
      </c>
      <c r="AN1181" s="5">
        <f>IF($A1181="","",IF(OR((IFERROR(INDEX('CAT_ACTIVIDADES'!$D$4:$D$11,MATCH($H1181,'CAT_ACTIVIDADES'!$A$4:$A$11,0)),""))=0,(IFERROR(INDEX('CAT_ACTIVIDADES'!$D$4:$D$11,MATCH($H1181,'CAT_ACTIVIDADES'!$A$4:$A$11,0)),""))=""),"SIN CLASIFICAR",IFERROR(INDEX('CAT_ACTIVIDADES'!$D$4:$D$11,MATCH($H1181,'CAT_ACTIVIDADES'!$A$4:$A$11,0)),"")))</f>
        <v/>
      </c>
      <c r="AO1181" s="4" t="n"/>
      <c r="AP1181" s="4" t="n"/>
      <c r="AQ1181" s="4" t="n"/>
      <c r="AR1181" s="5">
        <f>IF($AQ1181="","",HYPERLINK(p_ruta_base_checklists&amp;$AQ1181,"abrir"))</f>
        <v/>
      </c>
      <c r="AS1181" s="4" t="n"/>
      <c r="AT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2" t="n"/>
      <c r="K1182" s="5" t="n"/>
      <c r="L1182" s="18" t="n"/>
      <c r="M1182" s="5">
        <f>IF($A1182="","",IFERROR(INDEX('AJUSTES'!$B$4:$B$303,MATCH($AT1182,'AJUSTES'!$A$4:$A$303,0)),IF($K1182="","",$K1182)))</f>
        <v/>
      </c>
      <c r="N1182" s="5">
        <f>IF($A1182="","",IFERROR(INDEX('CAT_ESTADOS_ERP'!$B$4:$B$7,MATCH(IFERROR(INDEX('2_IMPORTAR_EJECUCION'!$C$9:$C$1208,MATCH($AT1182,'2_IMPORTAR_EJECUCION'!$J$9:$J$1208,0)),""),'CAT_ESTADOS_ERP'!$A$4:$A$7,0)),"Pendiente"))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IF($J1182="","",$P1182&amp;"-"&amp;TEXT($Q1182,"00"))</f>
        <v/>
      </c>
      <c r="S1182" s="5">
        <f>IF($J1182="","",INDEX(lista_dias,WEEKDAY($J1182,2)))</f>
        <v/>
      </c>
      <c r="T1182" s="5">
        <f>IF($J1182="","",IFERROR(INDEX('CALENDARIO'!$C$15:$C$214,MATCH(TEXT($J1182,"yyyy-mm-dd")&amp;"|"&amp;$X1182&amp;"|"&amp;$Y1182,'CALENDARIO'!$G$15:$G$214,0)),IFERROR(INDEX('CALENDARIO'!$C$15:$C$214,MATCH(TEXT($J1182,"yyyy-mm-dd")&amp;"|"&amp;$X1182&amp;"|",'CALENDARIO'!$G$15:$G$214,0)),IFERROR(INDEX('CALENDARIO'!$C$15:$C$214,MATCH(TEXT($J1182,"yyyy-mm-dd")&amp;"||",'CALENDARIO'!$G$15:$G$214,0)),INDEX(patronHabil,WEEKDAY($J1182,2))))))</f>
        <v/>
      </c>
      <c r="U1182" s="5">
        <f>IF($I1182="","",IFERROR(INDEX('CAT_TIPOS_OT'!$C$4:$C$8,MATCH($I1182,'CAT_TIPOS_OT'!$A$4:$A$8,0)),"sin_clasificar"))</f>
        <v/>
      </c>
      <c r="V1182" s="5">
        <f>IF($I1182="","",IF(IFERROR(INDEX('CAT_TIPOS_OT'!$D$4:$D$8,MATCH($I1182,'CAT_TIPOS_OT'!$A$4:$A$8,0)),"SIN CLASIFICAR")="","SIN CLASIFICAR",IFERROR(INDEX('CAT_TIPOS_OT'!$D$4:$D$8,MATCH($I1182,'CAT_TIPOS_OT'!$A$4:$A$8,0)),"SIN CLASIFICAR")))</f>
        <v/>
      </c>
      <c r="W1182" s="5">
        <f>IF($F1182="","",IFERROR(INDEX('CAT_CENTROS_COSTO'!$F$4:$F$13,MATCH($F1182,'CAT_CENTROS_COSTO'!$A$4:$A$13,0)),"(sin catálogo)"))</f>
        <v/>
      </c>
      <c r="X1182" s="5">
        <f>IF($F1182="","",IFERROR(INDEX('CAT_CENTROS_COSTO'!$D$4:$D$13,MATCH($F1182,'CAT_CENTROS_COSTO'!$A$4:$A$13,0)),"(sin catálogo)"))</f>
        <v/>
      </c>
      <c r="Y1182" s="5">
        <f>IF($F1182="","",IF((IFERROR(INDEX('CAT_CENTROS_COSTO'!$E$4:$E$13,MATCH($F1182,'CAT_CENTROS_COSTO'!$A$4:$A$13,0)),""))&lt;&gt;"",IFERROR(INDEX('CAT_CENTROS_COSTO'!$E$4:$E$13,MATCH($F1182,'CAT_CENTROS_COSTO'!$A$4:$A$13,0)),""),$X1182))</f>
        <v/>
      </c>
      <c r="Z1182" s="5">
        <f>IF($F1182="","",IFERROR(INDEX('CAT_CENTROS_COSTO'!$G$4:$G$13,MATCH($F1182,'CAT_CENTROS_COSTO'!$A$4:$A$13,0)),"(sin catálogo)"))</f>
        <v/>
      </c>
      <c r="AA1182" s="5">
        <f>IF($G1182="","",IFERROR(INDEX('CAT_PUESTOS'!$B$4:$B$8,MATCH($G1182,'CAT_PUESTOS'!$A$4:$A$8,0)),"(sin catálogo)"))</f>
        <v/>
      </c>
      <c r="AB1182" s="5">
        <f>IF($H1182="","",IFERROR(INDEX('CAT_ACTIVIDADES'!$B$4:$B$11,MATCH($H1182,'CAT_ACTIVIDADES'!$A$4:$A$11,0)),"(sin catálogo)"))</f>
        <v/>
      </c>
      <c r="AC1182" s="20">
        <f>IF($J1182="","",TODAY()-$J1182)</f>
        <v/>
      </c>
      <c r="AD1182" s="20">
        <f>IF($J1182="","",IF($J1182&lt;=TODAY(),COUNTIFS(cal_fechas,"&gt;="&amp;$J1182,cal_fechas,"&lt;"&amp;TODAY(),cal_habil,"sí"),-COUNTIFS(cal_fechas,"&gt;="&amp;TODAY(),cal_fechas,"&lt;"&amp;$J1182,cal_habil,"sí")))</f>
        <v/>
      </c>
      <c r="AE1182" s="5">
        <f>IF($AD1182="","",IF($AD1182&lt;0,"FUTURO",IF($AD1182&gt;p_dias_backlog_max,"BACKLOG","MES CORRIENTE")))</f>
        <v/>
      </c>
      <c r="AF1182" s="5">
        <f>IF($AD1182="",FALSE,AND($AD1182&gt;p_dias_backlog_min,$AD1182&lt;=p_dias_backlog_max))</f>
        <v/>
      </c>
      <c r="AG1182" s="4" t="n"/>
      <c r="AH1182" s="5">
        <f>IF($AG1182="","",IF((IFERROR(INDEX('ASIGNACIONES'!$J$4:$J$451,MATCH($O1182&amp;"|"&amp;$S1182&amp;"|"&amp;$AG1182,'ASIGNACIONES'!$N$4:$N$451,0)),""))=0,"",IFERROR(INDEX('ASIGNACIONES'!$J$4:$J$451,MATCH($O1182&amp;"|"&amp;$S1182&amp;"|"&amp;$AG1182,'ASIGNACIONES'!$N$4:$N$451,0)),"")))</f>
        <v/>
      </c>
      <c r="AI1182" s="25">
        <f>IF($AG1182="","",SUMIFS('ORDENES'!$M$4:$M$1203,'ORDENES'!$AG$4:$AG$1203,$AG1182,'ORDENES'!$O$4:$O$1203,$O1182,'ORDENES'!$S$4:$S$1203,$S1182))</f>
        <v/>
      </c>
      <c r="AJ1182" s="25">
        <f>IF($AI1182="","",p_factor_productividad*IFERROR(INDEX('ASIGNACIONES'!$M$4:$M$451,MATCH($O1182&amp;"|"&amp;$S1182&amp;"|"&amp;$AG1182,'ASIGNACIONES'!$N$4:$N$451,0)),0)-$AI1182)</f>
        <v/>
      </c>
      <c r="AK1182" s="18">
        <f>IF($A1182="","",IFERROR(INDEX('2_IMPORTAR_EJECUCION'!$F$9:$F$1208,MATCH($AT1182,'2_IMPORTAR_EJECUCION'!$J$9:$J$1208,0)),0))</f>
        <v/>
      </c>
      <c r="AL1182" s="18">
        <f>IF($A1182="","",MAX(0,IFERROR(INDEX('2_IMPORTAR_EJECUCION'!$H$9:$H$1208,MATCH($AT1182,'2_IMPORTAR_EJECUCION'!$J$9:$J$1208,0)),0)-$AK1182))</f>
        <v/>
      </c>
      <c r="AM1182" s="18">
        <f>IF($A1182="","",$AK1182+$AL1182)</f>
        <v/>
      </c>
      <c r="AN1182" s="5">
        <f>IF($A1182="","",IF(OR((IFERROR(INDEX('CAT_ACTIVIDADES'!$D$4:$D$11,MATCH($H1182,'CAT_ACTIVIDADES'!$A$4:$A$11,0)),""))=0,(IFERROR(INDEX('CAT_ACTIVIDADES'!$D$4:$D$11,MATCH($H1182,'CAT_ACTIVIDADES'!$A$4:$A$11,0)),""))=""),"SIN CLASIFICAR",IFERROR(INDEX('CAT_ACTIVIDADES'!$D$4:$D$11,MATCH($H1182,'CAT_ACTIVIDADES'!$A$4:$A$11,0)),"")))</f>
        <v/>
      </c>
      <c r="AO1182" s="4" t="n"/>
      <c r="AP1182" s="4" t="n"/>
      <c r="AQ1182" s="4" t="n"/>
      <c r="AR1182" s="5">
        <f>IF($AQ1182="","",HYPERLINK(p_ruta_base_checklists&amp;$AQ1182,"abrir"))</f>
        <v/>
      </c>
      <c r="AS1182" s="4" t="n"/>
      <c r="AT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2" t="n"/>
      <c r="K1183" s="5" t="n"/>
      <c r="L1183" s="18" t="n"/>
      <c r="M1183" s="5">
        <f>IF($A1183="","",IFERROR(INDEX('AJUSTES'!$B$4:$B$303,MATCH($AT1183,'AJUSTES'!$A$4:$A$303,0)),IF($K1183="","",$K1183)))</f>
        <v/>
      </c>
      <c r="N1183" s="5">
        <f>IF($A1183="","",IFERROR(INDEX('CAT_ESTADOS_ERP'!$B$4:$B$7,MATCH(IFERROR(INDEX('2_IMPORTAR_EJECUCION'!$C$9:$C$1208,MATCH($AT1183,'2_IMPORTAR_EJECUCION'!$J$9:$J$1208,0)),""),'CAT_ESTADOS_ERP'!$A$4:$A$7,0)),"Pendiente"))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IF($J1183="","",$P1183&amp;"-"&amp;TEXT($Q1183,"00"))</f>
        <v/>
      </c>
      <c r="S1183" s="5">
        <f>IF($J1183="","",INDEX(lista_dias,WEEKDAY($J1183,2)))</f>
        <v/>
      </c>
      <c r="T1183" s="5">
        <f>IF($J1183="","",IFERROR(INDEX('CALENDARIO'!$C$15:$C$214,MATCH(TEXT($J1183,"yyyy-mm-dd")&amp;"|"&amp;$X1183&amp;"|"&amp;$Y1183,'CALENDARIO'!$G$15:$G$214,0)),IFERROR(INDEX('CALENDARIO'!$C$15:$C$214,MATCH(TEXT($J1183,"yyyy-mm-dd")&amp;"|"&amp;$X1183&amp;"|",'CALENDARIO'!$G$15:$G$214,0)),IFERROR(INDEX('CALENDARIO'!$C$15:$C$214,MATCH(TEXT($J1183,"yyyy-mm-dd")&amp;"||",'CALENDARIO'!$G$15:$G$214,0)),INDEX(patronHabil,WEEKDAY($J1183,2))))))</f>
        <v/>
      </c>
      <c r="U1183" s="5">
        <f>IF($I1183="","",IFERROR(INDEX('CAT_TIPOS_OT'!$C$4:$C$8,MATCH($I1183,'CAT_TIPOS_OT'!$A$4:$A$8,0)),"sin_clasificar"))</f>
        <v/>
      </c>
      <c r="V1183" s="5">
        <f>IF($I1183="","",IF(IFERROR(INDEX('CAT_TIPOS_OT'!$D$4:$D$8,MATCH($I1183,'CAT_TIPOS_OT'!$A$4:$A$8,0)),"SIN CLASIFICAR")="","SIN CLASIFICAR",IFERROR(INDEX('CAT_TIPOS_OT'!$D$4:$D$8,MATCH($I1183,'CAT_TIPOS_OT'!$A$4:$A$8,0)),"SIN CLASIFICAR")))</f>
        <v/>
      </c>
      <c r="W1183" s="5">
        <f>IF($F1183="","",IFERROR(INDEX('CAT_CENTROS_COSTO'!$F$4:$F$13,MATCH($F1183,'CAT_CENTROS_COSTO'!$A$4:$A$13,0)),"(sin catálogo)"))</f>
        <v/>
      </c>
      <c r="X1183" s="5">
        <f>IF($F1183="","",IFERROR(INDEX('CAT_CENTROS_COSTO'!$D$4:$D$13,MATCH($F1183,'CAT_CENTROS_COSTO'!$A$4:$A$13,0)),"(sin catálogo)"))</f>
        <v/>
      </c>
      <c r="Y1183" s="5">
        <f>IF($F1183="","",IF((IFERROR(INDEX('CAT_CENTROS_COSTO'!$E$4:$E$13,MATCH($F1183,'CAT_CENTROS_COSTO'!$A$4:$A$13,0)),""))&lt;&gt;"",IFERROR(INDEX('CAT_CENTROS_COSTO'!$E$4:$E$13,MATCH($F1183,'CAT_CENTROS_COSTO'!$A$4:$A$13,0)),""),$X1183))</f>
        <v/>
      </c>
      <c r="Z1183" s="5">
        <f>IF($F1183="","",IFERROR(INDEX('CAT_CENTROS_COSTO'!$G$4:$G$13,MATCH($F1183,'CAT_CENTROS_COSTO'!$A$4:$A$13,0)),"(sin catálogo)"))</f>
        <v/>
      </c>
      <c r="AA1183" s="5">
        <f>IF($G1183="","",IFERROR(INDEX('CAT_PUESTOS'!$B$4:$B$8,MATCH($G1183,'CAT_PUESTOS'!$A$4:$A$8,0)),"(sin catálogo)"))</f>
        <v/>
      </c>
      <c r="AB1183" s="5">
        <f>IF($H1183="","",IFERROR(INDEX('CAT_ACTIVIDADES'!$B$4:$B$11,MATCH($H1183,'CAT_ACTIVIDADES'!$A$4:$A$11,0)),"(sin catálogo)"))</f>
        <v/>
      </c>
      <c r="AC1183" s="20">
        <f>IF($J1183="","",TODAY()-$J1183)</f>
        <v/>
      </c>
      <c r="AD1183" s="20">
        <f>IF($J1183="","",IF($J1183&lt;=TODAY(),COUNTIFS(cal_fechas,"&gt;="&amp;$J1183,cal_fechas,"&lt;"&amp;TODAY(),cal_habil,"sí"),-COUNTIFS(cal_fechas,"&gt;="&amp;TODAY(),cal_fechas,"&lt;"&amp;$J1183,cal_habil,"sí")))</f>
        <v/>
      </c>
      <c r="AE1183" s="5">
        <f>IF($AD1183="","",IF($AD1183&lt;0,"FUTURO",IF($AD1183&gt;p_dias_backlog_max,"BACKLOG","MES CORRIENTE")))</f>
        <v/>
      </c>
      <c r="AF1183" s="5">
        <f>IF($AD1183="",FALSE,AND($AD1183&gt;p_dias_backlog_min,$AD1183&lt;=p_dias_backlog_max))</f>
        <v/>
      </c>
      <c r="AG1183" s="4" t="n"/>
      <c r="AH1183" s="5">
        <f>IF($AG1183="","",IF((IFERROR(INDEX('ASIGNACIONES'!$J$4:$J$451,MATCH($O1183&amp;"|"&amp;$S1183&amp;"|"&amp;$AG1183,'ASIGNACIONES'!$N$4:$N$451,0)),""))=0,"",IFERROR(INDEX('ASIGNACIONES'!$J$4:$J$451,MATCH($O1183&amp;"|"&amp;$S1183&amp;"|"&amp;$AG1183,'ASIGNACIONES'!$N$4:$N$451,0)),"")))</f>
        <v/>
      </c>
      <c r="AI1183" s="25">
        <f>IF($AG1183="","",SUMIFS('ORDENES'!$M$4:$M$1203,'ORDENES'!$AG$4:$AG$1203,$AG1183,'ORDENES'!$O$4:$O$1203,$O1183,'ORDENES'!$S$4:$S$1203,$S1183))</f>
        <v/>
      </c>
      <c r="AJ1183" s="25">
        <f>IF($AI1183="","",p_factor_productividad*IFERROR(INDEX('ASIGNACIONES'!$M$4:$M$451,MATCH($O1183&amp;"|"&amp;$S1183&amp;"|"&amp;$AG1183,'ASIGNACIONES'!$N$4:$N$451,0)),0)-$AI1183)</f>
        <v/>
      </c>
      <c r="AK1183" s="18">
        <f>IF($A1183="","",IFERROR(INDEX('2_IMPORTAR_EJECUCION'!$F$9:$F$1208,MATCH($AT1183,'2_IMPORTAR_EJECUCION'!$J$9:$J$1208,0)),0))</f>
        <v/>
      </c>
      <c r="AL1183" s="18">
        <f>IF($A1183="","",MAX(0,IFERROR(INDEX('2_IMPORTAR_EJECUCION'!$H$9:$H$1208,MATCH($AT1183,'2_IMPORTAR_EJECUCION'!$J$9:$J$1208,0)),0)-$AK1183))</f>
        <v/>
      </c>
      <c r="AM1183" s="18">
        <f>IF($A1183="","",$AK1183+$AL1183)</f>
        <v/>
      </c>
      <c r="AN1183" s="5">
        <f>IF($A1183="","",IF(OR((IFERROR(INDEX('CAT_ACTIVIDADES'!$D$4:$D$11,MATCH($H1183,'CAT_ACTIVIDADES'!$A$4:$A$11,0)),""))=0,(IFERROR(INDEX('CAT_ACTIVIDADES'!$D$4:$D$11,MATCH($H1183,'CAT_ACTIVIDADES'!$A$4:$A$11,0)),""))=""),"SIN CLASIFICAR",IFERROR(INDEX('CAT_ACTIVIDADES'!$D$4:$D$11,MATCH($H1183,'CAT_ACTIVIDADES'!$A$4:$A$11,0)),"")))</f>
        <v/>
      </c>
      <c r="AO1183" s="4" t="n"/>
      <c r="AP1183" s="4" t="n"/>
      <c r="AQ1183" s="4" t="n"/>
      <c r="AR1183" s="5">
        <f>IF($AQ1183="","",HYPERLINK(p_ruta_base_checklists&amp;$AQ1183,"abrir"))</f>
        <v/>
      </c>
      <c r="AS1183" s="4" t="n"/>
      <c r="AT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2" t="n"/>
      <c r="K1184" s="5" t="n"/>
      <c r="L1184" s="18" t="n"/>
      <c r="M1184" s="5">
        <f>IF($A1184="","",IFERROR(INDEX('AJUSTES'!$B$4:$B$303,MATCH($AT1184,'AJUSTES'!$A$4:$A$303,0)),IF($K1184="","",$K1184)))</f>
        <v/>
      </c>
      <c r="N1184" s="5">
        <f>IF($A1184="","",IFERROR(INDEX('CAT_ESTADOS_ERP'!$B$4:$B$7,MATCH(IFERROR(INDEX('2_IMPORTAR_EJECUCION'!$C$9:$C$1208,MATCH($AT1184,'2_IMPORTAR_EJECUCION'!$J$9:$J$1208,0)),""),'CAT_ESTADOS_ERP'!$A$4:$A$7,0)),"Pendiente"))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IF($J1184="","",$P1184&amp;"-"&amp;TEXT($Q1184,"00"))</f>
        <v/>
      </c>
      <c r="S1184" s="5">
        <f>IF($J1184="","",INDEX(lista_dias,WEEKDAY($J1184,2)))</f>
        <v/>
      </c>
      <c r="T1184" s="5">
        <f>IF($J1184="","",IFERROR(INDEX('CALENDARIO'!$C$15:$C$214,MATCH(TEXT($J1184,"yyyy-mm-dd")&amp;"|"&amp;$X1184&amp;"|"&amp;$Y1184,'CALENDARIO'!$G$15:$G$214,0)),IFERROR(INDEX('CALENDARIO'!$C$15:$C$214,MATCH(TEXT($J1184,"yyyy-mm-dd")&amp;"|"&amp;$X1184&amp;"|",'CALENDARIO'!$G$15:$G$214,0)),IFERROR(INDEX('CALENDARIO'!$C$15:$C$214,MATCH(TEXT($J1184,"yyyy-mm-dd")&amp;"||",'CALENDARIO'!$G$15:$G$214,0)),INDEX(patronHabil,WEEKDAY($J1184,2))))))</f>
        <v/>
      </c>
      <c r="U1184" s="5">
        <f>IF($I1184="","",IFERROR(INDEX('CAT_TIPOS_OT'!$C$4:$C$8,MATCH($I1184,'CAT_TIPOS_OT'!$A$4:$A$8,0)),"sin_clasificar"))</f>
        <v/>
      </c>
      <c r="V1184" s="5">
        <f>IF($I1184="","",IF(IFERROR(INDEX('CAT_TIPOS_OT'!$D$4:$D$8,MATCH($I1184,'CAT_TIPOS_OT'!$A$4:$A$8,0)),"SIN CLASIFICAR")="","SIN CLASIFICAR",IFERROR(INDEX('CAT_TIPOS_OT'!$D$4:$D$8,MATCH($I1184,'CAT_TIPOS_OT'!$A$4:$A$8,0)),"SIN CLASIFICAR")))</f>
        <v/>
      </c>
      <c r="W1184" s="5">
        <f>IF($F1184="","",IFERROR(INDEX('CAT_CENTROS_COSTO'!$F$4:$F$13,MATCH($F1184,'CAT_CENTROS_COSTO'!$A$4:$A$13,0)),"(sin catálogo)"))</f>
        <v/>
      </c>
      <c r="X1184" s="5">
        <f>IF($F1184="","",IFERROR(INDEX('CAT_CENTROS_COSTO'!$D$4:$D$13,MATCH($F1184,'CAT_CENTROS_COSTO'!$A$4:$A$13,0)),"(sin catálogo)"))</f>
        <v/>
      </c>
      <c r="Y1184" s="5">
        <f>IF($F1184="","",IF((IFERROR(INDEX('CAT_CENTROS_COSTO'!$E$4:$E$13,MATCH($F1184,'CAT_CENTROS_COSTO'!$A$4:$A$13,0)),""))&lt;&gt;"",IFERROR(INDEX('CAT_CENTROS_COSTO'!$E$4:$E$13,MATCH($F1184,'CAT_CENTROS_COSTO'!$A$4:$A$13,0)),""),$X1184))</f>
        <v/>
      </c>
      <c r="Z1184" s="5">
        <f>IF($F1184="","",IFERROR(INDEX('CAT_CENTROS_COSTO'!$G$4:$G$13,MATCH($F1184,'CAT_CENTROS_COSTO'!$A$4:$A$13,0)),"(sin catálogo)"))</f>
        <v/>
      </c>
      <c r="AA1184" s="5">
        <f>IF($G1184="","",IFERROR(INDEX('CAT_PUESTOS'!$B$4:$B$8,MATCH($G1184,'CAT_PUESTOS'!$A$4:$A$8,0)),"(sin catálogo)"))</f>
        <v/>
      </c>
      <c r="AB1184" s="5">
        <f>IF($H1184="","",IFERROR(INDEX('CAT_ACTIVIDADES'!$B$4:$B$11,MATCH($H1184,'CAT_ACTIVIDADES'!$A$4:$A$11,0)),"(sin catálogo)"))</f>
        <v/>
      </c>
      <c r="AC1184" s="20">
        <f>IF($J1184="","",TODAY()-$J1184)</f>
        <v/>
      </c>
      <c r="AD1184" s="20">
        <f>IF($J1184="","",IF($J1184&lt;=TODAY(),COUNTIFS(cal_fechas,"&gt;="&amp;$J1184,cal_fechas,"&lt;"&amp;TODAY(),cal_habil,"sí"),-COUNTIFS(cal_fechas,"&gt;="&amp;TODAY(),cal_fechas,"&lt;"&amp;$J1184,cal_habil,"sí")))</f>
        <v/>
      </c>
      <c r="AE1184" s="5">
        <f>IF($AD1184="","",IF($AD1184&lt;0,"FUTURO",IF($AD1184&gt;p_dias_backlog_max,"BACKLOG","MES CORRIENTE")))</f>
        <v/>
      </c>
      <c r="AF1184" s="5">
        <f>IF($AD1184="",FALSE,AND($AD1184&gt;p_dias_backlog_min,$AD1184&lt;=p_dias_backlog_max))</f>
        <v/>
      </c>
      <c r="AG1184" s="4" t="n"/>
      <c r="AH1184" s="5">
        <f>IF($AG1184="","",IF((IFERROR(INDEX('ASIGNACIONES'!$J$4:$J$451,MATCH($O1184&amp;"|"&amp;$S1184&amp;"|"&amp;$AG1184,'ASIGNACIONES'!$N$4:$N$451,0)),""))=0,"",IFERROR(INDEX('ASIGNACIONES'!$J$4:$J$451,MATCH($O1184&amp;"|"&amp;$S1184&amp;"|"&amp;$AG1184,'ASIGNACIONES'!$N$4:$N$451,0)),"")))</f>
        <v/>
      </c>
      <c r="AI1184" s="25">
        <f>IF($AG1184="","",SUMIFS('ORDENES'!$M$4:$M$1203,'ORDENES'!$AG$4:$AG$1203,$AG1184,'ORDENES'!$O$4:$O$1203,$O1184,'ORDENES'!$S$4:$S$1203,$S1184))</f>
        <v/>
      </c>
      <c r="AJ1184" s="25">
        <f>IF($AI1184="","",p_factor_productividad*IFERROR(INDEX('ASIGNACIONES'!$M$4:$M$451,MATCH($O1184&amp;"|"&amp;$S1184&amp;"|"&amp;$AG1184,'ASIGNACIONES'!$N$4:$N$451,0)),0)-$AI1184)</f>
        <v/>
      </c>
      <c r="AK1184" s="18">
        <f>IF($A1184="","",IFERROR(INDEX('2_IMPORTAR_EJECUCION'!$F$9:$F$1208,MATCH($AT1184,'2_IMPORTAR_EJECUCION'!$J$9:$J$1208,0)),0))</f>
        <v/>
      </c>
      <c r="AL1184" s="18">
        <f>IF($A1184="","",MAX(0,IFERROR(INDEX('2_IMPORTAR_EJECUCION'!$H$9:$H$1208,MATCH($AT1184,'2_IMPORTAR_EJECUCION'!$J$9:$J$1208,0)),0)-$AK1184))</f>
        <v/>
      </c>
      <c r="AM1184" s="18">
        <f>IF($A1184="","",$AK1184+$AL1184)</f>
        <v/>
      </c>
      <c r="AN1184" s="5">
        <f>IF($A1184="","",IF(OR((IFERROR(INDEX('CAT_ACTIVIDADES'!$D$4:$D$11,MATCH($H1184,'CAT_ACTIVIDADES'!$A$4:$A$11,0)),""))=0,(IFERROR(INDEX('CAT_ACTIVIDADES'!$D$4:$D$11,MATCH($H1184,'CAT_ACTIVIDADES'!$A$4:$A$11,0)),""))=""),"SIN CLASIFICAR",IFERROR(INDEX('CAT_ACTIVIDADES'!$D$4:$D$11,MATCH($H1184,'CAT_ACTIVIDADES'!$A$4:$A$11,0)),"")))</f>
        <v/>
      </c>
      <c r="AO1184" s="4" t="n"/>
      <c r="AP1184" s="4" t="n"/>
      <c r="AQ1184" s="4" t="n"/>
      <c r="AR1184" s="5">
        <f>IF($AQ1184="","",HYPERLINK(p_ruta_base_checklists&amp;$AQ1184,"abrir"))</f>
        <v/>
      </c>
      <c r="AS1184" s="4" t="n"/>
      <c r="AT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2" t="n"/>
      <c r="K1185" s="5" t="n"/>
      <c r="L1185" s="18" t="n"/>
      <c r="M1185" s="5">
        <f>IF($A1185="","",IFERROR(INDEX('AJUSTES'!$B$4:$B$303,MATCH($AT1185,'AJUSTES'!$A$4:$A$303,0)),IF($K1185="","",$K1185)))</f>
        <v/>
      </c>
      <c r="N1185" s="5">
        <f>IF($A1185="","",IFERROR(INDEX('CAT_ESTADOS_ERP'!$B$4:$B$7,MATCH(IFERROR(INDEX('2_IMPORTAR_EJECUCION'!$C$9:$C$1208,MATCH($AT1185,'2_IMPORTAR_EJECUCION'!$J$9:$J$1208,0)),""),'CAT_ESTADOS_ERP'!$A$4:$A$7,0)),"Pendiente"))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IF($J1185="","",$P1185&amp;"-"&amp;TEXT($Q1185,"00"))</f>
        <v/>
      </c>
      <c r="S1185" s="5">
        <f>IF($J1185="","",INDEX(lista_dias,WEEKDAY($J1185,2)))</f>
        <v/>
      </c>
      <c r="T1185" s="5">
        <f>IF($J1185="","",IFERROR(INDEX('CALENDARIO'!$C$15:$C$214,MATCH(TEXT($J1185,"yyyy-mm-dd")&amp;"|"&amp;$X1185&amp;"|"&amp;$Y1185,'CALENDARIO'!$G$15:$G$214,0)),IFERROR(INDEX('CALENDARIO'!$C$15:$C$214,MATCH(TEXT($J1185,"yyyy-mm-dd")&amp;"|"&amp;$X1185&amp;"|",'CALENDARIO'!$G$15:$G$214,0)),IFERROR(INDEX('CALENDARIO'!$C$15:$C$214,MATCH(TEXT($J1185,"yyyy-mm-dd")&amp;"||",'CALENDARIO'!$G$15:$G$214,0)),INDEX(patronHabil,WEEKDAY($J1185,2))))))</f>
        <v/>
      </c>
      <c r="U1185" s="5">
        <f>IF($I1185="","",IFERROR(INDEX('CAT_TIPOS_OT'!$C$4:$C$8,MATCH($I1185,'CAT_TIPOS_OT'!$A$4:$A$8,0)),"sin_clasificar"))</f>
        <v/>
      </c>
      <c r="V1185" s="5">
        <f>IF($I1185="","",IF(IFERROR(INDEX('CAT_TIPOS_OT'!$D$4:$D$8,MATCH($I1185,'CAT_TIPOS_OT'!$A$4:$A$8,0)),"SIN CLASIFICAR")="","SIN CLASIFICAR",IFERROR(INDEX('CAT_TIPOS_OT'!$D$4:$D$8,MATCH($I1185,'CAT_TIPOS_OT'!$A$4:$A$8,0)),"SIN CLASIFICAR")))</f>
        <v/>
      </c>
      <c r="W1185" s="5">
        <f>IF($F1185="","",IFERROR(INDEX('CAT_CENTROS_COSTO'!$F$4:$F$13,MATCH($F1185,'CAT_CENTROS_COSTO'!$A$4:$A$13,0)),"(sin catálogo)"))</f>
        <v/>
      </c>
      <c r="X1185" s="5">
        <f>IF($F1185="","",IFERROR(INDEX('CAT_CENTROS_COSTO'!$D$4:$D$13,MATCH($F1185,'CAT_CENTROS_COSTO'!$A$4:$A$13,0)),"(sin catálogo)"))</f>
        <v/>
      </c>
      <c r="Y1185" s="5">
        <f>IF($F1185="","",IF((IFERROR(INDEX('CAT_CENTROS_COSTO'!$E$4:$E$13,MATCH($F1185,'CAT_CENTROS_COSTO'!$A$4:$A$13,0)),""))&lt;&gt;"",IFERROR(INDEX('CAT_CENTROS_COSTO'!$E$4:$E$13,MATCH($F1185,'CAT_CENTROS_COSTO'!$A$4:$A$13,0)),""),$X1185))</f>
        <v/>
      </c>
      <c r="Z1185" s="5">
        <f>IF($F1185="","",IFERROR(INDEX('CAT_CENTROS_COSTO'!$G$4:$G$13,MATCH($F1185,'CAT_CENTROS_COSTO'!$A$4:$A$13,0)),"(sin catálogo)"))</f>
        <v/>
      </c>
      <c r="AA1185" s="5">
        <f>IF($G1185="","",IFERROR(INDEX('CAT_PUESTOS'!$B$4:$B$8,MATCH($G1185,'CAT_PUESTOS'!$A$4:$A$8,0)),"(sin catálogo)"))</f>
        <v/>
      </c>
      <c r="AB1185" s="5">
        <f>IF($H1185="","",IFERROR(INDEX('CAT_ACTIVIDADES'!$B$4:$B$11,MATCH($H1185,'CAT_ACTIVIDADES'!$A$4:$A$11,0)),"(sin catálogo)"))</f>
        <v/>
      </c>
      <c r="AC1185" s="20">
        <f>IF($J1185="","",TODAY()-$J1185)</f>
        <v/>
      </c>
      <c r="AD1185" s="20">
        <f>IF($J1185="","",IF($J1185&lt;=TODAY(),COUNTIFS(cal_fechas,"&gt;="&amp;$J1185,cal_fechas,"&lt;"&amp;TODAY(),cal_habil,"sí"),-COUNTIFS(cal_fechas,"&gt;="&amp;TODAY(),cal_fechas,"&lt;"&amp;$J1185,cal_habil,"sí")))</f>
        <v/>
      </c>
      <c r="AE1185" s="5">
        <f>IF($AD1185="","",IF($AD1185&lt;0,"FUTURO",IF($AD1185&gt;p_dias_backlog_max,"BACKLOG","MES CORRIENTE")))</f>
        <v/>
      </c>
      <c r="AF1185" s="5">
        <f>IF($AD1185="",FALSE,AND($AD1185&gt;p_dias_backlog_min,$AD1185&lt;=p_dias_backlog_max))</f>
        <v/>
      </c>
      <c r="AG1185" s="4" t="n"/>
      <c r="AH1185" s="5">
        <f>IF($AG1185="","",IF((IFERROR(INDEX('ASIGNACIONES'!$J$4:$J$451,MATCH($O1185&amp;"|"&amp;$S1185&amp;"|"&amp;$AG1185,'ASIGNACIONES'!$N$4:$N$451,0)),""))=0,"",IFERROR(INDEX('ASIGNACIONES'!$J$4:$J$451,MATCH($O1185&amp;"|"&amp;$S1185&amp;"|"&amp;$AG1185,'ASIGNACIONES'!$N$4:$N$451,0)),"")))</f>
        <v/>
      </c>
      <c r="AI1185" s="25">
        <f>IF($AG1185="","",SUMIFS('ORDENES'!$M$4:$M$1203,'ORDENES'!$AG$4:$AG$1203,$AG1185,'ORDENES'!$O$4:$O$1203,$O1185,'ORDENES'!$S$4:$S$1203,$S1185))</f>
        <v/>
      </c>
      <c r="AJ1185" s="25">
        <f>IF($AI1185="","",p_factor_productividad*IFERROR(INDEX('ASIGNACIONES'!$M$4:$M$451,MATCH($O1185&amp;"|"&amp;$S1185&amp;"|"&amp;$AG1185,'ASIGNACIONES'!$N$4:$N$451,0)),0)-$AI1185)</f>
        <v/>
      </c>
      <c r="AK1185" s="18">
        <f>IF($A1185="","",IFERROR(INDEX('2_IMPORTAR_EJECUCION'!$F$9:$F$1208,MATCH($AT1185,'2_IMPORTAR_EJECUCION'!$J$9:$J$1208,0)),0))</f>
        <v/>
      </c>
      <c r="AL1185" s="18">
        <f>IF($A1185="","",MAX(0,IFERROR(INDEX('2_IMPORTAR_EJECUCION'!$H$9:$H$1208,MATCH($AT1185,'2_IMPORTAR_EJECUCION'!$J$9:$J$1208,0)),0)-$AK1185))</f>
        <v/>
      </c>
      <c r="AM1185" s="18">
        <f>IF($A1185="","",$AK1185+$AL1185)</f>
        <v/>
      </c>
      <c r="AN1185" s="5">
        <f>IF($A1185="","",IF(OR((IFERROR(INDEX('CAT_ACTIVIDADES'!$D$4:$D$11,MATCH($H1185,'CAT_ACTIVIDADES'!$A$4:$A$11,0)),""))=0,(IFERROR(INDEX('CAT_ACTIVIDADES'!$D$4:$D$11,MATCH($H1185,'CAT_ACTIVIDADES'!$A$4:$A$11,0)),""))=""),"SIN CLASIFICAR",IFERROR(INDEX('CAT_ACTIVIDADES'!$D$4:$D$11,MATCH($H1185,'CAT_ACTIVIDADES'!$A$4:$A$11,0)),"")))</f>
        <v/>
      </c>
      <c r="AO1185" s="4" t="n"/>
      <c r="AP1185" s="4" t="n"/>
      <c r="AQ1185" s="4" t="n"/>
      <c r="AR1185" s="5">
        <f>IF($AQ1185="","",HYPERLINK(p_ruta_base_checklists&amp;$AQ1185,"abrir"))</f>
        <v/>
      </c>
      <c r="AS1185" s="4" t="n"/>
      <c r="AT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2" t="n"/>
      <c r="K1186" s="5" t="n"/>
      <c r="L1186" s="18" t="n"/>
      <c r="M1186" s="5">
        <f>IF($A1186="","",IFERROR(INDEX('AJUSTES'!$B$4:$B$303,MATCH($AT1186,'AJUSTES'!$A$4:$A$303,0)),IF($K1186="","",$K1186)))</f>
        <v/>
      </c>
      <c r="N1186" s="5">
        <f>IF($A1186="","",IFERROR(INDEX('CAT_ESTADOS_ERP'!$B$4:$B$7,MATCH(IFERROR(INDEX('2_IMPORTAR_EJECUCION'!$C$9:$C$1208,MATCH($AT1186,'2_IMPORTAR_EJECUCION'!$J$9:$J$1208,0)),""),'CAT_ESTADOS_ERP'!$A$4:$A$7,0)),"Pendiente"))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IF($J1186="","",$P1186&amp;"-"&amp;TEXT($Q1186,"00"))</f>
        <v/>
      </c>
      <c r="S1186" s="5">
        <f>IF($J1186="","",INDEX(lista_dias,WEEKDAY($J1186,2)))</f>
        <v/>
      </c>
      <c r="T1186" s="5">
        <f>IF($J1186="","",IFERROR(INDEX('CALENDARIO'!$C$15:$C$214,MATCH(TEXT($J1186,"yyyy-mm-dd")&amp;"|"&amp;$X1186&amp;"|"&amp;$Y1186,'CALENDARIO'!$G$15:$G$214,0)),IFERROR(INDEX('CALENDARIO'!$C$15:$C$214,MATCH(TEXT($J1186,"yyyy-mm-dd")&amp;"|"&amp;$X1186&amp;"|",'CALENDARIO'!$G$15:$G$214,0)),IFERROR(INDEX('CALENDARIO'!$C$15:$C$214,MATCH(TEXT($J1186,"yyyy-mm-dd")&amp;"||",'CALENDARIO'!$G$15:$G$214,0)),INDEX(patronHabil,WEEKDAY($J1186,2))))))</f>
        <v/>
      </c>
      <c r="U1186" s="5">
        <f>IF($I1186="","",IFERROR(INDEX('CAT_TIPOS_OT'!$C$4:$C$8,MATCH($I1186,'CAT_TIPOS_OT'!$A$4:$A$8,0)),"sin_clasificar"))</f>
        <v/>
      </c>
      <c r="V1186" s="5">
        <f>IF($I1186="","",IF(IFERROR(INDEX('CAT_TIPOS_OT'!$D$4:$D$8,MATCH($I1186,'CAT_TIPOS_OT'!$A$4:$A$8,0)),"SIN CLASIFICAR")="","SIN CLASIFICAR",IFERROR(INDEX('CAT_TIPOS_OT'!$D$4:$D$8,MATCH($I1186,'CAT_TIPOS_OT'!$A$4:$A$8,0)),"SIN CLASIFICAR")))</f>
        <v/>
      </c>
      <c r="W1186" s="5">
        <f>IF($F1186="","",IFERROR(INDEX('CAT_CENTROS_COSTO'!$F$4:$F$13,MATCH($F1186,'CAT_CENTROS_COSTO'!$A$4:$A$13,0)),"(sin catálogo)"))</f>
        <v/>
      </c>
      <c r="X1186" s="5">
        <f>IF($F1186="","",IFERROR(INDEX('CAT_CENTROS_COSTO'!$D$4:$D$13,MATCH($F1186,'CAT_CENTROS_COSTO'!$A$4:$A$13,0)),"(sin catálogo)"))</f>
        <v/>
      </c>
      <c r="Y1186" s="5">
        <f>IF($F1186="","",IF((IFERROR(INDEX('CAT_CENTROS_COSTO'!$E$4:$E$13,MATCH($F1186,'CAT_CENTROS_COSTO'!$A$4:$A$13,0)),""))&lt;&gt;"",IFERROR(INDEX('CAT_CENTROS_COSTO'!$E$4:$E$13,MATCH($F1186,'CAT_CENTROS_COSTO'!$A$4:$A$13,0)),""),$X1186))</f>
        <v/>
      </c>
      <c r="Z1186" s="5">
        <f>IF($F1186="","",IFERROR(INDEX('CAT_CENTROS_COSTO'!$G$4:$G$13,MATCH($F1186,'CAT_CENTROS_COSTO'!$A$4:$A$13,0)),"(sin catálogo)"))</f>
        <v/>
      </c>
      <c r="AA1186" s="5">
        <f>IF($G1186="","",IFERROR(INDEX('CAT_PUESTOS'!$B$4:$B$8,MATCH($G1186,'CAT_PUESTOS'!$A$4:$A$8,0)),"(sin catálogo)"))</f>
        <v/>
      </c>
      <c r="AB1186" s="5">
        <f>IF($H1186="","",IFERROR(INDEX('CAT_ACTIVIDADES'!$B$4:$B$11,MATCH($H1186,'CAT_ACTIVIDADES'!$A$4:$A$11,0)),"(sin catálogo)"))</f>
        <v/>
      </c>
      <c r="AC1186" s="20">
        <f>IF($J1186="","",TODAY()-$J1186)</f>
        <v/>
      </c>
      <c r="AD1186" s="20">
        <f>IF($J1186="","",IF($J1186&lt;=TODAY(),COUNTIFS(cal_fechas,"&gt;="&amp;$J1186,cal_fechas,"&lt;"&amp;TODAY(),cal_habil,"sí"),-COUNTIFS(cal_fechas,"&gt;="&amp;TODAY(),cal_fechas,"&lt;"&amp;$J1186,cal_habil,"sí")))</f>
        <v/>
      </c>
      <c r="AE1186" s="5">
        <f>IF($AD1186="","",IF($AD1186&lt;0,"FUTURO",IF($AD1186&gt;p_dias_backlog_max,"BACKLOG","MES CORRIENTE")))</f>
        <v/>
      </c>
      <c r="AF1186" s="5">
        <f>IF($AD1186="",FALSE,AND($AD1186&gt;p_dias_backlog_min,$AD1186&lt;=p_dias_backlog_max))</f>
        <v/>
      </c>
      <c r="AG1186" s="4" t="n"/>
      <c r="AH1186" s="5">
        <f>IF($AG1186="","",IF((IFERROR(INDEX('ASIGNACIONES'!$J$4:$J$451,MATCH($O1186&amp;"|"&amp;$S1186&amp;"|"&amp;$AG1186,'ASIGNACIONES'!$N$4:$N$451,0)),""))=0,"",IFERROR(INDEX('ASIGNACIONES'!$J$4:$J$451,MATCH($O1186&amp;"|"&amp;$S1186&amp;"|"&amp;$AG1186,'ASIGNACIONES'!$N$4:$N$451,0)),"")))</f>
        <v/>
      </c>
      <c r="AI1186" s="25">
        <f>IF($AG1186="","",SUMIFS('ORDENES'!$M$4:$M$1203,'ORDENES'!$AG$4:$AG$1203,$AG1186,'ORDENES'!$O$4:$O$1203,$O1186,'ORDENES'!$S$4:$S$1203,$S1186))</f>
        <v/>
      </c>
      <c r="AJ1186" s="25">
        <f>IF($AI1186="","",p_factor_productividad*IFERROR(INDEX('ASIGNACIONES'!$M$4:$M$451,MATCH($O1186&amp;"|"&amp;$S1186&amp;"|"&amp;$AG1186,'ASIGNACIONES'!$N$4:$N$451,0)),0)-$AI1186)</f>
        <v/>
      </c>
      <c r="AK1186" s="18">
        <f>IF($A1186="","",IFERROR(INDEX('2_IMPORTAR_EJECUCION'!$F$9:$F$1208,MATCH($AT1186,'2_IMPORTAR_EJECUCION'!$J$9:$J$1208,0)),0))</f>
        <v/>
      </c>
      <c r="AL1186" s="18">
        <f>IF($A1186="","",MAX(0,IFERROR(INDEX('2_IMPORTAR_EJECUCION'!$H$9:$H$1208,MATCH($AT1186,'2_IMPORTAR_EJECUCION'!$J$9:$J$1208,0)),0)-$AK1186))</f>
        <v/>
      </c>
      <c r="AM1186" s="18">
        <f>IF($A1186="","",$AK1186+$AL1186)</f>
        <v/>
      </c>
      <c r="AN1186" s="5">
        <f>IF($A1186="","",IF(OR((IFERROR(INDEX('CAT_ACTIVIDADES'!$D$4:$D$11,MATCH($H1186,'CAT_ACTIVIDADES'!$A$4:$A$11,0)),""))=0,(IFERROR(INDEX('CAT_ACTIVIDADES'!$D$4:$D$11,MATCH($H1186,'CAT_ACTIVIDADES'!$A$4:$A$11,0)),""))=""),"SIN CLASIFICAR",IFERROR(INDEX('CAT_ACTIVIDADES'!$D$4:$D$11,MATCH($H1186,'CAT_ACTIVIDADES'!$A$4:$A$11,0)),"")))</f>
        <v/>
      </c>
      <c r="AO1186" s="4" t="n"/>
      <c r="AP1186" s="4" t="n"/>
      <c r="AQ1186" s="4" t="n"/>
      <c r="AR1186" s="5">
        <f>IF($AQ1186="","",HYPERLINK(p_ruta_base_checklists&amp;$AQ1186,"abrir"))</f>
        <v/>
      </c>
      <c r="AS1186" s="4" t="n"/>
      <c r="AT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2" t="n"/>
      <c r="K1187" s="5" t="n"/>
      <c r="L1187" s="18" t="n"/>
      <c r="M1187" s="5">
        <f>IF($A1187="","",IFERROR(INDEX('AJUSTES'!$B$4:$B$303,MATCH($AT1187,'AJUSTES'!$A$4:$A$303,0)),IF($K1187="","",$K1187)))</f>
        <v/>
      </c>
      <c r="N1187" s="5">
        <f>IF($A1187="","",IFERROR(INDEX('CAT_ESTADOS_ERP'!$B$4:$B$7,MATCH(IFERROR(INDEX('2_IMPORTAR_EJECUCION'!$C$9:$C$1208,MATCH($AT1187,'2_IMPORTAR_EJECUCION'!$J$9:$J$1208,0)),""),'CAT_ESTADOS_ERP'!$A$4:$A$7,0)),"Pendiente"))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IF($J1187="","",$P1187&amp;"-"&amp;TEXT($Q1187,"00"))</f>
        <v/>
      </c>
      <c r="S1187" s="5">
        <f>IF($J1187="","",INDEX(lista_dias,WEEKDAY($J1187,2)))</f>
        <v/>
      </c>
      <c r="T1187" s="5">
        <f>IF($J1187="","",IFERROR(INDEX('CALENDARIO'!$C$15:$C$214,MATCH(TEXT($J1187,"yyyy-mm-dd")&amp;"|"&amp;$X1187&amp;"|"&amp;$Y1187,'CALENDARIO'!$G$15:$G$214,0)),IFERROR(INDEX('CALENDARIO'!$C$15:$C$214,MATCH(TEXT($J1187,"yyyy-mm-dd")&amp;"|"&amp;$X1187&amp;"|",'CALENDARIO'!$G$15:$G$214,0)),IFERROR(INDEX('CALENDARIO'!$C$15:$C$214,MATCH(TEXT($J1187,"yyyy-mm-dd")&amp;"||",'CALENDARIO'!$G$15:$G$214,0)),INDEX(patronHabil,WEEKDAY($J1187,2))))))</f>
        <v/>
      </c>
      <c r="U1187" s="5">
        <f>IF($I1187="","",IFERROR(INDEX('CAT_TIPOS_OT'!$C$4:$C$8,MATCH($I1187,'CAT_TIPOS_OT'!$A$4:$A$8,0)),"sin_clasificar"))</f>
        <v/>
      </c>
      <c r="V1187" s="5">
        <f>IF($I1187="","",IF(IFERROR(INDEX('CAT_TIPOS_OT'!$D$4:$D$8,MATCH($I1187,'CAT_TIPOS_OT'!$A$4:$A$8,0)),"SIN CLASIFICAR")="","SIN CLASIFICAR",IFERROR(INDEX('CAT_TIPOS_OT'!$D$4:$D$8,MATCH($I1187,'CAT_TIPOS_OT'!$A$4:$A$8,0)),"SIN CLASIFICAR")))</f>
        <v/>
      </c>
      <c r="W1187" s="5">
        <f>IF($F1187="","",IFERROR(INDEX('CAT_CENTROS_COSTO'!$F$4:$F$13,MATCH($F1187,'CAT_CENTROS_COSTO'!$A$4:$A$13,0)),"(sin catálogo)"))</f>
        <v/>
      </c>
      <c r="X1187" s="5">
        <f>IF($F1187="","",IFERROR(INDEX('CAT_CENTROS_COSTO'!$D$4:$D$13,MATCH($F1187,'CAT_CENTROS_COSTO'!$A$4:$A$13,0)),"(sin catálogo)"))</f>
        <v/>
      </c>
      <c r="Y1187" s="5">
        <f>IF($F1187="","",IF((IFERROR(INDEX('CAT_CENTROS_COSTO'!$E$4:$E$13,MATCH($F1187,'CAT_CENTROS_COSTO'!$A$4:$A$13,0)),""))&lt;&gt;"",IFERROR(INDEX('CAT_CENTROS_COSTO'!$E$4:$E$13,MATCH($F1187,'CAT_CENTROS_COSTO'!$A$4:$A$13,0)),""),$X1187))</f>
        <v/>
      </c>
      <c r="Z1187" s="5">
        <f>IF($F1187="","",IFERROR(INDEX('CAT_CENTROS_COSTO'!$G$4:$G$13,MATCH($F1187,'CAT_CENTROS_COSTO'!$A$4:$A$13,0)),"(sin catálogo)"))</f>
        <v/>
      </c>
      <c r="AA1187" s="5">
        <f>IF($G1187="","",IFERROR(INDEX('CAT_PUESTOS'!$B$4:$B$8,MATCH($G1187,'CAT_PUESTOS'!$A$4:$A$8,0)),"(sin catálogo)"))</f>
        <v/>
      </c>
      <c r="AB1187" s="5">
        <f>IF($H1187="","",IFERROR(INDEX('CAT_ACTIVIDADES'!$B$4:$B$11,MATCH($H1187,'CAT_ACTIVIDADES'!$A$4:$A$11,0)),"(sin catálogo)"))</f>
        <v/>
      </c>
      <c r="AC1187" s="20">
        <f>IF($J1187="","",TODAY()-$J1187)</f>
        <v/>
      </c>
      <c r="AD1187" s="20">
        <f>IF($J1187="","",IF($J1187&lt;=TODAY(),COUNTIFS(cal_fechas,"&gt;="&amp;$J1187,cal_fechas,"&lt;"&amp;TODAY(),cal_habil,"sí"),-COUNTIFS(cal_fechas,"&gt;="&amp;TODAY(),cal_fechas,"&lt;"&amp;$J1187,cal_habil,"sí")))</f>
        <v/>
      </c>
      <c r="AE1187" s="5">
        <f>IF($AD1187="","",IF($AD1187&lt;0,"FUTURO",IF($AD1187&gt;p_dias_backlog_max,"BACKLOG","MES CORRIENTE")))</f>
        <v/>
      </c>
      <c r="AF1187" s="5">
        <f>IF($AD1187="",FALSE,AND($AD1187&gt;p_dias_backlog_min,$AD1187&lt;=p_dias_backlog_max))</f>
        <v/>
      </c>
      <c r="AG1187" s="4" t="n"/>
      <c r="AH1187" s="5">
        <f>IF($AG1187="","",IF((IFERROR(INDEX('ASIGNACIONES'!$J$4:$J$451,MATCH($O1187&amp;"|"&amp;$S1187&amp;"|"&amp;$AG1187,'ASIGNACIONES'!$N$4:$N$451,0)),""))=0,"",IFERROR(INDEX('ASIGNACIONES'!$J$4:$J$451,MATCH($O1187&amp;"|"&amp;$S1187&amp;"|"&amp;$AG1187,'ASIGNACIONES'!$N$4:$N$451,0)),"")))</f>
        <v/>
      </c>
      <c r="AI1187" s="25">
        <f>IF($AG1187="","",SUMIFS('ORDENES'!$M$4:$M$1203,'ORDENES'!$AG$4:$AG$1203,$AG1187,'ORDENES'!$O$4:$O$1203,$O1187,'ORDENES'!$S$4:$S$1203,$S1187))</f>
        <v/>
      </c>
      <c r="AJ1187" s="25">
        <f>IF($AI1187="","",p_factor_productividad*IFERROR(INDEX('ASIGNACIONES'!$M$4:$M$451,MATCH($O1187&amp;"|"&amp;$S1187&amp;"|"&amp;$AG1187,'ASIGNACIONES'!$N$4:$N$451,0)),0)-$AI1187)</f>
        <v/>
      </c>
      <c r="AK1187" s="18">
        <f>IF($A1187="","",IFERROR(INDEX('2_IMPORTAR_EJECUCION'!$F$9:$F$1208,MATCH($AT1187,'2_IMPORTAR_EJECUCION'!$J$9:$J$1208,0)),0))</f>
        <v/>
      </c>
      <c r="AL1187" s="18">
        <f>IF($A1187="","",MAX(0,IFERROR(INDEX('2_IMPORTAR_EJECUCION'!$H$9:$H$1208,MATCH($AT1187,'2_IMPORTAR_EJECUCION'!$J$9:$J$1208,0)),0)-$AK1187))</f>
        <v/>
      </c>
      <c r="AM1187" s="18">
        <f>IF($A1187="","",$AK1187+$AL1187)</f>
        <v/>
      </c>
      <c r="AN1187" s="5">
        <f>IF($A1187="","",IF(OR((IFERROR(INDEX('CAT_ACTIVIDADES'!$D$4:$D$11,MATCH($H1187,'CAT_ACTIVIDADES'!$A$4:$A$11,0)),""))=0,(IFERROR(INDEX('CAT_ACTIVIDADES'!$D$4:$D$11,MATCH($H1187,'CAT_ACTIVIDADES'!$A$4:$A$11,0)),""))=""),"SIN CLASIFICAR",IFERROR(INDEX('CAT_ACTIVIDADES'!$D$4:$D$11,MATCH($H1187,'CAT_ACTIVIDADES'!$A$4:$A$11,0)),"")))</f>
        <v/>
      </c>
      <c r="AO1187" s="4" t="n"/>
      <c r="AP1187" s="4" t="n"/>
      <c r="AQ1187" s="4" t="n"/>
      <c r="AR1187" s="5">
        <f>IF($AQ1187="","",HYPERLINK(p_ruta_base_checklists&amp;$AQ1187,"abrir"))</f>
        <v/>
      </c>
      <c r="AS1187" s="4" t="n"/>
      <c r="AT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2" t="n"/>
      <c r="K1188" s="5" t="n"/>
      <c r="L1188" s="18" t="n"/>
      <c r="M1188" s="5">
        <f>IF($A1188="","",IFERROR(INDEX('AJUSTES'!$B$4:$B$303,MATCH($AT1188,'AJUSTES'!$A$4:$A$303,0)),IF($K1188="","",$K1188)))</f>
        <v/>
      </c>
      <c r="N1188" s="5">
        <f>IF($A1188="","",IFERROR(INDEX('CAT_ESTADOS_ERP'!$B$4:$B$7,MATCH(IFERROR(INDEX('2_IMPORTAR_EJECUCION'!$C$9:$C$1208,MATCH($AT1188,'2_IMPORTAR_EJECUCION'!$J$9:$J$1208,0)),""),'CAT_ESTADOS_ERP'!$A$4:$A$7,0)),"Pendiente"))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IF($J1188="","",$P1188&amp;"-"&amp;TEXT($Q1188,"00"))</f>
        <v/>
      </c>
      <c r="S1188" s="5">
        <f>IF($J1188="","",INDEX(lista_dias,WEEKDAY($J1188,2)))</f>
        <v/>
      </c>
      <c r="T1188" s="5">
        <f>IF($J1188="","",IFERROR(INDEX('CALENDARIO'!$C$15:$C$214,MATCH(TEXT($J1188,"yyyy-mm-dd")&amp;"|"&amp;$X1188&amp;"|"&amp;$Y1188,'CALENDARIO'!$G$15:$G$214,0)),IFERROR(INDEX('CALENDARIO'!$C$15:$C$214,MATCH(TEXT($J1188,"yyyy-mm-dd")&amp;"|"&amp;$X1188&amp;"|",'CALENDARIO'!$G$15:$G$214,0)),IFERROR(INDEX('CALENDARIO'!$C$15:$C$214,MATCH(TEXT($J1188,"yyyy-mm-dd")&amp;"||",'CALENDARIO'!$G$15:$G$214,0)),INDEX(patronHabil,WEEKDAY($J1188,2))))))</f>
        <v/>
      </c>
      <c r="U1188" s="5">
        <f>IF($I1188="","",IFERROR(INDEX('CAT_TIPOS_OT'!$C$4:$C$8,MATCH($I1188,'CAT_TIPOS_OT'!$A$4:$A$8,0)),"sin_clasificar"))</f>
        <v/>
      </c>
      <c r="V1188" s="5">
        <f>IF($I1188="","",IF(IFERROR(INDEX('CAT_TIPOS_OT'!$D$4:$D$8,MATCH($I1188,'CAT_TIPOS_OT'!$A$4:$A$8,0)),"SIN CLASIFICAR")="","SIN CLASIFICAR",IFERROR(INDEX('CAT_TIPOS_OT'!$D$4:$D$8,MATCH($I1188,'CAT_TIPOS_OT'!$A$4:$A$8,0)),"SIN CLASIFICAR")))</f>
        <v/>
      </c>
      <c r="W1188" s="5">
        <f>IF($F1188="","",IFERROR(INDEX('CAT_CENTROS_COSTO'!$F$4:$F$13,MATCH($F1188,'CAT_CENTROS_COSTO'!$A$4:$A$13,0)),"(sin catálogo)"))</f>
        <v/>
      </c>
      <c r="X1188" s="5">
        <f>IF($F1188="","",IFERROR(INDEX('CAT_CENTROS_COSTO'!$D$4:$D$13,MATCH($F1188,'CAT_CENTROS_COSTO'!$A$4:$A$13,0)),"(sin catálogo)"))</f>
        <v/>
      </c>
      <c r="Y1188" s="5">
        <f>IF($F1188="","",IF((IFERROR(INDEX('CAT_CENTROS_COSTO'!$E$4:$E$13,MATCH($F1188,'CAT_CENTROS_COSTO'!$A$4:$A$13,0)),""))&lt;&gt;"",IFERROR(INDEX('CAT_CENTROS_COSTO'!$E$4:$E$13,MATCH($F1188,'CAT_CENTROS_COSTO'!$A$4:$A$13,0)),""),$X1188))</f>
        <v/>
      </c>
      <c r="Z1188" s="5">
        <f>IF($F1188="","",IFERROR(INDEX('CAT_CENTROS_COSTO'!$G$4:$G$13,MATCH($F1188,'CAT_CENTROS_COSTO'!$A$4:$A$13,0)),"(sin catálogo)"))</f>
        <v/>
      </c>
      <c r="AA1188" s="5">
        <f>IF($G1188="","",IFERROR(INDEX('CAT_PUESTOS'!$B$4:$B$8,MATCH($G1188,'CAT_PUESTOS'!$A$4:$A$8,0)),"(sin catálogo)"))</f>
        <v/>
      </c>
      <c r="AB1188" s="5">
        <f>IF($H1188="","",IFERROR(INDEX('CAT_ACTIVIDADES'!$B$4:$B$11,MATCH($H1188,'CAT_ACTIVIDADES'!$A$4:$A$11,0)),"(sin catálogo)"))</f>
        <v/>
      </c>
      <c r="AC1188" s="20">
        <f>IF($J1188="","",TODAY()-$J1188)</f>
        <v/>
      </c>
      <c r="AD1188" s="20">
        <f>IF($J1188="","",IF($J1188&lt;=TODAY(),COUNTIFS(cal_fechas,"&gt;="&amp;$J1188,cal_fechas,"&lt;"&amp;TODAY(),cal_habil,"sí"),-COUNTIFS(cal_fechas,"&gt;="&amp;TODAY(),cal_fechas,"&lt;"&amp;$J1188,cal_habil,"sí")))</f>
        <v/>
      </c>
      <c r="AE1188" s="5">
        <f>IF($AD1188="","",IF($AD1188&lt;0,"FUTURO",IF($AD1188&gt;p_dias_backlog_max,"BACKLOG","MES CORRIENTE")))</f>
        <v/>
      </c>
      <c r="AF1188" s="5">
        <f>IF($AD1188="",FALSE,AND($AD1188&gt;p_dias_backlog_min,$AD1188&lt;=p_dias_backlog_max))</f>
        <v/>
      </c>
      <c r="AG1188" s="4" t="n"/>
      <c r="AH1188" s="5">
        <f>IF($AG1188="","",IF((IFERROR(INDEX('ASIGNACIONES'!$J$4:$J$451,MATCH($O1188&amp;"|"&amp;$S1188&amp;"|"&amp;$AG1188,'ASIGNACIONES'!$N$4:$N$451,0)),""))=0,"",IFERROR(INDEX('ASIGNACIONES'!$J$4:$J$451,MATCH($O1188&amp;"|"&amp;$S1188&amp;"|"&amp;$AG1188,'ASIGNACIONES'!$N$4:$N$451,0)),"")))</f>
        <v/>
      </c>
      <c r="AI1188" s="25">
        <f>IF($AG1188="","",SUMIFS('ORDENES'!$M$4:$M$1203,'ORDENES'!$AG$4:$AG$1203,$AG1188,'ORDENES'!$O$4:$O$1203,$O1188,'ORDENES'!$S$4:$S$1203,$S1188))</f>
        <v/>
      </c>
      <c r="AJ1188" s="25">
        <f>IF($AI1188="","",p_factor_productividad*IFERROR(INDEX('ASIGNACIONES'!$M$4:$M$451,MATCH($O1188&amp;"|"&amp;$S1188&amp;"|"&amp;$AG1188,'ASIGNACIONES'!$N$4:$N$451,0)),0)-$AI1188)</f>
        <v/>
      </c>
      <c r="AK1188" s="18">
        <f>IF($A1188="","",IFERROR(INDEX('2_IMPORTAR_EJECUCION'!$F$9:$F$1208,MATCH($AT1188,'2_IMPORTAR_EJECUCION'!$J$9:$J$1208,0)),0))</f>
        <v/>
      </c>
      <c r="AL1188" s="18">
        <f>IF($A1188="","",MAX(0,IFERROR(INDEX('2_IMPORTAR_EJECUCION'!$H$9:$H$1208,MATCH($AT1188,'2_IMPORTAR_EJECUCION'!$J$9:$J$1208,0)),0)-$AK1188))</f>
        <v/>
      </c>
      <c r="AM1188" s="18">
        <f>IF($A1188="","",$AK1188+$AL1188)</f>
        <v/>
      </c>
      <c r="AN1188" s="5">
        <f>IF($A1188="","",IF(OR((IFERROR(INDEX('CAT_ACTIVIDADES'!$D$4:$D$11,MATCH($H1188,'CAT_ACTIVIDADES'!$A$4:$A$11,0)),""))=0,(IFERROR(INDEX('CAT_ACTIVIDADES'!$D$4:$D$11,MATCH($H1188,'CAT_ACTIVIDADES'!$A$4:$A$11,0)),""))=""),"SIN CLASIFICAR",IFERROR(INDEX('CAT_ACTIVIDADES'!$D$4:$D$11,MATCH($H1188,'CAT_ACTIVIDADES'!$A$4:$A$11,0)),"")))</f>
        <v/>
      </c>
      <c r="AO1188" s="4" t="n"/>
      <c r="AP1188" s="4" t="n"/>
      <c r="AQ1188" s="4" t="n"/>
      <c r="AR1188" s="5">
        <f>IF($AQ1188="","",HYPERLINK(p_ruta_base_checklists&amp;$AQ1188,"abrir"))</f>
        <v/>
      </c>
      <c r="AS1188" s="4" t="n"/>
      <c r="AT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2" t="n"/>
      <c r="K1189" s="5" t="n"/>
      <c r="L1189" s="18" t="n"/>
      <c r="M1189" s="5">
        <f>IF($A1189="","",IFERROR(INDEX('AJUSTES'!$B$4:$B$303,MATCH($AT1189,'AJUSTES'!$A$4:$A$303,0)),IF($K1189="","",$K1189)))</f>
        <v/>
      </c>
      <c r="N1189" s="5">
        <f>IF($A1189="","",IFERROR(INDEX('CAT_ESTADOS_ERP'!$B$4:$B$7,MATCH(IFERROR(INDEX('2_IMPORTAR_EJECUCION'!$C$9:$C$1208,MATCH($AT1189,'2_IMPORTAR_EJECUCION'!$J$9:$J$1208,0)),""),'CAT_ESTADOS_ERP'!$A$4:$A$7,0)),"Pendiente"))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IF($J1189="","",$P1189&amp;"-"&amp;TEXT($Q1189,"00"))</f>
        <v/>
      </c>
      <c r="S1189" s="5">
        <f>IF($J1189="","",INDEX(lista_dias,WEEKDAY($J1189,2)))</f>
        <v/>
      </c>
      <c r="T1189" s="5">
        <f>IF($J1189="","",IFERROR(INDEX('CALENDARIO'!$C$15:$C$214,MATCH(TEXT($J1189,"yyyy-mm-dd")&amp;"|"&amp;$X1189&amp;"|"&amp;$Y1189,'CALENDARIO'!$G$15:$G$214,0)),IFERROR(INDEX('CALENDARIO'!$C$15:$C$214,MATCH(TEXT($J1189,"yyyy-mm-dd")&amp;"|"&amp;$X1189&amp;"|",'CALENDARIO'!$G$15:$G$214,0)),IFERROR(INDEX('CALENDARIO'!$C$15:$C$214,MATCH(TEXT($J1189,"yyyy-mm-dd")&amp;"||",'CALENDARIO'!$G$15:$G$214,0)),INDEX(patronHabil,WEEKDAY($J1189,2))))))</f>
        <v/>
      </c>
      <c r="U1189" s="5">
        <f>IF($I1189="","",IFERROR(INDEX('CAT_TIPOS_OT'!$C$4:$C$8,MATCH($I1189,'CAT_TIPOS_OT'!$A$4:$A$8,0)),"sin_clasificar"))</f>
        <v/>
      </c>
      <c r="V1189" s="5">
        <f>IF($I1189="","",IF(IFERROR(INDEX('CAT_TIPOS_OT'!$D$4:$D$8,MATCH($I1189,'CAT_TIPOS_OT'!$A$4:$A$8,0)),"SIN CLASIFICAR")="","SIN CLASIFICAR",IFERROR(INDEX('CAT_TIPOS_OT'!$D$4:$D$8,MATCH($I1189,'CAT_TIPOS_OT'!$A$4:$A$8,0)),"SIN CLASIFICAR")))</f>
        <v/>
      </c>
      <c r="W1189" s="5">
        <f>IF($F1189="","",IFERROR(INDEX('CAT_CENTROS_COSTO'!$F$4:$F$13,MATCH($F1189,'CAT_CENTROS_COSTO'!$A$4:$A$13,0)),"(sin catálogo)"))</f>
        <v/>
      </c>
      <c r="X1189" s="5">
        <f>IF($F1189="","",IFERROR(INDEX('CAT_CENTROS_COSTO'!$D$4:$D$13,MATCH($F1189,'CAT_CENTROS_COSTO'!$A$4:$A$13,0)),"(sin catálogo)"))</f>
        <v/>
      </c>
      <c r="Y1189" s="5">
        <f>IF($F1189="","",IF((IFERROR(INDEX('CAT_CENTROS_COSTO'!$E$4:$E$13,MATCH($F1189,'CAT_CENTROS_COSTO'!$A$4:$A$13,0)),""))&lt;&gt;"",IFERROR(INDEX('CAT_CENTROS_COSTO'!$E$4:$E$13,MATCH($F1189,'CAT_CENTROS_COSTO'!$A$4:$A$13,0)),""),$X1189))</f>
        <v/>
      </c>
      <c r="Z1189" s="5">
        <f>IF($F1189="","",IFERROR(INDEX('CAT_CENTROS_COSTO'!$G$4:$G$13,MATCH($F1189,'CAT_CENTROS_COSTO'!$A$4:$A$13,0)),"(sin catálogo)"))</f>
        <v/>
      </c>
      <c r="AA1189" s="5">
        <f>IF($G1189="","",IFERROR(INDEX('CAT_PUESTOS'!$B$4:$B$8,MATCH($G1189,'CAT_PUESTOS'!$A$4:$A$8,0)),"(sin catálogo)"))</f>
        <v/>
      </c>
      <c r="AB1189" s="5">
        <f>IF($H1189="","",IFERROR(INDEX('CAT_ACTIVIDADES'!$B$4:$B$11,MATCH($H1189,'CAT_ACTIVIDADES'!$A$4:$A$11,0)),"(sin catálogo)"))</f>
        <v/>
      </c>
      <c r="AC1189" s="20">
        <f>IF($J1189="","",TODAY()-$J1189)</f>
        <v/>
      </c>
      <c r="AD1189" s="20">
        <f>IF($J1189="","",IF($J1189&lt;=TODAY(),COUNTIFS(cal_fechas,"&gt;="&amp;$J1189,cal_fechas,"&lt;"&amp;TODAY(),cal_habil,"sí"),-COUNTIFS(cal_fechas,"&gt;="&amp;TODAY(),cal_fechas,"&lt;"&amp;$J1189,cal_habil,"sí")))</f>
        <v/>
      </c>
      <c r="AE1189" s="5">
        <f>IF($AD1189="","",IF($AD1189&lt;0,"FUTURO",IF($AD1189&gt;p_dias_backlog_max,"BACKLOG","MES CORRIENTE")))</f>
        <v/>
      </c>
      <c r="AF1189" s="5">
        <f>IF($AD1189="",FALSE,AND($AD1189&gt;p_dias_backlog_min,$AD1189&lt;=p_dias_backlog_max))</f>
        <v/>
      </c>
      <c r="AG1189" s="4" t="n"/>
      <c r="AH1189" s="5">
        <f>IF($AG1189="","",IF((IFERROR(INDEX('ASIGNACIONES'!$J$4:$J$451,MATCH($O1189&amp;"|"&amp;$S1189&amp;"|"&amp;$AG1189,'ASIGNACIONES'!$N$4:$N$451,0)),""))=0,"",IFERROR(INDEX('ASIGNACIONES'!$J$4:$J$451,MATCH($O1189&amp;"|"&amp;$S1189&amp;"|"&amp;$AG1189,'ASIGNACIONES'!$N$4:$N$451,0)),"")))</f>
        <v/>
      </c>
      <c r="AI1189" s="25">
        <f>IF($AG1189="","",SUMIFS('ORDENES'!$M$4:$M$1203,'ORDENES'!$AG$4:$AG$1203,$AG1189,'ORDENES'!$O$4:$O$1203,$O1189,'ORDENES'!$S$4:$S$1203,$S1189))</f>
        <v/>
      </c>
      <c r="AJ1189" s="25">
        <f>IF($AI1189="","",p_factor_productividad*IFERROR(INDEX('ASIGNACIONES'!$M$4:$M$451,MATCH($O1189&amp;"|"&amp;$S1189&amp;"|"&amp;$AG1189,'ASIGNACIONES'!$N$4:$N$451,0)),0)-$AI1189)</f>
        <v/>
      </c>
      <c r="AK1189" s="18">
        <f>IF($A1189="","",IFERROR(INDEX('2_IMPORTAR_EJECUCION'!$F$9:$F$1208,MATCH($AT1189,'2_IMPORTAR_EJECUCION'!$J$9:$J$1208,0)),0))</f>
        <v/>
      </c>
      <c r="AL1189" s="18">
        <f>IF($A1189="","",MAX(0,IFERROR(INDEX('2_IMPORTAR_EJECUCION'!$H$9:$H$1208,MATCH($AT1189,'2_IMPORTAR_EJECUCION'!$J$9:$J$1208,0)),0)-$AK1189))</f>
        <v/>
      </c>
      <c r="AM1189" s="18">
        <f>IF($A1189="","",$AK1189+$AL1189)</f>
        <v/>
      </c>
      <c r="AN1189" s="5">
        <f>IF($A1189="","",IF(OR((IFERROR(INDEX('CAT_ACTIVIDADES'!$D$4:$D$11,MATCH($H1189,'CAT_ACTIVIDADES'!$A$4:$A$11,0)),""))=0,(IFERROR(INDEX('CAT_ACTIVIDADES'!$D$4:$D$11,MATCH($H1189,'CAT_ACTIVIDADES'!$A$4:$A$11,0)),""))=""),"SIN CLASIFICAR",IFERROR(INDEX('CAT_ACTIVIDADES'!$D$4:$D$11,MATCH($H1189,'CAT_ACTIVIDADES'!$A$4:$A$11,0)),"")))</f>
        <v/>
      </c>
      <c r="AO1189" s="4" t="n"/>
      <c r="AP1189" s="4" t="n"/>
      <c r="AQ1189" s="4" t="n"/>
      <c r="AR1189" s="5">
        <f>IF($AQ1189="","",HYPERLINK(p_ruta_base_checklists&amp;$AQ1189,"abrir"))</f>
        <v/>
      </c>
      <c r="AS1189" s="4" t="n"/>
      <c r="AT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2" t="n"/>
      <c r="K1190" s="5" t="n"/>
      <c r="L1190" s="18" t="n"/>
      <c r="M1190" s="5">
        <f>IF($A1190="","",IFERROR(INDEX('AJUSTES'!$B$4:$B$303,MATCH($AT1190,'AJUSTES'!$A$4:$A$303,0)),IF($K1190="","",$K1190)))</f>
        <v/>
      </c>
      <c r="N1190" s="5">
        <f>IF($A1190="","",IFERROR(INDEX('CAT_ESTADOS_ERP'!$B$4:$B$7,MATCH(IFERROR(INDEX('2_IMPORTAR_EJECUCION'!$C$9:$C$1208,MATCH($AT1190,'2_IMPORTAR_EJECUCION'!$J$9:$J$1208,0)),""),'CAT_ESTADOS_ERP'!$A$4:$A$7,0)),"Pendiente"))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IF($J1190="","",$P1190&amp;"-"&amp;TEXT($Q1190,"00"))</f>
        <v/>
      </c>
      <c r="S1190" s="5">
        <f>IF($J1190="","",INDEX(lista_dias,WEEKDAY($J1190,2)))</f>
        <v/>
      </c>
      <c r="T1190" s="5">
        <f>IF($J1190="","",IFERROR(INDEX('CALENDARIO'!$C$15:$C$214,MATCH(TEXT($J1190,"yyyy-mm-dd")&amp;"|"&amp;$X1190&amp;"|"&amp;$Y1190,'CALENDARIO'!$G$15:$G$214,0)),IFERROR(INDEX('CALENDARIO'!$C$15:$C$214,MATCH(TEXT($J1190,"yyyy-mm-dd")&amp;"|"&amp;$X1190&amp;"|",'CALENDARIO'!$G$15:$G$214,0)),IFERROR(INDEX('CALENDARIO'!$C$15:$C$214,MATCH(TEXT($J1190,"yyyy-mm-dd")&amp;"||",'CALENDARIO'!$G$15:$G$214,0)),INDEX(patronHabil,WEEKDAY($J1190,2))))))</f>
        <v/>
      </c>
      <c r="U1190" s="5">
        <f>IF($I1190="","",IFERROR(INDEX('CAT_TIPOS_OT'!$C$4:$C$8,MATCH($I1190,'CAT_TIPOS_OT'!$A$4:$A$8,0)),"sin_clasificar"))</f>
        <v/>
      </c>
      <c r="V1190" s="5">
        <f>IF($I1190="","",IF(IFERROR(INDEX('CAT_TIPOS_OT'!$D$4:$D$8,MATCH($I1190,'CAT_TIPOS_OT'!$A$4:$A$8,0)),"SIN CLASIFICAR")="","SIN CLASIFICAR",IFERROR(INDEX('CAT_TIPOS_OT'!$D$4:$D$8,MATCH($I1190,'CAT_TIPOS_OT'!$A$4:$A$8,0)),"SIN CLASIFICAR")))</f>
        <v/>
      </c>
      <c r="W1190" s="5">
        <f>IF($F1190="","",IFERROR(INDEX('CAT_CENTROS_COSTO'!$F$4:$F$13,MATCH($F1190,'CAT_CENTROS_COSTO'!$A$4:$A$13,0)),"(sin catálogo)"))</f>
        <v/>
      </c>
      <c r="X1190" s="5">
        <f>IF($F1190="","",IFERROR(INDEX('CAT_CENTROS_COSTO'!$D$4:$D$13,MATCH($F1190,'CAT_CENTROS_COSTO'!$A$4:$A$13,0)),"(sin catálogo)"))</f>
        <v/>
      </c>
      <c r="Y1190" s="5">
        <f>IF($F1190="","",IF((IFERROR(INDEX('CAT_CENTROS_COSTO'!$E$4:$E$13,MATCH($F1190,'CAT_CENTROS_COSTO'!$A$4:$A$13,0)),""))&lt;&gt;"",IFERROR(INDEX('CAT_CENTROS_COSTO'!$E$4:$E$13,MATCH($F1190,'CAT_CENTROS_COSTO'!$A$4:$A$13,0)),""),$X1190))</f>
        <v/>
      </c>
      <c r="Z1190" s="5">
        <f>IF($F1190="","",IFERROR(INDEX('CAT_CENTROS_COSTO'!$G$4:$G$13,MATCH($F1190,'CAT_CENTROS_COSTO'!$A$4:$A$13,0)),"(sin catálogo)"))</f>
        <v/>
      </c>
      <c r="AA1190" s="5">
        <f>IF($G1190="","",IFERROR(INDEX('CAT_PUESTOS'!$B$4:$B$8,MATCH($G1190,'CAT_PUESTOS'!$A$4:$A$8,0)),"(sin catálogo)"))</f>
        <v/>
      </c>
      <c r="AB1190" s="5">
        <f>IF($H1190="","",IFERROR(INDEX('CAT_ACTIVIDADES'!$B$4:$B$11,MATCH($H1190,'CAT_ACTIVIDADES'!$A$4:$A$11,0)),"(sin catálogo)"))</f>
        <v/>
      </c>
      <c r="AC1190" s="20">
        <f>IF($J1190="","",TODAY()-$J1190)</f>
        <v/>
      </c>
      <c r="AD1190" s="20">
        <f>IF($J1190="","",IF($J1190&lt;=TODAY(),COUNTIFS(cal_fechas,"&gt;="&amp;$J1190,cal_fechas,"&lt;"&amp;TODAY(),cal_habil,"sí"),-COUNTIFS(cal_fechas,"&gt;="&amp;TODAY(),cal_fechas,"&lt;"&amp;$J1190,cal_habil,"sí")))</f>
        <v/>
      </c>
      <c r="AE1190" s="5">
        <f>IF($AD1190="","",IF($AD1190&lt;0,"FUTURO",IF($AD1190&gt;p_dias_backlog_max,"BACKLOG","MES CORRIENTE")))</f>
        <v/>
      </c>
      <c r="AF1190" s="5">
        <f>IF($AD1190="",FALSE,AND($AD1190&gt;p_dias_backlog_min,$AD1190&lt;=p_dias_backlog_max))</f>
        <v/>
      </c>
      <c r="AG1190" s="4" t="n"/>
      <c r="AH1190" s="5">
        <f>IF($AG1190="","",IF((IFERROR(INDEX('ASIGNACIONES'!$J$4:$J$451,MATCH($O1190&amp;"|"&amp;$S1190&amp;"|"&amp;$AG1190,'ASIGNACIONES'!$N$4:$N$451,0)),""))=0,"",IFERROR(INDEX('ASIGNACIONES'!$J$4:$J$451,MATCH($O1190&amp;"|"&amp;$S1190&amp;"|"&amp;$AG1190,'ASIGNACIONES'!$N$4:$N$451,0)),"")))</f>
        <v/>
      </c>
      <c r="AI1190" s="25">
        <f>IF($AG1190="","",SUMIFS('ORDENES'!$M$4:$M$1203,'ORDENES'!$AG$4:$AG$1203,$AG1190,'ORDENES'!$O$4:$O$1203,$O1190,'ORDENES'!$S$4:$S$1203,$S1190))</f>
        <v/>
      </c>
      <c r="AJ1190" s="25">
        <f>IF($AI1190="","",p_factor_productividad*IFERROR(INDEX('ASIGNACIONES'!$M$4:$M$451,MATCH($O1190&amp;"|"&amp;$S1190&amp;"|"&amp;$AG1190,'ASIGNACIONES'!$N$4:$N$451,0)),0)-$AI1190)</f>
        <v/>
      </c>
      <c r="AK1190" s="18">
        <f>IF($A1190="","",IFERROR(INDEX('2_IMPORTAR_EJECUCION'!$F$9:$F$1208,MATCH($AT1190,'2_IMPORTAR_EJECUCION'!$J$9:$J$1208,0)),0))</f>
        <v/>
      </c>
      <c r="AL1190" s="18">
        <f>IF($A1190="","",MAX(0,IFERROR(INDEX('2_IMPORTAR_EJECUCION'!$H$9:$H$1208,MATCH($AT1190,'2_IMPORTAR_EJECUCION'!$J$9:$J$1208,0)),0)-$AK1190))</f>
        <v/>
      </c>
      <c r="AM1190" s="18">
        <f>IF($A1190="","",$AK1190+$AL1190)</f>
        <v/>
      </c>
      <c r="AN1190" s="5">
        <f>IF($A1190="","",IF(OR((IFERROR(INDEX('CAT_ACTIVIDADES'!$D$4:$D$11,MATCH($H1190,'CAT_ACTIVIDADES'!$A$4:$A$11,0)),""))=0,(IFERROR(INDEX('CAT_ACTIVIDADES'!$D$4:$D$11,MATCH($H1190,'CAT_ACTIVIDADES'!$A$4:$A$11,0)),""))=""),"SIN CLASIFICAR",IFERROR(INDEX('CAT_ACTIVIDADES'!$D$4:$D$11,MATCH($H1190,'CAT_ACTIVIDADES'!$A$4:$A$11,0)),"")))</f>
        <v/>
      </c>
      <c r="AO1190" s="4" t="n"/>
      <c r="AP1190" s="4" t="n"/>
      <c r="AQ1190" s="4" t="n"/>
      <c r="AR1190" s="5">
        <f>IF($AQ1190="","",HYPERLINK(p_ruta_base_checklists&amp;$AQ1190,"abrir"))</f>
        <v/>
      </c>
      <c r="AS1190" s="4" t="n"/>
      <c r="AT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2" t="n"/>
      <c r="K1191" s="5" t="n"/>
      <c r="L1191" s="18" t="n"/>
      <c r="M1191" s="5">
        <f>IF($A1191="","",IFERROR(INDEX('AJUSTES'!$B$4:$B$303,MATCH($AT1191,'AJUSTES'!$A$4:$A$303,0)),IF($K1191="","",$K1191)))</f>
        <v/>
      </c>
      <c r="N1191" s="5">
        <f>IF($A1191="","",IFERROR(INDEX('CAT_ESTADOS_ERP'!$B$4:$B$7,MATCH(IFERROR(INDEX('2_IMPORTAR_EJECUCION'!$C$9:$C$1208,MATCH($AT1191,'2_IMPORTAR_EJECUCION'!$J$9:$J$1208,0)),""),'CAT_ESTADOS_ERP'!$A$4:$A$7,0)),"Pendiente"))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IF($J1191="","",$P1191&amp;"-"&amp;TEXT($Q1191,"00"))</f>
        <v/>
      </c>
      <c r="S1191" s="5">
        <f>IF($J1191="","",INDEX(lista_dias,WEEKDAY($J1191,2)))</f>
        <v/>
      </c>
      <c r="T1191" s="5">
        <f>IF($J1191="","",IFERROR(INDEX('CALENDARIO'!$C$15:$C$214,MATCH(TEXT($J1191,"yyyy-mm-dd")&amp;"|"&amp;$X1191&amp;"|"&amp;$Y1191,'CALENDARIO'!$G$15:$G$214,0)),IFERROR(INDEX('CALENDARIO'!$C$15:$C$214,MATCH(TEXT($J1191,"yyyy-mm-dd")&amp;"|"&amp;$X1191&amp;"|",'CALENDARIO'!$G$15:$G$214,0)),IFERROR(INDEX('CALENDARIO'!$C$15:$C$214,MATCH(TEXT($J1191,"yyyy-mm-dd")&amp;"||",'CALENDARIO'!$G$15:$G$214,0)),INDEX(patronHabil,WEEKDAY($J1191,2))))))</f>
        <v/>
      </c>
      <c r="U1191" s="5">
        <f>IF($I1191="","",IFERROR(INDEX('CAT_TIPOS_OT'!$C$4:$C$8,MATCH($I1191,'CAT_TIPOS_OT'!$A$4:$A$8,0)),"sin_clasificar"))</f>
        <v/>
      </c>
      <c r="V1191" s="5">
        <f>IF($I1191="","",IF(IFERROR(INDEX('CAT_TIPOS_OT'!$D$4:$D$8,MATCH($I1191,'CAT_TIPOS_OT'!$A$4:$A$8,0)),"SIN CLASIFICAR")="","SIN CLASIFICAR",IFERROR(INDEX('CAT_TIPOS_OT'!$D$4:$D$8,MATCH($I1191,'CAT_TIPOS_OT'!$A$4:$A$8,0)),"SIN CLASIFICAR")))</f>
        <v/>
      </c>
      <c r="W1191" s="5">
        <f>IF($F1191="","",IFERROR(INDEX('CAT_CENTROS_COSTO'!$F$4:$F$13,MATCH($F1191,'CAT_CENTROS_COSTO'!$A$4:$A$13,0)),"(sin catálogo)"))</f>
        <v/>
      </c>
      <c r="X1191" s="5">
        <f>IF($F1191="","",IFERROR(INDEX('CAT_CENTROS_COSTO'!$D$4:$D$13,MATCH($F1191,'CAT_CENTROS_COSTO'!$A$4:$A$13,0)),"(sin catálogo)"))</f>
        <v/>
      </c>
      <c r="Y1191" s="5">
        <f>IF($F1191="","",IF((IFERROR(INDEX('CAT_CENTROS_COSTO'!$E$4:$E$13,MATCH($F1191,'CAT_CENTROS_COSTO'!$A$4:$A$13,0)),""))&lt;&gt;"",IFERROR(INDEX('CAT_CENTROS_COSTO'!$E$4:$E$13,MATCH($F1191,'CAT_CENTROS_COSTO'!$A$4:$A$13,0)),""),$X1191))</f>
        <v/>
      </c>
      <c r="Z1191" s="5">
        <f>IF($F1191="","",IFERROR(INDEX('CAT_CENTROS_COSTO'!$G$4:$G$13,MATCH($F1191,'CAT_CENTROS_COSTO'!$A$4:$A$13,0)),"(sin catálogo)"))</f>
        <v/>
      </c>
      <c r="AA1191" s="5">
        <f>IF($G1191="","",IFERROR(INDEX('CAT_PUESTOS'!$B$4:$B$8,MATCH($G1191,'CAT_PUESTOS'!$A$4:$A$8,0)),"(sin catálogo)"))</f>
        <v/>
      </c>
      <c r="AB1191" s="5">
        <f>IF($H1191="","",IFERROR(INDEX('CAT_ACTIVIDADES'!$B$4:$B$11,MATCH($H1191,'CAT_ACTIVIDADES'!$A$4:$A$11,0)),"(sin catálogo)"))</f>
        <v/>
      </c>
      <c r="AC1191" s="20">
        <f>IF($J1191="","",TODAY()-$J1191)</f>
        <v/>
      </c>
      <c r="AD1191" s="20">
        <f>IF($J1191="","",IF($J1191&lt;=TODAY(),COUNTIFS(cal_fechas,"&gt;="&amp;$J1191,cal_fechas,"&lt;"&amp;TODAY(),cal_habil,"sí"),-COUNTIFS(cal_fechas,"&gt;="&amp;TODAY(),cal_fechas,"&lt;"&amp;$J1191,cal_habil,"sí")))</f>
        <v/>
      </c>
      <c r="AE1191" s="5">
        <f>IF($AD1191="","",IF($AD1191&lt;0,"FUTURO",IF($AD1191&gt;p_dias_backlog_max,"BACKLOG","MES CORRIENTE")))</f>
        <v/>
      </c>
      <c r="AF1191" s="5">
        <f>IF($AD1191="",FALSE,AND($AD1191&gt;p_dias_backlog_min,$AD1191&lt;=p_dias_backlog_max))</f>
        <v/>
      </c>
      <c r="AG1191" s="4" t="n"/>
      <c r="AH1191" s="5">
        <f>IF($AG1191="","",IF((IFERROR(INDEX('ASIGNACIONES'!$J$4:$J$451,MATCH($O1191&amp;"|"&amp;$S1191&amp;"|"&amp;$AG1191,'ASIGNACIONES'!$N$4:$N$451,0)),""))=0,"",IFERROR(INDEX('ASIGNACIONES'!$J$4:$J$451,MATCH($O1191&amp;"|"&amp;$S1191&amp;"|"&amp;$AG1191,'ASIGNACIONES'!$N$4:$N$451,0)),"")))</f>
        <v/>
      </c>
      <c r="AI1191" s="25">
        <f>IF($AG1191="","",SUMIFS('ORDENES'!$M$4:$M$1203,'ORDENES'!$AG$4:$AG$1203,$AG1191,'ORDENES'!$O$4:$O$1203,$O1191,'ORDENES'!$S$4:$S$1203,$S1191))</f>
        <v/>
      </c>
      <c r="AJ1191" s="25">
        <f>IF($AI1191="","",p_factor_productividad*IFERROR(INDEX('ASIGNACIONES'!$M$4:$M$451,MATCH($O1191&amp;"|"&amp;$S1191&amp;"|"&amp;$AG1191,'ASIGNACIONES'!$N$4:$N$451,0)),0)-$AI1191)</f>
        <v/>
      </c>
      <c r="AK1191" s="18">
        <f>IF($A1191="","",IFERROR(INDEX('2_IMPORTAR_EJECUCION'!$F$9:$F$1208,MATCH($AT1191,'2_IMPORTAR_EJECUCION'!$J$9:$J$1208,0)),0))</f>
        <v/>
      </c>
      <c r="AL1191" s="18">
        <f>IF($A1191="","",MAX(0,IFERROR(INDEX('2_IMPORTAR_EJECUCION'!$H$9:$H$1208,MATCH($AT1191,'2_IMPORTAR_EJECUCION'!$J$9:$J$1208,0)),0)-$AK1191))</f>
        <v/>
      </c>
      <c r="AM1191" s="18">
        <f>IF($A1191="","",$AK1191+$AL1191)</f>
        <v/>
      </c>
      <c r="AN1191" s="5">
        <f>IF($A1191="","",IF(OR((IFERROR(INDEX('CAT_ACTIVIDADES'!$D$4:$D$11,MATCH($H1191,'CAT_ACTIVIDADES'!$A$4:$A$11,0)),""))=0,(IFERROR(INDEX('CAT_ACTIVIDADES'!$D$4:$D$11,MATCH($H1191,'CAT_ACTIVIDADES'!$A$4:$A$11,0)),""))=""),"SIN CLASIFICAR",IFERROR(INDEX('CAT_ACTIVIDADES'!$D$4:$D$11,MATCH($H1191,'CAT_ACTIVIDADES'!$A$4:$A$11,0)),"")))</f>
        <v/>
      </c>
      <c r="AO1191" s="4" t="n"/>
      <c r="AP1191" s="4" t="n"/>
      <c r="AQ1191" s="4" t="n"/>
      <c r="AR1191" s="5">
        <f>IF($AQ1191="","",HYPERLINK(p_ruta_base_checklists&amp;$AQ1191,"abrir"))</f>
        <v/>
      </c>
      <c r="AS1191" s="4" t="n"/>
      <c r="AT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2" t="n"/>
      <c r="K1192" s="5" t="n"/>
      <c r="L1192" s="18" t="n"/>
      <c r="M1192" s="5">
        <f>IF($A1192="","",IFERROR(INDEX('AJUSTES'!$B$4:$B$303,MATCH($AT1192,'AJUSTES'!$A$4:$A$303,0)),IF($K1192="","",$K1192)))</f>
        <v/>
      </c>
      <c r="N1192" s="5">
        <f>IF($A1192="","",IFERROR(INDEX('CAT_ESTADOS_ERP'!$B$4:$B$7,MATCH(IFERROR(INDEX('2_IMPORTAR_EJECUCION'!$C$9:$C$1208,MATCH($AT1192,'2_IMPORTAR_EJECUCION'!$J$9:$J$1208,0)),""),'CAT_ESTADOS_ERP'!$A$4:$A$7,0)),"Pendiente"))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IF($J1192="","",$P1192&amp;"-"&amp;TEXT($Q1192,"00"))</f>
        <v/>
      </c>
      <c r="S1192" s="5">
        <f>IF($J1192="","",INDEX(lista_dias,WEEKDAY($J1192,2)))</f>
        <v/>
      </c>
      <c r="T1192" s="5">
        <f>IF($J1192="","",IFERROR(INDEX('CALENDARIO'!$C$15:$C$214,MATCH(TEXT($J1192,"yyyy-mm-dd")&amp;"|"&amp;$X1192&amp;"|"&amp;$Y1192,'CALENDARIO'!$G$15:$G$214,0)),IFERROR(INDEX('CALENDARIO'!$C$15:$C$214,MATCH(TEXT($J1192,"yyyy-mm-dd")&amp;"|"&amp;$X1192&amp;"|",'CALENDARIO'!$G$15:$G$214,0)),IFERROR(INDEX('CALENDARIO'!$C$15:$C$214,MATCH(TEXT($J1192,"yyyy-mm-dd")&amp;"||",'CALENDARIO'!$G$15:$G$214,0)),INDEX(patronHabil,WEEKDAY($J1192,2))))))</f>
        <v/>
      </c>
      <c r="U1192" s="5">
        <f>IF($I1192="","",IFERROR(INDEX('CAT_TIPOS_OT'!$C$4:$C$8,MATCH($I1192,'CAT_TIPOS_OT'!$A$4:$A$8,0)),"sin_clasificar"))</f>
        <v/>
      </c>
      <c r="V1192" s="5">
        <f>IF($I1192="","",IF(IFERROR(INDEX('CAT_TIPOS_OT'!$D$4:$D$8,MATCH($I1192,'CAT_TIPOS_OT'!$A$4:$A$8,0)),"SIN CLASIFICAR")="","SIN CLASIFICAR",IFERROR(INDEX('CAT_TIPOS_OT'!$D$4:$D$8,MATCH($I1192,'CAT_TIPOS_OT'!$A$4:$A$8,0)),"SIN CLASIFICAR")))</f>
        <v/>
      </c>
      <c r="W1192" s="5">
        <f>IF($F1192="","",IFERROR(INDEX('CAT_CENTROS_COSTO'!$F$4:$F$13,MATCH($F1192,'CAT_CENTROS_COSTO'!$A$4:$A$13,0)),"(sin catálogo)"))</f>
        <v/>
      </c>
      <c r="X1192" s="5">
        <f>IF($F1192="","",IFERROR(INDEX('CAT_CENTROS_COSTO'!$D$4:$D$13,MATCH($F1192,'CAT_CENTROS_COSTO'!$A$4:$A$13,0)),"(sin catálogo)"))</f>
        <v/>
      </c>
      <c r="Y1192" s="5">
        <f>IF($F1192="","",IF((IFERROR(INDEX('CAT_CENTROS_COSTO'!$E$4:$E$13,MATCH($F1192,'CAT_CENTROS_COSTO'!$A$4:$A$13,0)),""))&lt;&gt;"",IFERROR(INDEX('CAT_CENTROS_COSTO'!$E$4:$E$13,MATCH($F1192,'CAT_CENTROS_COSTO'!$A$4:$A$13,0)),""),$X1192))</f>
        <v/>
      </c>
      <c r="Z1192" s="5">
        <f>IF($F1192="","",IFERROR(INDEX('CAT_CENTROS_COSTO'!$G$4:$G$13,MATCH($F1192,'CAT_CENTROS_COSTO'!$A$4:$A$13,0)),"(sin catálogo)"))</f>
        <v/>
      </c>
      <c r="AA1192" s="5">
        <f>IF($G1192="","",IFERROR(INDEX('CAT_PUESTOS'!$B$4:$B$8,MATCH($G1192,'CAT_PUESTOS'!$A$4:$A$8,0)),"(sin catálogo)"))</f>
        <v/>
      </c>
      <c r="AB1192" s="5">
        <f>IF($H1192="","",IFERROR(INDEX('CAT_ACTIVIDADES'!$B$4:$B$11,MATCH($H1192,'CAT_ACTIVIDADES'!$A$4:$A$11,0)),"(sin catálogo)"))</f>
        <v/>
      </c>
      <c r="AC1192" s="20">
        <f>IF($J1192="","",TODAY()-$J1192)</f>
        <v/>
      </c>
      <c r="AD1192" s="20">
        <f>IF($J1192="","",IF($J1192&lt;=TODAY(),COUNTIFS(cal_fechas,"&gt;="&amp;$J1192,cal_fechas,"&lt;"&amp;TODAY(),cal_habil,"sí"),-COUNTIFS(cal_fechas,"&gt;="&amp;TODAY(),cal_fechas,"&lt;"&amp;$J1192,cal_habil,"sí")))</f>
        <v/>
      </c>
      <c r="AE1192" s="5">
        <f>IF($AD1192="","",IF($AD1192&lt;0,"FUTURO",IF($AD1192&gt;p_dias_backlog_max,"BACKLOG","MES CORRIENTE")))</f>
        <v/>
      </c>
      <c r="AF1192" s="5">
        <f>IF($AD1192="",FALSE,AND($AD1192&gt;p_dias_backlog_min,$AD1192&lt;=p_dias_backlog_max))</f>
        <v/>
      </c>
      <c r="AG1192" s="4" t="n"/>
      <c r="AH1192" s="5">
        <f>IF($AG1192="","",IF((IFERROR(INDEX('ASIGNACIONES'!$J$4:$J$451,MATCH($O1192&amp;"|"&amp;$S1192&amp;"|"&amp;$AG1192,'ASIGNACIONES'!$N$4:$N$451,0)),""))=0,"",IFERROR(INDEX('ASIGNACIONES'!$J$4:$J$451,MATCH($O1192&amp;"|"&amp;$S1192&amp;"|"&amp;$AG1192,'ASIGNACIONES'!$N$4:$N$451,0)),"")))</f>
        <v/>
      </c>
      <c r="AI1192" s="25">
        <f>IF($AG1192="","",SUMIFS('ORDENES'!$M$4:$M$1203,'ORDENES'!$AG$4:$AG$1203,$AG1192,'ORDENES'!$O$4:$O$1203,$O1192,'ORDENES'!$S$4:$S$1203,$S1192))</f>
        <v/>
      </c>
      <c r="AJ1192" s="25">
        <f>IF($AI1192="","",p_factor_productividad*IFERROR(INDEX('ASIGNACIONES'!$M$4:$M$451,MATCH($O1192&amp;"|"&amp;$S1192&amp;"|"&amp;$AG1192,'ASIGNACIONES'!$N$4:$N$451,0)),0)-$AI1192)</f>
        <v/>
      </c>
      <c r="AK1192" s="18">
        <f>IF($A1192="","",IFERROR(INDEX('2_IMPORTAR_EJECUCION'!$F$9:$F$1208,MATCH($AT1192,'2_IMPORTAR_EJECUCION'!$J$9:$J$1208,0)),0))</f>
        <v/>
      </c>
      <c r="AL1192" s="18">
        <f>IF($A1192="","",MAX(0,IFERROR(INDEX('2_IMPORTAR_EJECUCION'!$H$9:$H$1208,MATCH($AT1192,'2_IMPORTAR_EJECUCION'!$J$9:$J$1208,0)),0)-$AK1192))</f>
        <v/>
      </c>
      <c r="AM1192" s="18">
        <f>IF($A1192="","",$AK1192+$AL1192)</f>
        <v/>
      </c>
      <c r="AN1192" s="5">
        <f>IF($A1192="","",IF(OR((IFERROR(INDEX('CAT_ACTIVIDADES'!$D$4:$D$11,MATCH($H1192,'CAT_ACTIVIDADES'!$A$4:$A$11,0)),""))=0,(IFERROR(INDEX('CAT_ACTIVIDADES'!$D$4:$D$11,MATCH($H1192,'CAT_ACTIVIDADES'!$A$4:$A$11,0)),""))=""),"SIN CLASIFICAR",IFERROR(INDEX('CAT_ACTIVIDADES'!$D$4:$D$11,MATCH($H1192,'CAT_ACTIVIDADES'!$A$4:$A$11,0)),"")))</f>
        <v/>
      </c>
      <c r="AO1192" s="4" t="n"/>
      <c r="AP1192" s="4" t="n"/>
      <c r="AQ1192" s="4" t="n"/>
      <c r="AR1192" s="5">
        <f>IF($AQ1192="","",HYPERLINK(p_ruta_base_checklists&amp;$AQ1192,"abrir"))</f>
        <v/>
      </c>
      <c r="AS1192" s="4" t="n"/>
      <c r="AT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2" t="n"/>
      <c r="K1193" s="5" t="n"/>
      <c r="L1193" s="18" t="n"/>
      <c r="M1193" s="5">
        <f>IF($A1193="","",IFERROR(INDEX('AJUSTES'!$B$4:$B$303,MATCH($AT1193,'AJUSTES'!$A$4:$A$303,0)),IF($K1193="","",$K1193)))</f>
        <v/>
      </c>
      <c r="N1193" s="5">
        <f>IF($A1193="","",IFERROR(INDEX('CAT_ESTADOS_ERP'!$B$4:$B$7,MATCH(IFERROR(INDEX('2_IMPORTAR_EJECUCION'!$C$9:$C$1208,MATCH($AT1193,'2_IMPORTAR_EJECUCION'!$J$9:$J$1208,0)),""),'CAT_ESTADOS_ERP'!$A$4:$A$7,0)),"Pendiente"))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IF($J1193="","",$P1193&amp;"-"&amp;TEXT($Q1193,"00"))</f>
        <v/>
      </c>
      <c r="S1193" s="5">
        <f>IF($J1193="","",INDEX(lista_dias,WEEKDAY($J1193,2)))</f>
        <v/>
      </c>
      <c r="T1193" s="5">
        <f>IF($J1193="","",IFERROR(INDEX('CALENDARIO'!$C$15:$C$214,MATCH(TEXT($J1193,"yyyy-mm-dd")&amp;"|"&amp;$X1193&amp;"|"&amp;$Y1193,'CALENDARIO'!$G$15:$G$214,0)),IFERROR(INDEX('CALENDARIO'!$C$15:$C$214,MATCH(TEXT($J1193,"yyyy-mm-dd")&amp;"|"&amp;$X1193&amp;"|",'CALENDARIO'!$G$15:$G$214,0)),IFERROR(INDEX('CALENDARIO'!$C$15:$C$214,MATCH(TEXT($J1193,"yyyy-mm-dd")&amp;"||",'CALENDARIO'!$G$15:$G$214,0)),INDEX(patronHabil,WEEKDAY($J1193,2))))))</f>
        <v/>
      </c>
      <c r="U1193" s="5">
        <f>IF($I1193="","",IFERROR(INDEX('CAT_TIPOS_OT'!$C$4:$C$8,MATCH($I1193,'CAT_TIPOS_OT'!$A$4:$A$8,0)),"sin_clasificar"))</f>
        <v/>
      </c>
      <c r="V1193" s="5">
        <f>IF($I1193="","",IF(IFERROR(INDEX('CAT_TIPOS_OT'!$D$4:$D$8,MATCH($I1193,'CAT_TIPOS_OT'!$A$4:$A$8,0)),"SIN CLASIFICAR")="","SIN CLASIFICAR",IFERROR(INDEX('CAT_TIPOS_OT'!$D$4:$D$8,MATCH($I1193,'CAT_TIPOS_OT'!$A$4:$A$8,0)),"SIN CLASIFICAR")))</f>
        <v/>
      </c>
      <c r="W1193" s="5">
        <f>IF($F1193="","",IFERROR(INDEX('CAT_CENTROS_COSTO'!$F$4:$F$13,MATCH($F1193,'CAT_CENTROS_COSTO'!$A$4:$A$13,0)),"(sin catálogo)"))</f>
        <v/>
      </c>
      <c r="X1193" s="5">
        <f>IF($F1193="","",IFERROR(INDEX('CAT_CENTROS_COSTO'!$D$4:$D$13,MATCH($F1193,'CAT_CENTROS_COSTO'!$A$4:$A$13,0)),"(sin catálogo)"))</f>
        <v/>
      </c>
      <c r="Y1193" s="5">
        <f>IF($F1193="","",IF((IFERROR(INDEX('CAT_CENTROS_COSTO'!$E$4:$E$13,MATCH($F1193,'CAT_CENTROS_COSTO'!$A$4:$A$13,0)),""))&lt;&gt;"",IFERROR(INDEX('CAT_CENTROS_COSTO'!$E$4:$E$13,MATCH($F1193,'CAT_CENTROS_COSTO'!$A$4:$A$13,0)),""),$X1193))</f>
        <v/>
      </c>
      <c r="Z1193" s="5">
        <f>IF($F1193="","",IFERROR(INDEX('CAT_CENTROS_COSTO'!$G$4:$G$13,MATCH($F1193,'CAT_CENTROS_COSTO'!$A$4:$A$13,0)),"(sin catálogo)"))</f>
        <v/>
      </c>
      <c r="AA1193" s="5">
        <f>IF($G1193="","",IFERROR(INDEX('CAT_PUESTOS'!$B$4:$B$8,MATCH($G1193,'CAT_PUESTOS'!$A$4:$A$8,0)),"(sin catálogo)"))</f>
        <v/>
      </c>
      <c r="AB1193" s="5">
        <f>IF($H1193="","",IFERROR(INDEX('CAT_ACTIVIDADES'!$B$4:$B$11,MATCH($H1193,'CAT_ACTIVIDADES'!$A$4:$A$11,0)),"(sin catálogo)"))</f>
        <v/>
      </c>
      <c r="AC1193" s="20">
        <f>IF($J1193="","",TODAY()-$J1193)</f>
        <v/>
      </c>
      <c r="AD1193" s="20">
        <f>IF($J1193="","",IF($J1193&lt;=TODAY(),COUNTIFS(cal_fechas,"&gt;="&amp;$J1193,cal_fechas,"&lt;"&amp;TODAY(),cal_habil,"sí"),-COUNTIFS(cal_fechas,"&gt;="&amp;TODAY(),cal_fechas,"&lt;"&amp;$J1193,cal_habil,"sí")))</f>
        <v/>
      </c>
      <c r="AE1193" s="5">
        <f>IF($AD1193="","",IF($AD1193&lt;0,"FUTURO",IF($AD1193&gt;p_dias_backlog_max,"BACKLOG","MES CORRIENTE")))</f>
        <v/>
      </c>
      <c r="AF1193" s="5">
        <f>IF($AD1193="",FALSE,AND($AD1193&gt;p_dias_backlog_min,$AD1193&lt;=p_dias_backlog_max))</f>
        <v/>
      </c>
      <c r="AG1193" s="4" t="n"/>
      <c r="AH1193" s="5">
        <f>IF($AG1193="","",IF((IFERROR(INDEX('ASIGNACIONES'!$J$4:$J$451,MATCH($O1193&amp;"|"&amp;$S1193&amp;"|"&amp;$AG1193,'ASIGNACIONES'!$N$4:$N$451,0)),""))=0,"",IFERROR(INDEX('ASIGNACIONES'!$J$4:$J$451,MATCH($O1193&amp;"|"&amp;$S1193&amp;"|"&amp;$AG1193,'ASIGNACIONES'!$N$4:$N$451,0)),"")))</f>
        <v/>
      </c>
      <c r="AI1193" s="25">
        <f>IF($AG1193="","",SUMIFS('ORDENES'!$M$4:$M$1203,'ORDENES'!$AG$4:$AG$1203,$AG1193,'ORDENES'!$O$4:$O$1203,$O1193,'ORDENES'!$S$4:$S$1203,$S1193))</f>
        <v/>
      </c>
      <c r="AJ1193" s="25">
        <f>IF($AI1193="","",p_factor_productividad*IFERROR(INDEX('ASIGNACIONES'!$M$4:$M$451,MATCH($O1193&amp;"|"&amp;$S1193&amp;"|"&amp;$AG1193,'ASIGNACIONES'!$N$4:$N$451,0)),0)-$AI1193)</f>
        <v/>
      </c>
      <c r="AK1193" s="18">
        <f>IF($A1193="","",IFERROR(INDEX('2_IMPORTAR_EJECUCION'!$F$9:$F$1208,MATCH($AT1193,'2_IMPORTAR_EJECUCION'!$J$9:$J$1208,0)),0))</f>
        <v/>
      </c>
      <c r="AL1193" s="18">
        <f>IF($A1193="","",MAX(0,IFERROR(INDEX('2_IMPORTAR_EJECUCION'!$H$9:$H$1208,MATCH($AT1193,'2_IMPORTAR_EJECUCION'!$J$9:$J$1208,0)),0)-$AK1193))</f>
        <v/>
      </c>
      <c r="AM1193" s="18">
        <f>IF($A1193="","",$AK1193+$AL1193)</f>
        <v/>
      </c>
      <c r="AN1193" s="5">
        <f>IF($A1193="","",IF(OR((IFERROR(INDEX('CAT_ACTIVIDADES'!$D$4:$D$11,MATCH($H1193,'CAT_ACTIVIDADES'!$A$4:$A$11,0)),""))=0,(IFERROR(INDEX('CAT_ACTIVIDADES'!$D$4:$D$11,MATCH($H1193,'CAT_ACTIVIDADES'!$A$4:$A$11,0)),""))=""),"SIN CLASIFICAR",IFERROR(INDEX('CAT_ACTIVIDADES'!$D$4:$D$11,MATCH($H1193,'CAT_ACTIVIDADES'!$A$4:$A$11,0)),"")))</f>
        <v/>
      </c>
      <c r="AO1193" s="4" t="n"/>
      <c r="AP1193" s="4" t="n"/>
      <c r="AQ1193" s="4" t="n"/>
      <c r="AR1193" s="5">
        <f>IF($AQ1193="","",HYPERLINK(p_ruta_base_checklists&amp;$AQ1193,"abrir"))</f>
        <v/>
      </c>
      <c r="AS1193" s="4" t="n"/>
      <c r="AT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2" t="n"/>
      <c r="K1194" s="5" t="n"/>
      <c r="L1194" s="18" t="n"/>
      <c r="M1194" s="5">
        <f>IF($A1194="","",IFERROR(INDEX('AJUSTES'!$B$4:$B$303,MATCH($AT1194,'AJUSTES'!$A$4:$A$303,0)),IF($K1194="","",$K1194)))</f>
        <v/>
      </c>
      <c r="N1194" s="5">
        <f>IF($A1194="","",IFERROR(INDEX('CAT_ESTADOS_ERP'!$B$4:$B$7,MATCH(IFERROR(INDEX('2_IMPORTAR_EJECUCION'!$C$9:$C$1208,MATCH($AT1194,'2_IMPORTAR_EJECUCION'!$J$9:$J$1208,0)),""),'CAT_ESTADOS_ERP'!$A$4:$A$7,0)),"Pendiente"))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IF($J1194="","",$P1194&amp;"-"&amp;TEXT($Q1194,"00"))</f>
        <v/>
      </c>
      <c r="S1194" s="5">
        <f>IF($J1194="","",INDEX(lista_dias,WEEKDAY($J1194,2)))</f>
        <v/>
      </c>
      <c r="T1194" s="5">
        <f>IF($J1194="","",IFERROR(INDEX('CALENDARIO'!$C$15:$C$214,MATCH(TEXT($J1194,"yyyy-mm-dd")&amp;"|"&amp;$X1194&amp;"|"&amp;$Y1194,'CALENDARIO'!$G$15:$G$214,0)),IFERROR(INDEX('CALENDARIO'!$C$15:$C$214,MATCH(TEXT($J1194,"yyyy-mm-dd")&amp;"|"&amp;$X1194&amp;"|",'CALENDARIO'!$G$15:$G$214,0)),IFERROR(INDEX('CALENDARIO'!$C$15:$C$214,MATCH(TEXT($J1194,"yyyy-mm-dd")&amp;"||",'CALENDARIO'!$G$15:$G$214,0)),INDEX(patronHabil,WEEKDAY($J1194,2))))))</f>
        <v/>
      </c>
      <c r="U1194" s="5">
        <f>IF($I1194="","",IFERROR(INDEX('CAT_TIPOS_OT'!$C$4:$C$8,MATCH($I1194,'CAT_TIPOS_OT'!$A$4:$A$8,0)),"sin_clasificar"))</f>
        <v/>
      </c>
      <c r="V1194" s="5">
        <f>IF($I1194="","",IF(IFERROR(INDEX('CAT_TIPOS_OT'!$D$4:$D$8,MATCH($I1194,'CAT_TIPOS_OT'!$A$4:$A$8,0)),"SIN CLASIFICAR")="","SIN CLASIFICAR",IFERROR(INDEX('CAT_TIPOS_OT'!$D$4:$D$8,MATCH($I1194,'CAT_TIPOS_OT'!$A$4:$A$8,0)),"SIN CLASIFICAR")))</f>
        <v/>
      </c>
      <c r="W1194" s="5">
        <f>IF($F1194="","",IFERROR(INDEX('CAT_CENTROS_COSTO'!$F$4:$F$13,MATCH($F1194,'CAT_CENTROS_COSTO'!$A$4:$A$13,0)),"(sin catálogo)"))</f>
        <v/>
      </c>
      <c r="X1194" s="5">
        <f>IF($F1194="","",IFERROR(INDEX('CAT_CENTROS_COSTO'!$D$4:$D$13,MATCH($F1194,'CAT_CENTROS_COSTO'!$A$4:$A$13,0)),"(sin catálogo)"))</f>
        <v/>
      </c>
      <c r="Y1194" s="5">
        <f>IF($F1194="","",IF((IFERROR(INDEX('CAT_CENTROS_COSTO'!$E$4:$E$13,MATCH($F1194,'CAT_CENTROS_COSTO'!$A$4:$A$13,0)),""))&lt;&gt;"",IFERROR(INDEX('CAT_CENTROS_COSTO'!$E$4:$E$13,MATCH($F1194,'CAT_CENTROS_COSTO'!$A$4:$A$13,0)),""),$X1194))</f>
        <v/>
      </c>
      <c r="Z1194" s="5">
        <f>IF($F1194="","",IFERROR(INDEX('CAT_CENTROS_COSTO'!$G$4:$G$13,MATCH($F1194,'CAT_CENTROS_COSTO'!$A$4:$A$13,0)),"(sin catálogo)"))</f>
        <v/>
      </c>
      <c r="AA1194" s="5">
        <f>IF($G1194="","",IFERROR(INDEX('CAT_PUESTOS'!$B$4:$B$8,MATCH($G1194,'CAT_PUESTOS'!$A$4:$A$8,0)),"(sin catálogo)"))</f>
        <v/>
      </c>
      <c r="AB1194" s="5">
        <f>IF($H1194="","",IFERROR(INDEX('CAT_ACTIVIDADES'!$B$4:$B$11,MATCH($H1194,'CAT_ACTIVIDADES'!$A$4:$A$11,0)),"(sin catálogo)"))</f>
        <v/>
      </c>
      <c r="AC1194" s="20">
        <f>IF($J1194="","",TODAY()-$J1194)</f>
        <v/>
      </c>
      <c r="AD1194" s="20">
        <f>IF($J1194="","",IF($J1194&lt;=TODAY(),COUNTIFS(cal_fechas,"&gt;="&amp;$J1194,cal_fechas,"&lt;"&amp;TODAY(),cal_habil,"sí"),-COUNTIFS(cal_fechas,"&gt;="&amp;TODAY(),cal_fechas,"&lt;"&amp;$J1194,cal_habil,"sí")))</f>
        <v/>
      </c>
      <c r="AE1194" s="5">
        <f>IF($AD1194="","",IF($AD1194&lt;0,"FUTURO",IF($AD1194&gt;p_dias_backlog_max,"BACKLOG","MES CORRIENTE")))</f>
        <v/>
      </c>
      <c r="AF1194" s="5">
        <f>IF($AD1194="",FALSE,AND($AD1194&gt;p_dias_backlog_min,$AD1194&lt;=p_dias_backlog_max))</f>
        <v/>
      </c>
      <c r="AG1194" s="4" t="n"/>
      <c r="AH1194" s="5">
        <f>IF($AG1194="","",IF((IFERROR(INDEX('ASIGNACIONES'!$J$4:$J$451,MATCH($O1194&amp;"|"&amp;$S1194&amp;"|"&amp;$AG1194,'ASIGNACIONES'!$N$4:$N$451,0)),""))=0,"",IFERROR(INDEX('ASIGNACIONES'!$J$4:$J$451,MATCH($O1194&amp;"|"&amp;$S1194&amp;"|"&amp;$AG1194,'ASIGNACIONES'!$N$4:$N$451,0)),"")))</f>
        <v/>
      </c>
      <c r="AI1194" s="25">
        <f>IF($AG1194="","",SUMIFS('ORDENES'!$M$4:$M$1203,'ORDENES'!$AG$4:$AG$1203,$AG1194,'ORDENES'!$O$4:$O$1203,$O1194,'ORDENES'!$S$4:$S$1203,$S1194))</f>
        <v/>
      </c>
      <c r="AJ1194" s="25">
        <f>IF($AI1194="","",p_factor_productividad*IFERROR(INDEX('ASIGNACIONES'!$M$4:$M$451,MATCH($O1194&amp;"|"&amp;$S1194&amp;"|"&amp;$AG1194,'ASIGNACIONES'!$N$4:$N$451,0)),0)-$AI1194)</f>
        <v/>
      </c>
      <c r="AK1194" s="18">
        <f>IF($A1194="","",IFERROR(INDEX('2_IMPORTAR_EJECUCION'!$F$9:$F$1208,MATCH($AT1194,'2_IMPORTAR_EJECUCION'!$J$9:$J$1208,0)),0))</f>
        <v/>
      </c>
      <c r="AL1194" s="18">
        <f>IF($A1194="","",MAX(0,IFERROR(INDEX('2_IMPORTAR_EJECUCION'!$H$9:$H$1208,MATCH($AT1194,'2_IMPORTAR_EJECUCION'!$J$9:$J$1208,0)),0)-$AK1194))</f>
        <v/>
      </c>
      <c r="AM1194" s="18">
        <f>IF($A1194="","",$AK1194+$AL1194)</f>
        <v/>
      </c>
      <c r="AN1194" s="5">
        <f>IF($A1194="","",IF(OR((IFERROR(INDEX('CAT_ACTIVIDADES'!$D$4:$D$11,MATCH($H1194,'CAT_ACTIVIDADES'!$A$4:$A$11,0)),""))=0,(IFERROR(INDEX('CAT_ACTIVIDADES'!$D$4:$D$11,MATCH($H1194,'CAT_ACTIVIDADES'!$A$4:$A$11,0)),""))=""),"SIN CLASIFICAR",IFERROR(INDEX('CAT_ACTIVIDADES'!$D$4:$D$11,MATCH($H1194,'CAT_ACTIVIDADES'!$A$4:$A$11,0)),"")))</f>
        <v/>
      </c>
      <c r="AO1194" s="4" t="n"/>
      <c r="AP1194" s="4" t="n"/>
      <c r="AQ1194" s="4" t="n"/>
      <c r="AR1194" s="5">
        <f>IF($AQ1194="","",HYPERLINK(p_ruta_base_checklists&amp;$AQ1194,"abrir"))</f>
        <v/>
      </c>
      <c r="AS1194" s="4" t="n"/>
      <c r="AT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2" t="n"/>
      <c r="K1195" s="5" t="n"/>
      <c r="L1195" s="18" t="n"/>
      <c r="M1195" s="5">
        <f>IF($A1195="","",IFERROR(INDEX('AJUSTES'!$B$4:$B$303,MATCH($AT1195,'AJUSTES'!$A$4:$A$303,0)),IF($K1195="","",$K1195)))</f>
        <v/>
      </c>
      <c r="N1195" s="5">
        <f>IF($A1195="","",IFERROR(INDEX('CAT_ESTADOS_ERP'!$B$4:$B$7,MATCH(IFERROR(INDEX('2_IMPORTAR_EJECUCION'!$C$9:$C$1208,MATCH($AT1195,'2_IMPORTAR_EJECUCION'!$J$9:$J$1208,0)),""),'CAT_ESTADOS_ERP'!$A$4:$A$7,0)),"Pendiente"))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IF($J1195="","",$P1195&amp;"-"&amp;TEXT($Q1195,"00"))</f>
        <v/>
      </c>
      <c r="S1195" s="5">
        <f>IF($J1195="","",INDEX(lista_dias,WEEKDAY($J1195,2)))</f>
        <v/>
      </c>
      <c r="T1195" s="5">
        <f>IF($J1195="","",IFERROR(INDEX('CALENDARIO'!$C$15:$C$214,MATCH(TEXT($J1195,"yyyy-mm-dd")&amp;"|"&amp;$X1195&amp;"|"&amp;$Y1195,'CALENDARIO'!$G$15:$G$214,0)),IFERROR(INDEX('CALENDARIO'!$C$15:$C$214,MATCH(TEXT($J1195,"yyyy-mm-dd")&amp;"|"&amp;$X1195&amp;"|",'CALENDARIO'!$G$15:$G$214,0)),IFERROR(INDEX('CALENDARIO'!$C$15:$C$214,MATCH(TEXT($J1195,"yyyy-mm-dd")&amp;"||",'CALENDARIO'!$G$15:$G$214,0)),INDEX(patronHabil,WEEKDAY($J1195,2))))))</f>
        <v/>
      </c>
      <c r="U1195" s="5">
        <f>IF($I1195="","",IFERROR(INDEX('CAT_TIPOS_OT'!$C$4:$C$8,MATCH($I1195,'CAT_TIPOS_OT'!$A$4:$A$8,0)),"sin_clasificar"))</f>
        <v/>
      </c>
      <c r="V1195" s="5">
        <f>IF($I1195="","",IF(IFERROR(INDEX('CAT_TIPOS_OT'!$D$4:$D$8,MATCH($I1195,'CAT_TIPOS_OT'!$A$4:$A$8,0)),"SIN CLASIFICAR")="","SIN CLASIFICAR",IFERROR(INDEX('CAT_TIPOS_OT'!$D$4:$D$8,MATCH($I1195,'CAT_TIPOS_OT'!$A$4:$A$8,0)),"SIN CLASIFICAR")))</f>
        <v/>
      </c>
      <c r="W1195" s="5">
        <f>IF($F1195="","",IFERROR(INDEX('CAT_CENTROS_COSTO'!$F$4:$F$13,MATCH($F1195,'CAT_CENTROS_COSTO'!$A$4:$A$13,0)),"(sin catálogo)"))</f>
        <v/>
      </c>
      <c r="X1195" s="5">
        <f>IF($F1195="","",IFERROR(INDEX('CAT_CENTROS_COSTO'!$D$4:$D$13,MATCH($F1195,'CAT_CENTROS_COSTO'!$A$4:$A$13,0)),"(sin catálogo)"))</f>
        <v/>
      </c>
      <c r="Y1195" s="5">
        <f>IF($F1195="","",IF((IFERROR(INDEX('CAT_CENTROS_COSTO'!$E$4:$E$13,MATCH($F1195,'CAT_CENTROS_COSTO'!$A$4:$A$13,0)),""))&lt;&gt;"",IFERROR(INDEX('CAT_CENTROS_COSTO'!$E$4:$E$13,MATCH($F1195,'CAT_CENTROS_COSTO'!$A$4:$A$13,0)),""),$X1195))</f>
        <v/>
      </c>
      <c r="Z1195" s="5">
        <f>IF($F1195="","",IFERROR(INDEX('CAT_CENTROS_COSTO'!$G$4:$G$13,MATCH($F1195,'CAT_CENTROS_COSTO'!$A$4:$A$13,0)),"(sin catálogo)"))</f>
        <v/>
      </c>
      <c r="AA1195" s="5">
        <f>IF($G1195="","",IFERROR(INDEX('CAT_PUESTOS'!$B$4:$B$8,MATCH($G1195,'CAT_PUESTOS'!$A$4:$A$8,0)),"(sin catálogo)"))</f>
        <v/>
      </c>
      <c r="AB1195" s="5">
        <f>IF($H1195="","",IFERROR(INDEX('CAT_ACTIVIDADES'!$B$4:$B$11,MATCH($H1195,'CAT_ACTIVIDADES'!$A$4:$A$11,0)),"(sin catálogo)"))</f>
        <v/>
      </c>
      <c r="AC1195" s="20">
        <f>IF($J1195="","",TODAY()-$J1195)</f>
        <v/>
      </c>
      <c r="AD1195" s="20">
        <f>IF($J1195="","",IF($J1195&lt;=TODAY(),COUNTIFS(cal_fechas,"&gt;="&amp;$J1195,cal_fechas,"&lt;"&amp;TODAY(),cal_habil,"sí"),-COUNTIFS(cal_fechas,"&gt;="&amp;TODAY(),cal_fechas,"&lt;"&amp;$J1195,cal_habil,"sí")))</f>
        <v/>
      </c>
      <c r="AE1195" s="5">
        <f>IF($AD1195="","",IF($AD1195&lt;0,"FUTURO",IF($AD1195&gt;p_dias_backlog_max,"BACKLOG","MES CORRIENTE")))</f>
        <v/>
      </c>
      <c r="AF1195" s="5">
        <f>IF($AD1195="",FALSE,AND($AD1195&gt;p_dias_backlog_min,$AD1195&lt;=p_dias_backlog_max))</f>
        <v/>
      </c>
      <c r="AG1195" s="4" t="n"/>
      <c r="AH1195" s="5">
        <f>IF($AG1195="","",IF((IFERROR(INDEX('ASIGNACIONES'!$J$4:$J$451,MATCH($O1195&amp;"|"&amp;$S1195&amp;"|"&amp;$AG1195,'ASIGNACIONES'!$N$4:$N$451,0)),""))=0,"",IFERROR(INDEX('ASIGNACIONES'!$J$4:$J$451,MATCH($O1195&amp;"|"&amp;$S1195&amp;"|"&amp;$AG1195,'ASIGNACIONES'!$N$4:$N$451,0)),"")))</f>
        <v/>
      </c>
      <c r="AI1195" s="25">
        <f>IF($AG1195="","",SUMIFS('ORDENES'!$M$4:$M$1203,'ORDENES'!$AG$4:$AG$1203,$AG1195,'ORDENES'!$O$4:$O$1203,$O1195,'ORDENES'!$S$4:$S$1203,$S1195))</f>
        <v/>
      </c>
      <c r="AJ1195" s="25">
        <f>IF($AI1195="","",p_factor_productividad*IFERROR(INDEX('ASIGNACIONES'!$M$4:$M$451,MATCH($O1195&amp;"|"&amp;$S1195&amp;"|"&amp;$AG1195,'ASIGNACIONES'!$N$4:$N$451,0)),0)-$AI1195)</f>
        <v/>
      </c>
      <c r="AK1195" s="18">
        <f>IF($A1195="","",IFERROR(INDEX('2_IMPORTAR_EJECUCION'!$F$9:$F$1208,MATCH($AT1195,'2_IMPORTAR_EJECUCION'!$J$9:$J$1208,0)),0))</f>
        <v/>
      </c>
      <c r="AL1195" s="18">
        <f>IF($A1195="","",MAX(0,IFERROR(INDEX('2_IMPORTAR_EJECUCION'!$H$9:$H$1208,MATCH($AT1195,'2_IMPORTAR_EJECUCION'!$J$9:$J$1208,0)),0)-$AK1195))</f>
        <v/>
      </c>
      <c r="AM1195" s="18">
        <f>IF($A1195="","",$AK1195+$AL1195)</f>
        <v/>
      </c>
      <c r="AN1195" s="5">
        <f>IF($A1195="","",IF(OR((IFERROR(INDEX('CAT_ACTIVIDADES'!$D$4:$D$11,MATCH($H1195,'CAT_ACTIVIDADES'!$A$4:$A$11,0)),""))=0,(IFERROR(INDEX('CAT_ACTIVIDADES'!$D$4:$D$11,MATCH($H1195,'CAT_ACTIVIDADES'!$A$4:$A$11,0)),""))=""),"SIN CLASIFICAR",IFERROR(INDEX('CAT_ACTIVIDADES'!$D$4:$D$11,MATCH($H1195,'CAT_ACTIVIDADES'!$A$4:$A$11,0)),"")))</f>
        <v/>
      </c>
      <c r="AO1195" s="4" t="n"/>
      <c r="AP1195" s="4" t="n"/>
      <c r="AQ1195" s="4" t="n"/>
      <c r="AR1195" s="5">
        <f>IF($AQ1195="","",HYPERLINK(p_ruta_base_checklists&amp;$AQ1195,"abrir"))</f>
        <v/>
      </c>
      <c r="AS1195" s="4" t="n"/>
      <c r="AT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2" t="n"/>
      <c r="K1196" s="5" t="n"/>
      <c r="L1196" s="18" t="n"/>
      <c r="M1196" s="5">
        <f>IF($A1196="","",IFERROR(INDEX('AJUSTES'!$B$4:$B$303,MATCH($AT1196,'AJUSTES'!$A$4:$A$303,0)),IF($K1196="","",$K1196)))</f>
        <v/>
      </c>
      <c r="N1196" s="5">
        <f>IF($A1196="","",IFERROR(INDEX('CAT_ESTADOS_ERP'!$B$4:$B$7,MATCH(IFERROR(INDEX('2_IMPORTAR_EJECUCION'!$C$9:$C$1208,MATCH($AT1196,'2_IMPORTAR_EJECUCION'!$J$9:$J$1208,0)),""),'CAT_ESTADOS_ERP'!$A$4:$A$7,0)),"Pendiente"))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IF($J1196="","",$P1196&amp;"-"&amp;TEXT($Q1196,"00"))</f>
        <v/>
      </c>
      <c r="S1196" s="5">
        <f>IF($J1196="","",INDEX(lista_dias,WEEKDAY($J1196,2)))</f>
        <v/>
      </c>
      <c r="T1196" s="5">
        <f>IF($J1196="","",IFERROR(INDEX('CALENDARIO'!$C$15:$C$214,MATCH(TEXT($J1196,"yyyy-mm-dd")&amp;"|"&amp;$X1196&amp;"|"&amp;$Y1196,'CALENDARIO'!$G$15:$G$214,0)),IFERROR(INDEX('CALENDARIO'!$C$15:$C$214,MATCH(TEXT($J1196,"yyyy-mm-dd")&amp;"|"&amp;$X1196&amp;"|",'CALENDARIO'!$G$15:$G$214,0)),IFERROR(INDEX('CALENDARIO'!$C$15:$C$214,MATCH(TEXT($J1196,"yyyy-mm-dd")&amp;"||",'CALENDARIO'!$G$15:$G$214,0)),INDEX(patronHabil,WEEKDAY($J1196,2))))))</f>
        <v/>
      </c>
      <c r="U1196" s="5">
        <f>IF($I1196="","",IFERROR(INDEX('CAT_TIPOS_OT'!$C$4:$C$8,MATCH($I1196,'CAT_TIPOS_OT'!$A$4:$A$8,0)),"sin_clasificar"))</f>
        <v/>
      </c>
      <c r="V1196" s="5">
        <f>IF($I1196="","",IF(IFERROR(INDEX('CAT_TIPOS_OT'!$D$4:$D$8,MATCH($I1196,'CAT_TIPOS_OT'!$A$4:$A$8,0)),"SIN CLASIFICAR")="","SIN CLASIFICAR",IFERROR(INDEX('CAT_TIPOS_OT'!$D$4:$D$8,MATCH($I1196,'CAT_TIPOS_OT'!$A$4:$A$8,0)),"SIN CLASIFICAR")))</f>
        <v/>
      </c>
      <c r="W1196" s="5">
        <f>IF($F1196="","",IFERROR(INDEX('CAT_CENTROS_COSTO'!$F$4:$F$13,MATCH($F1196,'CAT_CENTROS_COSTO'!$A$4:$A$13,0)),"(sin catálogo)"))</f>
        <v/>
      </c>
      <c r="X1196" s="5">
        <f>IF($F1196="","",IFERROR(INDEX('CAT_CENTROS_COSTO'!$D$4:$D$13,MATCH($F1196,'CAT_CENTROS_COSTO'!$A$4:$A$13,0)),"(sin catálogo)"))</f>
        <v/>
      </c>
      <c r="Y1196" s="5">
        <f>IF($F1196="","",IF((IFERROR(INDEX('CAT_CENTROS_COSTO'!$E$4:$E$13,MATCH($F1196,'CAT_CENTROS_COSTO'!$A$4:$A$13,0)),""))&lt;&gt;"",IFERROR(INDEX('CAT_CENTROS_COSTO'!$E$4:$E$13,MATCH($F1196,'CAT_CENTROS_COSTO'!$A$4:$A$13,0)),""),$X1196))</f>
        <v/>
      </c>
      <c r="Z1196" s="5">
        <f>IF($F1196="","",IFERROR(INDEX('CAT_CENTROS_COSTO'!$G$4:$G$13,MATCH($F1196,'CAT_CENTROS_COSTO'!$A$4:$A$13,0)),"(sin catálogo)"))</f>
        <v/>
      </c>
      <c r="AA1196" s="5">
        <f>IF($G1196="","",IFERROR(INDEX('CAT_PUESTOS'!$B$4:$B$8,MATCH($G1196,'CAT_PUESTOS'!$A$4:$A$8,0)),"(sin catálogo)"))</f>
        <v/>
      </c>
      <c r="AB1196" s="5">
        <f>IF($H1196="","",IFERROR(INDEX('CAT_ACTIVIDADES'!$B$4:$B$11,MATCH($H1196,'CAT_ACTIVIDADES'!$A$4:$A$11,0)),"(sin catálogo)"))</f>
        <v/>
      </c>
      <c r="AC1196" s="20">
        <f>IF($J1196="","",TODAY()-$J1196)</f>
        <v/>
      </c>
      <c r="AD1196" s="20">
        <f>IF($J1196="","",IF($J1196&lt;=TODAY(),COUNTIFS(cal_fechas,"&gt;="&amp;$J1196,cal_fechas,"&lt;"&amp;TODAY(),cal_habil,"sí"),-COUNTIFS(cal_fechas,"&gt;="&amp;TODAY(),cal_fechas,"&lt;"&amp;$J1196,cal_habil,"sí")))</f>
        <v/>
      </c>
      <c r="AE1196" s="5">
        <f>IF($AD1196="","",IF($AD1196&lt;0,"FUTURO",IF($AD1196&gt;p_dias_backlog_max,"BACKLOG","MES CORRIENTE")))</f>
        <v/>
      </c>
      <c r="AF1196" s="5">
        <f>IF($AD1196="",FALSE,AND($AD1196&gt;p_dias_backlog_min,$AD1196&lt;=p_dias_backlog_max))</f>
        <v/>
      </c>
      <c r="AG1196" s="4" t="n"/>
      <c r="AH1196" s="5">
        <f>IF($AG1196="","",IF((IFERROR(INDEX('ASIGNACIONES'!$J$4:$J$451,MATCH($O1196&amp;"|"&amp;$S1196&amp;"|"&amp;$AG1196,'ASIGNACIONES'!$N$4:$N$451,0)),""))=0,"",IFERROR(INDEX('ASIGNACIONES'!$J$4:$J$451,MATCH($O1196&amp;"|"&amp;$S1196&amp;"|"&amp;$AG1196,'ASIGNACIONES'!$N$4:$N$451,0)),"")))</f>
        <v/>
      </c>
      <c r="AI1196" s="25">
        <f>IF($AG1196="","",SUMIFS('ORDENES'!$M$4:$M$1203,'ORDENES'!$AG$4:$AG$1203,$AG1196,'ORDENES'!$O$4:$O$1203,$O1196,'ORDENES'!$S$4:$S$1203,$S1196))</f>
        <v/>
      </c>
      <c r="AJ1196" s="25">
        <f>IF($AI1196="","",p_factor_productividad*IFERROR(INDEX('ASIGNACIONES'!$M$4:$M$451,MATCH($O1196&amp;"|"&amp;$S1196&amp;"|"&amp;$AG1196,'ASIGNACIONES'!$N$4:$N$451,0)),0)-$AI1196)</f>
        <v/>
      </c>
      <c r="AK1196" s="18">
        <f>IF($A1196="","",IFERROR(INDEX('2_IMPORTAR_EJECUCION'!$F$9:$F$1208,MATCH($AT1196,'2_IMPORTAR_EJECUCION'!$J$9:$J$1208,0)),0))</f>
        <v/>
      </c>
      <c r="AL1196" s="18">
        <f>IF($A1196="","",MAX(0,IFERROR(INDEX('2_IMPORTAR_EJECUCION'!$H$9:$H$1208,MATCH($AT1196,'2_IMPORTAR_EJECUCION'!$J$9:$J$1208,0)),0)-$AK1196))</f>
        <v/>
      </c>
      <c r="AM1196" s="18">
        <f>IF($A1196="","",$AK1196+$AL1196)</f>
        <v/>
      </c>
      <c r="AN1196" s="5">
        <f>IF($A1196="","",IF(OR((IFERROR(INDEX('CAT_ACTIVIDADES'!$D$4:$D$11,MATCH($H1196,'CAT_ACTIVIDADES'!$A$4:$A$11,0)),""))=0,(IFERROR(INDEX('CAT_ACTIVIDADES'!$D$4:$D$11,MATCH($H1196,'CAT_ACTIVIDADES'!$A$4:$A$11,0)),""))=""),"SIN CLASIFICAR",IFERROR(INDEX('CAT_ACTIVIDADES'!$D$4:$D$11,MATCH($H1196,'CAT_ACTIVIDADES'!$A$4:$A$11,0)),"")))</f>
        <v/>
      </c>
      <c r="AO1196" s="4" t="n"/>
      <c r="AP1196" s="4" t="n"/>
      <c r="AQ1196" s="4" t="n"/>
      <c r="AR1196" s="5">
        <f>IF($AQ1196="","",HYPERLINK(p_ruta_base_checklists&amp;$AQ1196,"abrir"))</f>
        <v/>
      </c>
      <c r="AS1196" s="4" t="n"/>
      <c r="AT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2" t="n"/>
      <c r="K1197" s="5" t="n"/>
      <c r="L1197" s="18" t="n"/>
      <c r="M1197" s="5">
        <f>IF($A1197="","",IFERROR(INDEX('AJUSTES'!$B$4:$B$303,MATCH($AT1197,'AJUSTES'!$A$4:$A$303,0)),IF($K1197="","",$K1197)))</f>
        <v/>
      </c>
      <c r="N1197" s="5">
        <f>IF($A1197="","",IFERROR(INDEX('CAT_ESTADOS_ERP'!$B$4:$B$7,MATCH(IFERROR(INDEX('2_IMPORTAR_EJECUCION'!$C$9:$C$1208,MATCH($AT1197,'2_IMPORTAR_EJECUCION'!$J$9:$J$1208,0)),""),'CAT_ESTADOS_ERP'!$A$4:$A$7,0)),"Pendiente"))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IF($J1197="","",$P1197&amp;"-"&amp;TEXT($Q1197,"00"))</f>
        <v/>
      </c>
      <c r="S1197" s="5">
        <f>IF($J1197="","",INDEX(lista_dias,WEEKDAY($J1197,2)))</f>
        <v/>
      </c>
      <c r="T1197" s="5">
        <f>IF($J1197="","",IFERROR(INDEX('CALENDARIO'!$C$15:$C$214,MATCH(TEXT($J1197,"yyyy-mm-dd")&amp;"|"&amp;$X1197&amp;"|"&amp;$Y1197,'CALENDARIO'!$G$15:$G$214,0)),IFERROR(INDEX('CALENDARIO'!$C$15:$C$214,MATCH(TEXT($J1197,"yyyy-mm-dd")&amp;"|"&amp;$X1197&amp;"|",'CALENDARIO'!$G$15:$G$214,0)),IFERROR(INDEX('CALENDARIO'!$C$15:$C$214,MATCH(TEXT($J1197,"yyyy-mm-dd")&amp;"||",'CALENDARIO'!$G$15:$G$214,0)),INDEX(patronHabil,WEEKDAY($J1197,2))))))</f>
        <v/>
      </c>
      <c r="U1197" s="5">
        <f>IF($I1197="","",IFERROR(INDEX('CAT_TIPOS_OT'!$C$4:$C$8,MATCH($I1197,'CAT_TIPOS_OT'!$A$4:$A$8,0)),"sin_clasificar"))</f>
        <v/>
      </c>
      <c r="V1197" s="5">
        <f>IF($I1197="","",IF(IFERROR(INDEX('CAT_TIPOS_OT'!$D$4:$D$8,MATCH($I1197,'CAT_TIPOS_OT'!$A$4:$A$8,0)),"SIN CLASIFICAR")="","SIN CLASIFICAR",IFERROR(INDEX('CAT_TIPOS_OT'!$D$4:$D$8,MATCH($I1197,'CAT_TIPOS_OT'!$A$4:$A$8,0)),"SIN CLASIFICAR")))</f>
        <v/>
      </c>
      <c r="W1197" s="5">
        <f>IF($F1197="","",IFERROR(INDEX('CAT_CENTROS_COSTO'!$F$4:$F$13,MATCH($F1197,'CAT_CENTROS_COSTO'!$A$4:$A$13,0)),"(sin catálogo)"))</f>
        <v/>
      </c>
      <c r="X1197" s="5">
        <f>IF($F1197="","",IFERROR(INDEX('CAT_CENTROS_COSTO'!$D$4:$D$13,MATCH($F1197,'CAT_CENTROS_COSTO'!$A$4:$A$13,0)),"(sin catálogo)"))</f>
        <v/>
      </c>
      <c r="Y1197" s="5">
        <f>IF($F1197="","",IF((IFERROR(INDEX('CAT_CENTROS_COSTO'!$E$4:$E$13,MATCH($F1197,'CAT_CENTROS_COSTO'!$A$4:$A$13,0)),""))&lt;&gt;"",IFERROR(INDEX('CAT_CENTROS_COSTO'!$E$4:$E$13,MATCH($F1197,'CAT_CENTROS_COSTO'!$A$4:$A$13,0)),""),$X1197))</f>
        <v/>
      </c>
      <c r="Z1197" s="5">
        <f>IF($F1197="","",IFERROR(INDEX('CAT_CENTROS_COSTO'!$G$4:$G$13,MATCH($F1197,'CAT_CENTROS_COSTO'!$A$4:$A$13,0)),"(sin catálogo)"))</f>
        <v/>
      </c>
      <c r="AA1197" s="5">
        <f>IF($G1197="","",IFERROR(INDEX('CAT_PUESTOS'!$B$4:$B$8,MATCH($G1197,'CAT_PUESTOS'!$A$4:$A$8,0)),"(sin catálogo)"))</f>
        <v/>
      </c>
      <c r="AB1197" s="5">
        <f>IF($H1197="","",IFERROR(INDEX('CAT_ACTIVIDADES'!$B$4:$B$11,MATCH($H1197,'CAT_ACTIVIDADES'!$A$4:$A$11,0)),"(sin catálogo)"))</f>
        <v/>
      </c>
      <c r="AC1197" s="20">
        <f>IF($J1197="","",TODAY()-$J1197)</f>
        <v/>
      </c>
      <c r="AD1197" s="20">
        <f>IF($J1197="","",IF($J1197&lt;=TODAY(),COUNTIFS(cal_fechas,"&gt;="&amp;$J1197,cal_fechas,"&lt;"&amp;TODAY(),cal_habil,"sí"),-COUNTIFS(cal_fechas,"&gt;="&amp;TODAY(),cal_fechas,"&lt;"&amp;$J1197,cal_habil,"sí")))</f>
        <v/>
      </c>
      <c r="AE1197" s="5">
        <f>IF($AD1197="","",IF($AD1197&lt;0,"FUTURO",IF($AD1197&gt;p_dias_backlog_max,"BACKLOG","MES CORRIENTE")))</f>
        <v/>
      </c>
      <c r="AF1197" s="5">
        <f>IF($AD1197="",FALSE,AND($AD1197&gt;p_dias_backlog_min,$AD1197&lt;=p_dias_backlog_max))</f>
        <v/>
      </c>
      <c r="AG1197" s="4" t="n"/>
      <c r="AH1197" s="5">
        <f>IF($AG1197="","",IF((IFERROR(INDEX('ASIGNACIONES'!$J$4:$J$451,MATCH($O1197&amp;"|"&amp;$S1197&amp;"|"&amp;$AG1197,'ASIGNACIONES'!$N$4:$N$451,0)),""))=0,"",IFERROR(INDEX('ASIGNACIONES'!$J$4:$J$451,MATCH($O1197&amp;"|"&amp;$S1197&amp;"|"&amp;$AG1197,'ASIGNACIONES'!$N$4:$N$451,0)),"")))</f>
        <v/>
      </c>
      <c r="AI1197" s="25">
        <f>IF($AG1197="","",SUMIFS('ORDENES'!$M$4:$M$1203,'ORDENES'!$AG$4:$AG$1203,$AG1197,'ORDENES'!$O$4:$O$1203,$O1197,'ORDENES'!$S$4:$S$1203,$S1197))</f>
        <v/>
      </c>
      <c r="AJ1197" s="25">
        <f>IF($AI1197="","",p_factor_productividad*IFERROR(INDEX('ASIGNACIONES'!$M$4:$M$451,MATCH($O1197&amp;"|"&amp;$S1197&amp;"|"&amp;$AG1197,'ASIGNACIONES'!$N$4:$N$451,0)),0)-$AI1197)</f>
        <v/>
      </c>
      <c r="AK1197" s="18">
        <f>IF($A1197="","",IFERROR(INDEX('2_IMPORTAR_EJECUCION'!$F$9:$F$1208,MATCH($AT1197,'2_IMPORTAR_EJECUCION'!$J$9:$J$1208,0)),0))</f>
        <v/>
      </c>
      <c r="AL1197" s="18">
        <f>IF($A1197="","",MAX(0,IFERROR(INDEX('2_IMPORTAR_EJECUCION'!$H$9:$H$1208,MATCH($AT1197,'2_IMPORTAR_EJECUCION'!$J$9:$J$1208,0)),0)-$AK1197))</f>
        <v/>
      </c>
      <c r="AM1197" s="18">
        <f>IF($A1197="","",$AK1197+$AL1197)</f>
        <v/>
      </c>
      <c r="AN1197" s="5">
        <f>IF($A1197="","",IF(OR((IFERROR(INDEX('CAT_ACTIVIDADES'!$D$4:$D$11,MATCH($H1197,'CAT_ACTIVIDADES'!$A$4:$A$11,0)),""))=0,(IFERROR(INDEX('CAT_ACTIVIDADES'!$D$4:$D$11,MATCH($H1197,'CAT_ACTIVIDADES'!$A$4:$A$11,0)),""))=""),"SIN CLASIFICAR",IFERROR(INDEX('CAT_ACTIVIDADES'!$D$4:$D$11,MATCH($H1197,'CAT_ACTIVIDADES'!$A$4:$A$11,0)),"")))</f>
        <v/>
      </c>
      <c r="AO1197" s="4" t="n"/>
      <c r="AP1197" s="4" t="n"/>
      <c r="AQ1197" s="4" t="n"/>
      <c r="AR1197" s="5">
        <f>IF($AQ1197="","",HYPERLINK(p_ruta_base_checklists&amp;$AQ1197,"abrir"))</f>
        <v/>
      </c>
      <c r="AS1197" s="4" t="n"/>
      <c r="AT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2" t="n"/>
      <c r="K1198" s="5" t="n"/>
      <c r="L1198" s="18" t="n"/>
      <c r="M1198" s="5">
        <f>IF($A1198="","",IFERROR(INDEX('AJUSTES'!$B$4:$B$303,MATCH($AT1198,'AJUSTES'!$A$4:$A$303,0)),IF($K1198="","",$K1198)))</f>
        <v/>
      </c>
      <c r="N1198" s="5">
        <f>IF($A1198="","",IFERROR(INDEX('CAT_ESTADOS_ERP'!$B$4:$B$7,MATCH(IFERROR(INDEX('2_IMPORTAR_EJECUCION'!$C$9:$C$1208,MATCH($AT1198,'2_IMPORTAR_EJECUCION'!$J$9:$J$1208,0)),""),'CAT_ESTADOS_ERP'!$A$4:$A$7,0)),"Pendiente"))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IF($J1198="","",$P1198&amp;"-"&amp;TEXT($Q1198,"00"))</f>
        <v/>
      </c>
      <c r="S1198" s="5">
        <f>IF($J1198="","",INDEX(lista_dias,WEEKDAY($J1198,2)))</f>
        <v/>
      </c>
      <c r="T1198" s="5">
        <f>IF($J1198="","",IFERROR(INDEX('CALENDARIO'!$C$15:$C$214,MATCH(TEXT($J1198,"yyyy-mm-dd")&amp;"|"&amp;$X1198&amp;"|"&amp;$Y1198,'CALENDARIO'!$G$15:$G$214,0)),IFERROR(INDEX('CALENDARIO'!$C$15:$C$214,MATCH(TEXT($J1198,"yyyy-mm-dd")&amp;"|"&amp;$X1198&amp;"|",'CALENDARIO'!$G$15:$G$214,0)),IFERROR(INDEX('CALENDARIO'!$C$15:$C$214,MATCH(TEXT($J1198,"yyyy-mm-dd")&amp;"||",'CALENDARIO'!$G$15:$G$214,0)),INDEX(patronHabil,WEEKDAY($J1198,2))))))</f>
        <v/>
      </c>
      <c r="U1198" s="5">
        <f>IF($I1198="","",IFERROR(INDEX('CAT_TIPOS_OT'!$C$4:$C$8,MATCH($I1198,'CAT_TIPOS_OT'!$A$4:$A$8,0)),"sin_clasificar"))</f>
        <v/>
      </c>
      <c r="V1198" s="5">
        <f>IF($I1198="","",IF(IFERROR(INDEX('CAT_TIPOS_OT'!$D$4:$D$8,MATCH($I1198,'CAT_TIPOS_OT'!$A$4:$A$8,0)),"SIN CLASIFICAR")="","SIN CLASIFICAR",IFERROR(INDEX('CAT_TIPOS_OT'!$D$4:$D$8,MATCH($I1198,'CAT_TIPOS_OT'!$A$4:$A$8,0)),"SIN CLASIFICAR")))</f>
        <v/>
      </c>
      <c r="W1198" s="5">
        <f>IF($F1198="","",IFERROR(INDEX('CAT_CENTROS_COSTO'!$F$4:$F$13,MATCH($F1198,'CAT_CENTROS_COSTO'!$A$4:$A$13,0)),"(sin catálogo)"))</f>
        <v/>
      </c>
      <c r="X1198" s="5">
        <f>IF($F1198="","",IFERROR(INDEX('CAT_CENTROS_COSTO'!$D$4:$D$13,MATCH($F1198,'CAT_CENTROS_COSTO'!$A$4:$A$13,0)),"(sin catálogo)"))</f>
        <v/>
      </c>
      <c r="Y1198" s="5">
        <f>IF($F1198="","",IF((IFERROR(INDEX('CAT_CENTROS_COSTO'!$E$4:$E$13,MATCH($F1198,'CAT_CENTROS_COSTO'!$A$4:$A$13,0)),""))&lt;&gt;"",IFERROR(INDEX('CAT_CENTROS_COSTO'!$E$4:$E$13,MATCH($F1198,'CAT_CENTROS_COSTO'!$A$4:$A$13,0)),""),$X1198))</f>
        <v/>
      </c>
      <c r="Z1198" s="5">
        <f>IF($F1198="","",IFERROR(INDEX('CAT_CENTROS_COSTO'!$G$4:$G$13,MATCH($F1198,'CAT_CENTROS_COSTO'!$A$4:$A$13,0)),"(sin catálogo)"))</f>
        <v/>
      </c>
      <c r="AA1198" s="5">
        <f>IF($G1198="","",IFERROR(INDEX('CAT_PUESTOS'!$B$4:$B$8,MATCH($G1198,'CAT_PUESTOS'!$A$4:$A$8,0)),"(sin catálogo)"))</f>
        <v/>
      </c>
      <c r="AB1198" s="5">
        <f>IF($H1198="","",IFERROR(INDEX('CAT_ACTIVIDADES'!$B$4:$B$11,MATCH($H1198,'CAT_ACTIVIDADES'!$A$4:$A$11,0)),"(sin catálogo)"))</f>
        <v/>
      </c>
      <c r="AC1198" s="20">
        <f>IF($J1198="","",TODAY()-$J1198)</f>
        <v/>
      </c>
      <c r="AD1198" s="20">
        <f>IF($J1198="","",IF($J1198&lt;=TODAY(),COUNTIFS(cal_fechas,"&gt;="&amp;$J1198,cal_fechas,"&lt;"&amp;TODAY(),cal_habil,"sí"),-COUNTIFS(cal_fechas,"&gt;="&amp;TODAY(),cal_fechas,"&lt;"&amp;$J1198,cal_habil,"sí")))</f>
        <v/>
      </c>
      <c r="AE1198" s="5">
        <f>IF($AD1198="","",IF($AD1198&lt;0,"FUTURO",IF($AD1198&gt;p_dias_backlog_max,"BACKLOG","MES CORRIENTE")))</f>
        <v/>
      </c>
      <c r="AF1198" s="5">
        <f>IF($AD1198="",FALSE,AND($AD1198&gt;p_dias_backlog_min,$AD1198&lt;=p_dias_backlog_max))</f>
        <v/>
      </c>
      <c r="AG1198" s="4" t="n"/>
      <c r="AH1198" s="5">
        <f>IF($AG1198="","",IF((IFERROR(INDEX('ASIGNACIONES'!$J$4:$J$451,MATCH($O1198&amp;"|"&amp;$S1198&amp;"|"&amp;$AG1198,'ASIGNACIONES'!$N$4:$N$451,0)),""))=0,"",IFERROR(INDEX('ASIGNACIONES'!$J$4:$J$451,MATCH($O1198&amp;"|"&amp;$S1198&amp;"|"&amp;$AG1198,'ASIGNACIONES'!$N$4:$N$451,0)),"")))</f>
        <v/>
      </c>
      <c r="AI1198" s="25">
        <f>IF($AG1198="","",SUMIFS('ORDENES'!$M$4:$M$1203,'ORDENES'!$AG$4:$AG$1203,$AG1198,'ORDENES'!$O$4:$O$1203,$O1198,'ORDENES'!$S$4:$S$1203,$S1198))</f>
        <v/>
      </c>
      <c r="AJ1198" s="25">
        <f>IF($AI1198="","",p_factor_productividad*IFERROR(INDEX('ASIGNACIONES'!$M$4:$M$451,MATCH($O1198&amp;"|"&amp;$S1198&amp;"|"&amp;$AG1198,'ASIGNACIONES'!$N$4:$N$451,0)),0)-$AI1198)</f>
        <v/>
      </c>
      <c r="AK1198" s="18">
        <f>IF($A1198="","",IFERROR(INDEX('2_IMPORTAR_EJECUCION'!$F$9:$F$1208,MATCH($AT1198,'2_IMPORTAR_EJECUCION'!$J$9:$J$1208,0)),0))</f>
        <v/>
      </c>
      <c r="AL1198" s="18">
        <f>IF($A1198="","",MAX(0,IFERROR(INDEX('2_IMPORTAR_EJECUCION'!$H$9:$H$1208,MATCH($AT1198,'2_IMPORTAR_EJECUCION'!$J$9:$J$1208,0)),0)-$AK1198))</f>
        <v/>
      </c>
      <c r="AM1198" s="18">
        <f>IF($A1198="","",$AK1198+$AL1198)</f>
        <v/>
      </c>
      <c r="AN1198" s="5">
        <f>IF($A1198="","",IF(OR((IFERROR(INDEX('CAT_ACTIVIDADES'!$D$4:$D$11,MATCH($H1198,'CAT_ACTIVIDADES'!$A$4:$A$11,0)),""))=0,(IFERROR(INDEX('CAT_ACTIVIDADES'!$D$4:$D$11,MATCH($H1198,'CAT_ACTIVIDADES'!$A$4:$A$11,0)),""))=""),"SIN CLASIFICAR",IFERROR(INDEX('CAT_ACTIVIDADES'!$D$4:$D$11,MATCH($H1198,'CAT_ACTIVIDADES'!$A$4:$A$11,0)),"")))</f>
        <v/>
      </c>
      <c r="AO1198" s="4" t="n"/>
      <c r="AP1198" s="4" t="n"/>
      <c r="AQ1198" s="4" t="n"/>
      <c r="AR1198" s="5">
        <f>IF($AQ1198="","",HYPERLINK(p_ruta_base_checklists&amp;$AQ1198,"abrir"))</f>
        <v/>
      </c>
      <c r="AS1198" s="4" t="n"/>
      <c r="AT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2" t="n"/>
      <c r="K1199" s="5" t="n"/>
      <c r="L1199" s="18" t="n"/>
      <c r="M1199" s="5">
        <f>IF($A1199="","",IFERROR(INDEX('AJUSTES'!$B$4:$B$303,MATCH($AT1199,'AJUSTES'!$A$4:$A$303,0)),IF($K1199="","",$K1199)))</f>
        <v/>
      </c>
      <c r="N1199" s="5">
        <f>IF($A1199="","",IFERROR(INDEX('CAT_ESTADOS_ERP'!$B$4:$B$7,MATCH(IFERROR(INDEX('2_IMPORTAR_EJECUCION'!$C$9:$C$1208,MATCH($AT1199,'2_IMPORTAR_EJECUCION'!$J$9:$J$1208,0)),""),'CAT_ESTADOS_ERP'!$A$4:$A$7,0)),"Pendiente"))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IF($J1199="","",$P1199&amp;"-"&amp;TEXT($Q1199,"00"))</f>
        <v/>
      </c>
      <c r="S1199" s="5">
        <f>IF($J1199="","",INDEX(lista_dias,WEEKDAY($J1199,2)))</f>
        <v/>
      </c>
      <c r="T1199" s="5">
        <f>IF($J1199="","",IFERROR(INDEX('CALENDARIO'!$C$15:$C$214,MATCH(TEXT($J1199,"yyyy-mm-dd")&amp;"|"&amp;$X1199&amp;"|"&amp;$Y1199,'CALENDARIO'!$G$15:$G$214,0)),IFERROR(INDEX('CALENDARIO'!$C$15:$C$214,MATCH(TEXT($J1199,"yyyy-mm-dd")&amp;"|"&amp;$X1199&amp;"|",'CALENDARIO'!$G$15:$G$214,0)),IFERROR(INDEX('CALENDARIO'!$C$15:$C$214,MATCH(TEXT($J1199,"yyyy-mm-dd")&amp;"||",'CALENDARIO'!$G$15:$G$214,0)),INDEX(patronHabil,WEEKDAY($J1199,2))))))</f>
        <v/>
      </c>
      <c r="U1199" s="5">
        <f>IF($I1199="","",IFERROR(INDEX('CAT_TIPOS_OT'!$C$4:$C$8,MATCH($I1199,'CAT_TIPOS_OT'!$A$4:$A$8,0)),"sin_clasificar"))</f>
        <v/>
      </c>
      <c r="V1199" s="5">
        <f>IF($I1199="","",IF(IFERROR(INDEX('CAT_TIPOS_OT'!$D$4:$D$8,MATCH($I1199,'CAT_TIPOS_OT'!$A$4:$A$8,0)),"SIN CLASIFICAR")="","SIN CLASIFICAR",IFERROR(INDEX('CAT_TIPOS_OT'!$D$4:$D$8,MATCH($I1199,'CAT_TIPOS_OT'!$A$4:$A$8,0)),"SIN CLASIFICAR")))</f>
        <v/>
      </c>
      <c r="W1199" s="5">
        <f>IF($F1199="","",IFERROR(INDEX('CAT_CENTROS_COSTO'!$F$4:$F$13,MATCH($F1199,'CAT_CENTROS_COSTO'!$A$4:$A$13,0)),"(sin catálogo)"))</f>
        <v/>
      </c>
      <c r="X1199" s="5">
        <f>IF($F1199="","",IFERROR(INDEX('CAT_CENTROS_COSTO'!$D$4:$D$13,MATCH($F1199,'CAT_CENTROS_COSTO'!$A$4:$A$13,0)),"(sin catálogo)"))</f>
        <v/>
      </c>
      <c r="Y1199" s="5">
        <f>IF($F1199="","",IF((IFERROR(INDEX('CAT_CENTROS_COSTO'!$E$4:$E$13,MATCH($F1199,'CAT_CENTROS_COSTO'!$A$4:$A$13,0)),""))&lt;&gt;"",IFERROR(INDEX('CAT_CENTROS_COSTO'!$E$4:$E$13,MATCH($F1199,'CAT_CENTROS_COSTO'!$A$4:$A$13,0)),""),$X1199))</f>
        <v/>
      </c>
      <c r="Z1199" s="5">
        <f>IF($F1199="","",IFERROR(INDEX('CAT_CENTROS_COSTO'!$G$4:$G$13,MATCH($F1199,'CAT_CENTROS_COSTO'!$A$4:$A$13,0)),"(sin catálogo)"))</f>
        <v/>
      </c>
      <c r="AA1199" s="5">
        <f>IF($G1199="","",IFERROR(INDEX('CAT_PUESTOS'!$B$4:$B$8,MATCH($G1199,'CAT_PUESTOS'!$A$4:$A$8,0)),"(sin catálogo)"))</f>
        <v/>
      </c>
      <c r="AB1199" s="5">
        <f>IF($H1199="","",IFERROR(INDEX('CAT_ACTIVIDADES'!$B$4:$B$11,MATCH($H1199,'CAT_ACTIVIDADES'!$A$4:$A$11,0)),"(sin catálogo)"))</f>
        <v/>
      </c>
      <c r="AC1199" s="20">
        <f>IF($J1199="","",TODAY()-$J1199)</f>
        <v/>
      </c>
      <c r="AD1199" s="20">
        <f>IF($J1199="","",IF($J1199&lt;=TODAY(),COUNTIFS(cal_fechas,"&gt;="&amp;$J1199,cal_fechas,"&lt;"&amp;TODAY(),cal_habil,"sí"),-COUNTIFS(cal_fechas,"&gt;="&amp;TODAY(),cal_fechas,"&lt;"&amp;$J1199,cal_habil,"sí")))</f>
        <v/>
      </c>
      <c r="AE1199" s="5">
        <f>IF($AD1199="","",IF($AD1199&lt;0,"FUTURO",IF($AD1199&gt;p_dias_backlog_max,"BACKLOG","MES CORRIENTE")))</f>
        <v/>
      </c>
      <c r="AF1199" s="5">
        <f>IF($AD1199="",FALSE,AND($AD1199&gt;p_dias_backlog_min,$AD1199&lt;=p_dias_backlog_max))</f>
        <v/>
      </c>
      <c r="AG1199" s="4" t="n"/>
      <c r="AH1199" s="5">
        <f>IF($AG1199="","",IF((IFERROR(INDEX('ASIGNACIONES'!$J$4:$J$451,MATCH($O1199&amp;"|"&amp;$S1199&amp;"|"&amp;$AG1199,'ASIGNACIONES'!$N$4:$N$451,0)),""))=0,"",IFERROR(INDEX('ASIGNACIONES'!$J$4:$J$451,MATCH($O1199&amp;"|"&amp;$S1199&amp;"|"&amp;$AG1199,'ASIGNACIONES'!$N$4:$N$451,0)),"")))</f>
        <v/>
      </c>
      <c r="AI1199" s="25">
        <f>IF($AG1199="","",SUMIFS('ORDENES'!$M$4:$M$1203,'ORDENES'!$AG$4:$AG$1203,$AG1199,'ORDENES'!$O$4:$O$1203,$O1199,'ORDENES'!$S$4:$S$1203,$S1199))</f>
        <v/>
      </c>
      <c r="AJ1199" s="25">
        <f>IF($AI1199="","",p_factor_productividad*IFERROR(INDEX('ASIGNACIONES'!$M$4:$M$451,MATCH($O1199&amp;"|"&amp;$S1199&amp;"|"&amp;$AG1199,'ASIGNACIONES'!$N$4:$N$451,0)),0)-$AI1199)</f>
        <v/>
      </c>
      <c r="AK1199" s="18">
        <f>IF($A1199="","",IFERROR(INDEX('2_IMPORTAR_EJECUCION'!$F$9:$F$1208,MATCH($AT1199,'2_IMPORTAR_EJECUCION'!$J$9:$J$1208,0)),0))</f>
        <v/>
      </c>
      <c r="AL1199" s="18">
        <f>IF($A1199="","",MAX(0,IFERROR(INDEX('2_IMPORTAR_EJECUCION'!$H$9:$H$1208,MATCH($AT1199,'2_IMPORTAR_EJECUCION'!$J$9:$J$1208,0)),0)-$AK1199))</f>
        <v/>
      </c>
      <c r="AM1199" s="18">
        <f>IF($A1199="","",$AK1199+$AL1199)</f>
        <v/>
      </c>
      <c r="AN1199" s="5">
        <f>IF($A1199="","",IF(OR((IFERROR(INDEX('CAT_ACTIVIDADES'!$D$4:$D$11,MATCH($H1199,'CAT_ACTIVIDADES'!$A$4:$A$11,0)),""))=0,(IFERROR(INDEX('CAT_ACTIVIDADES'!$D$4:$D$11,MATCH($H1199,'CAT_ACTIVIDADES'!$A$4:$A$11,0)),""))=""),"SIN CLASIFICAR",IFERROR(INDEX('CAT_ACTIVIDADES'!$D$4:$D$11,MATCH($H1199,'CAT_ACTIVIDADES'!$A$4:$A$11,0)),"")))</f>
        <v/>
      </c>
      <c r="AO1199" s="4" t="n"/>
      <c r="AP1199" s="4" t="n"/>
      <c r="AQ1199" s="4" t="n"/>
      <c r="AR1199" s="5">
        <f>IF($AQ1199="","",HYPERLINK(p_ruta_base_checklists&amp;$AQ1199,"abrir"))</f>
        <v/>
      </c>
      <c r="AS1199" s="4" t="n"/>
      <c r="AT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2" t="n"/>
      <c r="K1200" s="5" t="n"/>
      <c r="L1200" s="18" t="n"/>
      <c r="M1200" s="5">
        <f>IF($A1200="","",IFERROR(INDEX('AJUSTES'!$B$4:$B$303,MATCH($AT1200,'AJUSTES'!$A$4:$A$303,0)),IF($K1200="","",$K1200)))</f>
        <v/>
      </c>
      <c r="N1200" s="5">
        <f>IF($A1200="","",IFERROR(INDEX('CAT_ESTADOS_ERP'!$B$4:$B$7,MATCH(IFERROR(INDEX('2_IMPORTAR_EJECUCION'!$C$9:$C$1208,MATCH($AT1200,'2_IMPORTAR_EJECUCION'!$J$9:$J$1208,0)),""),'CAT_ESTADOS_ERP'!$A$4:$A$7,0)),"Pendiente"))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IF($J1200="","",$P1200&amp;"-"&amp;TEXT($Q1200,"00"))</f>
        <v/>
      </c>
      <c r="S1200" s="5">
        <f>IF($J1200="","",INDEX(lista_dias,WEEKDAY($J1200,2)))</f>
        <v/>
      </c>
      <c r="T1200" s="5">
        <f>IF($J1200="","",IFERROR(INDEX('CALENDARIO'!$C$15:$C$214,MATCH(TEXT($J1200,"yyyy-mm-dd")&amp;"|"&amp;$X1200&amp;"|"&amp;$Y1200,'CALENDARIO'!$G$15:$G$214,0)),IFERROR(INDEX('CALENDARIO'!$C$15:$C$214,MATCH(TEXT($J1200,"yyyy-mm-dd")&amp;"|"&amp;$X1200&amp;"|",'CALENDARIO'!$G$15:$G$214,0)),IFERROR(INDEX('CALENDARIO'!$C$15:$C$214,MATCH(TEXT($J1200,"yyyy-mm-dd")&amp;"||",'CALENDARIO'!$G$15:$G$214,0)),INDEX(patronHabil,WEEKDAY($J1200,2))))))</f>
        <v/>
      </c>
      <c r="U1200" s="5">
        <f>IF($I1200="","",IFERROR(INDEX('CAT_TIPOS_OT'!$C$4:$C$8,MATCH($I1200,'CAT_TIPOS_OT'!$A$4:$A$8,0)),"sin_clasificar"))</f>
        <v/>
      </c>
      <c r="V1200" s="5">
        <f>IF($I1200="","",IF(IFERROR(INDEX('CAT_TIPOS_OT'!$D$4:$D$8,MATCH($I1200,'CAT_TIPOS_OT'!$A$4:$A$8,0)),"SIN CLASIFICAR")="","SIN CLASIFICAR",IFERROR(INDEX('CAT_TIPOS_OT'!$D$4:$D$8,MATCH($I1200,'CAT_TIPOS_OT'!$A$4:$A$8,0)),"SIN CLASIFICAR")))</f>
        <v/>
      </c>
      <c r="W1200" s="5">
        <f>IF($F1200="","",IFERROR(INDEX('CAT_CENTROS_COSTO'!$F$4:$F$13,MATCH($F1200,'CAT_CENTROS_COSTO'!$A$4:$A$13,0)),"(sin catálogo)"))</f>
        <v/>
      </c>
      <c r="X1200" s="5">
        <f>IF($F1200="","",IFERROR(INDEX('CAT_CENTROS_COSTO'!$D$4:$D$13,MATCH($F1200,'CAT_CENTROS_COSTO'!$A$4:$A$13,0)),"(sin catálogo)"))</f>
        <v/>
      </c>
      <c r="Y1200" s="5">
        <f>IF($F1200="","",IF((IFERROR(INDEX('CAT_CENTROS_COSTO'!$E$4:$E$13,MATCH($F1200,'CAT_CENTROS_COSTO'!$A$4:$A$13,0)),""))&lt;&gt;"",IFERROR(INDEX('CAT_CENTROS_COSTO'!$E$4:$E$13,MATCH($F1200,'CAT_CENTROS_COSTO'!$A$4:$A$13,0)),""),$X1200))</f>
        <v/>
      </c>
      <c r="Z1200" s="5">
        <f>IF($F1200="","",IFERROR(INDEX('CAT_CENTROS_COSTO'!$G$4:$G$13,MATCH($F1200,'CAT_CENTROS_COSTO'!$A$4:$A$13,0)),"(sin catálogo)"))</f>
        <v/>
      </c>
      <c r="AA1200" s="5">
        <f>IF($G1200="","",IFERROR(INDEX('CAT_PUESTOS'!$B$4:$B$8,MATCH($G1200,'CAT_PUESTOS'!$A$4:$A$8,0)),"(sin catálogo)"))</f>
        <v/>
      </c>
      <c r="AB1200" s="5">
        <f>IF($H1200="","",IFERROR(INDEX('CAT_ACTIVIDADES'!$B$4:$B$11,MATCH($H1200,'CAT_ACTIVIDADES'!$A$4:$A$11,0)),"(sin catálogo)"))</f>
        <v/>
      </c>
      <c r="AC1200" s="20">
        <f>IF($J1200="","",TODAY()-$J1200)</f>
        <v/>
      </c>
      <c r="AD1200" s="20">
        <f>IF($J1200="","",IF($J1200&lt;=TODAY(),COUNTIFS(cal_fechas,"&gt;="&amp;$J1200,cal_fechas,"&lt;"&amp;TODAY(),cal_habil,"sí"),-COUNTIFS(cal_fechas,"&gt;="&amp;TODAY(),cal_fechas,"&lt;"&amp;$J1200,cal_habil,"sí")))</f>
        <v/>
      </c>
      <c r="AE1200" s="5">
        <f>IF($AD1200="","",IF($AD1200&lt;0,"FUTURO",IF($AD1200&gt;p_dias_backlog_max,"BACKLOG","MES CORRIENTE")))</f>
        <v/>
      </c>
      <c r="AF1200" s="5">
        <f>IF($AD1200="",FALSE,AND($AD1200&gt;p_dias_backlog_min,$AD1200&lt;=p_dias_backlog_max))</f>
        <v/>
      </c>
      <c r="AG1200" s="4" t="n"/>
      <c r="AH1200" s="5">
        <f>IF($AG1200="","",IF((IFERROR(INDEX('ASIGNACIONES'!$J$4:$J$451,MATCH($O1200&amp;"|"&amp;$S1200&amp;"|"&amp;$AG1200,'ASIGNACIONES'!$N$4:$N$451,0)),""))=0,"",IFERROR(INDEX('ASIGNACIONES'!$J$4:$J$451,MATCH($O1200&amp;"|"&amp;$S1200&amp;"|"&amp;$AG1200,'ASIGNACIONES'!$N$4:$N$451,0)),"")))</f>
        <v/>
      </c>
      <c r="AI1200" s="25">
        <f>IF($AG1200="","",SUMIFS('ORDENES'!$M$4:$M$1203,'ORDENES'!$AG$4:$AG$1203,$AG1200,'ORDENES'!$O$4:$O$1203,$O1200,'ORDENES'!$S$4:$S$1203,$S1200))</f>
        <v/>
      </c>
      <c r="AJ1200" s="25">
        <f>IF($AI1200="","",p_factor_productividad*IFERROR(INDEX('ASIGNACIONES'!$M$4:$M$451,MATCH($O1200&amp;"|"&amp;$S1200&amp;"|"&amp;$AG1200,'ASIGNACIONES'!$N$4:$N$451,0)),0)-$AI1200)</f>
        <v/>
      </c>
      <c r="AK1200" s="18">
        <f>IF($A1200="","",IFERROR(INDEX('2_IMPORTAR_EJECUCION'!$F$9:$F$1208,MATCH($AT1200,'2_IMPORTAR_EJECUCION'!$J$9:$J$1208,0)),0))</f>
        <v/>
      </c>
      <c r="AL1200" s="18">
        <f>IF($A1200="","",MAX(0,IFERROR(INDEX('2_IMPORTAR_EJECUCION'!$H$9:$H$1208,MATCH($AT1200,'2_IMPORTAR_EJECUCION'!$J$9:$J$1208,0)),0)-$AK1200))</f>
        <v/>
      </c>
      <c r="AM1200" s="18">
        <f>IF($A1200="","",$AK1200+$AL1200)</f>
        <v/>
      </c>
      <c r="AN1200" s="5">
        <f>IF($A1200="","",IF(OR((IFERROR(INDEX('CAT_ACTIVIDADES'!$D$4:$D$11,MATCH($H1200,'CAT_ACTIVIDADES'!$A$4:$A$11,0)),""))=0,(IFERROR(INDEX('CAT_ACTIVIDADES'!$D$4:$D$11,MATCH($H1200,'CAT_ACTIVIDADES'!$A$4:$A$11,0)),""))=""),"SIN CLASIFICAR",IFERROR(INDEX('CAT_ACTIVIDADES'!$D$4:$D$11,MATCH($H1200,'CAT_ACTIVIDADES'!$A$4:$A$11,0)),"")))</f>
        <v/>
      </c>
      <c r="AO1200" s="4" t="n"/>
      <c r="AP1200" s="4" t="n"/>
      <c r="AQ1200" s="4" t="n"/>
      <c r="AR1200" s="5">
        <f>IF($AQ1200="","",HYPERLINK(p_ruta_base_checklists&amp;$AQ1200,"abrir"))</f>
        <v/>
      </c>
      <c r="AS1200" s="4" t="n"/>
      <c r="AT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2" t="n"/>
      <c r="K1201" s="5" t="n"/>
      <c r="L1201" s="18" t="n"/>
      <c r="M1201" s="5">
        <f>IF($A1201="","",IFERROR(INDEX('AJUSTES'!$B$4:$B$303,MATCH($AT1201,'AJUSTES'!$A$4:$A$303,0)),IF($K1201="","",$K1201)))</f>
        <v/>
      </c>
      <c r="N1201" s="5">
        <f>IF($A1201="","",IFERROR(INDEX('CAT_ESTADOS_ERP'!$B$4:$B$7,MATCH(IFERROR(INDEX('2_IMPORTAR_EJECUCION'!$C$9:$C$1208,MATCH($AT1201,'2_IMPORTAR_EJECUCION'!$J$9:$J$1208,0)),""),'CAT_ESTADOS_ERP'!$A$4:$A$7,0)),"Pendiente"))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IF($J1201="","",$P1201&amp;"-"&amp;TEXT($Q1201,"00"))</f>
        <v/>
      </c>
      <c r="S1201" s="5">
        <f>IF($J1201="","",INDEX(lista_dias,WEEKDAY($J1201,2)))</f>
        <v/>
      </c>
      <c r="T1201" s="5">
        <f>IF($J1201="","",IFERROR(INDEX('CALENDARIO'!$C$15:$C$214,MATCH(TEXT($J1201,"yyyy-mm-dd")&amp;"|"&amp;$X1201&amp;"|"&amp;$Y1201,'CALENDARIO'!$G$15:$G$214,0)),IFERROR(INDEX('CALENDARIO'!$C$15:$C$214,MATCH(TEXT($J1201,"yyyy-mm-dd")&amp;"|"&amp;$X1201&amp;"|",'CALENDARIO'!$G$15:$G$214,0)),IFERROR(INDEX('CALENDARIO'!$C$15:$C$214,MATCH(TEXT($J1201,"yyyy-mm-dd")&amp;"||",'CALENDARIO'!$G$15:$G$214,0)),INDEX(patronHabil,WEEKDAY($J1201,2))))))</f>
        <v/>
      </c>
      <c r="U1201" s="5">
        <f>IF($I1201="","",IFERROR(INDEX('CAT_TIPOS_OT'!$C$4:$C$8,MATCH($I1201,'CAT_TIPOS_OT'!$A$4:$A$8,0)),"sin_clasificar"))</f>
        <v/>
      </c>
      <c r="V1201" s="5">
        <f>IF($I1201="","",IF(IFERROR(INDEX('CAT_TIPOS_OT'!$D$4:$D$8,MATCH($I1201,'CAT_TIPOS_OT'!$A$4:$A$8,0)),"SIN CLASIFICAR")="","SIN CLASIFICAR",IFERROR(INDEX('CAT_TIPOS_OT'!$D$4:$D$8,MATCH($I1201,'CAT_TIPOS_OT'!$A$4:$A$8,0)),"SIN CLASIFICAR")))</f>
        <v/>
      </c>
      <c r="W1201" s="5">
        <f>IF($F1201="","",IFERROR(INDEX('CAT_CENTROS_COSTO'!$F$4:$F$13,MATCH($F1201,'CAT_CENTROS_COSTO'!$A$4:$A$13,0)),"(sin catálogo)"))</f>
        <v/>
      </c>
      <c r="X1201" s="5">
        <f>IF($F1201="","",IFERROR(INDEX('CAT_CENTROS_COSTO'!$D$4:$D$13,MATCH($F1201,'CAT_CENTROS_COSTO'!$A$4:$A$13,0)),"(sin catálogo)"))</f>
        <v/>
      </c>
      <c r="Y1201" s="5">
        <f>IF($F1201="","",IF((IFERROR(INDEX('CAT_CENTROS_COSTO'!$E$4:$E$13,MATCH($F1201,'CAT_CENTROS_COSTO'!$A$4:$A$13,0)),""))&lt;&gt;"",IFERROR(INDEX('CAT_CENTROS_COSTO'!$E$4:$E$13,MATCH($F1201,'CAT_CENTROS_COSTO'!$A$4:$A$13,0)),""),$X1201))</f>
        <v/>
      </c>
      <c r="Z1201" s="5">
        <f>IF($F1201="","",IFERROR(INDEX('CAT_CENTROS_COSTO'!$G$4:$G$13,MATCH($F1201,'CAT_CENTROS_COSTO'!$A$4:$A$13,0)),"(sin catálogo)"))</f>
        <v/>
      </c>
      <c r="AA1201" s="5">
        <f>IF($G1201="","",IFERROR(INDEX('CAT_PUESTOS'!$B$4:$B$8,MATCH($G1201,'CAT_PUESTOS'!$A$4:$A$8,0)),"(sin catálogo)"))</f>
        <v/>
      </c>
      <c r="AB1201" s="5">
        <f>IF($H1201="","",IFERROR(INDEX('CAT_ACTIVIDADES'!$B$4:$B$11,MATCH($H1201,'CAT_ACTIVIDADES'!$A$4:$A$11,0)),"(sin catálogo)"))</f>
        <v/>
      </c>
      <c r="AC1201" s="20">
        <f>IF($J1201="","",TODAY()-$J1201)</f>
        <v/>
      </c>
      <c r="AD1201" s="20">
        <f>IF($J1201="","",IF($J1201&lt;=TODAY(),COUNTIFS(cal_fechas,"&gt;="&amp;$J1201,cal_fechas,"&lt;"&amp;TODAY(),cal_habil,"sí"),-COUNTIFS(cal_fechas,"&gt;="&amp;TODAY(),cal_fechas,"&lt;"&amp;$J1201,cal_habil,"sí")))</f>
        <v/>
      </c>
      <c r="AE1201" s="5">
        <f>IF($AD1201="","",IF($AD1201&lt;0,"FUTURO",IF($AD1201&gt;p_dias_backlog_max,"BACKLOG","MES CORRIENTE")))</f>
        <v/>
      </c>
      <c r="AF1201" s="5">
        <f>IF($AD1201="",FALSE,AND($AD1201&gt;p_dias_backlog_min,$AD1201&lt;=p_dias_backlog_max))</f>
        <v/>
      </c>
      <c r="AG1201" s="4" t="n"/>
      <c r="AH1201" s="5">
        <f>IF($AG1201="","",IF((IFERROR(INDEX('ASIGNACIONES'!$J$4:$J$451,MATCH($O1201&amp;"|"&amp;$S1201&amp;"|"&amp;$AG1201,'ASIGNACIONES'!$N$4:$N$451,0)),""))=0,"",IFERROR(INDEX('ASIGNACIONES'!$J$4:$J$451,MATCH($O1201&amp;"|"&amp;$S1201&amp;"|"&amp;$AG1201,'ASIGNACIONES'!$N$4:$N$451,0)),"")))</f>
        <v/>
      </c>
      <c r="AI1201" s="25">
        <f>IF($AG1201="","",SUMIFS('ORDENES'!$M$4:$M$1203,'ORDENES'!$AG$4:$AG$1203,$AG1201,'ORDENES'!$O$4:$O$1203,$O1201,'ORDENES'!$S$4:$S$1203,$S1201))</f>
        <v/>
      </c>
      <c r="AJ1201" s="25">
        <f>IF($AI1201="","",p_factor_productividad*IFERROR(INDEX('ASIGNACIONES'!$M$4:$M$451,MATCH($O1201&amp;"|"&amp;$S1201&amp;"|"&amp;$AG1201,'ASIGNACIONES'!$N$4:$N$451,0)),0)-$AI1201)</f>
        <v/>
      </c>
      <c r="AK1201" s="18">
        <f>IF($A1201="","",IFERROR(INDEX('2_IMPORTAR_EJECUCION'!$F$9:$F$1208,MATCH($AT1201,'2_IMPORTAR_EJECUCION'!$J$9:$J$1208,0)),0))</f>
        <v/>
      </c>
      <c r="AL1201" s="18">
        <f>IF($A1201="","",MAX(0,IFERROR(INDEX('2_IMPORTAR_EJECUCION'!$H$9:$H$1208,MATCH($AT1201,'2_IMPORTAR_EJECUCION'!$J$9:$J$1208,0)),0)-$AK1201))</f>
        <v/>
      </c>
      <c r="AM1201" s="18">
        <f>IF($A1201="","",$AK1201+$AL1201)</f>
        <v/>
      </c>
      <c r="AN1201" s="5">
        <f>IF($A1201="","",IF(OR((IFERROR(INDEX('CAT_ACTIVIDADES'!$D$4:$D$11,MATCH($H1201,'CAT_ACTIVIDADES'!$A$4:$A$11,0)),""))=0,(IFERROR(INDEX('CAT_ACTIVIDADES'!$D$4:$D$11,MATCH($H1201,'CAT_ACTIVIDADES'!$A$4:$A$11,0)),""))=""),"SIN CLASIFICAR",IFERROR(INDEX('CAT_ACTIVIDADES'!$D$4:$D$11,MATCH($H1201,'CAT_ACTIVIDADES'!$A$4:$A$11,0)),"")))</f>
        <v/>
      </c>
      <c r="AO1201" s="4" t="n"/>
      <c r="AP1201" s="4" t="n"/>
      <c r="AQ1201" s="4" t="n"/>
      <c r="AR1201" s="5">
        <f>IF($AQ1201="","",HYPERLINK(p_ruta_base_checklists&amp;$AQ1201,"abrir"))</f>
        <v/>
      </c>
      <c r="AS1201" s="4" t="n"/>
      <c r="AT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2" t="n"/>
      <c r="K1202" s="5" t="n"/>
      <c r="L1202" s="18" t="n"/>
      <c r="M1202" s="5">
        <f>IF($A1202="","",IFERROR(INDEX('AJUSTES'!$B$4:$B$303,MATCH($AT1202,'AJUSTES'!$A$4:$A$303,0)),IF($K1202="","",$K1202)))</f>
        <v/>
      </c>
      <c r="N1202" s="5">
        <f>IF($A1202="","",IFERROR(INDEX('CAT_ESTADOS_ERP'!$B$4:$B$7,MATCH(IFERROR(INDEX('2_IMPORTAR_EJECUCION'!$C$9:$C$1208,MATCH($AT1202,'2_IMPORTAR_EJECUCION'!$J$9:$J$1208,0)),""),'CAT_ESTADOS_ERP'!$A$4:$A$7,0)),"Pendiente"))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IF($J1202="","",$P1202&amp;"-"&amp;TEXT($Q1202,"00"))</f>
        <v/>
      </c>
      <c r="S1202" s="5">
        <f>IF($J1202="","",INDEX(lista_dias,WEEKDAY($J1202,2)))</f>
        <v/>
      </c>
      <c r="T1202" s="5">
        <f>IF($J1202="","",IFERROR(INDEX('CALENDARIO'!$C$15:$C$214,MATCH(TEXT($J1202,"yyyy-mm-dd")&amp;"|"&amp;$X1202&amp;"|"&amp;$Y1202,'CALENDARIO'!$G$15:$G$214,0)),IFERROR(INDEX('CALENDARIO'!$C$15:$C$214,MATCH(TEXT($J1202,"yyyy-mm-dd")&amp;"|"&amp;$X1202&amp;"|",'CALENDARIO'!$G$15:$G$214,0)),IFERROR(INDEX('CALENDARIO'!$C$15:$C$214,MATCH(TEXT($J1202,"yyyy-mm-dd")&amp;"||",'CALENDARIO'!$G$15:$G$214,0)),INDEX(patronHabil,WEEKDAY($J1202,2))))))</f>
        <v/>
      </c>
      <c r="U1202" s="5">
        <f>IF($I1202="","",IFERROR(INDEX('CAT_TIPOS_OT'!$C$4:$C$8,MATCH($I1202,'CAT_TIPOS_OT'!$A$4:$A$8,0)),"sin_clasificar"))</f>
        <v/>
      </c>
      <c r="V1202" s="5">
        <f>IF($I1202="","",IF(IFERROR(INDEX('CAT_TIPOS_OT'!$D$4:$D$8,MATCH($I1202,'CAT_TIPOS_OT'!$A$4:$A$8,0)),"SIN CLASIFICAR")="","SIN CLASIFICAR",IFERROR(INDEX('CAT_TIPOS_OT'!$D$4:$D$8,MATCH($I1202,'CAT_TIPOS_OT'!$A$4:$A$8,0)),"SIN CLASIFICAR")))</f>
        <v/>
      </c>
      <c r="W1202" s="5">
        <f>IF($F1202="","",IFERROR(INDEX('CAT_CENTROS_COSTO'!$F$4:$F$13,MATCH($F1202,'CAT_CENTROS_COSTO'!$A$4:$A$13,0)),"(sin catálogo)"))</f>
        <v/>
      </c>
      <c r="X1202" s="5">
        <f>IF($F1202="","",IFERROR(INDEX('CAT_CENTROS_COSTO'!$D$4:$D$13,MATCH($F1202,'CAT_CENTROS_COSTO'!$A$4:$A$13,0)),"(sin catálogo)"))</f>
        <v/>
      </c>
      <c r="Y1202" s="5">
        <f>IF($F1202="","",IF((IFERROR(INDEX('CAT_CENTROS_COSTO'!$E$4:$E$13,MATCH($F1202,'CAT_CENTROS_COSTO'!$A$4:$A$13,0)),""))&lt;&gt;"",IFERROR(INDEX('CAT_CENTROS_COSTO'!$E$4:$E$13,MATCH($F1202,'CAT_CENTROS_COSTO'!$A$4:$A$13,0)),""),$X1202))</f>
        <v/>
      </c>
      <c r="Z1202" s="5">
        <f>IF($F1202="","",IFERROR(INDEX('CAT_CENTROS_COSTO'!$G$4:$G$13,MATCH($F1202,'CAT_CENTROS_COSTO'!$A$4:$A$13,0)),"(sin catálogo)"))</f>
        <v/>
      </c>
      <c r="AA1202" s="5">
        <f>IF($G1202="","",IFERROR(INDEX('CAT_PUESTOS'!$B$4:$B$8,MATCH($G1202,'CAT_PUESTOS'!$A$4:$A$8,0)),"(sin catálogo)"))</f>
        <v/>
      </c>
      <c r="AB1202" s="5">
        <f>IF($H1202="","",IFERROR(INDEX('CAT_ACTIVIDADES'!$B$4:$B$11,MATCH($H1202,'CAT_ACTIVIDADES'!$A$4:$A$11,0)),"(sin catálogo)"))</f>
        <v/>
      </c>
      <c r="AC1202" s="20">
        <f>IF($J1202="","",TODAY()-$J1202)</f>
        <v/>
      </c>
      <c r="AD1202" s="20">
        <f>IF($J1202="","",IF($J1202&lt;=TODAY(),COUNTIFS(cal_fechas,"&gt;="&amp;$J1202,cal_fechas,"&lt;"&amp;TODAY(),cal_habil,"sí"),-COUNTIFS(cal_fechas,"&gt;="&amp;TODAY(),cal_fechas,"&lt;"&amp;$J1202,cal_habil,"sí")))</f>
        <v/>
      </c>
      <c r="AE1202" s="5">
        <f>IF($AD1202="","",IF($AD1202&lt;0,"FUTURO",IF($AD1202&gt;p_dias_backlog_max,"BACKLOG","MES CORRIENTE")))</f>
        <v/>
      </c>
      <c r="AF1202" s="5">
        <f>IF($AD1202="",FALSE,AND($AD1202&gt;p_dias_backlog_min,$AD1202&lt;=p_dias_backlog_max))</f>
        <v/>
      </c>
      <c r="AG1202" s="4" t="n"/>
      <c r="AH1202" s="5">
        <f>IF($AG1202="","",IF((IFERROR(INDEX('ASIGNACIONES'!$J$4:$J$451,MATCH($O1202&amp;"|"&amp;$S1202&amp;"|"&amp;$AG1202,'ASIGNACIONES'!$N$4:$N$451,0)),""))=0,"",IFERROR(INDEX('ASIGNACIONES'!$J$4:$J$451,MATCH($O1202&amp;"|"&amp;$S1202&amp;"|"&amp;$AG1202,'ASIGNACIONES'!$N$4:$N$451,0)),"")))</f>
        <v/>
      </c>
      <c r="AI1202" s="25">
        <f>IF($AG1202="","",SUMIFS('ORDENES'!$M$4:$M$1203,'ORDENES'!$AG$4:$AG$1203,$AG1202,'ORDENES'!$O$4:$O$1203,$O1202,'ORDENES'!$S$4:$S$1203,$S1202))</f>
        <v/>
      </c>
      <c r="AJ1202" s="25">
        <f>IF($AI1202="","",p_factor_productividad*IFERROR(INDEX('ASIGNACIONES'!$M$4:$M$451,MATCH($O1202&amp;"|"&amp;$S1202&amp;"|"&amp;$AG1202,'ASIGNACIONES'!$N$4:$N$451,0)),0)-$AI1202)</f>
        <v/>
      </c>
      <c r="AK1202" s="18">
        <f>IF($A1202="","",IFERROR(INDEX('2_IMPORTAR_EJECUCION'!$F$9:$F$1208,MATCH($AT1202,'2_IMPORTAR_EJECUCION'!$J$9:$J$1208,0)),0))</f>
        <v/>
      </c>
      <c r="AL1202" s="18">
        <f>IF($A1202="","",MAX(0,IFERROR(INDEX('2_IMPORTAR_EJECUCION'!$H$9:$H$1208,MATCH($AT1202,'2_IMPORTAR_EJECUCION'!$J$9:$J$1208,0)),0)-$AK1202))</f>
        <v/>
      </c>
      <c r="AM1202" s="18">
        <f>IF($A1202="","",$AK1202+$AL1202)</f>
        <v/>
      </c>
      <c r="AN1202" s="5">
        <f>IF($A1202="","",IF(OR((IFERROR(INDEX('CAT_ACTIVIDADES'!$D$4:$D$11,MATCH($H1202,'CAT_ACTIVIDADES'!$A$4:$A$11,0)),""))=0,(IFERROR(INDEX('CAT_ACTIVIDADES'!$D$4:$D$11,MATCH($H1202,'CAT_ACTIVIDADES'!$A$4:$A$11,0)),""))=""),"SIN CLASIFICAR",IFERROR(INDEX('CAT_ACTIVIDADES'!$D$4:$D$11,MATCH($H1202,'CAT_ACTIVIDADES'!$A$4:$A$11,0)),"")))</f>
        <v/>
      </c>
      <c r="AO1202" s="4" t="n"/>
      <c r="AP1202" s="4" t="n"/>
      <c r="AQ1202" s="4" t="n"/>
      <c r="AR1202" s="5">
        <f>IF($AQ1202="","",HYPERLINK(p_ruta_base_checklists&amp;$AQ1202,"abrir"))</f>
        <v/>
      </c>
      <c r="AS1202" s="4" t="n"/>
      <c r="AT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2" t="n"/>
      <c r="K1203" s="5" t="n"/>
      <c r="L1203" s="18" t="n"/>
      <c r="M1203" s="5">
        <f>IF($A1203="","",IFERROR(INDEX('AJUSTES'!$B$4:$B$303,MATCH($AT1203,'AJUSTES'!$A$4:$A$303,0)),IF($K1203="","",$K1203)))</f>
        <v/>
      </c>
      <c r="N1203" s="5">
        <f>IF($A1203="","",IFERROR(INDEX('CAT_ESTADOS_ERP'!$B$4:$B$7,MATCH(IFERROR(INDEX('2_IMPORTAR_EJECUCION'!$C$9:$C$1208,MATCH($AT1203,'2_IMPORTAR_EJECUCION'!$J$9:$J$1208,0)),""),'CAT_ESTADOS_ERP'!$A$4:$A$7,0)),"Pendiente"))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IF($J1203="","",$P1203&amp;"-"&amp;TEXT($Q1203,"00"))</f>
        <v/>
      </c>
      <c r="S1203" s="5">
        <f>IF($J1203="","",INDEX(lista_dias,WEEKDAY($J1203,2)))</f>
        <v/>
      </c>
      <c r="T1203" s="5">
        <f>IF($J1203="","",IFERROR(INDEX('CALENDARIO'!$C$15:$C$214,MATCH(TEXT($J1203,"yyyy-mm-dd")&amp;"|"&amp;$X1203&amp;"|"&amp;$Y1203,'CALENDARIO'!$G$15:$G$214,0)),IFERROR(INDEX('CALENDARIO'!$C$15:$C$214,MATCH(TEXT($J1203,"yyyy-mm-dd")&amp;"|"&amp;$X1203&amp;"|",'CALENDARIO'!$G$15:$G$214,0)),IFERROR(INDEX('CALENDARIO'!$C$15:$C$214,MATCH(TEXT($J1203,"yyyy-mm-dd")&amp;"||",'CALENDARIO'!$G$15:$G$214,0)),INDEX(patronHabil,WEEKDAY($J1203,2))))))</f>
        <v/>
      </c>
      <c r="U1203" s="5">
        <f>IF($I1203="","",IFERROR(INDEX('CAT_TIPOS_OT'!$C$4:$C$8,MATCH($I1203,'CAT_TIPOS_OT'!$A$4:$A$8,0)),"sin_clasificar"))</f>
        <v/>
      </c>
      <c r="V1203" s="5">
        <f>IF($I1203="","",IF(IFERROR(INDEX('CAT_TIPOS_OT'!$D$4:$D$8,MATCH($I1203,'CAT_TIPOS_OT'!$A$4:$A$8,0)),"SIN CLASIFICAR")="","SIN CLASIFICAR",IFERROR(INDEX('CAT_TIPOS_OT'!$D$4:$D$8,MATCH($I1203,'CAT_TIPOS_OT'!$A$4:$A$8,0)),"SIN CLASIFICAR")))</f>
        <v/>
      </c>
      <c r="W1203" s="5">
        <f>IF($F1203="","",IFERROR(INDEX('CAT_CENTROS_COSTO'!$F$4:$F$13,MATCH($F1203,'CAT_CENTROS_COSTO'!$A$4:$A$13,0)),"(sin catálogo)"))</f>
        <v/>
      </c>
      <c r="X1203" s="5">
        <f>IF($F1203="","",IFERROR(INDEX('CAT_CENTROS_COSTO'!$D$4:$D$13,MATCH($F1203,'CAT_CENTROS_COSTO'!$A$4:$A$13,0)),"(sin catálogo)"))</f>
        <v/>
      </c>
      <c r="Y1203" s="5">
        <f>IF($F1203="","",IF((IFERROR(INDEX('CAT_CENTROS_COSTO'!$E$4:$E$13,MATCH($F1203,'CAT_CENTROS_COSTO'!$A$4:$A$13,0)),""))&lt;&gt;"",IFERROR(INDEX('CAT_CENTROS_COSTO'!$E$4:$E$13,MATCH($F1203,'CAT_CENTROS_COSTO'!$A$4:$A$13,0)),""),$X1203))</f>
        <v/>
      </c>
      <c r="Z1203" s="5">
        <f>IF($F1203="","",IFERROR(INDEX('CAT_CENTROS_COSTO'!$G$4:$G$13,MATCH($F1203,'CAT_CENTROS_COSTO'!$A$4:$A$13,0)),"(sin catálogo)"))</f>
        <v/>
      </c>
      <c r="AA1203" s="5">
        <f>IF($G1203="","",IFERROR(INDEX('CAT_PUESTOS'!$B$4:$B$8,MATCH($G1203,'CAT_PUESTOS'!$A$4:$A$8,0)),"(sin catálogo)"))</f>
        <v/>
      </c>
      <c r="AB1203" s="5">
        <f>IF($H1203="","",IFERROR(INDEX('CAT_ACTIVIDADES'!$B$4:$B$11,MATCH($H1203,'CAT_ACTIVIDADES'!$A$4:$A$11,0)),"(sin catálogo)"))</f>
        <v/>
      </c>
      <c r="AC1203" s="20">
        <f>IF($J1203="","",TODAY()-$J1203)</f>
        <v/>
      </c>
      <c r="AD1203" s="20">
        <f>IF($J1203="","",IF($J1203&lt;=TODAY(),COUNTIFS(cal_fechas,"&gt;="&amp;$J1203,cal_fechas,"&lt;"&amp;TODAY(),cal_habil,"sí"),-COUNTIFS(cal_fechas,"&gt;="&amp;TODAY(),cal_fechas,"&lt;"&amp;$J1203,cal_habil,"sí")))</f>
        <v/>
      </c>
      <c r="AE1203" s="5">
        <f>IF($AD1203="","",IF($AD1203&lt;0,"FUTURO",IF($AD1203&gt;p_dias_backlog_max,"BACKLOG","MES CORRIENTE")))</f>
        <v/>
      </c>
      <c r="AF1203" s="5">
        <f>IF($AD1203="",FALSE,AND($AD1203&gt;p_dias_backlog_min,$AD1203&lt;=p_dias_backlog_max))</f>
        <v/>
      </c>
      <c r="AG1203" s="4" t="n"/>
      <c r="AH1203" s="5">
        <f>IF($AG1203="","",IF((IFERROR(INDEX('ASIGNACIONES'!$J$4:$J$451,MATCH($O1203&amp;"|"&amp;$S1203&amp;"|"&amp;$AG1203,'ASIGNACIONES'!$N$4:$N$451,0)),""))=0,"",IFERROR(INDEX('ASIGNACIONES'!$J$4:$J$451,MATCH($O1203&amp;"|"&amp;$S1203&amp;"|"&amp;$AG1203,'ASIGNACIONES'!$N$4:$N$451,0)),"")))</f>
        <v/>
      </c>
      <c r="AI1203" s="25">
        <f>IF($AG1203="","",SUMIFS('ORDENES'!$M$4:$M$1203,'ORDENES'!$AG$4:$AG$1203,$AG1203,'ORDENES'!$O$4:$O$1203,$O1203,'ORDENES'!$S$4:$S$1203,$S1203))</f>
        <v/>
      </c>
      <c r="AJ1203" s="25">
        <f>IF($AI1203="","",p_factor_productividad*IFERROR(INDEX('ASIGNACIONES'!$M$4:$M$451,MATCH($O1203&amp;"|"&amp;$S1203&amp;"|"&amp;$AG1203,'ASIGNACIONES'!$N$4:$N$451,0)),0)-$AI1203)</f>
        <v/>
      </c>
      <c r="AK1203" s="18">
        <f>IF($A1203="","",IFERROR(INDEX('2_IMPORTAR_EJECUCION'!$F$9:$F$1208,MATCH($AT1203,'2_IMPORTAR_EJECUCION'!$J$9:$J$1208,0)),0))</f>
        <v/>
      </c>
      <c r="AL1203" s="18">
        <f>IF($A1203="","",MAX(0,IFERROR(INDEX('2_IMPORTAR_EJECUCION'!$H$9:$H$1208,MATCH($AT1203,'2_IMPORTAR_EJECUCION'!$J$9:$J$1208,0)),0)-$AK1203))</f>
        <v/>
      </c>
      <c r="AM1203" s="18">
        <f>IF($A1203="","",$AK1203+$AL1203)</f>
        <v/>
      </c>
      <c r="AN1203" s="5">
        <f>IF($A1203="","",IF(OR((IFERROR(INDEX('CAT_ACTIVIDADES'!$D$4:$D$11,MATCH($H1203,'CAT_ACTIVIDADES'!$A$4:$A$11,0)),""))=0,(IFERROR(INDEX('CAT_ACTIVIDADES'!$D$4:$D$11,MATCH($H1203,'CAT_ACTIVIDADES'!$A$4:$A$11,0)),""))=""),"SIN CLASIFICAR",IFERROR(INDEX('CAT_ACTIVIDADES'!$D$4:$D$11,MATCH($H1203,'CAT_ACTIVIDADES'!$A$4:$A$11,0)),"")))</f>
        <v/>
      </c>
      <c r="AO1203" s="4" t="n"/>
      <c r="AP1203" s="4" t="n"/>
      <c r="AQ1203" s="4" t="n"/>
      <c r="AR1203" s="5">
        <f>IF($AQ1203="","",HYPERLINK(p_ruta_base_checklists&amp;$AQ1203,"abrir"))</f>
        <v/>
      </c>
      <c r="AS1203" s="4" t="n"/>
      <c r="AT1203" s="5">
        <f>IF($A1203="","",$A1203&amp;IF($B1203="","0010",$B1203))</f>
        <v/>
      </c>
    </row>
  </sheetData>
  <conditionalFormatting sqref="AC4:AC1203">
    <cfRule type="cellIs" priority="1" operator="greaterThan" dxfId="0">
      <formula>90</formula>
    </cfRule>
  </conditionalFormatting>
  <conditionalFormatting sqref="AG4:AG1203">
    <cfRule type="expression" priority="2" dxfId="1">
      <formula>AND($AF4=TRUE,$AG4="")</formula>
    </cfRule>
  </conditionalFormatting>
  <conditionalFormatting sqref="AJ4:AJ1203">
    <cfRule type="cellIs" priority="3" operator="lessThan" dxfId="0">
      <formula>0</formula>
    </cfRule>
  </conditionalFormatting>
  <dataValidations count="5">
    <dataValidation sqref="AG4:AG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15" t="inlineStr">
        <is>
          <t>semana</t>
        </is>
      </c>
      <c r="B3" s="15" t="inlineStr">
        <is>
          <t>dia</t>
        </is>
      </c>
      <c r="C3" s="15" t="inlineStr">
        <is>
          <t>tecnico</t>
        </is>
      </c>
      <c r="D3" s="15" t="inlineStr">
        <is>
          <t>area</t>
        </is>
      </c>
      <c r="E3" s="15" t="inlineStr">
        <is>
          <t>especialidad</t>
        </is>
      </c>
      <c r="F3" s="15" t="inlineStr">
        <is>
          <t>n_ciclo</t>
        </is>
      </c>
      <c r="G3" s="15" t="inlineStr">
        <is>
          <t>posicion_ciclo</t>
        </is>
      </c>
      <c r="H3" s="15" t="inlineStr">
        <is>
          <t>en_vacaciones</t>
        </is>
      </c>
      <c r="I3" s="15" t="inlineStr">
        <is>
          <t>turno_manual</t>
        </is>
      </c>
      <c r="J3" s="15" t="inlineStr">
        <is>
          <t>turno</t>
        </is>
      </c>
      <c r="K3" s="15" t="inlineStr">
        <is>
          <t>supervisor</t>
        </is>
      </c>
      <c r="L3" s="15" t="inlineStr">
        <is>
          <t>fecha</t>
        </is>
      </c>
      <c r="M3" s="15" t="inlineStr">
        <is>
          <t>horas_disponibles</t>
        </is>
      </c>
      <c r="N3" s="15" t="inlineStr">
        <is>
          <t>clave</t>
        </is>
      </c>
      <c r="O3" s="15" t="inlineStr">
        <is>
          <t>hora_inicio</t>
        </is>
      </c>
      <c r="P3" s="15" t="inlineStr">
        <is>
          <t>hora_fin</t>
        </is>
      </c>
      <c r="Q3" s="15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COUNTIFS('TECNICOS'!$F$4:$F$19,"sí",'TECNICOS'!$C$4:$C$19,$E4,'TECNICOS'!$D$4:$D$19,$D4,'TECNICOS'!$H$4:$H$19,"sí")</f>
        <v/>
      </c>
      <c r="G4" s="5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4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22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COUNTIFS('TECNICOS'!$F$4:$F$19,"sí",'TECNICOS'!$C$4:$C$19,$E5,'TECNICOS'!$D$4:$D$19,$D5,'TECNICOS'!$H$4:$H$19,"sí")</f>
        <v/>
      </c>
      <c r="G5" s="5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4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22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COUNTIFS('TECNICOS'!$F$4:$F$19,"sí",'TECNICOS'!$C$4:$C$19,$E6,'TECNICOS'!$D$4:$D$19,$D6,'TECNICOS'!$H$4:$H$19,"sí")</f>
        <v/>
      </c>
      <c r="G6" s="5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4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22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COUNTIFS('TECNICOS'!$F$4:$F$19,"sí",'TECNICOS'!$C$4:$C$19,$E7,'TECNICOS'!$D$4:$D$19,$D7,'TECNICOS'!$H$4:$H$19,"sí")</f>
        <v/>
      </c>
      <c r="G7" s="5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4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22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COUNTIFS('TECNICOS'!$F$4:$F$19,"sí",'TECNICOS'!$C$4:$C$19,$E8,'TECNICOS'!$D$4:$D$19,$D8,'TECNICOS'!$H$4:$H$19,"sí")</f>
        <v/>
      </c>
      <c r="G8" s="5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4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22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COUNTIFS('TECNICOS'!$F$4:$F$19,"sí",'TECNICOS'!$C$4:$C$19,$E9,'TECNICOS'!$D$4:$D$19,$D9,'TECNICOS'!$H$4:$H$19,"sí")</f>
        <v/>
      </c>
      <c r="G9" s="5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4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22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COUNTIFS('TECNICOS'!$F$4:$F$19,"sí",'TECNICOS'!$C$4:$C$19,$E10,'TECNICOS'!$D$4:$D$19,$D10,'TECNICOS'!$H$4:$H$19,"sí")</f>
        <v/>
      </c>
      <c r="G10" s="5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4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22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COUNTIFS('TECNICOS'!$F$4:$F$19,"sí",'TECNICOS'!$C$4:$C$19,$E11,'TECNICOS'!$D$4:$D$19,$D11,'TECNICOS'!$H$4:$H$19,"sí")</f>
        <v/>
      </c>
      <c r="G11" s="5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4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22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COUNTIFS('TECNICOS'!$F$4:$F$19,"sí",'TECNICOS'!$C$4:$C$19,$E12,'TECNICOS'!$D$4:$D$19,$D12,'TECNICOS'!$H$4:$H$19,"sí")</f>
        <v/>
      </c>
      <c r="G12" s="5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4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22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COUNTIFS('TECNICOS'!$F$4:$F$19,"sí",'TECNICOS'!$C$4:$C$19,$E13,'TECNICOS'!$D$4:$D$19,$D13,'TECNICOS'!$H$4:$H$19,"sí")</f>
        <v/>
      </c>
      <c r="G13" s="5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4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22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COUNTIFS('TECNICOS'!$F$4:$F$19,"sí",'TECNICOS'!$C$4:$C$19,$E14,'TECNICOS'!$D$4:$D$19,$D14,'TECNICOS'!$H$4:$H$19,"sí")</f>
        <v/>
      </c>
      <c r="G14" s="5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4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22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COUNTIFS('TECNICOS'!$F$4:$F$19,"sí",'TECNICOS'!$C$4:$C$19,$E15,'TECNICOS'!$D$4:$D$19,$D15,'TECNICOS'!$H$4:$H$19,"sí")</f>
        <v/>
      </c>
      <c r="G15" s="5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4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22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COUNTIFS('TECNICOS'!$F$4:$F$19,"sí",'TECNICOS'!$C$4:$C$19,$E16,'TECNICOS'!$D$4:$D$19,$D16,'TECNICOS'!$H$4:$H$19,"sí")</f>
        <v/>
      </c>
      <c r="G16" s="5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4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22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COUNTIFS('TECNICOS'!$F$4:$F$19,"sí",'TECNICOS'!$C$4:$C$19,$E17,'TECNICOS'!$D$4:$D$19,$D17,'TECNICOS'!$H$4:$H$19,"sí")</f>
        <v/>
      </c>
      <c r="G17" s="5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4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22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COUNTIFS('TECNICOS'!$F$4:$F$19,"sí",'TECNICOS'!$C$4:$C$19,$E18,'TECNICOS'!$D$4:$D$19,$D18,'TECNICOS'!$H$4:$H$19,"sí")</f>
        <v/>
      </c>
      <c r="G18" s="5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4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22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COUNTIFS('TECNICOS'!$F$4:$F$19,"sí",'TECNICOS'!$C$4:$C$19,$E19,'TECNICOS'!$D$4:$D$19,$D19,'TECNICOS'!$H$4:$H$19,"sí")</f>
        <v/>
      </c>
      <c r="G19" s="5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4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22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COUNTIFS('TECNICOS'!$F$4:$F$19,"sí",'TECNICOS'!$C$4:$C$19,$E20,'TECNICOS'!$D$4:$D$19,$D20,'TECNICOS'!$H$4:$H$19,"sí")</f>
        <v/>
      </c>
      <c r="G20" s="5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4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22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COUNTIFS('TECNICOS'!$F$4:$F$19,"sí",'TECNICOS'!$C$4:$C$19,$E21,'TECNICOS'!$D$4:$D$19,$D21,'TECNICOS'!$H$4:$H$19,"sí")</f>
        <v/>
      </c>
      <c r="G21" s="5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4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22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COUNTIFS('TECNICOS'!$F$4:$F$19,"sí",'TECNICOS'!$C$4:$C$19,$E22,'TECNICOS'!$D$4:$D$19,$D22,'TECNICOS'!$H$4:$H$19,"sí")</f>
        <v/>
      </c>
      <c r="G22" s="5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4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22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COUNTIFS('TECNICOS'!$F$4:$F$19,"sí",'TECNICOS'!$C$4:$C$19,$E23,'TECNICOS'!$D$4:$D$19,$D23,'TECNICOS'!$H$4:$H$19,"sí")</f>
        <v/>
      </c>
      <c r="G23" s="5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4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22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COUNTIFS('TECNICOS'!$F$4:$F$19,"sí",'TECNICOS'!$C$4:$C$19,$E24,'TECNICOS'!$D$4:$D$19,$D24,'TECNICOS'!$H$4:$H$19,"sí")</f>
        <v/>
      </c>
      <c r="G24" s="5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4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22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COUNTIFS('TECNICOS'!$F$4:$F$19,"sí",'TECNICOS'!$C$4:$C$19,$E25,'TECNICOS'!$D$4:$D$19,$D25,'TECNICOS'!$H$4:$H$19,"sí")</f>
        <v/>
      </c>
      <c r="G25" s="5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4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22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COUNTIFS('TECNICOS'!$F$4:$F$19,"sí",'TECNICOS'!$C$4:$C$19,$E26,'TECNICOS'!$D$4:$D$19,$D26,'TECNICOS'!$H$4:$H$19,"sí")</f>
        <v/>
      </c>
      <c r="G26" s="5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4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22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COUNTIFS('TECNICOS'!$F$4:$F$19,"sí",'TECNICOS'!$C$4:$C$19,$E27,'TECNICOS'!$D$4:$D$19,$D27,'TECNICOS'!$H$4:$H$19,"sí")</f>
        <v/>
      </c>
      <c r="G27" s="5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4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22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COUNTIFS('TECNICOS'!$F$4:$F$19,"sí",'TECNICOS'!$C$4:$C$19,$E28,'TECNICOS'!$D$4:$D$19,$D28,'TECNICOS'!$H$4:$H$19,"sí")</f>
        <v/>
      </c>
      <c r="G28" s="5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4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22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COUNTIFS('TECNICOS'!$F$4:$F$19,"sí",'TECNICOS'!$C$4:$C$19,$E29,'TECNICOS'!$D$4:$D$19,$D29,'TECNICOS'!$H$4:$H$19,"sí")</f>
        <v/>
      </c>
      <c r="G29" s="5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4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22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COUNTIFS('TECNICOS'!$F$4:$F$19,"sí",'TECNICOS'!$C$4:$C$19,$E30,'TECNICOS'!$D$4:$D$19,$D30,'TECNICOS'!$H$4:$H$19,"sí")</f>
        <v/>
      </c>
      <c r="G30" s="5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4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22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COUNTIFS('TECNICOS'!$F$4:$F$19,"sí",'TECNICOS'!$C$4:$C$19,$E31,'TECNICOS'!$D$4:$D$19,$D31,'TECNICOS'!$H$4:$H$19,"sí")</f>
        <v/>
      </c>
      <c r="G31" s="5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4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22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COUNTIFS('TECNICOS'!$F$4:$F$19,"sí",'TECNICOS'!$C$4:$C$19,$E32,'TECNICOS'!$D$4:$D$19,$D32,'TECNICOS'!$H$4:$H$19,"sí")</f>
        <v/>
      </c>
      <c r="G32" s="5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4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22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COUNTIFS('TECNICOS'!$F$4:$F$19,"sí",'TECNICOS'!$C$4:$C$19,$E33,'TECNICOS'!$D$4:$D$19,$D33,'TECNICOS'!$H$4:$H$19,"sí")</f>
        <v/>
      </c>
      <c r="G33" s="5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4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22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COUNTIFS('TECNICOS'!$F$4:$F$19,"sí",'TECNICOS'!$C$4:$C$19,$E34,'TECNICOS'!$D$4:$D$19,$D34,'TECNICOS'!$H$4:$H$19,"sí")</f>
        <v/>
      </c>
      <c r="G34" s="5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4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22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COUNTIFS('TECNICOS'!$F$4:$F$19,"sí",'TECNICOS'!$C$4:$C$19,$E35,'TECNICOS'!$D$4:$D$19,$D35,'TECNICOS'!$H$4:$H$19,"sí")</f>
        <v/>
      </c>
      <c r="G35" s="5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4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22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COUNTIFS('TECNICOS'!$F$4:$F$19,"sí",'TECNICOS'!$C$4:$C$19,$E36,'TECNICOS'!$D$4:$D$19,$D36,'TECNICOS'!$H$4:$H$19,"sí")</f>
        <v/>
      </c>
      <c r="G36" s="5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4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22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COUNTIFS('TECNICOS'!$F$4:$F$19,"sí",'TECNICOS'!$C$4:$C$19,$E37,'TECNICOS'!$D$4:$D$19,$D37,'TECNICOS'!$H$4:$H$19,"sí")</f>
        <v/>
      </c>
      <c r="G37" s="5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4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22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COUNTIFS('TECNICOS'!$F$4:$F$19,"sí",'TECNICOS'!$C$4:$C$19,$E38,'TECNICOS'!$D$4:$D$19,$D38,'TECNICOS'!$H$4:$H$19,"sí")</f>
        <v/>
      </c>
      <c r="G38" s="5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4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22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COUNTIFS('TECNICOS'!$F$4:$F$19,"sí",'TECNICOS'!$C$4:$C$19,$E39,'TECNICOS'!$D$4:$D$19,$D39,'TECNICOS'!$H$4:$H$19,"sí")</f>
        <v/>
      </c>
      <c r="G39" s="5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4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22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COUNTIFS('TECNICOS'!$F$4:$F$19,"sí",'TECNICOS'!$C$4:$C$19,$E40,'TECNICOS'!$D$4:$D$19,$D40,'TECNICOS'!$H$4:$H$19,"sí")</f>
        <v/>
      </c>
      <c r="G40" s="5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4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22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COUNTIFS('TECNICOS'!$F$4:$F$19,"sí",'TECNICOS'!$C$4:$C$19,$E41,'TECNICOS'!$D$4:$D$19,$D41,'TECNICOS'!$H$4:$H$19,"sí")</f>
        <v/>
      </c>
      <c r="G41" s="5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4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22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COUNTIFS('TECNICOS'!$F$4:$F$19,"sí",'TECNICOS'!$C$4:$C$19,$E42,'TECNICOS'!$D$4:$D$19,$D42,'TECNICOS'!$H$4:$H$19,"sí")</f>
        <v/>
      </c>
      <c r="G42" s="5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4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22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COUNTIFS('TECNICOS'!$F$4:$F$19,"sí",'TECNICOS'!$C$4:$C$19,$E43,'TECNICOS'!$D$4:$D$19,$D43,'TECNICOS'!$H$4:$H$19,"sí")</f>
        <v/>
      </c>
      <c r="G43" s="5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4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22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COUNTIFS('TECNICOS'!$F$4:$F$19,"sí",'TECNICOS'!$C$4:$C$19,$E44,'TECNICOS'!$D$4:$D$19,$D44,'TECNICOS'!$H$4:$H$19,"sí")</f>
        <v/>
      </c>
      <c r="G44" s="5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4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22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COUNTIFS('TECNICOS'!$F$4:$F$19,"sí",'TECNICOS'!$C$4:$C$19,$E45,'TECNICOS'!$D$4:$D$19,$D45,'TECNICOS'!$H$4:$H$19,"sí")</f>
        <v/>
      </c>
      <c r="G45" s="5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4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22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COUNTIFS('TECNICOS'!$F$4:$F$19,"sí",'TECNICOS'!$C$4:$C$19,$E46,'TECNICOS'!$D$4:$D$19,$D46,'TECNICOS'!$H$4:$H$19,"sí")</f>
        <v/>
      </c>
      <c r="G46" s="5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4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22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COUNTIFS('TECNICOS'!$F$4:$F$19,"sí",'TECNICOS'!$C$4:$C$19,$E47,'TECNICOS'!$D$4:$D$19,$D47,'TECNICOS'!$H$4:$H$19,"sí")</f>
        <v/>
      </c>
      <c r="G47" s="5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4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22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COUNTIFS('TECNICOS'!$F$4:$F$19,"sí",'TECNICOS'!$C$4:$C$19,$E48,'TECNICOS'!$D$4:$D$19,$D48,'TECNICOS'!$H$4:$H$19,"sí")</f>
        <v/>
      </c>
      <c r="G48" s="5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4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22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COUNTIFS('TECNICOS'!$F$4:$F$19,"sí",'TECNICOS'!$C$4:$C$19,$E49,'TECNICOS'!$D$4:$D$19,$D49,'TECNICOS'!$H$4:$H$19,"sí")</f>
        <v/>
      </c>
      <c r="G49" s="5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4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22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COUNTIFS('TECNICOS'!$F$4:$F$19,"sí",'TECNICOS'!$C$4:$C$19,$E50,'TECNICOS'!$D$4:$D$19,$D50,'TECNICOS'!$H$4:$H$19,"sí")</f>
        <v/>
      </c>
      <c r="G50" s="5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4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22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COUNTIFS('TECNICOS'!$F$4:$F$19,"sí",'TECNICOS'!$C$4:$C$19,$E51,'TECNICOS'!$D$4:$D$19,$D51,'TECNICOS'!$H$4:$H$19,"sí")</f>
        <v/>
      </c>
      <c r="G51" s="5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4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22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COUNTIFS('TECNICOS'!$F$4:$F$19,"sí",'TECNICOS'!$C$4:$C$19,$E52,'TECNICOS'!$D$4:$D$19,$D52,'TECNICOS'!$H$4:$H$19,"sí")</f>
        <v/>
      </c>
      <c r="G52" s="5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4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22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COUNTIFS('TECNICOS'!$F$4:$F$19,"sí",'TECNICOS'!$C$4:$C$19,$E53,'TECNICOS'!$D$4:$D$19,$D53,'TECNICOS'!$H$4:$H$19,"sí")</f>
        <v/>
      </c>
      <c r="G53" s="5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4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22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COUNTIFS('TECNICOS'!$F$4:$F$19,"sí",'TECNICOS'!$C$4:$C$19,$E54,'TECNICOS'!$D$4:$D$19,$D54,'TECNICOS'!$H$4:$H$19,"sí")</f>
        <v/>
      </c>
      <c r="G54" s="5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4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22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COUNTIFS('TECNICOS'!$F$4:$F$19,"sí",'TECNICOS'!$C$4:$C$19,$E55,'TECNICOS'!$D$4:$D$19,$D55,'TECNICOS'!$H$4:$H$19,"sí")</f>
        <v/>
      </c>
      <c r="G55" s="5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4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22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COUNTIFS('TECNICOS'!$F$4:$F$19,"sí",'TECNICOS'!$C$4:$C$19,$E56,'TECNICOS'!$D$4:$D$19,$D56,'TECNICOS'!$H$4:$H$19,"sí")</f>
        <v/>
      </c>
      <c r="G56" s="5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4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22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COUNTIFS('TECNICOS'!$F$4:$F$19,"sí",'TECNICOS'!$C$4:$C$19,$E57,'TECNICOS'!$D$4:$D$19,$D57,'TECNICOS'!$H$4:$H$19,"sí")</f>
        <v/>
      </c>
      <c r="G57" s="5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4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22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COUNTIFS('TECNICOS'!$F$4:$F$19,"sí",'TECNICOS'!$C$4:$C$19,$E58,'TECNICOS'!$D$4:$D$19,$D58,'TECNICOS'!$H$4:$H$19,"sí")</f>
        <v/>
      </c>
      <c r="G58" s="5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4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22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COUNTIFS('TECNICOS'!$F$4:$F$19,"sí",'TECNICOS'!$C$4:$C$19,$E59,'TECNICOS'!$D$4:$D$19,$D59,'TECNICOS'!$H$4:$H$19,"sí")</f>
        <v/>
      </c>
      <c r="G59" s="5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4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22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COUNTIFS('TECNICOS'!$F$4:$F$19,"sí",'TECNICOS'!$C$4:$C$19,$E60,'TECNICOS'!$D$4:$D$19,$D60,'TECNICOS'!$H$4:$H$19,"sí")</f>
        <v/>
      </c>
      <c r="G60" s="5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4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22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COUNTIFS('TECNICOS'!$F$4:$F$19,"sí",'TECNICOS'!$C$4:$C$19,$E61,'TECNICOS'!$D$4:$D$19,$D61,'TECNICOS'!$H$4:$H$19,"sí")</f>
        <v/>
      </c>
      <c r="G61" s="5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4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22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COUNTIFS('TECNICOS'!$F$4:$F$19,"sí",'TECNICOS'!$C$4:$C$19,$E62,'TECNICOS'!$D$4:$D$19,$D62,'TECNICOS'!$H$4:$H$19,"sí")</f>
        <v/>
      </c>
      <c r="G62" s="5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4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22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COUNTIFS('TECNICOS'!$F$4:$F$19,"sí",'TECNICOS'!$C$4:$C$19,$E63,'TECNICOS'!$D$4:$D$19,$D63,'TECNICOS'!$H$4:$H$19,"sí")</f>
        <v/>
      </c>
      <c r="G63" s="5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4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22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COUNTIFS('TECNICOS'!$F$4:$F$19,"sí",'TECNICOS'!$C$4:$C$19,$E64,'TECNICOS'!$D$4:$D$19,$D64,'TECNICOS'!$H$4:$H$19,"sí")</f>
        <v/>
      </c>
      <c r="G64" s="5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4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22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COUNTIFS('TECNICOS'!$F$4:$F$19,"sí",'TECNICOS'!$C$4:$C$19,$E65,'TECNICOS'!$D$4:$D$19,$D65,'TECNICOS'!$H$4:$H$19,"sí")</f>
        <v/>
      </c>
      <c r="G65" s="5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4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22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COUNTIFS('TECNICOS'!$F$4:$F$19,"sí",'TECNICOS'!$C$4:$C$19,$E66,'TECNICOS'!$D$4:$D$19,$D66,'TECNICOS'!$H$4:$H$19,"sí")</f>
        <v/>
      </c>
      <c r="G66" s="5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4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22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COUNTIFS('TECNICOS'!$F$4:$F$19,"sí",'TECNICOS'!$C$4:$C$19,$E67,'TECNICOS'!$D$4:$D$19,$D67,'TECNICOS'!$H$4:$H$19,"sí")</f>
        <v/>
      </c>
      <c r="G67" s="5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4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22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COUNTIFS('TECNICOS'!$F$4:$F$19,"sí",'TECNICOS'!$C$4:$C$19,$E68,'TECNICOS'!$D$4:$D$19,$D68,'TECNICOS'!$H$4:$H$19,"sí")</f>
        <v/>
      </c>
      <c r="G68" s="5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4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22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COUNTIFS('TECNICOS'!$F$4:$F$19,"sí",'TECNICOS'!$C$4:$C$19,$E69,'TECNICOS'!$D$4:$D$19,$D69,'TECNICOS'!$H$4:$H$19,"sí")</f>
        <v/>
      </c>
      <c r="G69" s="5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4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22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COUNTIFS('TECNICOS'!$F$4:$F$19,"sí",'TECNICOS'!$C$4:$C$19,$E70,'TECNICOS'!$D$4:$D$19,$D70,'TECNICOS'!$H$4:$H$19,"sí")</f>
        <v/>
      </c>
      <c r="G70" s="5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4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22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COUNTIFS('TECNICOS'!$F$4:$F$19,"sí",'TECNICOS'!$C$4:$C$19,$E71,'TECNICOS'!$D$4:$D$19,$D71,'TECNICOS'!$H$4:$H$19,"sí")</f>
        <v/>
      </c>
      <c r="G71" s="5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4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22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COUNTIFS('TECNICOS'!$F$4:$F$19,"sí",'TECNICOS'!$C$4:$C$19,$E72,'TECNICOS'!$D$4:$D$19,$D72,'TECNICOS'!$H$4:$H$19,"sí")</f>
        <v/>
      </c>
      <c r="G72" s="5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4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22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COUNTIFS('TECNICOS'!$F$4:$F$19,"sí",'TECNICOS'!$C$4:$C$19,$E73,'TECNICOS'!$D$4:$D$19,$D73,'TECNICOS'!$H$4:$H$19,"sí")</f>
        <v/>
      </c>
      <c r="G73" s="5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4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22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COUNTIFS('TECNICOS'!$F$4:$F$19,"sí",'TECNICOS'!$C$4:$C$19,$E74,'TECNICOS'!$D$4:$D$19,$D74,'TECNICOS'!$H$4:$H$19,"sí")</f>
        <v/>
      </c>
      <c r="G74" s="5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4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22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COUNTIFS('TECNICOS'!$F$4:$F$19,"sí",'TECNICOS'!$C$4:$C$19,$E75,'TECNICOS'!$D$4:$D$19,$D75,'TECNICOS'!$H$4:$H$19,"sí")</f>
        <v/>
      </c>
      <c r="G75" s="5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4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22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COUNTIFS('TECNICOS'!$F$4:$F$19,"sí",'TECNICOS'!$C$4:$C$19,$E76,'TECNICOS'!$D$4:$D$19,$D76,'TECNICOS'!$H$4:$H$19,"sí")</f>
        <v/>
      </c>
      <c r="G76" s="5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4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22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COUNTIFS('TECNICOS'!$F$4:$F$19,"sí",'TECNICOS'!$C$4:$C$19,$E77,'TECNICOS'!$D$4:$D$19,$D77,'TECNICOS'!$H$4:$H$19,"sí")</f>
        <v/>
      </c>
      <c r="G77" s="5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4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22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COUNTIFS('TECNICOS'!$F$4:$F$19,"sí",'TECNICOS'!$C$4:$C$19,$E78,'TECNICOS'!$D$4:$D$19,$D78,'TECNICOS'!$H$4:$H$19,"sí")</f>
        <v/>
      </c>
      <c r="G78" s="5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4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22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COUNTIFS('TECNICOS'!$F$4:$F$19,"sí",'TECNICOS'!$C$4:$C$19,$E79,'TECNICOS'!$D$4:$D$19,$D79,'TECNICOS'!$H$4:$H$19,"sí")</f>
        <v/>
      </c>
      <c r="G79" s="5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4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22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COUNTIFS('TECNICOS'!$F$4:$F$19,"sí",'TECNICOS'!$C$4:$C$19,$E80,'TECNICOS'!$D$4:$D$19,$D80,'TECNICOS'!$H$4:$H$19,"sí")</f>
        <v/>
      </c>
      <c r="G80" s="5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4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22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COUNTIFS('TECNICOS'!$F$4:$F$19,"sí",'TECNICOS'!$C$4:$C$19,$E81,'TECNICOS'!$D$4:$D$19,$D81,'TECNICOS'!$H$4:$H$19,"sí")</f>
        <v/>
      </c>
      <c r="G81" s="5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4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22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COUNTIFS('TECNICOS'!$F$4:$F$19,"sí",'TECNICOS'!$C$4:$C$19,$E82,'TECNICOS'!$D$4:$D$19,$D82,'TECNICOS'!$H$4:$H$19,"sí")</f>
        <v/>
      </c>
      <c r="G82" s="5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4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22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COUNTIFS('TECNICOS'!$F$4:$F$19,"sí",'TECNICOS'!$C$4:$C$19,$E83,'TECNICOS'!$D$4:$D$19,$D83,'TECNICOS'!$H$4:$H$19,"sí")</f>
        <v/>
      </c>
      <c r="G83" s="5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4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22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COUNTIFS('TECNICOS'!$F$4:$F$19,"sí",'TECNICOS'!$C$4:$C$19,$E84,'TECNICOS'!$D$4:$D$19,$D84,'TECNICOS'!$H$4:$H$19,"sí")</f>
        <v/>
      </c>
      <c r="G84" s="5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4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22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COUNTIFS('TECNICOS'!$F$4:$F$19,"sí",'TECNICOS'!$C$4:$C$19,$E85,'TECNICOS'!$D$4:$D$19,$D85,'TECNICOS'!$H$4:$H$19,"sí")</f>
        <v/>
      </c>
      <c r="G85" s="5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4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22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COUNTIFS('TECNICOS'!$F$4:$F$19,"sí",'TECNICOS'!$C$4:$C$19,$E86,'TECNICOS'!$D$4:$D$19,$D86,'TECNICOS'!$H$4:$H$19,"sí")</f>
        <v/>
      </c>
      <c r="G86" s="5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4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22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COUNTIFS('TECNICOS'!$F$4:$F$19,"sí",'TECNICOS'!$C$4:$C$19,$E87,'TECNICOS'!$D$4:$D$19,$D87,'TECNICOS'!$H$4:$H$19,"sí")</f>
        <v/>
      </c>
      <c r="G87" s="5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4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22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COUNTIFS('TECNICOS'!$F$4:$F$19,"sí",'TECNICOS'!$C$4:$C$19,$E88,'TECNICOS'!$D$4:$D$19,$D88,'TECNICOS'!$H$4:$H$19,"sí")</f>
        <v/>
      </c>
      <c r="G88" s="5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4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22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COUNTIFS('TECNICOS'!$F$4:$F$19,"sí",'TECNICOS'!$C$4:$C$19,$E89,'TECNICOS'!$D$4:$D$19,$D89,'TECNICOS'!$H$4:$H$19,"sí")</f>
        <v/>
      </c>
      <c r="G89" s="5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4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22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COUNTIFS('TECNICOS'!$F$4:$F$19,"sí",'TECNICOS'!$C$4:$C$19,$E90,'TECNICOS'!$D$4:$D$19,$D90,'TECNICOS'!$H$4:$H$19,"sí")</f>
        <v/>
      </c>
      <c r="G90" s="5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4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22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COUNTIFS('TECNICOS'!$F$4:$F$19,"sí",'TECNICOS'!$C$4:$C$19,$E91,'TECNICOS'!$D$4:$D$19,$D91,'TECNICOS'!$H$4:$H$19,"sí")</f>
        <v/>
      </c>
      <c r="G91" s="5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4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22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COUNTIFS('TECNICOS'!$F$4:$F$19,"sí",'TECNICOS'!$C$4:$C$19,$E92,'TECNICOS'!$D$4:$D$19,$D92,'TECNICOS'!$H$4:$H$19,"sí")</f>
        <v/>
      </c>
      <c r="G92" s="5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4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22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COUNTIFS('TECNICOS'!$F$4:$F$19,"sí",'TECNICOS'!$C$4:$C$19,$E93,'TECNICOS'!$D$4:$D$19,$D93,'TECNICOS'!$H$4:$H$19,"sí")</f>
        <v/>
      </c>
      <c r="G93" s="5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4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22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COUNTIFS('TECNICOS'!$F$4:$F$19,"sí",'TECNICOS'!$C$4:$C$19,$E94,'TECNICOS'!$D$4:$D$19,$D94,'TECNICOS'!$H$4:$H$19,"sí")</f>
        <v/>
      </c>
      <c r="G94" s="5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4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22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COUNTIFS('TECNICOS'!$F$4:$F$19,"sí",'TECNICOS'!$C$4:$C$19,$E95,'TECNICOS'!$D$4:$D$19,$D95,'TECNICOS'!$H$4:$H$19,"sí")</f>
        <v/>
      </c>
      <c r="G95" s="5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4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22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COUNTIFS('TECNICOS'!$F$4:$F$19,"sí",'TECNICOS'!$C$4:$C$19,$E96,'TECNICOS'!$D$4:$D$19,$D96,'TECNICOS'!$H$4:$H$19,"sí")</f>
        <v/>
      </c>
      <c r="G96" s="5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4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22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COUNTIFS('TECNICOS'!$F$4:$F$19,"sí",'TECNICOS'!$C$4:$C$19,$E97,'TECNICOS'!$D$4:$D$19,$D97,'TECNICOS'!$H$4:$H$19,"sí")</f>
        <v/>
      </c>
      <c r="G97" s="5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4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22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COUNTIFS('TECNICOS'!$F$4:$F$19,"sí",'TECNICOS'!$C$4:$C$19,$E98,'TECNICOS'!$D$4:$D$19,$D98,'TECNICOS'!$H$4:$H$19,"sí")</f>
        <v/>
      </c>
      <c r="G98" s="5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4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22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COUNTIFS('TECNICOS'!$F$4:$F$19,"sí",'TECNICOS'!$C$4:$C$19,$E99,'TECNICOS'!$D$4:$D$19,$D99,'TECNICOS'!$H$4:$H$19,"sí")</f>
        <v/>
      </c>
      <c r="G99" s="5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4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22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COUNTIFS('TECNICOS'!$F$4:$F$19,"sí",'TECNICOS'!$C$4:$C$19,$E100,'TECNICOS'!$D$4:$D$19,$D100,'TECNICOS'!$H$4:$H$19,"sí")</f>
        <v/>
      </c>
      <c r="G100" s="5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4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22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COUNTIFS('TECNICOS'!$F$4:$F$19,"sí",'TECNICOS'!$C$4:$C$19,$E101,'TECNICOS'!$D$4:$D$19,$D101,'TECNICOS'!$H$4:$H$19,"sí")</f>
        <v/>
      </c>
      <c r="G101" s="5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4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22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COUNTIFS('TECNICOS'!$F$4:$F$19,"sí",'TECNICOS'!$C$4:$C$19,$E102,'TECNICOS'!$D$4:$D$19,$D102,'TECNICOS'!$H$4:$H$19,"sí")</f>
        <v/>
      </c>
      <c r="G102" s="5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4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22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COUNTIFS('TECNICOS'!$F$4:$F$19,"sí",'TECNICOS'!$C$4:$C$19,$E103,'TECNICOS'!$D$4:$D$19,$D103,'TECNICOS'!$H$4:$H$19,"sí")</f>
        <v/>
      </c>
      <c r="G103" s="5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4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22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COUNTIFS('TECNICOS'!$F$4:$F$19,"sí",'TECNICOS'!$C$4:$C$19,$E104,'TECNICOS'!$D$4:$D$19,$D104,'TECNICOS'!$H$4:$H$19,"sí")</f>
        <v/>
      </c>
      <c r="G104" s="5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4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22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COUNTIFS('TECNICOS'!$F$4:$F$19,"sí",'TECNICOS'!$C$4:$C$19,$E105,'TECNICOS'!$D$4:$D$19,$D105,'TECNICOS'!$H$4:$H$19,"sí")</f>
        <v/>
      </c>
      <c r="G105" s="5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4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22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COUNTIFS('TECNICOS'!$F$4:$F$19,"sí",'TECNICOS'!$C$4:$C$19,$E106,'TECNICOS'!$D$4:$D$19,$D106,'TECNICOS'!$H$4:$H$19,"sí")</f>
        <v/>
      </c>
      <c r="G106" s="5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4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22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COUNTIFS('TECNICOS'!$F$4:$F$19,"sí",'TECNICOS'!$C$4:$C$19,$E107,'TECNICOS'!$D$4:$D$19,$D107,'TECNICOS'!$H$4:$H$19,"sí")</f>
        <v/>
      </c>
      <c r="G107" s="5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4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22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COUNTIFS('TECNICOS'!$F$4:$F$19,"sí",'TECNICOS'!$C$4:$C$19,$E108,'TECNICOS'!$D$4:$D$19,$D108,'TECNICOS'!$H$4:$H$19,"sí")</f>
        <v/>
      </c>
      <c r="G108" s="5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4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22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COUNTIFS('TECNICOS'!$F$4:$F$19,"sí",'TECNICOS'!$C$4:$C$19,$E109,'TECNICOS'!$D$4:$D$19,$D109,'TECNICOS'!$H$4:$H$19,"sí")</f>
        <v/>
      </c>
      <c r="G109" s="5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4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22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COUNTIFS('TECNICOS'!$F$4:$F$19,"sí",'TECNICOS'!$C$4:$C$19,$E110,'TECNICOS'!$D$4:$D$19,$D110,'TECNICOS'!$H$4:$H$19,"sí")</f>
        <v/>
      </c>
      <c r="G110" s="5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4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22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COUNTIFS('TECNICOS'!$F$4:$F$19,"sí",'TECNICOS'!$C$4:$C$19,$E111,'TECNICOS'!$D$4:$D$19,$D111,'TECNICOS'!$H$4:$H$19,"sí")</f>
        <v/>
      </c>
      <c r="G111" s="5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4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22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COUNTIFS('TECNICOS'!$F$4:$F$19,"sí",'TECNICOS'!$C$4:$C$19,$E112,'TECNICOS'!$D$4:$D$19,$D112,'TECNICOS'!$H$4:$H$19,"sí")</f>
        <v/>
      </c>
      <c r="G112" s="5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4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22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COUNTIFS('TECNICOS'!$F$4:$F$19,"sí",'TECNICOS'!$C$4:$C$19,$E113,'TECNICOS'!$D$4:$D$19,$D113,'TECNICOS'!$H$4:$H$19,"sí")</f>
        <v/>
      </c>
      <c r="G113" s="5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4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22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COUNTIFS('TECNICOS'!$F$4:$F$19,"sí",'TECNICOS'!$C$4:$C$19,$E114,'TECNICOS'!$D$4:$D$19,$D114,'TECNICOS'!$H$4:$H$19,"sí")</f>
        <v/>
      </c>
      <c r="G114" s="5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4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22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COUNTIFS('TECNICOS'!$F$4:$F$19,"sí",'TECNICOS'!$C$4:$C$19,$E115,'TECNICOS'!$D$4:$D$19,$D115,'TECNICOS'!$H$4:$H$19,"sí")</f>
        <v/>
      </c>
      <c r="G115" s="5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4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22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COUNTIFS('TECNICOS'!$F$4:$F$19,"sí",'TECNICOS'!$C$4:$C$19,$E116,'TECNICOS'!$D$4:$D$19,$D116,'TECNICOS'!$H$4:$H$19,"sí")</f>
        <v/>
      </c>
      <c r="G116" s="5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4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22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COUNTIFS('TECNICOS'!$F$4:$F$19,"sí",'TECNICOS'!$C$4:$C$19,$E117,'TECNICOS'!$D$4:$D$19,$D117,'TECNICOS'!$H$4:$H$19,"sí")</f>
        <v/>
      </c>
      <c r="G117" s="5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4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22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COUNTIFS('TECNICOS'!$F$4:$F$19,"sí",'TECNICOS'!$C$4:$C$19,$E118,'TECNICOS'!$D$4:$D$19,$D118,'TECNICOS'!$H$4:$H$19,"sí")</f>
        <v/>
      </c>
      <c r="G118" s="5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4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22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COUNTIFS('TECNICOS'!$F$4:$F$19,"sí",'TECNICOS'!$C$4:$C$19,$E119,'TECNICOS'!$D$4:$D$19,$D119,'TECNICOS'!$H$4:$H$19,"sí")</f>
        <v/>
      </c>
      <c r="G119" s="5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4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22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COUNTIFS('TECNICOS'!$F$4:$F$19,"sí",'TECNICOS'!$C$4:$C$19,$E120,'TECNICOS'!$D$4:$D$19,$D120,'TECNICOS'!$H$4:$H$19,"sí")</f>
        <v/>
      </c>
      <c r="G120" s="5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4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22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COUNTIFS('TECNICOS'!$F$4:$F$19,"sí",'TECNICOS'!$C$4:$C$19,$E121,'TECNICOS'!$D$4:$D$19,$D121,'TECNICOS'!$H$4:$H$19,"sí")</f>
        <v/>
      </c>
      <c r="G121" s="5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4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22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COUNTIFS('TECNICOS'!$F$4:$F$19,"sí",'TECNICOS'!$C$4:$C$19,$E122,'TECNICOS'!$D$4:$D$19,$D122,'TECNICOS'!$H$4:$H$19,"sí")</f>
        <v/>
      </c>
      <c r="G122" s="5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4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22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COUNTIFS('TECNICOS'!$F$4:$F$19,"sí",'TECNICOS'!$C$4:$C$19,$E123,'TECNICOS'!$D$4:$D$19,$D123,'TECNICOS'!$H$4:$H$19,"sí")</f>
        <v/>
      </c>
      <c r="G123" s="5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4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22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COUNTIFS('TECNICOS'!$F$4:$F$19,"sí",'TECNICOS'!$C$4:$C$19,$E124,'TECNICOS'!$D$4:$D$19,$D124,'TECNICOS'!$H$4:$H$19,"sí")</f>
        <v/>
      </c>
      <c r="G124" s="5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4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22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COUNTIFS('TECNICOS'!$F$4:$F$19,"sí",'TECNICOS'!$C$4:$C$19,$E125,'TECNICOS'!$D$4:$D$19,$D125,'TECNICOS'!$H$4:$H$19,"sí")</f>
        <v/>
      </c>
      <c r="G125" s="5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4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22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COUNTIFS('TECNICOS'!$F$4:$F$19,"sí",'TECNICOS'!$C$4:$C$19,$E126,'TECNICOS'!$D$4:$D$19,$D126,'TECNICOS'!$H$4:$H$19,"sí")</f>
        <v/>
      </c>
      <c r="G126" s="5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4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22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COUNTIFS('TECNICOS'!$F$4:$F$19,"sí",'TECNICOS'!$C$4:$C$19,$E127,'TECNICOS'!$D$4:$D$19,$D127,'TECNICOS'!$H$4:$H$19,"sí")</f>
        <v/>
      </c>
      <c r="G127" s="5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4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22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COUNTIFS('TECNICOS'!$F$4:$F$19,"sí",'TECNICOS'!$C$4:$C$19,$E128,'TECNICOS'!$D$4:$D$19,$D128,'TECNICOS'!$H$4:$H$19,"sí")</f>
        <v/>
      </c>
      <c r="G128" s="5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4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22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COUNTIFS('TECNICOS'!$F$4:$F$19,"sí",'TECNICOS'!$C$4:$C$19,$E129,'TECNICOS'!$D$4:$D$19,$D129,'TECNICOS'!$H$4:$H$19,"sí")</f>
        <v/>
      </c>
      <c r="G129" s="5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4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22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COUNTIFS('TECNICOS'!$F$4:$F$19,"sí",'TECNICOS'!$C$4:$C$19,$E130,'TECNICOS'!$D$4:$D$19,$D130,'TECNICOS'!$H$4:$H$19,"sí")</f>
        <v/>
      </c>
      <c r="G130" s="5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4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22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COUNTIFS('TECNICOS'!$F$4:$F$19,"sí",'TECNICOS'!$C$4:$C$19,$E131,'TECNICOS'!$D$4:$D$19,$D131,'TECNICOS'!$H$4:$H$19,"sí")</f>
        <v/>
      </c>
      <c r="G131" s="5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4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22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COUNTIFS('TECNICOS'!$F$4:$F$19,"sí",'TECNICOS'!$C$4:$C$19,$E132,'TECNICOS'!$D$4:$D$19,$D132,'TECNICOS'!$H$4:$H$19,"sí")</f>
        <v/>
      </c>
      <c r="G132" s="5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4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22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COUNTIFS('TECNICOS'!$F$4:$F$19,"sí",'TECNICOS'!$C$4:$C$19,$E133,'TECNICOS'!$D$4:$D$19,$D133,'TECNICOS'!$H$4:$H$19,"sí")</f>
        <v/>
      </c>
      <c r="G133" s="5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4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22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COUNTIFS('TECNICOS'!$F$4:$F$19,"sí",'TECNICOS'!$C$4:$C$19,$E134,'TECNICOS'!$D$4:$D$19,$D134,'TECNICOS'!$H$4:$H$19,"sí")</f>
        <v/>
      </c>
      <c r="G134" s="5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4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22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COUNTIFS('TECNICOS'!$F$4:$F$19,"sí",'TECNICOS'!$C$4:$C$19,$E135,'TECNICOS'!$D$4:$D$19,$D135,'TECNICOS'!$H$4:$H$19,"sí")</f>
        <v/>
      </c>
      <c r="G135" s="5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4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22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COUNTIFS('TECNICOS'!$F$4:$F$19,"sí",'TECNICOS'!$C$4:$C$19,$E136,'TECNICOS'!$D$4:$D$19,$D136,'TECNICOS'!$H$4:$H$19,"sí")</f>
        <v/>
      </c>
      <c r="G136" s="5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4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22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COUNTIFS('TECNICOS'!$F$4:$F$19,"sí",'TECNICOS'!$C$4:$C$19,$E137,'TECNICOS'!$D$4:$D$19,$D137,'TECNICOS'!$H$4:$H$19,"sí")</f>
        <v/>
      </c>
      <c r="G137" s="5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4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22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COUNTIFS('TECNICOS'!$F$4:$F$19,"sí",'TECNICOS'!$C$4:$C$19,$E138,'TECNICOS'!$D$4:$D$19,$D138,'TECNICOS'!$H$4:$H$19,"sí")</f>
        <v/>
      </c>
      <c r="G138" s="5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4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22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COUNTIFS('TECNICOS'!$F$4:$F$19,"sí",'TECNICOS'!$C$4:$C$19,$E139,'TECNICOS'!$D$4:$D$19,$D139,'TECNICOS'!$H$4:$H$19,"sí")</f>
        <v/>
      </c>
      <c r="G139" s="5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4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22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COUNTIFS('TECNICOS'!$F$4:$F$19,"sí",'TECNICOS'!$C$4:$C$19,$E140,'TECNICOS'!$D$4:$D$19,$D140,'TECNICOS'!$H$4:$H$19,"sí")</f>
        <v/>
      </c>
      <c r="G140" s="5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4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22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COUNTIFS('TECNICOS'!$F$4:$F$19,"sí",'TECNICOS'!$C$4:$C$19,$E141,'TECNICOS'!$D$4:$D$19,$D141,'TECNICOS'!$H$4:$H$19,"sí")</f>
        <v/>
      </c>
      <c r="G141" s="5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4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22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COUNTIFS('TECNICOS'!$F$4:$F$19,"sí",'TECNICOS'!$C$4:$C$19,$E142,'TECNICOS'!$D$4:$D$19,$D142,'TECNICOS'!$H$4:$H$19,"sí")</f>
        <v/>
      </c>
      <c r="G142" s="5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4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22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COUNTIFS('TECNICOS'!$F$4:$F$19,"sí",'TECNICOS'!$C$4:$C$19,$E143,'TECNICOS'!$D$4:$D$19,$D143,'TECNICOS'!$H$4:$H$19,"sí")</f>
        <v/>
      </c>
      <c r="G143" s="5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4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22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COUNTIFS('TECNICOS'!$F$4:$F$19,"sí",'TECNICOS'!$C$4:$C$19,$E144,'TECNICOS'!$D$4:$D$19,$D144,'TECNICOS'!$H$4:$H$19,"sí")</f>
        <v/>
      </c>
      <c r="G144" s="5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4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22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COUNTIFS('TECNICOS'!$F$4:$F$19,"sí",'TECNICOS'!$C$4:$C$19,$E145,'TECNICOS'!$D$4:$D$19,$D145,'TECNICOS'!$H$4:$H$19,"sí")</f>
        <v/>
      </c>
      <c r="G145" s="5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4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22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COUNTIFS('TECNICOS'!$F$4:$F$19,"sí",'TECNICOS'!$C$4:$C$19,$E146,'TECNICOS'!$D$4:$D$19,$D146,'TECNICOS'!$H$4:$H$19,"sí")</f>
        <v/>
      </c>
      <c r="G146" s="5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4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22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COUNTIFS('TECNICOS'!$F$4:$F$19,"sí",'TECNICOS'!$C$4:$C$19,$E147,'TECNICOS'!$D$4:$D$19,$D147,'TECNICOS'!$H$4:$H$19,"sí")</f>
        <v/>
      </c>
      <c r="G147" s="5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4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22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COUNTIFS('TECNICOS'!$F$4:$F$19,"sí",'TECNICOS'!$C$4:$C$19,$E148,'TECNICOS'!$D$4:$D$19,$D148,'TECNICOS'!$H$4:$H$19,"sí")</f>
        <v/>
      </c>
      <c r="G148" s="5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4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22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COUNTIFS('TECNICOS'!$F$4:$F$19,"sí",'TECNICOS'!$C$4:$C$19,$E149,'TECNICOS'!$D$4:$D$19,$D149,'TECNICOS'!$H$4:$H$19,"sí")</f>
        <v/>
      </c>
      <c r="G149" s="5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4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22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COUNTIFS('TECNICOS'!$F$4:$F$19,"sí",'TECNICOS'!$C$4:$C$19,$E150,'TECNICOS'!$D$4:$D$19,$D150,'TECNICOS'!$H$4:$H$19,"sí")</f>
        <v/>
      </c>
      <c r="G150" s="5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4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22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COUNTIFS('TECNICOS'!$F$4:$F$19,"sí",'TECNICOS'!$C$4:$C$19,$E151,'TECNICOS'!$D$4:$D$19,$D151,'TECNICOS'!$H$4:$H$19,"sí")</f>
        <v/>
      </c>
      <c r="G151" s="5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4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22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COUNTIFS('TECNICOS'!$F$4:$F$19,"sí",'TECNICOS'!$C$4:$C$19,$E152,'TECNICOS'!$D$4:$D$19,$D152,'TECNICOS'!$H$4:$H$19,"sí")</f>
        <v/>
      </c>
      <c r="G152" s="5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4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22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COUNTIFS('TECNICOS'!$F$4:$F$19,"sí",'TECNICOS'!$C$4:$C$19,$E153,'TECNICOS'!$D$4:$D$19,$D153,'TECNICOS'!$H$4:$H$19,"sí")</f>
        <v/>
      </c>
      <c r="G153" s="5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4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22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COUNTIFS('TECNICOS'!$F$4:$F$19,"sí",'TECNICOS'!$C$4:$C$19,$E154,'TECNICOS'!$D$4:$D$19,$D154,'TECNICOS'!$H$4:$H$19,"sí")</f>
        <v/>
      </c>
      <c r="G154" s="5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4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22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COUNTIFS('TECNICOS'!$F$4:$F$19,"sí",'TECNICOS'!$C$4:$C$19,$E155,'TECNICOS'!$D$4:$D$19,$D155,'TECNICOS'!$H$4:$H$19,"sí")</f>
        <v/>
      </c>
      <c r="G155" s="5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4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22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COUNTIFS('TECNICOS'!$F$4:$F$19,"sí",'TECNICOS'!$C$4:$C$19,$E156,'TECNICOS'!$D$4:$D$19,$D156,'TECNICOS'!$H$4:$H$19,"sí")</f>
        <v/>
      </c>
      <c r="G156" s="5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4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22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COUNTIFS('TECNICOS'!$F$4:$F$19,"sí",'TECNICOS'!$C$4:$C$19,$E157,'TECNICOS'!$D$4:$D$19,$D157,'TECNICOS'!$H$4:$H$19,"sí")</f>
        <v/>
      </c>
      <c r="G157" s="5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4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22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COUNTIFS('TECNICOS'!$F$4:$F$19,"sí",'TECNICOS'!$C$4:$C$19,$E158,'TECNICOS'!$D$4:$D$19,$D158,'TECNICOS'!$H$4:$H$19,"sí")</f>
        <v/>
      </c>
      <c r="G158" s="5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4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22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COUNTIFS('TECNICOS'!$F$4:$F$19,"sí",'TECNICOS'!$C$4:$C$19,$E159,'TECNICOS'!$D$4:$D$19,$D159,'TECNICOS'!$H$4:$H$19,"sí")</f>
        <v/>
      </c>
      <c r="G159" s="5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4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22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COUNTIFS('TECNICOS'!$F$4:$F$19,"sí",'TECNICOS'!$C$4:$C$19,$E160,'TECNICOS'!$D$4:$D$19,$D160,'TECNICOS'!$H$4:$H$19,"sí")</f>
        <v/>
      </c>
      <c r="G160" s="5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4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22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COUNTIFS('TECNICOS'!$F$4:$F$19,"sí",'TECNICOS'!$C$4:$C$19,$E161,'TECNICOS'!$D$4:$D$19,$D161,'TECNICOS'!$H$4:$H$19,"sí")</f>
        <v/>
      </c>
      <c r="G161" s="5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4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22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COUNTIFS('TECNICOS'!$F$4:$F$19,"sí",'TECNICOS'!$C$4:$C$19,$E162,'TECNICOS'!$D$4:$D$19,$D162,'TECNICOS'!$H$4:$H$19,"sí")</f>
        <v/>
      </c>
      <c r="G162" s="5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4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22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COUNTIFS('TECNICOS'!$F$4:$F$19,"sí",'TECNICOS'!$C$4:$C$19,$E163,'TECNICOS'!$D$4:$D$19,$D163,'TECNICOS'!$H$4:$H$19,"sí")</f>
        <v/>
      </c>
      <c r="G163" s="5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4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22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COUNTIFS('TECNICOS'!$F$4:$F$19,"sí",'TECNICOS'!$C$4:$C$19,$E164,'TECNICOS'!$D$4:$D$19,$D164,'TECNICOS'!$H$4:$H$19,"sí")</f>
        <v/>
      </c>
      <c r="G164" s="5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4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22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COUNTIFS('TECNICOS'!$F$4:$F$19,"sí",'TECNICOS'!$C$4:$C$19,$E165,'TECNICOS'!$D$4:$D$19,$D165,'TECNICOS'!$H$4:$H$19,"sí")</f>
        <v/>
      </c>
      <c r="G165" s="5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4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22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COUNTIFS('TECNICOS'!$F$4:$F$19,"sí",'TECNICOS'!$C$4:$C$19,$E166,'TECNICOS'!$D$4:$D$19,$D166,'TECNICOS'!$H$4:$H$19,"sí")</f>
        <v/>
      </c>
      <c r="G166" s="5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4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22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COUNTIFS('TECNICOS'!$F$4:$F$19,"sí",'TECNICOS'!$C$4:$C$19,$E167,'TECNICOS'!$D$4:$D$19,$D167,'TECNICOS'!$H$4:$H$19,"sí")</f>
        <v/>
      </c>
      <c r="G167" s="5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4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22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COUNTIFS('TECNICOS'!$F$4:$F$19,"sí",'TECNICOS'!$C$4:$C$19,$E168,'TECNICOS'!$D$4:$D$19,$D168,'TECNICOS'!$H$4:$H$19,"sí")</f>
        <v/>
      </c>
      <c r="G168" s="5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4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22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COUNTIFS('TECNICOS'!$F$4:$F$19,"sí",'TECNICOS'!$C$4:$C$19,$E169,'TECNICOS'!$D$4:$D$19,$D169,'TECNICOS'!$H$4:$H$19,"sí")</f>
        <v/>
      </c>
      <c r="G169" s="5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4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22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COUNTIFS('TECNICOS'!$F$4:$F$19,"sí",'TECNICOS'!$C$4:$C$19,$E170,'TECNICOS'!$D$4:$D$19,$D170,'TECNICOS'!$H$4:$H$19,"sí")</f>
        <v/>
      </c>
      <c r="G170" s="5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4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22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COUNTIFS('TECNICOS'!$F$4:$F$19,"sí",'TECNICOS'!$C$4:$C$19,$E171,'TECNICOS'!$D$4:$D$19,$D171,'TECNICOS'!$H$4:$H$19,"sí")</f>
        <v/>
      </c>
      <c r="G171" s="5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4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22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COUNTIFS('TECNICOS'!$F$4:$F$19,"sí",'TECNICOS'!$C$4:$C$19,$E172,'TECNICOS'!$D$4:$D$19,$D172,'TECNICOS'!$H$4:$H$19,"sí")</f>
        <v/>
      </c>
      <c r="G172" s="5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4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22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COUNTIFS('TECNICOS'!$F$4:$F$19,"sí",'TECNICOS'!$C$4:$C$19,$E173,'TECNICOS'!$D$4:$D$19,$D173,'TECNICOS'!$H$4:$H$19,"sí")</f>
        <v/>
      </c>
      <c r="G173" s="5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4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22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COUNTIFS('TECNICOS'!$F$4:$F$19,"sí",'TECNICOS'!$C$4:$C$19,$E174,'TECNICOS'!$D$4:$D$19,$D174,'TECNICOS'!$H$4:$H$19,"sí")</f>
        <v/>
      </c>
      <c r="G174" s="5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4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22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COUNTIFS('TECNICOS'!$F$4:$F$19,"sí",'TECNICOS'!$C$4:$C$19,$E175,'TECNICOS'!$D$4:$D$19,$D175,'TECNICOS'!$H$4:$H$19,"sí")</f>
        <v/>
      </c>
      <c r="G175" s="5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4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22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COUNTIFS('TECNICOS'!$F$4:$F$19,"sí",'TECNICOS'!$C$4:$C$19,$E176,'TECNICOS'!$D$4:$D$19,$D176,'TECNICOS'!$H$4:$H$19,"sí")</f>
        <v/>
      </c>
      <c r="G176" s="5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4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22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COUNTIFS('TECNICOS'!$F$4:$F$19,"sí",'TECNICOS'!$C$4:$C$19,$E177,'TECNICOS'!$D$4:$D$19,$D177,'TECNICOS'!$H$4:$H$19,"sí")</f>
        <v/>
      </c>
      <c r="G177" s="5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4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22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COUNTIFS('TECNICOS'!$F$4:$F$19,"sí",'TECNICOS'!$C$4:$C$19,$E178,'TECNICOS'!$D$4:$D$19,$D178,'TECNICOS'!$H$4:$H$19,"sí")</f>
        <v/>
      </c>
      <c r="G178" s="5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4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22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COUNTIFS('TECNICOS'!$F$4:$F$19,"sí",'TECNICOS'!$C$4:$C$19,$E179,'TECNICOS'!$D$4:$D$19,$D179,'TECNICOS'!$H$4:$H$19,"sí")</f>
        <v/>
      </c>
      <c r="G179" s="5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4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22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COUNTIFS('TECNICOS'!$F$4:$F$19,"sí",'TECNICOS'!$C$4:$C$19,$E180,'TECNICOS'!$D$4:$D$19,$D180,'TECNICOS'!$H$4:$H$19,"sí")</f>
        <v/>
      </c>
      <c r="G180" s="5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4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22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COUNTIFS('TECNICOS'!$F$4:$F$19,"sí",'TECNICOS'!$C$4:$C$19,$E181,'TECNICOS'!$D$4:$D$19,$D181,'TECNICOS'!$H$4:$H$19,"sí")</f>
        <v/>
      </c>
      <c r="G181" s="5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4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22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COUNTIFS('TECNICOS'!$F$4:$F$19,"sí",'TECNICOS'!$C$4:$C$19,$E182,'TECNICOS'!$D$4:$D$19,$D182,'TECNICOS'!$H$4:$H$19,"sí")</f>
        <v/>
      </c>
      <c r="G182" s="5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4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22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COUNTIFS('TECNICOS'!$F$4:$F$19,"sí",'TECNICOS'!$C$4:$C$19,$E183,'TECNICOS'!$D$4:$D$19,$D183,'TECNICOS'!$H$4:$H$19,"sí")</f>
        <v/>
      </c>
      <c r="G183" s="5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4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22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COUNTIFS('TECNICOS'!$F$4:$F$19,"sí",'TECNICOS'!$C$4:$C$19,$E184,'TECNICOS'!$D$4:$D$19,$D184,'TECNICOS'!$H$4:$H$19,"sí")</f>
        <v/>
      </c>
      <c r="G184" s="5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4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22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COUNTIFS('TECNICOS'!$F$4:$F$19,"sí",'TECNICOS'!$C$4:$C$19,$E185,'TECNICOS'!$D$4:$D$19,$D185,'TECNICOS'!$H$4:$H$19,"sí")</f>
        <v/>
      </c>
      <c r="G185" s="5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4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22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COUNTIFS('TECNICOS'!$F$4:$F$19,"sí",'TECNICOS'!$C$4:$C$19,$E186,'TECNICOS'!$D$4:$D$19,$D186,'TECNICOS'!$H$4:$H$19,"sí")</f>
        <v/>
      </c>
      <c r="G186" s="5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4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22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COUNTIFS('TECNICOS'!$F$4:$F$19,"sí",'TECNICOS'!$C$4:$C$19,$E187,'TECNICOS'!$D$4:$D$19,$D187,'TECNICOS'!$H$4:$H$19,"sí")</f>
        <v/>
      </c>
      <c r="G187" s="5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4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22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COUNTIFS('TECNICOS'!$F$4:$F$19,"sí",'TECNICOS'!$C$4:$C$19,$E188,'TECNICOS'!$D$4:$D$19,$D188,'TECNICOS'!$H$4:$H$19,"sí")</f>
        <v/>
      </c>
      <c r="G188" s="5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4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22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COUNTIFS('TECNICOS'!$F$4:$F$19,"sí",'TECNICOS'!$C$4:$C$19,$E189,'TECNICOS'!$D$4:$D$19,$D189,'TECNICOS'!$H$4:$H$19,"sí")</f>
        <v/>
      </c>
      <c r="G189" s="5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4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22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COUNTIFS('TECNICOS'!$F$4:$F$19,"sí",'TECNICOS'!$C$4:$C$19,$E190,'TECNICOS'!$D$4:$D$19,$D190,'TECNICOS'!$H$4:$H$19,"sí")</f>
        <v/>
      </c>
      <c r="G190" s="5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4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22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COUNTIFS('TECNICOS'!$F$4:$F$19,"sí",'TECNICOS'!$C$4:$C$19,$E191,'TECNICOS'!$D$4:$D$19,$D191,'TECNICOS'!$H$4:$H$19,"sí")</f>
        <v/>
      </c>
      <c r="G191" s="5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4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22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COUNTIFS('TECNICOS'!$F$4:$F$19,"sí",'TECNICOS'!$C$4:$C$19,$E192,'TECNICOS'!$D$4:$D$19,$D192,'TECNICOS'!$H$4:$H$19,"sí")</f>
        <v/>
      </c>
      <c r="G192" s="5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4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22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COUNTIFS('TECNICOS'!$F$4:$F$19,"sí",'TECNICOS'!$C$4:$C$19,$E193,'TECNICOS'!$D$4:$D$19,$D193,'TECNICOS'!$H$4:$H$19,"sí")</f>
        <v/>
      </c>
      <c r="G193" s="5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4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22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COUNTIFS('TECNICOS'!$F$4:$F$19,"sí",'TECNICOS'!$C$4:$C$19,$E194,'TECNICOS'!$D$4:$D$19,$D194,'TECNICOS'!$H$4:$H$19,"sí")</f>
        <v/>
      </c>
      <c r="G194" s="5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4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22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COUNTIFS('TECNICOS'!$F$4:$F$19,"sí",'TECNICOS'!$C$4:$C$19,$E195,'TECNICOS'!$D$4:$D$19,$D195,'TECNICOS'!$H$4:$H$19,"sí")</f>
        <v/>
      </c>
      <c r="G195" s="5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4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22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COUNTIFS('TECNICOS'!$F$4:$F$19,"sí",'TECNICOS'!$C$4:$C$19,$E196,'TECNICOS'!$D$4:$D$19,$D196,'TECNICOS'!$H$4:$H$19,"sí")</f>
        <v/>
      </c>
      <c r="G196" s="5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4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22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COUNTIFS('TECNICOS'!$F$4:$F$19,"sí",'TECNICOS'!$C$4:$C$19,$E197,'TECNICOS'!$D$4:$D$19,$D197,'TECNICOS'!$H$4:$H$19,"sí")</f>
        <v/>
      </c>
      <c r="G197" s="5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4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22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COUNTIFS('TECNICOS'!$F$4:$F$19,"sí",'TECNICOS'!$C$4:$C$19,$E198,'TECNICOS'!$D$4:$D$19,$D198,'TECNICOS'!$H$4:$H$19,"sí")</f>
        <v/>
      </c>
      <c r="G198" s="5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4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22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COUNTIFS('TECNICOS'!$F$4:$F$19,"sí",'TECNICOS'!$C$4:$C$19,$E199,'TECNICOS'!$D$4:$D$19,$D199,'TECNICOS'!$H$4:$H$19,"sí")</f>
        <v/>
      </c>
      <c r="G199" s="5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4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22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COUNTIFS('TECNICOS'!$F$4:$F$19,"sí",'TECNICOS'!$C$4:$C$19,$E200,'TECNICOS'!$D$4:$D$19,$D200,'TECNICOS'!$H$4:$H$19,"sí")</f>
        <v/>
      </c>
      <c r="G200" s="5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4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22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COUNTIFS('TECNICOS'!$F$4:$F$19,"sí",'TECNICOS'!$C$4:$C$19,$E201,'TECNICOS'!$D$4:$D$19,$D201,'TECNICOS'!$H$4:$H$19,"sí")</f>
        <v/>
      </c>
      <c r="G201" s="5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4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22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COUNTIFS('TECNICOS'!$F$4:$F$19,"sí",'TECNICOS'!$C$4:$C$19,$E202,'TECNICOS'!$D$4:$D$19,$D202,'TECNICOS'!$H$4:$H$19,"sí")</f>
        <v/>
      </c>
      <c r="G202" s="5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4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22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COUNTIFS('TECNICOS'!$F$4:$F$19,"sí",'TECNICOS'!$C$4:$C$19,$E203,'TECNICOS'!$D$4:$D$19,$D203,'TECNICOS'!$H$4:$H$19,"sí")</f>
        <v/>
      </c>
      <c r="G203" s="5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4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22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COUNTIFS('TECNICOS'!$F$4:$F$19,"sí",'TECNICOS'!$C$4:$C$19,$E204,'TECNICOS'!$D$4:$D$19,$D204,'TECNICOS'!$H$4:$H$19,"sí")</f>
        <v/>
      </c>
      <c r="G204" s="5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4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22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COUNTIFS('TECNICOS'!$F$4:$F$19,"sí",'TECNICOS'!$C$4:$C$19,$E205,'TECNICOS'!$D$4:$D$19,$D205,'TECNICOS'!$H$4:$H$19,"sí")</f>
        <v/>
      </c>
      <c r="G205" s="5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4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22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COUNTIFS('TECNICOS'!$F$4:$F$19,"sí",'TECNICOS'!$C$4:$C$19,$E206,'TECNICOS'!$D$4:$D$19,$D206,'TECNICOS'!$H$4:$H$19,"sí")</f>
        <v/>
      </c>
      <c r="G206" s="5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4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22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COUNTIFS('TECNICOS'!$F$4:$F$19,"sí",'TECNICOS'!$C$4:$C$19,$E207,'TECNICOS'!$D$4:$D$19,$D207,'TECNICOS'!$H$4:$H$19,"sí")</f>
        <v/>
      </c>
      <c r="G207" s="5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4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22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COUNTIFS('TECNICOS'!$F$4:$F$19,"sí",'TECNICOS'!$C$4:$C$19,$E208,'TECNICOS'!$D$4:$D$19,$D208,'TECNICOS'!$H$4:$H$19,"sí")</f>
        <v/>
      </c>
      <c r="G208" s="5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4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22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COUNTIFS('TECNICOS'!$F$4:$F$19,"sí",'TECNICOS'!$C$4:$C$19,$E209,'TECNICOS'!$D$4:$D$19,$D209,'TECNICOS'!$H$4:$H$19,"sí")</f>
        <v/>
      </c>
      <c r="G209" s="5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4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22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COUNTIFS('TECNICOS'!$F$4:$F$19,"sí",'TECNICOS'!$C$4:$C$19,$E210,'TECNICOS'!$D$4:$D$19,$D210,'TECNICOS'!$H$4:$H$19,"sí")</f>
        <v/>
      </c>
      <c r="G210" s="5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4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22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COUNTIFS('TECNICOS'!$F$4:$F$19,"sí",'TECNICOS'!$C$4:$C$19,$E211,'TECNICOS'!$D$4:$D$19,$D211,'TECNICOS'!$H$4:$H$19,"sí")</f>
        <v/>
      </c>
      <c r="G211" s="5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4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22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COUNTIFS('TECNICOS'!$F$4:$F$19,"sí",'TECNICOS'!$C$4:$C$19,$E212,'TECNICOS'!$D$4:$D$19,$D212,'TECNICOS'!$H$4:$H$19,"sí")</f>
        <v/>
      </c>
      <c r="G212" s="5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4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22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COUNTIFS('TECNICOS'!$F$4:$F$19,"sí",'TECNICOS'!$C$4:$C$19,$E213,'TECNICOS'!$D$4:$D$19,$D213,'TECNICOS'!$H$4:$H$19,"sí")</f>
        <v/>
      </c>
      <c r="G213" s="5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4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22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COUNTIFS('TECNICOS'!$F$4:$F$19,"sí",'TECNICOS'!$C$4:$C$19,$E214,'TECNICOS'!$D$4:$D$19,$D214,'TECNICOS'!$H$4:$H$19,"sí")</f>
        <v/>
      </c>
      <c r="G214" s="5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4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22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COUNTIFS('TECNICOS'!$F$4:$F$19,"sí",'TECNICOS'!$C$4:$C$19,$E215,'TECNICOS'!$D$4:$D$19,$D215,'TECNICOS'!$H$4:$H$19,"sí")</f>
        <v/>
      </c>
      <c r="G215" s="5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4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22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COUNTIFS('TECNICOS'!$F$4:$F$19,"sí",'TECNICOS'!$C$4:$C$19,$E216,'TECNICOS'!$D$4:$D$19,$D216,'TECNICOS'!$H$4:$H$19,"sí")</f>
        <v/>
      </c>
      <c r="G216" s="5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4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22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COUNTIFS('TECNICOS'!$F$4:$F$19,"sí",'TECNICOS'!$C$4:$C$19,$E217,'TECNICOS'!$D$4:$D$19,$D217,'TECNICOS'!$H$4:$H$19,"sí")</f>
        <v/>
      </c>
      <c r="G217" s="5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4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22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COUNTIFS('TECNICOS'!$F$4:$F$19,"sí",'TECNICOS'!$C$4:$C$19,$E218,'TECNICOS'!$D$4:$D$19,$D218,'TECNICOS'!$H$4:$H$19,"sí")</f>
        <v/>
      </c>
      <c r="G218" s="5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4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22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COUNTIFS('TECNICOS'!$F$4:$F$19,"sí",'TECNICOS'!$C$4:$C$19,$E219,'TECNICOS'!$D$4:$D$19,$D219,'TECNICOS'!$H$4:$H$19,"sí")</f>
        <v/>
      </c>
      <c r="G219" s="5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4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22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COUNTIFS('TECNICOS'!$F$4:$F$19,"sí",'TECNICOS'!$C$4:$C$19,$E220,'TECNICOS'!$D$4:$D$19,$D220,'TECNICOS'!$H$4:$H$19,"sí")</f>
        <v/>
      </c>
      <c r="G220" s="5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4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22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COUNTIFS('TECNICOS'!$F$4:$F$19,"sí",'TECNICOS'!$C$4:$C$19,$E221,'TECNICOS'!$D$4:$D$19,$D221,'TECNICOS'!$H$4:$H$19,"sí")</f>
        <v/>
      </c>
      <c r="G221" s="5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4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22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COUNTIFS('TECNICOS'!$F$4:$F$19,"sí",'TECNICOS'!$C$4:$C$19,$E222,'TECNICOS'!$D$4:$D$19,$D222,'TECNICOS'!$H$4:$H$19,"sí")</f>
        <v/>
      </c>
      <c r="G222" s="5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4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22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COUNTIFS('TECNICOS'!$F$4:$F$19,"sí",'TECNICOS'!$C$4:$C$19,$E223,'TECNICOS'!$D$4:$D$19,$D223,'TECNICOS'!$H$4:$H$19,"sí")</f>
        <v/>
      </c>
      <c r="G223" s="5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4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22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COUNTIFS('TECNICOS'!$F$4:$F$19,"sí",'TECNICOS'!$C$4:$C$19,$E224,'TECNICOS'!$D$4:$D$19,$D224,'TECNICOS'!$H$4:$H$19,"sí")</f>
        <v/>
      </c>
      <c r="G224" s="5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4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22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COUNTIFS('TECNICOS'!$F$4:$F$19,"sí",'TECNICOS'!$C$4:$C$19,$E225,'TECNICOS'!$D$4:$D$19,$D225,'TECNICOS'!$H$4:$H$19,"sí")</f>
        <v/>
      </c>
      <c r="G225" s="5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4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22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COUNTIFS('TECNICOS'!$F$4:$F$19,"sí",'TECNICOS'!$C$4:$C$19,$E226,'TECNICOS'!$D$4:$D$19,$D226,'TECNICOS'!$H$4:$H$19,"sí")</f>
        <v/>
      </c>
      <c r="G226" s="5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4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22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COUNTIFS('TECNICOS'!$F$4:$F$19,"sí",'TECNICOS'!$C$4:$C$19,$E227,'TECNICOS'!$D$4:$D$19,$D227,'TECNICOS'!$H$4:$H$19,"sí")</f>
        <v/>
      </c>
      <c r="G227" s="5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4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22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COUNTIFS('TECNICOS'!$F$4:$F$19,"sí",'TECNICOS'!$C$4:$C$19,$E228,'TECNICOS'!$D$4:$D$19,$D228,'TECNICOS'!$H$4:$H$19,"sí")</f>
        <v/>
      </c>
      <c r="G228" s="5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4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22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COUNTIFS('TECNICOS'!$F$4:$F$19,"sí",'TECNICOS'!$C$4:$C$19,$E229,'TECNICOS'!$D$4:$D$19,$D229,'TECNICOS'!$H$4:$H$19,"sí")</f>
        <v/>
      </c>
      <c r="G229" s="5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4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22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COUNTIFS('TECNICOS'!$F$4:$F$19,"sí",'TECNICOS'!$C$4:$C$19,$E230,'TECNICOS'!$D$4:$D$19,$D230,'TECNICOS'!$H$4:$H$19,"sí")</f>
        <v/>
      </c>
      <c r="G230" s="5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4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22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COUNTIFS('TECNICOS'!$F$4:$F$19,"sí",'TECNICOS'!$C$4:$C$19,$E231,'TECNICOS'!$D$4:$D$19,$D231,'TECNICOS'!$H$4:$H$19,"sí")</f>
        <v/>
      </c>
      <c r="G231" s="5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4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22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COUNTIFS('TECNICOS'!$F$4:$F$19,"sí",'TECNICOS'!$C$4:$C$19,$E232,'TECNICOS'!$D$4:$D$19,$D232,'TECNICOS'!$H$4:$H$19,"sí")</f>
        <v/>
      </c>
      <c r="G232" s="5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4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22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COUNTIFS('TECNICOS'!$F$4:$F$19,"sí",'TECNICOS'!$C$4:$C$19,$E233,'TECNICOS'!$D$4:$D$19,$D233,'TECNICOS'!$H$4:$H$19,"sí")</f>
        <v/>
      </c>
      <c r="G233" s="5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4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22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COUNTIFS('TECNICOS'!$F$4:$F$19,"sí",'TECNICOS'!$C$4:$C$19,$E234,'TECNICOS'!$D$4:$D$19,$D234,'TECNICOS'!$H$4:$H$19,"sí")</f>
        <v/>
      </c>
      <c r="G234" s="5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4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22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COUNTIFS('TECNICOS'!$F$4:$F$19,"sí",'TECNICOS'!$C$4:$C$19,$E235,'TECNICOS'!$D$4:$D$19,$D235,'TECNICOS'!$H$4:$H$19,"sí")</f>
        <v/>
      </c>
      <c r="G235" s="5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4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22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COUNTIFS('TECNICOS'!$F$4:$F$19,"sí",'TECNICOS'!$C$4:$C$19,$E236,'TECNICOS'!$D$4:$D$19,$D236,'TECNICOS'!$H$4:$H$19,"sí")</f>
        <v/>
      </c>
      <c r="G236" s="5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4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22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COUNTIFS('TECNICOS'!$F$4:$F$19,"sí",'TECNICOS'!$C$4:$C$19,$E237,'TECNICOS'!$D$4:$D$19,$D237,'TECNICOS'!$H$4:$H$19,"sí")</f>
        <v/>
      </c>
      <c r="G237" s="5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4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22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COUNTIFS('TECNICOS'!$F$4:$F$19,"sí",'TECNICOS'!$C$4:$C$19,$E238,'TECNICOS'!$D$4:$D$19,$D238,'TECNICOS'!$H$4:$H$19,"sí")</f>
        <v/>
      </c>
      <c r="G238" s="5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4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22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COUNTIFS('TECNICOS'!$F$4:$F$19,"sí",'TECNICOS'!$C$4:$C$19,$E239,'TECNICOS'!$D$4:$D$19,$D239,'TECNICOS'!$H$4:$H$19,"sí")</f>
        <v/>
      </c>
      <c r="G239" s="5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4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22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COUNTIFS('TECNICOS'!$F$4:$F$19,"sí",'TECNICOS'!$C$4:$C$19,$E240,'TECNICOS'!$D$4:$D$19,$D240,'TECNICOS'!$H$4:$H$19,"sí")</f>
        <v/>
      </c>
      <c r="G240" s="5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4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22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COUNTIFS('TECNICOS'!$F$4:$F$19,"sí",'TECNICOS'!$C$4:$C$19,$E241,'TECNICOS'!$D$4:$D$19,$D241,'TECNICOS'!$H$4:$H$19,"sí")</f>
        <v/>
      </c>
      <c r="G241" s="5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4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22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COUNTIFS('TECNICOS'!$F$4:$F$19,"sí",'TECNICOS'!$C$4:$C$19,$E242,'TECNICOS'!$D$4:$D$19,$D242,'TECNICOS'!$H$4:$H$19,"sí")</f>
        <v/>
      </c>
      <c r="G242" s="5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4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22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COUNTIFS('TECNICOS'!$F$4:$F$19,"sí",'TECNICOS'!$C$4:$C$19,$E243,'TECNICOS'!$D$4:$D$19,$D243,'TECNICOS'!$H$4:$H$19,"sí")</f>
        <v/>
      </c>
      <c r="G243" s="5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4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22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COUNTIFS('TECNICOS'!$F$4:$F$19,"sí",'TECNICOS'!$C$4:$C$19,$E244,'TECNICOS'!$D$4:$D$19,$D244,'TECNICOS'!$H$4:$H$19,"sí")</f>
        <v/>
      </c>
      <c r="G244" s="5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4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22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COUNTIFS('TECNICOS'!$F$4:$F$19,"sí",'TECNICOS'!$C$4:$C$19,$E245,'TECNICOS'!$D$4:$D$19,$D245,'TECNICOS'!$H$4:$H$19,"sí")</f>
        <v/>
      </c>
      <c r="G245" s="5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4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22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COUNTIFS('TECNICOS'!$F$4:$F$19,"sí",'TECNICOS'!$C$4:$C$19,$E246,'TECNICOS'!$D$4:$D$19,$D246,'TECNICOS'!$H$4:$H$19,"sí")</f>
        <v/>
      </c>
      <c r="G246" s="5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4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22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COUNTIFS('TECNICOS'!$F$4:$F$19,"sí",'TECNICOS'!$C$4:$C$19,$E247,'TECNICOS'!$D$4:$D$19,$D247,'TECNICOS'!$H$4:$H$19,"sí")</f>
        <v/>
      </c>
      <c r="G247" s="5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4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22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COUNTIFS('TECNICOS'!$F$4:$F$19,"sí",'TECNICOS'!$C$4:$C$19,$E248,'TECNICOS'!$D$4:$D$19,$D248,'TECNICOS'!$H$4:$H$19,"sí")</f>
        <v/>
      </c>
      <c r="G248" s="5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4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22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COUNTIFS('TECNICOS'!$F$4:$F$19,"sí",'TECNICOS'!$C$4:$C$19,$E249,'TECNICOS'!$D$4:$D$19,$D249,'TECNICOS'!$H$4:$H$19,"sí")</f>
        <v/>
      </c>
      <c r="G249" s="5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4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22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COUNTIFS('TECNICOS'!$F$4:$F$19,"sí",'TECNICOS'!$C$4:$C$19,$E250,'TECNICOS'!$D$4:$D$19,$D250,'TECNICOS'!$H$4:$H$19,"sí")</f>
        <v/>
      </c>
      <c r="G250" s="5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4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22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COUNTIFS('TECNICOS'!$F$4:$F$19,"sí",'TECNICOS'!$C$4:$C$19,$E251,'TECNICOS'!$D$4:$D$19,$D251,'TECNICOS'!$H$4:$H$19,"sí")</f>
        <v/>
      </c>
      <c r="G251" s="5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4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22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COUNTIFS('TECNICOS'!$F$4:$F$19,"sí",'TECNICOS'!$C$4:$C$19,$E252,'TECNICOS'!$D$4:$D$19,$D252,'TECNICOS'!$H$4:$H$19,"sí")</f>
        <v/>
      </c>
      <c r="G252" s="5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4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22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COUNTIFS('TECNICOS'!$F$4:$F$19,"sí",'TECNICOS'!$C$4:$C$19,$E253,'TECNICOS'!$D$4:$D$19,$D253,'TECNICOS'!$H$4:$H$19,"sí")</f>
        <v/>
      </c>
      <c r="G253" s="5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4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22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COUNTIFS('TECNICOS'!$F$4:$F$19,"sí",'TECNICOS'!$C$4:$C$19,$E254,'TECNICOS'!$D$4:$D$19,$D254,'TECNICOS'!$H$4:$H$19,"sí")</f>
        <v/>
      </c>
      <c r="G254" s="5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4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22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COUNTIFS('TECNICOS'!$F$4:$F$19,"sí",'TECNICOS'!$C$4:$C$19,$E255,'TECNICOS'!$D$4:$D$19,$D255,'TECNICOS'!$H$4:$H$19,"sí")</f>
        <v/>
      </c>
      <c r="G255" s="5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4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22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COUNTIFS('TECNICOS'!$F$4:$F$19,"sí",'TECNICOS'!$C$4:$C$19,$E256,'TECNICOS'!$D$4:$D$19,$D256,'TECNICOS'!$H$4:$H$19,"sí")</f>
        <v/>
      </c>
      <c r="G256" s="5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4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22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COUNTIFS('TECNICOS'!$F$4:$F$19,"sí",'TECNICOS'!$C$4:$C$19,$E257,'TECNICOS'!$D$4:$D$19,$D257,'TECNICOS'!$H$4:$H$19,"sí")</f>
        <v/>
      </c>
      <c r="G257" s="5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4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22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COUNTIFS('TECNICOS'!$F$4:$F$19,"sí",'TECNICOS'!$C$4:$C$19,$E258,'TECNICOS'!$D$4:$D$19,$D258,'TECNICOS'!$H$4:$H$19,"sí")</f>
        <v/>
      </c>
      <c r="G258" s="5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4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22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COUNTIFS('TECNICOS'!$F$4:$F$19,"sí",'TECNICOS'!$C$4:$C$19,$E259,'TECNICOS'!$D$4:$D$19,$D259,'TECNICOS'!$H$4:$H$19,"sí")</f>
        <v/>
      </c>
      <c r="G259" s="5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4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22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COUNTIFS('TECNICOS'!$F$4:$F$19,"sí",'TECNICOS'!$C$4:$C$19,$E260,'TECNICOS'!$D$4:$D$19,$D260,'TECNICOS'!$H$4:$H$19,"sí")</f>
        <v/>
      </c>
      <c r="G260" s="5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4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22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COUNTIFS('TECNICOS'!$F$4:$F$19,"sí",'TECNICOS'!$C$4:$C$19,$E261,'TECNICOS'!$D$4:$D$19,$D261,'TECNICOS'!$H$4:$H$19,"sí")</f>
        <v/>
      </c>
      <c r="G261" s="5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4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22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COUNTIFS('TECNICOS'!$F$4:$F$19,"sí",'TECNICOS'!$C$4:$C$19,$E262,'TECNICOS'!$D$4:$D$19,$D262,'TECNICOS'!$H$4:$H$19,"sí")</f>
        <v/>
      </c>
      <c r="G262" s="5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4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22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COUNTIFS('TECNICOS'!$F$4:$F$19,"sí",'TECNICOS'!$C$4:$C$19,$E263,'TECNICOS'!$D$4:$D$19,$D263,'TECNICOS'!$H$4:$H$19,"sí")</f>
        <v/>
      </c>
      <c r="G263" s="5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4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22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COUNTIFS('TECNICOS'!$F$4:$F$19,"sí",'TECNICOS'!$C$4:$C$19,$E264,'TECNICOS'!$D$4:$D$19,$D264,'TECNICOS'!$H$4:$H$19,"sí")</f>
        <v/>
      </c>
      <c r="G264" s="5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4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22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COUNTIFS('TECNICOS'!$F$4:$F$19,"sí",'TECNICOS'!$C$4:$C$19,$E265,'TECNICOS'!$D$4:$D$19,$D265,'TECNICOS'!$H$4:$H$19,"sí")</f>
        <v/>
      </c>
      <c r="G265" s="5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4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22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COUNTIFS('TECNICOS'!$F$4:$F$19,"sí",'TECNICOS'!$C$4:$C$19,$E266,'TECNICOS'!$D$4:$D$19,$D266,'TECNICOS'!$H$4:$H$19,"sí")</f>
        <v/>
      </c>
      <c r="G266" s="5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4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22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COUNTIFS('TECNICOS'!$F$4:$F$19,"sí",'TECNICOS'!$C$4:$C$19,$E267,'TECNICOS'!$D$4:$D$19,$D267,'TECNICOS'!$H$4:$H$19,"sí")</f>
        <v/>
      </c>
      <c r="G267" s="5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4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22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COUNTIFS('TECNICOS'!$F$4:$F$19,"sí",'TECNICOS'!$C$4:$C$19,$E268,'TECNICOS'!$D$4:$D$19,$D268,'TECNICOS'!$H$4:$H$19,"sí")</f>
        <v/>
      </c>
      <c r="G268" s="5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4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22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COUNTIFS('TECNICOS'!$F$4:$F$19,"sí",'TECNICOS'!$C$4:$C$19,$E269,'TECNICOS'!$D$4:$D$19,$D269,'TECNICOS'!$H$4:$H$19,"sí")</f>
        <v/>
      </c>
      <c r="G269" s="5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4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22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COUNTIFS('TECNICOS'!$F$4:$F$19,"sí",'TECNICOS'!$C$4:$C$19,$E270,'TECNICOS'!$D$4:$D$19,$D270,'TECNICOS'!$H$4:$H$19,"sí")</f>
        <v/>
      </c>
      <c r="G270" s="5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4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22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COUNTIFS('TECNICOS'!$F$4:$F$19,"sí",'TECNICOS'!$C$4:$C$19,$E271,'TECNICOS'!$D$4:$D$19,$D271,'TECNICOS'!$H$4:$H$19,"sí")</f>
        <v/>
      </c>
      <c r="G271" s="5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4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22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COUNTIFS('TECNICOS'!$F$4:$F$19,"sí",'TECNICOS'!$C$4:$C$19,$E272,'TECNICOS'!$D$4:$D$19,$D272,'TECNICOS'!$H$4:$H$19,"sí")</f>
        <v/>
      </c>
      <c r="G272" s="5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4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22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COUNTIFS('TECNICOS'!$F$4:$F$19,"sí",'TECNICOS'!$C$4:$C$19,$E273,'TECNICOS'!$D$4:$D$19,$D273,'TECNICOS'!$H$4:$H$19,"sí")</f>
        <v/>
      </c>
      <c r="G273" s="5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4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22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COUNTIFS('TECNICOS'!$F$4:$F$19,"sí",'TECNICOS'!$C$4:$C$19,$E274,'TECNICOS'!$D$4:$D$19,$D274,'TECNICOS'!$H$4:$H$19,"sí")</f>
        <v/>
      </c>
      <c r="G274" s="5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4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22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COUNTIFS('TECNICOS'!$F$4:$F$19,"sí",'TECNICOS'!$C$4:$C$19,$E275,'TECNICOS'!$D$4:$D$19,$D275,'TECNICOS'!$H$4:$H$19,"sí")</f>
        <v/>
      </c>
      <c r="G275" s="5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4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22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COUNTIFS('TECNICOS'!$F$4:$F$19,"sí",'TECNICOS'!$C$4:$C$19,$E276,'TECNICOS'!$D$4:$D$19,$D276,'TECNICOS'!$H$4:$H$19,"sí")</f>
        <v/>
      </c>
      <c r="G276" s="5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4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22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COUNTIFS('TECNICOS'!$F$4:$F$19,"sí",'TECNICOS'!$C$4:$C$19,$E277,'TECNICOS'!$D$4:$D$19,$D277,'TECNICOS'!$H$4:$H$19,"sí")</f>
        <v/>
      </c>
      <c r="G277" s="5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4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22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COUNTIFS('TECNICOS'!$F$4:$F$19,"sí",'TECNICOS'!$C$4:$C$19,$E278,'TECNICOS'!$D$4:$D$19,$D278,'TECNICOS'!$H$4:$H$19,"sí")</f>
        <v/>
      </c>
      <c r="G278" s="5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4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22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COUNTIFS('TECNICOS'!$F$4:$F$19,"sí",'TECNICOS'!$C$4:$C$19,$E279,'TECNICOS'!$D$4:$D$19,$D279,'TECNICOS'!$H$4:$H$19,"sí")</f>
        <v/>
      </c>
      <c r="G279" s="5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4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22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COUNTIFS('TECNICOS'!$F$4:$F$19,"sí",'TECNICOS'!$C$4:$C$19,$E280,'TECNICOS'!$D$4:$D$19,$D280,'TECNICOS'!$H$4:$H$19,"sí")</f>
        <v/>
      </c>
      <c r="G280" s="5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4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22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COUNTIFS('TECNICOS'!$F$4:$F$19,"sí",'TECNICOS'!$C$4:$C$19,$E281,'TECNICOS'!$D$4:$D$19,$D281,'TECNICOS'!$H$4:$H$19,"sí")</f>
        <v/>
      </c>
      <c r="G281" s="5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4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22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COUNTIFS('TECNICOS'!$F$4:$F$19,"sí",'TECNICOS'!$C$4:$C$19,$E282,'TECNICOS'!$D$4:$D$19,$D282,'TECNICOS'!$H$4:$H$19,"sí")</f>
        <v/>
      </c>
      <c r="G282" s="5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4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22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COUNTIFS('TECNICOS'!$F$4:$F$19,"sí",'TECNICOS'!$C$4:$C$19,$E283,'TECNICOS'!$D$4:$D$19,$D283,'TECNICOS'!$H$4:$H$19,"sí")</f>
        <v/>
      </c>
      <c r="G283" s="5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4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22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COUNTIFS('TECNICOS'!$F$4:$F$19,"sí",'TECNICOS'!$C$4:$C$19,$E284,'TECNICOS'!$D$4:$D$19,$D284,'TECNICOS'!$H$4:$H$19,"sí")</f>
        <v/>
      </c>
      <c r="G284" s="5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4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22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COUNTIFS('TECNICOS'!$F$4:$F$19,"sí",'TECNICOS'!$C$4:$C$19,$E285,'TECNICOS'!$D$4:$D$19,$D285,'TECNICOS'!$H$4:$H$19,"sí")</f>
        <v/>
      </c>
      <c r="G285" s="5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4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22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COUNTIFS('TECNICOS'!$F$4:$F$19,"sí",'TECNICOS'!$C$4:$C$19,$E286,'TECNICOS'!$D$4:$D$19,$D286,'TECNICOS'!$H$4:$H$19,"sí")</f>
        <v/>
      </c>
      <c r="G286" s="5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4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22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COUNTIFS('TECNICOS'!$F$4:$F$19,"sí",'TECNICOS'!$C$4:$C$19,$E287,'TECNICOS'!$D$4:$D$19,$D287,'TECNICOS'!$H$4:$H$19,"sí")</f>
        <v/>
      </c>
      <c r="G287" s="5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4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22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COUNTIFS('TECNICOS'!$F$4:$F$19,"sí",'TECNICOS'!$C$4:$C$19,$E288,'TECNICOS'!$D$4:$D$19,$D288,'TECNICOS'!$H$4:$H$19,"sí")</f>
        <v/>
      </c>
      <c r="G288" s="5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4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22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COUNTIFS('TECNICOS'!$F$4:$F$19,"sí",'TECNICOS'!$C$4:$C$19,$E289,'TECNICOS'!$D$4:$D$19,$D289,'TECNICOS'!$H$4:$H$19,"sí")</f>
        <v/>
      </c>
      <c r="G289" s="5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4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22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COUNTIFS('TECNICOS'!$F$4:$F$19,"sí",'TECNICOS'!$C$4:$C$19,$E290,'TECNICOS'!$D$4:$D$19,$D290,'TECNICOS'!$H$4:$H$19,"sí")</f>
        <v/>
      </c>
      <c r="G290" s="5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4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22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COUNTIFS('TECNICOS'!$F$4:$F$19,"sí",'TECNICOS'!$C$4:$C$19,$E291,'TECNICOS'!$D$4:$D$19,$D291,'TECNICOS'!$H$4:$H$19,"sí")</f>
        <v/>
      </c>
      <c r="G291" s="5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4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22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COUNTIFS('TECNICOS'!$F$4:$F$19,"sí",'TECNICOS'!$C$4:$C$19,$E292,'TECNICOS'!$D$4:$D$19,$D292,'TECNICOS'!$H$4:$H$19,"sí")</f>
        <v/>
      </c>
      <c r="G292" s="5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4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22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COUNTIFS('TECNICOS'!$F$4:$F$19,"sí",'TECNICOS'!$C$4:$C$19,$E293,'TECNICOS'!$D$4:$D$19,$D293,'TECNICOS'!$H$4:$H$19,"sí")</f>
        <v/>
      </c>
      <c r="G293" s="5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4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22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COUNTIFS('TECNICOS'!$F$4:$F$19,"sí",'TECNICOS'!$C$4:$C$19,$E294,'TECNICOS'!$D$4:$D$19,$D294,'TECNICOS'!$H$4:$H$19,"sí")</f>
        <v/>
      </c>
      <c r="G294" s="5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4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22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COUNTIFS('TECNICOS'!$F$4:$F$19,"sí",'TECNICOS'!$C$4:$C$19,$E295,'TECNICOS'!$D$4:$D$19,$D295,'TECNICOS'!$H$4:$H$19,"sí")</f>
        <v/>
      </c>
      <c r="G295" s="5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4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22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COUNTIFS('TECNICOS'!$F$4:$F$19,"sí",'TECNICOS'!$C$4:$C$19,$E296,'TECNICOS'!$D$4:$D$19,$D296,'TECNICOS'!$H$4:$H$19,"sí")</f>
        <v/>
      </c>
      <c r="G296" s="5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4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22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COUNTIFS('TECNICOS'!$F$4:$F$19,"sí",'TECNICOS'!$C$4:$C$19,$E297,'TECNICOS'!$D$4:$D$19,$D297,'TECNICOS'!$H$4:$H$19,"sí")</f>
        <v/>
      </c>
      <c r="G297" s="5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4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22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COUNTIFS('TECNICOS'!$F$4:$F$19,"sí",'TECNICOS'!$C$4:$C$19,$E298,'TECNICOS'!$D$4:$D$19,$D298,'TECNICOS'!$H$4:$H$19,"sí")</f>
        <v/>
      </c>
      <c r="G298" s="5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4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22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COUNTIFS('TECNICOS'!$F$4:$F$19,"sí",'TECNICOS'!$C$4:$C$19,$E299,'TECNICOS'!$D$4:$D$19,$D299,'TECNICOS'!$H$4:$H$19,"sí")</f>
        <v/>
      </c>
      <c r="G299" s="5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4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22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COUNTIFS('TECNICOS'!$F$4:$F$19,"sí",'TECNICOS'!$C$4:$C$19,$E300,'TECNICOS'!$D$4:$D$19,$D300,'TECNICOS'!$H$4:$H$19,"sí")</f>
        <v/>
      </c>
      <c r="G300" s="5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4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22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COUNTIFS('TECNICOS'!$F$4:$F$19,"sí",'TECNICOS'!$C$4:$C$19,$E301,'TECNICOS'!$D$4:$D$19,$D301,'TECNICOS'!$H$4:$H$19,"sí")</f>
        <v/>
      </c>
      <c r="G301" s="5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4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22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COUNTIFS('TECNICOS'!$F$4:$F$19,"sí",'TECNICOS'!$C$4:$C$19,$E302,'TECNICOS'!$D$4:$D$19,$D302,'TECNICOS'!$H$4:$H$19,"sí")</f>
        <v/>
      </c>
      <c r="G302" s="5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4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22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COUNTIFS('TECNICOS'!$F$4:$F$19,"sí",'TECNICOS'!$C$4:$C$19,$E303,'TECNICOS'!$D$4:$D$19,$D303,'TECNICOS'!$H$4:$H$19,"sí")</f>
        <v/>
      </c>
      <c r="G303" s="5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4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22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COUNTIFS('TECNICOS'!$F$4:$F$19,"sí",'TECNICOS'!$C$4:$C$19,$E304,'TECNICOS'!$D$4:$D$19,$D304,'TECNICOS'!$H$4:$H$19,"sí")</f>
        <v/>
      </c>
      <c r="G304" s="5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4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22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COUNTIFS('TECNICOS'!$F$4:$F$19,"sí",'TECNICOS'!$C$4:$C$19,$E305,'TECNICOS'!$D$4:$D$19,$D305,'TECNICOS'!$H$4:$H$19,"sí")</f>
        <v/>
      </c>
      <c r="G305" s="5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4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22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COUNTIFS('TECNICOS'!$F$4:$F$19,"sí",'TECNICOS'!$C$4:$C$19,$E306,'TECNICOS'!$D$4:$D$19,$D306,'TECNICOS'!$H$4:$H$19,"sí")</f>
        <v/>
      </c>
      <c r="G306" s="5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4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22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COUNTIFS('TECNICOS'!$F$4:$F$19,"sí",'TECNICOS'!$C$4:$C$19,$E307,'TECNICOS'!$D$4:$D$19,$D307,'TECNICOS'!$H$4:$H$19,"sí")</f>
        <v/>
      </c>
      <c r="G307" s="5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4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22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COUNTIFS('TECNICOS'!$F$4:$F$19,"sí",'TECNICOS'!$C$4:$C$19,$E308,'TECNICOS'!$D$4:$D$19,$D308,'TECNICOS'!$H$4:$H$19,"sí")</f>
        <v/>
      </c>
      <c r="G308" s="5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4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22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COUNTIFS('TECNICOS'!$F$4:$F$19,"sí",'TECNICOS'!$C$4:$C$19,$E309,'TECNICOS'!$D$4:$D$19,$D309,'TECNICOS'!$H$4:$H$19,"sí")</f>
        <v/>
      </c>
      <c r="G309" s="5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4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22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COUNTIFS('TECNICOS'!$F$4:$F$19,"sí",'TECNICOS'!$C$4:$C$19,$E310,'TECNICOS'!$D$4:$D$19,$D310,'TECNICOS'!$H$4:$H$19,"sí")</f>
        <v/>
      </c>
      <c r="G310" s="5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4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22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COUNTIFS('TECNICOS'!$F$4:$F$19,"sí",'TECNICOS'!$C$4:$C$19,$E311,'TECNICOS'!$D$4:$D$19,$D311,'TECNICOS'!$H$4:$H$19,"sí")</f>
        <v/>
      </c>
      <c r="G311" s="5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4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22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COUNTIFS('TECNICOS'!$F$4:$F$19,"sí",'TECNICOS'!$C$4:$C$19,$E312,'TECNICOS'!$D$4:$D$19,$D312,'TECNICOS'!$H$4:$H$19,"sí")</f>
        <v/>
      </c>
      <c r="G312" s="5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4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22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COUNTIFS('TECNICOS'!$F$4:$F$19,"sí",'TECNICOS'!$C$4:$C$19,$E313,'TECNICOS'!$D$4:$D$19,$D313,'TECNICOS'!$H$4:$H$19,"sí")</f>
        <v/>
      </c>
      <c r="G313" s="5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4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22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COUNTIFS('TECNICOS'!$F$4:$F$19,"sí",'TECNICOS'!$C$4:$C$19,$E314,'TECNICOS'!$D$4:$D$19,$D314,'TECNICOS'!$H$4:$H$19,"sí")</f>
        <v/>
      </c>
      <c r="G314" s="5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4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22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COUNTIFS('TECNICOS'!$F$4:$F$19,"sí",'TECNICOS'!$C$4:$C$19,$E315,'TECNICOS'!$D$4:$D$19,$D315,'TECNICOS'!$H$4:$H$19,"sí")</f>
        <v/>
      </c>
      <c r="G315" s="5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4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22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COUNTIFS('TECNICOS'!$F$4:$F$19,"sí",'TECNICOS'!$C$4:$C$19,$E316,'TECNICOS'!$D$4:$D$19,$D316,'TECNICOS'!$H$4:$H$19,"sí")</f>
        <v/>
      </c>
      <c r="G316" s="5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4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22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COUNTIFS('TECNICOS'!$F$4:$F$19,"sí",'TECNICOS'!$C$4:$C$19,$E317,'TECNICOS'!$D$4:$D$19,$D317,'TECNICOS'!$H$4:$H$19,"sí")</f>
        <v/>
      </c>
      <c r="G317" s="5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4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22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COUNTIFS('TECNICOS'!$F$4:$F$19,"sí",'TECNICOS'!$C$4:$C$19,$E318,'TECNICOS'!$D$4:$D$19,$D318,'TECNICOS'!$H$4:$H$19,"sí")</f>
        <v/>
      </c>
      <c r="G318" s="5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4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22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COUNTIFS('TECNICOS'!$F$4:$F$19,"sí",'TECNICOS'!$C$4:$C$19,$E319,'TECNICOS'!$D$4:$D$19,$D319,'TECNICOS'!$H$4:$H$19,"sí")</f>
        <v/>
      </c>
      <c r="G319" s="5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4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22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COUNTIFS('TECNICOS'!$F$4:$F$19,"sí",'TECNICOS'!$C$4:$C$19,$E320,'TECNICOS'!$D$4:$D$19,$D320,'TECNICOS'!$H$4:$H$19,"sí")</f>
        <v/>
      </c>
      <c r="G320" s="5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4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22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COUNTIFS('TECNICOS'!$F$4:$F$19,"sí",'TECNICOS'!$C$4:$C$19,$E321,'TECNICOS'!$D$4:$D$19,$D321,'TECNICOS'!$H$4:$H$19,"sí")</f>
        <v/>
      </c>
      <c r="G321" s="5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4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22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COUNTIFS('TECNICOS'!$F$4:$F$19,"sí",'TECNICOS'!$C$4:$C$19,$E322,'TECNICOS'!$D$4:$D$19,$D322,'TECNICOS'!$H$4:$H$19,"sí")</f>
        <v/>
      </c>
      <c r="G322" s="5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4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22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COUNTIFS('TECNICOS'!$F$4:$F$19,"sí",'TECNICOS'!$C$4:$C$19,$E323,'TECNICOS'!$D$4:$D$19,$D323,'TECNICOS'!$H$4:$H$19,"sí")</f>
        <v/>
      </c>
      <c r="G323" s="5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4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22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COUNTIFS('TECNICOS'!$F$4:$F$19,"sí",'TECNICOS'!$C$4:$C$19,$E324,'TECNICOS'!$D$4:$D$19,$D324,'TECNICOS'!$H$4:$H$19,"sí")</f>
        <v/>
      </c>
      <c r="G324" s="5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4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22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COUNTIFS('TECNICOS'!$F$4:$F$19,"sí",'TECNICOS'!$C$4:$C$19,$E325,'TECNICOS'!$D$4:$D$19,$D325,'TECNICOS'!$H$4:$H$19,"sí")</f>
        <v/>
      </c>
      <c r="G325" s="5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4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22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COUNTIFS('TECNICOS'!$F$4:$F$19,"sí",'TECNICOS'!$C$4:$C$19,$E326,'TECNICOS'!$D$4:$D$19,$D326,'TECNICOS'!$H$4:$H$19,"sí")</f>
        <v/>
      </c>
      <c r="G326" s="5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4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22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COUNTIFS('TECNICOS'!$F$4:$F$19,"sí",'TECNICOS'!$C$4:$C$19,$E327,'TECNICOS'!$D$4:$D$19,$D327,'TECNICOS'!$H$4:$H$19,"sí")</f>
        <v/>
      </c>
      <c r="G327" s="5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4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22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COUNTIFS('TECNICOS'!$F$4:$F$19,"sí",'TECNICOS'!$C$4:$C$19,$E328,'TECNICOS'!$D$4:$D$19,$D328,'TECNICOS'!$H$4:$H$19,"sí")</f>
        <v/>
      </c>
      <c r="G328" s="5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4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22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COUNTIFS('TECNICOS'!$F$4:$F$19,"sí",'TECNICOS'!$C$4:$C$19,$E329,'TECNICOS'!$D$4:$D$19,$D329,'TECNICOS'!$H$4:$H$19,"sí")</f>
        <v/>
      </c>
      <c r="G329" s="5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4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22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COUNTIFS('TECNICOS'!$F$4:$F$19,"sí",'TECNICOS'!$C$4:$C$19,$E330,'TECNICOS'!$D$4:$D$19,$D330,'TECNICOS'!$H$4:$H$19,"sí")</f>
        <v/>
      </c>
      <c r="G330" s="5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4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22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COUNTIFS('TECNICOS'!$F$4:$F$19,"sí",'TECNICOS'!$C$4:$C$19,$E331,'TECNICOS'!$D$4:$D$19,$D331,'TECNICOS'!$H$4:$H$19,"sí")</f>
        <v/>
      </c>
      <c r="G331" s="5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4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22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COUNTIFS('TECNICOS'!$F$4:$F$19,"sí",'TECNICOS'!$C$4:$C$19,$E332,'TECNICOS'!$D$4:$D$19,$D332,'TECNICOS'!$H$4:$H$19,"sí")</f>
        <v/>
      </c>
      <c r="G332" s="5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4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22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COUNTIFS('TECNICOS'!$F$4:$F$19,"sí",'TECNICOS'!$C$4:$C$19,$E333,'TECNICOS'!$D$4:$D$19,$D333,'TECNICOS'!$H$4:$H$19,"sí")</f>
        <v/>
      </c>
      <c r="G333" s="5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4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22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COUNTIFS('TECNICOS'!$F$4:$F$19,"sí",'TECNICOS'!$C$4:$C$19,$E334,'TECNICOS'!$D$4:$D$19,$D334,'TECNICOS'!$H$4:$H$19,"sí")</f>
        <v/>
      </c>
      <c r="G334" s="5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4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22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COUNTIFS('TECNICOS'!$F$4:$F$19,"sí",'TECNICOS'!$C$4:$C$19,$E335,'TECNICOS'!$D$4:$D$19,$D335,'TECNICOS'!$H$4:$H$19,"sí")</f>
        <v/>
      </c>
      <c r="G335" s="5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4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22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COUNTIFS('TECNICOS'!$F$4:$F$19,"sí",'TECNICOS'!$C$4:$C$19,$E336,'TECNICOS'!$D$4:$D$19,$D336,'TECNICOS'!$H$4:$H$19,"sí")</f>
        <v/>
      </c>
      <c r="G336" s="5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4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22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COUNTIFS('TECNICOS'!$F$4:$F$19,"sí",'TECNICOS'!$C$4:$C$19,$E337,'TECNICOS'!$D$4:$D$19,$D337,'TECNICOS'!$H$4:$H$19,"sí")</f>
        <v/>
      </c>
      <c r="G337" s="5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4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22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COUNTIFS('TECNICOS'!$F$4:$F$19,"sí",'TECNICOS'!$C$4:$C$19,$E338,'TECNICOS'!$D$4:$D$19,$D338,'TECNICOS'!$H$4:$H$19,"sí")</f>
        <v/>
      </c>
      <c r="G338" s="5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4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22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COUNTIFS('TECNICOS'!$F$4:$F$19,"sí",'TECNICOS'!$C$4:$C$19,$E339,'TECNICOS'!$D$4:$D$19,$D339,'TECNICOS'!$H$4:$H$19,"sí")</f>
        <v/>
      </c>
      <c r="G339" s="5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4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22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COUNTIFS('TECNICOS'!$F$4:$F$19,"sí",'TECNICOS'!$C$4:$C$19,$E340,'TECNICOS'!$D$4:$D$19,$D340,'TECNICOS'!$H$4:$H$19,"sí")</f>
        <v/>
      </c>
      <c r="G340" s="5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4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22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COUNTIFS('TECNICOS'!$F$4:$F$19,"sí",'TECNICOS'!$C$4:$C$19,$E341,'TECNICOS'!$D$4:$D$19,$D341,'TECNICOS'!$H$4:$H$19,"sí")</f>
        <v/>
      </c>
      <c r="G341" s="5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4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22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COUNTIFS('TECNICOS'!$F$4:$F$19,"sí",'TECNICOS'!$C$4:$C$19,$E342,'TECNICOS'!$D$4:$D$19,$D342,'TECNICOS'!$H$4:$H$19,"sí")</f>
        <v/>
      </c>
      <c r="G342" s="5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4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22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COUNTIFS('TECNICOS'!$F$4:$F$19,"sí",'TECNICOS'!$C$4:$C$19,$E343,'TECNICOS'!$D$4:$D$19,$D343,'TECNICOS'!$H$4:$H$19,"sí")</f>
        <v/>
      </c>
      <c r="G343" s="5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4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22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COUNTIFS('TECNICOS'!$F$4:$F$19,"sí",'TECNICOS'!$C$4:$C$19,$E344,'TECNICOS'!$D$4:$D$19,$D344,'TECNICOS'!$H$4:$H$19,"sí")</f>
        <v/>
      </c>
      <c r="G344" s="5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4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22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COUNTIFS('TECNICOS'!$F$4:$F$19,"sí",'TECNICOS'!$C$4:$C$19,$E345,'TECNICOS'!$D$4:$D$19,$D345,'TECNICOS'!$H$4:$H$19,"sí")</f>
        <v/>
      </c>
      <c r="G345" s="5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4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22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COUNTIFS('TECNICOS'!$F$4:$F$19,"sí",'TECNICOS'!$C$4:$C$19,$E346,'TECNICOS'!$D$4:$D$19,$D346,'TECNICOS'!$H$4:$H$19,"sí")</f>
        <v/>
      </c>
      <c r="G346" s="5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4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22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COUNTIFS('TECNICOS'!$F$4:$F$19,"sí",'TECNICOS'!$C$4:$C$19,$E347,'TECNICOS'!$D$4:$D$19,$D347,'TECNICOS'!$H$4:$H$19,"sí")</f>
        <v/>
      </c>
      <c r="G347" s="5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4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22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COUNTIFS('TECNICOS'!$F$4:$F$19,"sí",'TECNICOS'!$C$4:$C$19,$E348,'TECNICOS'!$D$4:$D$19,$D348,'TECNICOS'!$H$4:$H$19,"sí")</f>
        <v/>
      </c>
      <c r="G348" s="5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4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22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COUNTIFS('TECNICOS'!$F$4:$F$19,"sí",'TECNICOS'!$C$4:$C$19,$E349,'TECNICOS'!$D$4:$D$19,$D349,'TECNICOS'!$H$4:$H$19,"sí")</f>
        <v/>
      </c>
      <c r="G349" s="5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4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22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COUNTIFS('TECNICOS'!$F$4:$F$19,"sí",'TECNICOS'!$C$4:$C$19,$E350,'TECNICOS'!$D$4:$D$19,$D350,'TECNICOS'!$H$4:$H$19,"sí")</f>
        <v/>
      </c>
      <c r="G350" s="5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4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22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COUNTIFS('TECNICOS'!$F$4:$F$19,"sí",'TECNICOS'!$C$4:$C$19,$E351,'TECNICOS'!$D$4:$D$19,$D351,'TECNICOS'!$H$4:$H$19,"sí")</f>
        <v/>
      </c>
      <c r="G351" s="5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4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22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COUNTIFS('TECNICOS'!$F$4:$F$19,"sí",'TECNICOS'!$C$4:$C$19,$E352,'TECNICOS'!$D$4:$D$19,$D352,'TECNICOS'!$H$4:$H$19,"sí")</f>
        <v/>
      </c>
      <c r="G352" s="5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4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22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COUNTIFS('TECNICOS'!$F$4:$F$19,"sí",'TECNICOS'!$C$4:$C$19,$E353,'TECNICOS'!$D$4:$D$19,$D353,'TECNICOS'!$H$4:$H$19,"sí")</f>
        <v/>
      </c>
      <c r="G353" s="5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4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22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COUNTIFS('TECNICOS'!$F$4:$F$19,"sí",'TECNICOS'!$C$4:$C$19,$E354,'TECNICOS'!$D$4:$D$19,$D354,'TECNICOS'!$H$4:$H$19,"sí")</f>
        <v/>
      </c>
      <c r="G354" s="5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4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22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COUNTIFS('TECNICOS'!$F$4:$F$19,"sí",'TECNICOS'!$C$4:$C$19,$E355,'TECNICOS'!$D$4:$D$19,$D355,'TECNICOS'!$H$4:$H$19,"sí")</f>
        <v/>
      </c>
      <c r="G355" s="5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4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22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COUNTIFS('TECNICOS'!$F$4:$F$19,"sí",'TECNICOS'!$C$4:$C$19,$E356,'TECNICOS'!$D$4:$D$19,$D356,'TECNICOS'!$H$4:$H$19,"sí")</f>
        <v/>
      </c>
      <c r="G356" s="5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4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22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COUNTIFS('TECNICOS'!$F$4:$F$19,"sí",'TECNICOS'!$C$4:$C$19,$E357,'TECNICOS'!$D$4:$D$19,$D357,'TECNICOS'!$H$4:$H$19,"sí")</f>
        <v/>
      </c>
      <c r="G357" s="5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4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22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COUNTIFS('TECNICOS'!$F$4:$F$19,"sí",'TECNICOS'!$C$4:$C$19,$E358,'TECNICOS'!$D$4:$D$19,$D358,'TECNICOS'!$H$4:$H$19,"sí")</f>
        <v/>
      </c>
      <c r="G358" s="5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4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22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COUNTIFS('TECNICOS'!$F$4:$F$19,"sí",'TECNICOS'!$C$4:$C$19,$E359,'TECNICOS'!$D$4:$D$19,$D359,'TECNICOS'!$H$4:$H$19,"sí")</f>
        <v/>
      </c>
      <c r="G359" s="5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4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22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COUNTIFS('TECNICOS'!$F$4:$F$19,"sí",'TECNICOS'!$C$4:$C$19,$E360,'TECNICOS'!$D$4:$D$19,$D360,'TECNICOS'!$H$4:$H$19,"sí")</f>
        <v/>
      </c>
      <c r="G360" s="5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4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22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COUNTIFS('TECNICOS'!$F$4:$F$19,"sí",'TECNICOS'!$C$4:$C$19,$E361,'TECNICOS'!$D$4:$D$19,$D361,'TECNICOS'!$H$4:$H$19,"sí")</f>
        <v/>
      </c>
      <c r="G361" s="5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4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22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COUNTIFS('TECNICOS'!$F$4:$F$19,"sí",'TECNICOS'!$C$4:$C$19,$E362,'TECNICOS'!$D$4:$D$19,$D362,'TECNICOS'!$H$4:$H$19,"sí")</f>
        <v/>
      </c>
      <c r="G362" s="5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4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22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COUNTIFS('TECNICOS'!$F$4:$F$19,"sí",'TECNICOS'!$C$4:$C$19,$E363,'TECNICOS'!$D$4:$D$19,$D363,'TECNICOS'!$H$4:$H$19,"sí")</f>
        <v/>
      </c>
      <c r="G363" s="5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4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22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COUNTIFS('TECNICOS'!$F$4:$F$19,"sí",'TECNICOS'!$C$4:$C$19,$E364,'TECNICOS'!$D$4:$D$19,$D364,'TECNICOS'!$H$4:$H$19,"sí")</f>
        <v/>
      </c>
      <c r="G364" s="5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4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22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COUNTIFS('TECNICOS'!$F$4:$F$19,"sí",'TECNICOS'!$C$4:$C$19,$E365,'TECNICOS'!$D$4:$D$19,$D365,'TECNICOS'!$H$4:$H$19,"sí")</f>
        <v/>
      </c>
      <c r="G365" s="5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4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22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COUNTIFS('TECNICOS'!$F$4:$F$19,"sí",'TECNICOS'!$C$4:$C$19,$E366,'TECNICOS'!$D$4:$D$19,$D366,'TECNICOS'!$H$4:$H$19,"sí")</f>
        <v/>
      </c>
      <c r="G366" s="5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4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22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COUNTIFS('TECNICOS'!$F$4:$F$19,"sí",'TECNICOS'!$C$4:$C$19,$E367,'TECNICOS'!$D$4:$D$19,$D367,'TECNICOS'!$H$4:$H$19,"sí")</f>
        <v/>
      </c>
      <c r="G367" s="5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4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22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COUNTIFS('TECNICOS'!$F$4:$F$19,"sí",'TECNICOS'!$C$4:$C$19,$E368,'TECNICOS'!$D$4:$D$19,$D368,'TECNICOS'!$H$4:$H$19,"sí")</f>
        <v/>
      </c>
      <c r="G368" s="5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4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22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COUNTIFS('TECNICOS'!$F$4:$F$19,"sí",'TECNICOS'!$C$4:$C$19,$E369,'TECNICOS'!$D$4:$D$19,$D369,'TECNICOS'!$H$4:$H$19,"sí")</f>
        <v/>
      </c>
      <c r="G369" s="5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4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22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COUNTIFS('TECNICOS'!$F$4:$F$19,"sí",'TECNICOS'!$C$4:$C$19,$E370,'TECNICOS'!$D$4:$D$19,$D370,'TECNICOS'!$H$4:$H$19,"sí")</f>
        <v/>
      </c>
      <c r="G370" s="5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4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22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COUNTIFS('TECNICOS'!$F$4:$F$19,"sí",'TECNICOS'!$C$4:$C$19,$E371,'TECNICOS'!$D$4:$D$19,$D371,'TECNICOS'!$H$4:$H$19,"sí")</f>
        <v/>
      </c>
      <c r="G371" s="5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4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22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COUNTIFS('TECNICOS'!$F$4:$F$19,"sí",'TECNICOS'!$C$4:$C$19,$E372,'TECNICOS'!$D$4:$D$19,$D372,'TECNICOS'!$H$4:$H$19,"sí")</f>
        <v/>
      </c>
      <c r="G372" s="5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4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22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COUNTIFS('TECNICOS'!$F$4:$F$19,"sí",'TECNICOS'!$C$4:$C$19,$E373,'TECNICOS'!$D$4:$D$19,$D373,'TECNICOS'!$H$4:$H$19,"sí")</f>
        <v/>
      </c>
      <c r="G373" s="5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4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22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COUNTIFS('TECNICOS'!$F$4:$F$19,"sí",'TECNICOS'!$C$4:$C$19,$E374,'TECNICOS'!$D$4:$D$19,$D374,'TECNICOS'!$H$4:$H$19,"sí")</f>
        <v/>
      </c>
      <c r="G374" s="5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4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22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COUNTIFS('TECNICOS'!$F$4:$F$19,"sí",'TECNICOS'!$C$4:$C$19,$E375,'TECNICOS'!$D$4:$D$19,$D375,'TECNICOS'!$H$4:$H$19,"sí")</f>
        <v/>
      </c>
      <c r="G375" s="5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4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22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COUNTIFS('TECNICOS'!$F$4:$F$19,"sí",'TECNICOS'!$C$4:$C$19,$E376,'TECNICOS'!$D$4:$D$19,$D376,'TECNICOS'!$H$4:$H$19,"sí")</f>
        <v/>
      </c>
      <c r="G376" s="5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4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22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COUNTIFS('TECNICOS'!$F$4:$F$19,"sí",'TECNICOS'!$C$4:$C$19,$E377,'TECNICOS'!$D$4:$D$19,$D377,'TECNICOS'!$H$4:$H$19,"sí")</f>
        <v/>
      </c>
      <c r="G377" s="5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4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22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COUNTIFS('TECNICOS'!$F$4:$F$19,"sí",'TECNICOS'!$C$4:$C$19,$E378,'TECNICOS'!$D$4:$D$19,$D378,'TECNICOS'!$H$4:$H$19,"sí")</f>
        <v/>
      </c>
      <c r="G378" s="5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4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22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COUNTIFS('TECNICOS'!$F$4:$F$19,"sí",'TECNICOS'!$C$4:$C$19,$E379,'TECNICOS'!$D$4:$D$19,$D379,'TECNICOS'!$H$4:$H$19,"sí")</f>
        <v/>
      </c>
      <c r="G379" s="5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4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22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COUNTIFS('TECNICOS'!$F$4:$F$19,"sí",'TECNICOS'!$C$4:$C$19,$E380,'TECNICOS'!$D$4:$D$19,$D380,'TECNICOS'!$H$4:$H$19,"sí")</f>
        <v/>
      </c>
      <c r="G380" s="5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4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22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COUNTIFS('TECNICOS'!$F$4:$F$19,"sí",'TECNICOS'!$C$4:$C$19,$E381,'TECNICOS'!$D$4:$D$19,$D381,'TECNICOS'!$H$4:$H$19,"sí")</f>
        <v/>
      </c>
      <c r="G381" s="5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4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22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COUNTIFS('TECNICOS'!$F$4:$F$19,"sí",'TECNICOS'!$C$4:$C$19,$E382,'TECNICOS'!$D$4:$D$19,$D382,'TECNICOS'!$H$4:$H$19,"sí")</f>
        <v/>
      </c>
      <c r="G382" s="5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4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22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COUNTIFS('TECNICOS'!$F$4:$F$19,"sí",'TECNICOS'!$C$4:$C$19,$E383,'TECNICOS'!$D$4:$D$19,$D383,'TECNICOS'!$H$4:$H$19,"sí")</f>
        <v/>
      </c>
      <c r="G383" s="5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4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22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COUNTIFS('TECNICOS'!$F$4:$F$19,"sí",'TECNICOS'!$C$4:$C$19,$E384,'TECNICOS'!$D$4:$D$19,$D384,'TECNICOS'!$H$4:$H$19,"sí")</f>
        <v/>
      </c>
      <c r="G384" s="5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4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22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COUNTIFS('TECNICOS'!$F$4:$F$19,"sí",'TECNICOS'!$C$4:$C$19,$E385,'TECNICOS'!$D$4:$D$19,$D385,'TECNICOS'!$H$4:$H$19,"sí")</f>
        <v/>
      </c>
      <c r="G385" s="5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4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22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COUNTIFS('TECNICOS'!$F$4:$F$19,"sí",'TECNICOS'!$C$4:$C$19,$E386,'TECNICOS'!$D$4:$D$19,$D386,'TECNICOS'!$H$4:$H$19,"sí")</f>
        <v/>
      </c>
      <c r="G386" s="5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4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22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COUNTIFS('TECNICOS'!$F$4:$F$19,"sí",'TECNICOS'!$C$4:$C$19,$E387,'TECNICOS'!$D$4:$D$19,$D387,'TECNICOS'!$H$4:$H$19,"sí")</f>
        <v/>
      </c>
      <c r="G387" s="5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4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22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COUNTIFS('TECNICOS'!$F$4:$F$19,"sí",'TECNICOS'!$C$4:$C$19,$E388,'TECNICOS'!$D$4:$D$19,$D388,'TECNICOS'!$H$4:$H$19,"sí")</f>
        <v/>
      </c>
      <c r="G388" s="5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4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22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COUNTIFS('TECNICOS'!$F$4:$F$19,"sí",'TECNICOS'!$C$4:$C$19,$E389,'TECNICOS'!$D$4:$D$19,$D389,'TECNICOS'!$H$4:$H$19,"sí")</f>
        <v/>
      </c>
      <c r="G389" s="5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4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22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COUNTIFS('TECNICOS'!$F$4:$F$19,"sí",'TECNICOS'!$C$4:$C$19,$E390,'TECNICOS'!$D$4:$D$19,$D390,'TECNICOS'!$H$4:$H$19,"sí")</f>
        <v/>
      </c>
      <c r="G390" s="5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4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22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COUNTIFS('TECNICOS'!$F$4:$F$19,"sí",'TECNICOS'!$C$4:$C$19,$E391,'TECNICOS'!$D$4:$D$19,$D391,'TECNICOS'!$H$4:$H$19,"sí")</f>
        <v/>
      </c>
      <c r="G391" s="5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4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22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COUNTIFS('TECNICOS'!$F$4:$F$19,"sí",'TECNICOS'!$C$4:$C$19,$E392,'TECNICOS'!$D$4:$D$19,$D392,'TECNICOS'!$H$4:$H$19,"sí")</f>
        <v/>
      </c>
      <c r="G392" s="5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4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22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COUNTIFS('TECNICOS'!$F$4:$F$19,"sí",'TECNICOS'!$C$4:$C$19,$E393,'TECNICOS'!$D$4:$D$19,$D393,'TECNICOS'!$H$4:$H$19,"sí")</f>
        <v/>
      </c>
      <c r="G393" s="5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4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22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COUNTIFS('TECNICOS'!$F$4:$F$19,"sí",'TECNICOS'!$C$4:$C$19,$E394,'TECNICOS'!$D$4:$D$19,$D394,'TECNICOS'!$H$4:$H$19,"sí")</f>
        <v/>
      </c>
      <c r="G394" s="5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4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22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COUNTIFS('TECNICOS'!$F$4:$F$19,"sí",'TECNICOS'!$C$4:$C$19,$E395,'TECNICOS'!$D$4:$D$19,$D395,'TECNICOS'!$H$4:$H$19,"sí")</f>
        <v/>
      </c>
      <c r="G395" s="5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4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22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COUNTIFS('TECNICOS'!$F$4:$F$19,"sí",'TECNICOS'!$C$4:$C$19,$E396,'TECNICOS'!$D$4:$D$19,$D396,'TECNICOS'!$H$4:$H$19,"sí")</f>
        <v/>
      </c>
      <c r="G396" s="5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4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22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COUNTIFS('TECNICOS'!$F$4:$F$19,"sí",'TECNICOS'!$C$4:$C$19,$E397,'TECNICOS'!$D$4:$D$19,$D397,'TECNICOS'!$H$4:$H$19,"sí")</f>
        <v/>
      </c>
      <c r="G397" s="5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4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22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COUNTIFS('TECNICOS'!$F$4:$F$19,"sí",'TECNICOS'!$C$4:$C$19,$E398,'TECNICOS'!$D$4:$D$19,$D398,'TECNICOS'!$H$4:$H$19,"sí")</f>
        <v/>
      </c>
      <c r="G398" s="5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4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22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COUNTIFS('TECNICOS'!$F$4:$F$19,"sí",'TECNICOS'!$C$4:$C$19,$E399,'TECNICOS'!$D$4:$D$19,$D399,'TECNICOS'!$H$4:$H$19,"sí")</f>
        <v/>
      </c>
      <c r="G399" s="5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4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22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COUNTIFS('TECNICOS'!$F$4:$F$19,"sí",'TECNICOS'!$C$4:$C$19,$E400,'TECNICOS'!$D$4:$D$19,$D400,'TECNICOS'!$H$4:$H$19,"sí")</f>
        <v/>
      </c>
      <c r="G400" s="5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4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22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COUNTIFS('TECNICOS'!$F$4:$F$19,"sí",'TECNICOS'!$C$4:$C$19,$E401,'TECNICOS'!$D$4:$D$19,$D401,'TECNICOS'!$H$4:$H$19,"sí")</f>
        <v/>
      </c>
      <c r="G401" s="5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4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22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COUNTIFS('TECNICOS'!$F$4:$F$19,"sí",'TECNICOS'!$C$4:$C$19,$E402,'TECNICOS'!$D$4:$D$19,$D402,'TECNICOS'!$H$4:$H$19,"sí")</f>
        <v/>
      </c>
      <c r="G402" s="5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4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22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COUNTIFS('TECNICOS'!$F$4:$F$19,"sí",'TECNICOS'!$C$4:$C$19,$E403,'TECNICOS'!$D$4:$D$19,$D403,'TECNICOS'!$H$4:$H$19,"sí")</f>
        <v/>
      </c>
      <c r="G403" s="5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4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22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COUNTIFS('TECNICOS'!$F$4:$F$19,"sí",'TECNICOS'!$C$4:$C$19,$E404,'TECNICOS'!$D$4:$D$19,$D404,'TECNICOS'!$H$4:$H$19,"sí")</f>
        <v/>
      </c>
      <c r="G404" s="5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4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22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COUNTIFS('TECNICOS'!$F$4:$F$19,"sí",'TECNICOS'!$C$4:$C$19,$E405,'TECNICOS'!$D$4:$D$19,$D405,'TECNICOS'!$H$4:$H$19,"sí")</f>
        <v/>
      </c>
      <c r="G405" s="5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4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22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COUNTIFS('TECNICOS'!$F$4:$F$19,"sí",'TECNICOS'!$C$4:$C$19,$E406,'TECNICOS'!$D$4:$D$19,$D406,'TECNICOS'!$H$4:$H$19,"sí")</f>
        <v/>
      </c>
      <c r="G406" s="5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4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22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COUNTIFS('TECNICOS'!$F$4:$F$19,"sí",'TECNICOS'!$C$4:$C$19,$E407,'TECNICOS'!$D$4:$D$19,$D407,'TECNICOS'!$H$4:$H$19,"sí")</f>
        <v/>
      </c>
      <c r="G407" s="5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4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22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COUNTIFS('TECNICOS'!$F$4:$F$19,"sí",'TECNICOS'!$C$4:$C$19,$E408,'TECNICOS'!$D$4:$D$19,$D408,'TECNICOS'!$H$4:$H$19,"sí")</f>
        <v/>
      </c>
      <c r="G408" s="5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4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22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COUNTIFS('TECNICOS'!$F$4:$F$19,"sí",'TECNICOS'!$C$4:$C$19,$E409,'TECNICOS'!$D$4:$D$19,$D409,'TECNICOS'!$H$4:$H$19,"sí")</f>
        <v/>
      </c>
      <c r="G409" s="5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4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22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COUNTIFS('TECNICOS'!$F$4:$F$19,"sí",'TECNICOS'!$C$4:$C$19,$E410,'TECNICOS'!$D$4:$D$19,$D410,'TECNICOS'!$H$4:$H$19,"sí")</f>
        <v/>
      </c>
      <c r="G410" s="5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4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22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COUNTIFS('TECNICOS'!$F$4:$F$19,"sí",'TECNICOS'!$C$4:$C$19,$E411,'TECNICOS'!$D$4:$D$19,$D411,'TECNICOS'!$H$4:$H$19,"sí")</f>
        <v/>
      </c>
      <c r="G411" s="5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4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22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COUNTIFS('TECNICOS'!$F$4:$F$19,"sí",'TECNICOS'!$C$4:$C$19,$E412,'TECNICOS'!$D$4:$D$19,$D412,'TECNICOS'!$H$4:$H$19,"sí")</f>
        <v/>
      </c>
      <c r="G412" s="5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4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22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COUNTIFS('TECNICOS'!$F$4:$F$19,"sí",'TECNICOS'!$C$4:$C$19,$E413,'TECNICOS'!$D$4:$D$19,$D413,'TECNICOS'!$H$4:$H$19,"sí")</f>
        <v/>
      </c>
      <c r="G413" s="5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4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22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COUNTIFS('TECNICOS'!$F$4:$F$19,"sí",'TECNICOS'!$C$4:$C$19,$E414,'TECNICOS'!$D$4:$D$19,$D414,'TECNICOS'!$H$4:$H$19,"sí")</f>
        <v/>
      </c>
      <c r="G414" s="5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4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22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COUNTIFS('TECNICOS'!$F$4:$F$19,"sí",'TECNICOS'!$C$4:$C$19,$E415,'TECNICOS'!$D$4:$D$19,$D415,'TECNICOS'!$H$4:$H$19,"sí")</f>
        <v/>
      </c>
      <c r="G415" s="5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4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22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COUNTIFS('TECNICOS'!$F$4:$F$19,"sí",'TECNICOS'!$C$4:$C$19,$E416,'TECNICOS'!$D$4:$D$19,$D416,'TECNICOS'!$H$4:$H$19,"sí")</f>
        <v/>
      </c>
      <c r="G416" s="5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4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22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COUNTIFS('TECNICOS'!$F$4:$F$19,"sí",'TECNICOS'!$C$4:$C$19,$E417,'TECNICOS'!$D$4:$D$19,$D417,'TECNICOS'!$H$4:$H$19,"sí")</f>
        <v/>
      </c>
      <c r="G417" s="5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4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22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COUNTIFS('TECNICOS'!$F$4:$F$19,"sí",'TECNICOS'!$C$4:$C$19,$E418,'TECNICOS'!$D$4:$D$19,$D418,'TECNICOS'!$H$4:$H$19,"sí")</f>
        <v/>
      </c>
      <c r="G418" s="5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4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22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COUNTIFS('TECNICOS'!$F$4:$F$19,"sí",'TECNICOS'!$C$4:$C$19,$E419,'TECNICOS'!$D$4:$D$19,$D419,'TECNICOS'!$H$4:$H$19,"sí")</f>
        <v/>
      </c>
      <c r="G419" s="5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4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22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COUNTIFS('TECNICOS'!$F$4:$F$19,"sí",'TECNICOS'!$C$4:$C$19,$E420,'TECNICOS'!$D$4:$D$19,$D420,'TECNICOS'!$H$4:$H$19,"sí")</f>
        <v/>
      </c>
      <c r="G420" s="5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4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22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COUNTIFS('TECNICOS'!$F$4:$F$19,"sí",'TECNICOS'!$C$4:$C$19,$E421,'TECNICOS'!$D$4:$D$19,$D421,'TECNICOS'!$H$4:$H$19,"sí")</f>
        <v/>
      </c>
      <c r="G421" s="5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4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22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COUNTIFS('TECNICOS'!$F$4:$F$19,"sí",'TECNICOS'!$C$4:$C$19,$E422,'TECNICOS'!$D$4:$D$19,$D422,'TECNICOS'!$H$4:$H$19,"sí")</f>
        <v/>
      </c>
      <c r="G422" s="5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4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22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COUNTIFS('TECNICOS'!$F$4:$F$19,"sí",'TECNICOS'!$C$4:$C$19,$E423,'TECNICOS'!$D$4:$D$19,$D423,'TECNICOS'!$H$4:$H$19,"sí")</f>
        <v/>
      </c>
      <c r="G423" s="5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4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22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COUNTIFS('TECNICOS'!$F$4:$F$19,"sí",'TECNICOS'!$C$4:$C$19,$E424,'TECNICOS'!$D$4:$D$19,$D424,'TECNICOS'!$H$4:$H$19,"sí")</f>
        <v/>
      </c>
      <c r="G424" s="5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4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22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COUNTIFS('TECNICOS'!$F$4:$F$19,"sí",'TECNICOS'!$C$4:$C$19,$E425,'TECNICOS'!$D$4:$D$19,$D425,'TECNICOS'!$H$4:$H$19,"sí")</f>
        <v/>
      </c>
      <c r="G425" s="5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4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22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COUNTIFS('TECNICOS'!$F$4:$F$19,"sí",'TECNICOS'!$C$4:$C$19,$E426,'TECNICOS'!$D$4:$D$19,$D426,'TECNICOS'!$H$4:$H$19,"sí")</f>
        <v/>
      </c>
      <c r="G426" s="5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4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22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COUNTIFS('TECNICOS'!$F$4:$F$19,"sí",'TECNICOS'!$C$4:$C$19,$E427,'TECNICOS'!$D$4:$D$19,$D427,'TECNICOS'!$H$4:$H$19,"sí")</f>
        <v/>
      </c>
      <c r="G427" s="5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4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22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COUNTIFS('TECNICOS'!$F$4:$F$19,"sí",'TECNICOS'!$C$4:$C$19,$E428,'TECNICOS'!$D$4:$D$19,$D428,'TECNICOS'!$H$4:$H$19,"sí")</f>
        <v/>
      </c>
      <c r="G428" s="5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4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22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COUNTIFS('TECNICOS'!$F$4:$F$19,"sí",'TECNICOS'!$C$4:$C$19,$E429,'TECNICOS'!$D$4:$D$19,$D429,'TECNICOS'!$H$4:$H$19,"sí")</f>
        <v/>
      </c>
      <c r="G429" s="5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4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22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COUNTIFS('TECNICOS'!$F$4:$F$19,"sí",'TECNICOS'!$C$4:$C$19,$E430,'TECNICOS'!$D$4:$D$19,$D430,'TECNICOS'!$H$4:$H$19,"sí")</f>
        <v/>
      </c>
      <c r="G430" s="5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4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22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COUNTIFS('TECNICOS'!$F$4:$F$19,"sí",'TECNICOS'!$C$4:$C$19,$E431,'TECNICOS'!$D$4:$D$19,$D431,'TECNICOS'!$H$4:$H$19,"sí")</f>
        <v/>
      </c>
      <c r="G431" s="5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4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22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COUNTIFS('TECNICOS'!$F$4:$F$19,"sí",'TECNICOS'!$C$4:$C$19,$E432,'TECNICOS'!$D$4:$D$19,$D432,'TECNICOS'!$H$4:$H$19,"sí")</f>
        <v/>
      </c>
      <c r="G432" s="5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4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22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COUNTIFS('TECNICOS'!$F$4:$F$19,"sí",'TECNICOS'!$C$4:$C$19,$E433,'TECNICOS'!$D$4:$D$19,$D433,'TECNICOS'!$H$4:$H$19,"sí")</f>
        <v/>
      </c>
      <c r="G433" s="5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4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22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COUNTIFS('TECNICOS'!$F$4:$F$19,"sí",'TECNICOS'!$C$4:$C$19,$E434,'TECNICOS'!$D$4:$D$19,$D434,'TECNICOS'!$H$4:$H$19,"sí")</f>
        <v/>
      </c>
      <c r="G434" s="5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4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22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COUNTIFS('TECNICOS'!$F$4:$F$19,"sí",'TECNICOS'!$C$4:$C$19,$E435,'TECNICOS'!$D$4:$D$19,$D435,'TECNICOS'!$H$4:$H$19,"sí")</f>
        <v/>
      </c>
      <c r="G435" s="5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4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22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COUNTIFS('TECNICOS'!$F$4:$F$19,"sí",'TECNICOS'!$C$4:$C$19,$E436,'TECNICOS'!$D$4:$D$19,$D436,'TECNICOS'!$H$4:$H$19,"sí")</f>
        <v/>
      </c>
      <c r="G436" s="5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4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22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COUNTIFS('TECNICOS'!$F$4:$F$19,"sí",'TECNICOS'!$C$4:$C$19,$E437,'TECNICOS'!$D$4:$D$19,$D437,'TECNICOS'!$H$4:$H$19,"sí")</f>
        <v/>
      </c>
      <c r="G437" s="5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4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22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COUNTIFS('TECNICOS'!$F$4:$F$19,"sí",'TECNICOS'!$C$4:$C$19,$E438,'TECNICOS'!$D$4:$D$19,$D438,'TECNICOS'!$H$4:$H$19,"sí")</f>
        <v/>
      </c>
      <c r="G438" s="5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4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22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COUNTIFS('TECNICOS'!$F$4:$F$19,"sí",'TECNICOS'!$C$4:$C$19,$E439,'TECNICOS'!$D$4:$D$19,$D439,'TECNICOS'!$H$4:$H$19,"sí")</f>
        <v/>
      </c>
      <c r="G439" s="5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4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22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COUNTIFS('TECNICOS'!$F$4:$F$19,"sí",'TECNICOS'!$C$4:$C$19,$E440,'TECNICOS'!$D$4:$D$19,$D440,'TECNICOS'!$H$4:$H$19,"sí")</f>
        <v/>
      </c>
      <c r="G440" s="5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4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22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COUNTIFS('TECNICOS'!$F$4:$F$19,"sí",'TECNICOS'!$C$4:$C$19,$E441,'TECNICOS'!$D$4:$D$19,$D441,'TECNICOS'!$H$4:$H$19,"sí")</f>
        <v/>
      </c>
      <c r="G441" s="5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4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22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COUNTIFS('TECNICOS'!$F$4:$F$19,"sí",'TECNICOS'!$C$4:$C$19,$E442,'TECNICOS'!$D$4:$D$19,$D442,'TECNICOS'!$H$4:$H$19,"sí")</f>
        <v/>
      </c>
      <c r="G442" s="5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4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22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COUNTIFS('TECNICOS'!$F$4:$F$19,"sí",'TECNICOS'!$C$4:$C$19,$E443,'TECNICOS'!$D$4:$D$19,$D443,'TECNICOS'!$H$4:$H$19,"sí")</f>
        <v/>
      </c>
      <c r="G443" s="5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4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22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COUNTIFS('TECNICOS'!$F$4:$F$19,"sí",'TECNICOS'!$C$4:$C$19,$E444,'TECNICOS'!$D$4:$D$19,$D444,'TECNICOS'!$H$4:$H$19,"sí")</f>
        <v/>
      </c>
      <c r="G444" s="5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4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22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COUNTIFS('TECNICOS'!$F$4:$F$19,"sí",'TECNICOS'!$C$4:$C$19,$E445,'TECNICOS'!$D$4:$D$19,$D445,'TECNICOS'!$H$4:$H$19,"sí")</f>
        <v/>
      </c>
      <c r="G445" s="5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4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22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COUNTIFS('TECNICOS'!$F$4:$F$19,"sí",'TECNICOS'!$C$4:$C$19,$E446,'TECNICOS'!$D$4:$D$19,$D446,'TECNICOS'!$H$4:$H$19,"sí")</f>
        <v/>
      </c>
      <c r="G446" s="5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4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22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COUNTIFS('TECNICOS'!$F$4:$F$19,"sí",'TECNICOS'!$C$4:$C$19,$E447,'TECNICOS'!$D$4:$D$19,$D447,'TECNICOS'!$H$4:$H$19,"sí")</f>
        <v/>
      </c>
      <c r="G447" s="5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4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22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COUNTIFS('TECNICOS'!$F$4:$F$19,"sí",'TECNICOS'!$C$4:$C$19,$E448,'TECNICOS'!$D$4:$D$19,$D448,'TECNICOS'!$H$4:$H$19,"sí")</f>
        <v/>
      </c>
      <c r="G448" s="5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4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22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COUNTIFS('TECNICOS'!$F$4:$F$19,"sí",'TECNICOS'!$C$4:$C$19,$E449,'TECNICOS'!$D$4:$D$19,$D449,'TECNICOS'!$H$4:$H$19,"sí")</f>
        <v/>
      </c>
      <c r="G449" s="5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4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22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COUNTIFS('TECNICOS'!$F$4:$F$19,"sí",'TECNICOS'!$C$4:$C$19,$E450,'TECNICOS'!$D$4:$D$19,$D450,'TECNICOS'!$H$4:$H$19,"sí")</f>
        <v/>
      </c>
      <c r="G450" s="5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4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22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COUNTIFS('TECNICOS'!$F$4:$F$19,"sí",'TECNICOS'!$C$4:$C$19,$E451,'TECNICOS'!$D$4:$D$19,$D451,'TECNICOS'!$H$4:$H$19,"sí")</f>
        <v/>
      </c>
      <c r="G451" s="5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4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22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15" t="inlineStr">
        <is>
          <t>id_operacion</t>
        </is>
      </c>
      <c r="B3" s="15" t="inlineStr">
        <is>
          <t>horas_ajustadas</t>
        </is>
      </c>
      <c r="C3" s="15" t="inlineStr">
        <is>
          <t>motivo</t>
        </is>
      </c>
      <c r="D3" s="15" t="inlineStr">
        <is>
          <t>fecha_ajuste</t>
        </is>
      </c>
      <c r="E3" s="15" t="inlineStr">
        <is>
          <t>descripcion</t>
        </is>
      </c>
      <c r="F3" s="15" t="inlineStr">
        <is>
          <t>estado_ajuste</t>
        </is>
      </c>
      <c r="G3" s="15" t="inlineStr">
        <is>
          <t>desviacion_h</t>
        </is>
      </c>
    </row>
    <row r="4">
      <c r="A4" s="4" t="inlineStr">
        <is>
          <t>OT-0000130010</t>
        </is>
      </c>
      <c r="B4" s="26" t="n">
        <v>12</v>
      </c>
      <c r="C4" s="4" t="inlineStr">
        <is>
          <t>Alcance real mayor al estándar del ERP</t>
        </is>
      </c>
      <c r="D4" s="27" t="n">
        <v>46230</v>
      </c>
      <c r="E4" s="5">
        <f>IF($A4="","",IFERROR(INDEX('ORDENES'!$D$4:$D$1203,MATCH($A4,'ORDENES'!$AT$4:$AT$1203,0)),"(no encontrada)"))</f>
        <v/>
      </c>
      <c r="F4" s="5">
        <f>IF($A4="","",IF(ISNA(MATCH($A4,'ORDENES'!$AT$4:$AT$1203,0)),"huérfano",IF(COUNTIF($A$4:$A4,$A4)&gt;1,"duplicado (se ignora)","aplicado")))</f>
        <v/>
      </c>
      <c r="G4" s="28">
        <f>IF($F4&lt;&gt;"aplicado","",IF(IFERROR(INDEX('ORDENES'!$K$4:$K$1203,MATCH($A4,'ORDENES'!$AT$4:$AT$1203,0)),"")="","",$B4-IFERROR(INDEX('ORDENES'!$K$4:$K$1203,MATCH($A4,'ORDENES'!$AT$4:$AT$1203,0)),"")))</f>
        <v/>
      </c>
    </row>
    <row r="5">
      <c r="A5" s="4" t="inlineStr">
        <is>
          <t>OT-0000590010</t>
        </is>
      </c>
      <c r="B5" s="26" t="n">
        <v>4</v>
      </c>
      <c r="C5" s="4" t="inlineStr">
        <is>
          <t>Alcance menor: tarea parcial</t>
        </is>
      </c>
      <c r="D5" s="27" t="n">
        <v>46230</v>
      </c>
      <c r="E5" s="5">
        <f>IF($A5="","",IFERROR(INDEX('ORDENES'!$D$4:$D$1203,MATCH($A5,'ORDENES'!$AT$4:$AT$1203,0)),"(no encontrada)"))</f>
        <v/>
      </c>
      <c r="F5" s="5">
        <f>IF($A5="","",IF(ISNA(MATCH($A5,'ORDENES'!$AT$4:$AT$1203,0)),"huérfano",IF(COUNTIF($A$4:$A5,$A5)&gt;1,"duplicado (se ignora)","aplicado")))</f>
        <v/>
      </c>
      <c r="G5" s="28">
        <f>IF($F5&lt;&gt;"aplicado","",IF(IFERROR(INDEX('ORDENES'!$K$4:$K$1203,MATCH($A5,'ORDENES'!$AT$4:$AT$1203,0)),"")="","",$B5-IFERROR(INDEX('ORDENES'!$K$4:$K$1203,MATCH($A5,'ORDENES'!$AT$4:$AT$1203,0)),"")))</f>
        <v/>
      </c>
    </row>
    <row r="6">
      <c r="A6" s="4" t="inlineStr">
        <is>
          <t>OT-0000130010</t>
        </is>
      </c>
      <c r="B6" s="26" t="n">
        <v>14</v>
      </c>
      <c r="C6" s="4" t="inlineStr">
        <is>
          <t>Duplicado (demo): se ignora, gana la primera fila</t>
        </is>
      </c>
      <c r="D6" s="27" t="n">
        <v>46230</v>
      </c>
      <c r="E6" s="5">
        <f>IF($A6="","",IFERROR(INDEX('ORDENES'!$D$4:$D$1203,MATCH($A6,'ORDENES'!$AT$4:$AT$1203,0)),"(no encontrada)"))</f>
        <v/>
      </c>
      <c r="F6" s="5">
        <f>IF($A6="","",IF(ISNA(MATCH($A6,'ORDENES'!$AT$4:$AT$1203,0)),"huérfano",IF(COUNTIF($A$4:$A6,$A6)&gt;1,"duplicado (se ignora)","aplicado")))</f>
        <v/>
      </c>
      <c r="G6" s="28">
        <f>IF($F6&lt;&gt;"aplicado","",IF(IFERROR(INDEX('ORDENES'!$K$4:$K$1203,MATCH($A6,'ORDENES'!$AT$4:$AT$1203,0)),"")="","",$B6-IFERROR(INDEX('ORDENES'!$K$4:$K$1203,MATCH($A6,'ORDENES'!$AT$4:$AT$1203,0)),"")))</f>
        <v/>
      </c>
    </row>
    <row r="7">
      <c r="A7" s="4" t="inlineStr">
        <is>
          <t>OT-0009990010</t>
        </is>
      </c>
      <c r="B7" s="26" t="n">
        <v>6</v>
      </c>
      <c r="C7" s="4" t="inlineStr">
        <is>
          <t>Huérfano (demo): la orden no existe en ORDENES</t>
        </is>
      </c>
      <c r="D7" s="27" t="n">
        <v>46230</v>
      </c>
      <c r="E7" s="5">
        <f>IF($A7="","",IFERROR(INDEX('ORDENES'!$D$4:$D$1203,MATCH($A7,'ORDENES'!$AT$4:$AT$1203,0)),"(no encontrada)"))</f>
        <v/>
      </c>
      <c r="F7" s="5">
        <f>IF($A7="","",IF(ISNA(MATCH($A7,'ORDENES'!$AT$4:$AT$1203,0)),"huérfano",IF(COUNTIF($A$4:$A7,$A7)&gt;1,"duplicado (se ignora)","aplicado")))</f>
        <v/>
      </c>
      <c r="G7" s="28">
        <f>IF($F7&lt;&gt;"aplicado","",IF(IFERROR(INDEX('ORDENES'!$K$4:$K$1203,MATCH($A7,'ORDENES'!$AT$4:$AT$1203,0)),"")="","",$B7-IFERROR(INDEX('ORDENES'!$K$4:$K$1203,MATCH($A7,'ORDENES'!$AT$4:$AT$1203,0)),"")))</f>
        <v/>
      </c>
    </row>
    <row r="8">
      <c r="A8" s="4" t="n"/>
      <c r="B8" s="26" t="n"/>
      <c r="C8" s="4" t="n"/>
      <c r="D8" s="27" t="n"/>
      <c r="E8" s="5">
        <f>IF($A8="","",IFERROR(INDEX('ORDENES'!$D$4:$D$1203,MATCH($A8,'ORDENES'!$AT$4:$AT$1203,0)),"(no encontrada)"))</f>
        <v/>
      </c>
      <c r="F8" s="5">
        <f>IF($A8="","",IF(ISNA(MATCH($A8,'ORDENES'!$AT$4:$AT$1203,0)),"huérfano",IF(COUNTIF($A$4:$A8,$A8)&gt;1,"duplicado (se ignora)","aplicado")))</f>
        <v/>
      </c>
      <c r="G8" s="28">
        <f>IF($F8&lt;&gt;"aplicado","",IF(IFERROR(INDEX('ORDENES'!$K$4:$K$1203,MATCH($A8,'ORDENES'!$AT$4:$AT$1203,0)),"")="","",$B8-IFERROR(INDEX('ORDENES'!$K$4:$K$1203,MATCH($A8,'ORDENES'!$AT$4:$AT$1203,0)),"")))</f>
        <v/>
      </c>
    </row>
    <row r="9">
      <c r="A9" s="4" t="n"/>
      <c r="B9" s="26" t="n"/>
      <c r="C9" s="4" t="n"/>
      <c r="D9" s="27" t="n"/>
      <c r="E9" s="5">
        <f>IF($A9="","",IFERROR(INDEX('ORDENES'!$D$4:$D$1203,MATCH($A9,'ORDENES'!$AT$4:$AT$1203,0)),"(no encontrada)"))</f>
        <v/>
      </c>
      <c r="F9" s="5">
        <f>IF($A9="","",IF(ISNA(MATCH($A9,'ORDENES'!$AT$4:$AT$1203,0)),"huérfano",IF(COUNTIF($A$4:$A9,$A9)&gt;1,"duplicado (se ignora)","aplicado")))</f>
        <v/>
      </c>
      <c r="G9" s="28">
        <f>IF($F9&lt;&gt;"aplicado","",IF(IFERROR(INDEX('ORDENES'!$K$4:$K$1203,MATCH($A9,'ORDENES'!$AT$4:$AT$1203,0)),"")="","",$B9-IFERROR(INDEX('ORDENES'!$K$4:$K$1203,MATCH($A9,'ORDENES'!$AT$4:$AT$1203,0)),"")))</f>
        <v/>
      </c>
    </row>
    <row r="10">
      <c r="A10" s="4" t="n"/>
      <c r="B10" s="26" t="n"/>
      <c r="C10" s="4" t="n"/>
      <c r="D10" s="27" t="n"/>
      <c r="E10" s="5">
        <f>IF($A10="","",IFERROR(INDEX('ORDENES'!$D$4:$D$1203,MATCH($A10,'ORDENES'!$AT$4:$AT$1203,0)),"(no encontrada)"))</f>
        <v/>
      </c>
      <c r="F10" s="5">
        <f>IF($A10="","",IF(ISNA(MATCH($A10,'ORDENES'!$AT$4:$AT$1203,0)),"huérfano",IF(COUNTIF($A$4:$A10,$A10)&gt;1,"duplicado (se ignora)","aplicado")))</f>
        <v/>
      </c>
      <c r="G10" s="28">
        <f>IF($F10&lt;&gt;"aplicado","",IF(IFERROR(INDEX('ORDENES'!$K$4:$K$1203,MATCH($A10,'ORDENES'!$AT$4:$AT$1203,0)),"")="","",$B10-IFERROR(INDEX('ORDENES'!$K$4:$K$1203,MATCH($A10,'ORDENES'!$AT$4:$AT$1203,0)),"")))</f>
        <v/>
      </c>
    </row>
    <row r="11">
      <c r="A11" s="4" t="n"/>
      <c r="B11" s="26" t="n"/>
      <c r="C11" s="4" t="n"/>
      <c r="D11" s="27" t="n"/>
      <c r="E11" s="5">
        <f>IF($A11="","",IFERROR(INDEX('ORDENES'!$D$4:$D$1203,MATCH($A11,'ORDENES'!$AT$4:$AT$1203,0)),"(no encontrada)"))</f>
        <v/>
      </c>
      <c r="F11" s="5">
        <f>IF($A11="","",IF(ISNA(MATCH($A11,'ORDENES'!$AT$4:$AT$1203,0)),"huérfano",IF(COUNTIF($A$4:$A11,$A11)&gt;1,"duplicado (se ignora)","aplicado")))</f>
        <v/>
      </c>
      <c r="G11" s="28">
        <f>IF($F11&lt;&gt;"aplicado","",IF(IFERROR(INDEX('ORDENES'!$K$4:$K$1203,MATCH($A11,'ORDENES'!$AT$4:$AT$1203,0)),"")="","",$B11-IFERROR(INDEX('ORDENES'!$K$4:$K$1203,MATCH($A11,'ORDENES'!$AT$4:$AT$1203,0)),"")))</f>
        <v/>
      </c>
    </row>
    <row r="12">
      <c r="A12" s="4" t="n"/>
      <c r="B12" s="26" t="n"/>
      <c r="C12" s="4" t="n"/>
      <c r="D12" s="27" t="n"/>
      <c r="E12" s="5">
        <f>IF($A12="","",IFERROR(INDEX('ORDENES'!$D$4:$D$1203,MATCH($A12,'ORDENES'!$AT$4:$AT$1203,0)),"(no encontrada)"))</f>
        <v/>
      </c>
      <c r="F12" s="5">
        <f>IF($A12="","",IF(ISNA(MATCH($A12,'ORDENES'!$AT$4:$AT$1203,0)),"huérfano",IF(COUNTIF($A$4:$A12,$A12)&gt;1,"duplicado (se ignora)","aplicado")))</f>
        <v/>
      </c>
      <c r="G12" s="28">
        <f>IF($F12&lt;&gt;"aplicado","",IF(IFERROR(INDEX('ORDENES'!$K$4:$K$1203,MATCH($A12,'ORDENES'!$AT$4:$AT$1203,0)),"")="","",$B12-IFERROR(INDEX('ORDENES'!$K$4:$K$1203,MATCH($A12,'ORDENES'!$AT$4:$AT$1203,0)),"")))</f>
        <v/>
      </c>
    </row>
    <row r="13">
      <c r="A13" s="4" t="n"/>
      <c r="B13" s="26" t="n"/>
      <c r="C13" s="4" t="n"/>
      <c r="D13" s="27" t="n"/>
      <c r="E13" s="5">
        <f>IF($A13="","",IFERROR(INDEX('ORDENES'!$D$4:$D$1203,MATCH($A13,'ORDENES'!$AT$4:$AT$1203,0)),"(no encontrada)"))</f>
        <v/>
      </c>
      <c r="F13" s="5">
        <f>IF($A13="","",IF(ISNA(MATCH($A13,'ORDENES'!$AT$4:$AT$1203,0)),"huérfano",IF(COUNTIF($A$4:$A13,$A13)&gt;1,"duplicado (se ignora)","aplicado")))</f>
        <v/>
      </c>
      <c r="G13" s="28">
        <f>IF($F13&lt;&gt;"aplicado","",IF(IFERROR(INDEX('ORDENES'!$K$4:$K$1203,MATCH($A13,'ORDENES'!$AT$4:$AT$1203,0)),"")="","",$B13-IFERROR(INDEX('ORDENES'!$K$4:$K$1203,MATCH($A13,'ORDENES'!$AT$4:$AT$1203,0)),"")))</f>
        <v/>
      </c>
    </row>
    <row r="14">
      <c r="A14" s="4" t="n"/>
      <c r="B14" s="26" t="n"/>
      <c r="C14" s="4" t="n"/>
      <c r="D14" s="27" t="n"/>
      <c r="E14" s="5">
        <f>IF($A14="","",IFERROR(INDEX('ORDENES'!$D$4:$D$1203,MATCH($A14,'ORDENES'!$AT$4:$AT$1203,0)),"(no encontrada)"))</f>
        <v/>
      </c>
      <c r="F14" s="5">
        <f>IF($A14="","",IF(ISNA(MATCH($A14,'ORDENES'!$AT$4:$AT$1203,0)),"huérfano",IF(COUNTIF($A$4:$A14,$A14)&gt;1,"duplicado (se ignora)","aplicado")))</f>
        <v/>
      </c>
      <c r="G14" s="28">
        <f>IF($F14&lt;&gt;"aplicado","",IF(IFERROR(INDEX('ORDENES'!$K$4:$K$1203,MATCH($A14,'ORDENES'!$AT$4:$AT$1203,0)),"")="","",$B14-IFERROR(INDEX('ORDENES'!$K$4:$K$1203,MATCH($A14,'ORDENES'!$AT$4:$AT$1203,0)),"")))</f>
        <v/>
      </c>
    </row>
    <row r="15">
      <c r="A15" s="4" t="n"/>
      <c r="B15" s="26" t="n"/>
      <c r="C15" s="4" t="n"/>
      <c r="D15" s="27" t="n"/>
      <c r="E15" s="5">
        <f>IF($A15="","",IFERROR(INDEX('ORDENES'!$D$4:$D$1203,MATCH($A15,'ORDENES'!$AT$4:$AT$1203,0)),"(no encontrada)"))</f>
        <v/>
      </c>
      <c r="F15" s="5">
        <f>IF($A15="","",IF(ISNA(MATCH($A15,'ORDENES'!$AT$4:$AT$1203,0)),"huérfano",IF(COUNTIF($A$4:$A15,$A15)&gt;1,"duplicado (se ignora)","aplicado")))</f>
        <v/>
      </c>
      <c r="G15" s="28">
        <f>IF($F15&lt;&gt;"aplicado","",IF(IFERROR(INDEX('ORDENES'!$K$4:$K$1203,MATCH($A15,'ORDENES'!$AT$4:$AT$1203,0)),"")="","",$B15-IFERROR(INDEX('ORDENES'!$K$4:$K$1203,MATCH($A15,'ORDENES'!$AT$4:$AT$1203,0)),"")))</f>
        <v/>
      </c>
    </row>
    <row r="16">
      <c r="A16" s="4" t="n"/>
      <c r="B16" s="26" t="n"/>
      <c r="C16" s="4" t="n"/>
      <c r="D16" s="27" t="n"/>
      <c r="E16" s="5">
        <f>IF($A16="","",IFERROR(INDEX('ORDENES'!$D$4:$D$1203,MATCH($A16,'ORDENES'!$AT$4:$AT$1203,0)),"(no encontrada)"))</f>
        <v/>
      </c>
      <c r="F16" s="5">
        <f>IF($A16="","",IF(ISNA(MATCH($A16,'ORDENES'!$AT$4:$AT$1203,0)),"huérfano",IF(COUNTIF($A$4:$A16,$A16)&gt;1,"duplicado (se ignora)","aplicado")))</f>
        <v/>
      </c>
      <c r="G16" s="28">
        <f>IF($F16&lt;&gt;"aplicado","",IF(IFERROR(INDEX('ORDENES'!$K$4:$K$1203,MATCH($A16,'ORDENES'!$AT$4:$AT$1203,0)),"")="","",$B16-IFERROR(INDEX('ORDENES'!$K$4:$K$1203,MATCH($A16,'ORDENES'!$AT$4:$AT$1203,0)),"")))</f>
        <v/>
      </c>
    </row>
    <row r="17">
      <c r="A17" s="4" t="n"/>
      <c r="B17" s="26" t="n"/>
      <c r="C17" s="4" t="n"/>
      <c r="D17" s="27" t="n"/>
      <c r="E17" s="5">
        <f>IF($A17="","",IFERROR(INDEX('ORDENES'!$D$4:$D$1203,MATCH($A17,'ORDENES'!$AT$4:$AT$1203,0)),"(no encontrada)"))</f>
        <v/>
      </c>
      <c r="F17" s="5">
        <f>IF($A17="","",IF(ISNA(MATCH($A17,'ORDENES'!$AT$4:$AT$1203,0)),"huérfano",IF(COUNTIF($A$4:$A17,$A17)&gt;1,"duplicado (se ignora)","aplicado")))</f>
        <v/>
      </c>
      <c r="G17" s="28">
        <f>IF($F17&lt;&gt;"aplicado","",IF(IFERROR(INDEX('ORDENES'!$K$4:$K$1203,MATCH($A17,'ORDENES'!$AT$4:$AT$1203,0)),"")="","",$B17-IFERROR(INDEX('ORDENES'!$K$4:$K$1203,MATCH($A17,'ORDENES'!$AT$4:$AT$1203,0)),"")))</f>
        <v/>
      </c>
    </row>
    <row r="18">
      <c r="A18" s="4" t="n"/>
      <c r="B18" s="26" t="n"/>
      <c r="C18" s="4" t="n"/>
      <c r="D18" s="27" t="n"/>
      <c r="E18" s="5">
        <f>IF($A18="","",IFERROR(INDEX('ORDENES'!$D$4:$D$1203,MATCH($A18,'ORDENES'!$AT$4:$AT$1203,0)),"(no encontrada)"))</f>
        <v/>
      </c>
      <c r="F18" s="5">
        <f>IF($A18="","",IF(ISNA(MATCH($A18,'ORDENES'!$AT$4:$AT$1203,0)),"huérfano",IF(COUNTIF($A$4:$A18,$A18)&gt;1,"duplicado (se ignora)","aplicado")))</f>
        <v/>
      </c>
      <c r="G18" s="28">
        <f>IF($F18&lt;&gt;"aplicado","",IF(IFERROR(INDEX('ORDENES'!$K$4:$K$1203,MATCH($A18,'ORDENES'!$AT$4:$AT$1203,0)),"")="","",$B18-IFERROR(INDEX('ORDENES'!$K$4:$K$1203,MATCH($A18,'ORDENES'!$AT$4:$AT$1203,0)),"")))</f>
        <v/>
      </c>
    </row>
    <row r="19">
      <c r="A19" s="4" t="n"/>
      <c r="B19" s="26" t="n"/>
      <c r="C19" s="4" t="n"/>
      <c r="D19" s="27" t="n"/>
      <c r="E19" s="5">
        <f>IF($A19="","",IFERROR(INDEX('ORDENES'!$D$4:$D$1203,MATCH($A19,'ORDENES'!$AT$4:$AT$1203,0)),"(no encontrada)"))</f>
        <v/>
      </c>
      <c r="F19" s="5">
        <f>IF($A19="","",IF(ISNA(MATCH($A19,'ORDENES'!$AT$4:$AT$1203,0)),"huérfano",IF(COUNTIF($A$4:$A19,$A19)&gt;1,"duplicado (se ignora)","aplicado")))</f>
        <v/>
      </c>
      <c r="G19" s="28">
        <f>IF($F19&lt;&gt;"aplicado","",IF(IFERROR(INDEX('ORDENES'!$K$4:$K$1203,MATCH($A19,'ORDENES'!$AT$4:$AT$1203,0)),"")="","",$B19-IFERROR(INDEX('ORDENES'!$K$4:$K$1203,MATCH($A19,'ORDENES'!$AT$4:$AT$1203,0)),"")))</f>
        <v/>
      </c>
    </row>
    <row r="20">
      <c r="A20" s="4" t="n"/>
      <c r="B20" s="26" t="n"/>
      <c r="C20" s="4" t="n"/>
      <c r="D20" s="27" t="n"/>
      <c r="E20" s="5">
        <f>IF($A20="","",IFERROR(INDEX('ORDENES'!$D$4:$D$1203,MATCH($A20,'ORDENES'!$AT$4:$AT$1203,0)),"(no encontrada)"))</f>
        <v/>
      </c>
      <c r="F20" s="5">
        <f>IF($A20="","",IF(ISNA(MATCH($A20,'ORDENES'!$AT$4:$AT$1203,0)),"huérfano",IF(COUNTIF($A$4:$A20,$A20)&gt;1,"duplicado (se ignora)","aplicado")))</f>
        <v/>
      </c>
      <c r="G20" s="28">
        <f>IF($F20&lt;&gt;"aplicado","",IF(IFERROR(INDEX('ORDENES'!$K$4:$K$1203,MATCH($A20,'ORDENES'!$AT$4:$AT$1203,0)),"")="","",$B20-IFERROR(INDEX('ORDENES'!$K$4:$K$1203,MATCH($A20,'ORDENES'!$AT$4:$AT$1203,0)),"")))</f>
        <v/>
      </c>
    </row>
    <row r="21">
      <c r="A21" s="4" t="n"/>
      <c r="B21" s="26" t="n"/>
      <c r="C21" s="4" t="n"/>
      <c r="D21" s="27" t="n"/>
      <c r="E21" s="5">
        <f>IF($A21="","",IFERROR(INDEX('ORDENES'!$D$4:$D$1203,MATCH($A21,'ORDENES'!$AT$4:$AT$1203,0)),"(no encontrada)"))</f>
        <v/>
      </c>
      <c r="F21" s="5">
        <f>IF($A21="","",IF(ISNA(MATCH($A21,'ORDENES'!$AT$4:$AT$1203,0)),"huérfano",IF(COUNTIF($A$4:$A21,$A21)&gt;1,"duplicado (se ignora)","aplicado")))</f>
        <v/>
      </c>
      <c r="G21" s="28">
        <f>IF($F21&lt;&gt;"aplicado","",IF(IFERROR(INDEX('ORDENES'!$K$4:$K$1203,MATCH($A21,'ORDENES'!$AT$4:$AT$1203,0)),"")="","",$B21-IFERROR(INDEX('ORDENES'!$K$4:$K$1203,MATCH($A21,'ORDENES'!$AT$4:$AT$1203,0)),"")))</f>
        <v/>
      </c>
    </row>
    <row r="22">
      <c r="A22" s="4" t="n"/>
      <c r="B22" s="26" t="n"/>
      <c r="C22" s="4" t="n"/>
      <c r="D22" s="27" t="n"/>
      <c r="E22" s="5">
        <f>IF($A22="","",IFERROR(INDEX('ORDENES'!$D$4:$D$1203,MATCH($A22,'ORDENES'!$AT$4:$AT$1203,0)),"(no encontrada)"))</f>
        <v/>
      </c>
      <c r="F22" s="5">
        <f>IF($A22="","",IF(ISNA(MATCH($A22,'ORDENES'!$AT$4:$AT$1203,0)),"huérfano",IF(COUNTIF($A$4:$A22,$A22)&gt;1,"duplicado (se ignora)","aplicado")))</f>
        <v/>
      </c>
      <c r="G22" s="28">
        <f>IF($F22&lt;&gt;"aplicado","",IF(IFERROR(INDEX('ORDENES'!$K$4:$K$1203,MATCH($A22,'ORDENES'!$AT$4:$AT$1203,0)),"")="","",$B22-IFERROR(INDEX('ORDENES'!$K$4:$K$1203,MATCH($A22,'ORDENES'!$AT$4:$AT$1203,0)),"")))</f>
        <v/>
      </c>
    </row>
    <row r="23">
      <c r="A23" s="4" t="n"/>
      <c r="B23" s="26" t="n"/>
      <c r="C23" s="4" t="n"/>
      <c r="D23" s="27" t="n"/>
      <c r="E23" s="5">
        <f>IF($A23="","",IFERROR(INDEX('ORDENES'!$D$4:$D$1203,MATCH($A23,'ORDENES'!$AT$4:$AT$1203,0)),"(no encontrada)"))</f>
        <v/>
      </c>
      <c r="F23" s="5">
        <f>IF($A23="","",IF(ISNA(MATCH($A23,'ORDENES'!$AT$4:$AT$1203,0)),"huérfano",IF(COUNTIF($A$4:$A23,$A23)&gt;1,"duplicado (se ignora)","aplicado")))</f>
        <v/>
      </c>
      <c r="G23" s="28">
        <f>IF($F23&lt;&gt;"aplicado","",IF(IFERROR(INDEX('ORDENES'!$K$4:$K$1203,MATCH($A23,'ORDENES'!$AT$4:$AT$1203,0)),"")="","",$B23-IFERROR(INDEX('ORDENES'!$K$4:$K$1203,MATCH($A23,'ORDENES'!$AT$4:$AT$1203,0)),"")))</f>
        <v/>
      </c>
    </row>
    <row r="24">
      <c r="A24" s="4" t="n"/>
      <c r="B24" s="26" t="n"/>
      <c r="C24" s="4" t="n"/>
      <c r="D24" s="27" t="n"/>
      <c r="E24" s="5">
        <f>IF($A24="","",IFERROR(INDEX('ORDENES'!$D$4:$D$1203,MATCH($A24,'ORDENES'!$AT$4:$AT$1203,0)),"(no encontrada)"))</f>
        <v/>
      </c>
      <c r="F24" s="5">
        <f>IF($A24="","",IF(ISNA(MATCH($A24,'ORDENES'!$AT$4:$AT$1203,0)),"huérfano",IF(COUNTIF($A$4:$A24,$A24)&gt;1,"duplicado (se ignora)","aplicado")))</f>
        <v/>
      </c>
      <c r="G24" s="28">
        <f>IF($F24&lt;&gt;"aplicado","",IF(IFERROR(INDEX('ORDENES'!$K$4:$K$1203,MATCH($A24,'ORDENES'!$AT$4:$AT$1203,0)),"")="","",$B24-IFERROR(INDEX('ORDENES'!$K$4:$K$1203,MATCH($A24,'ORDENES'!$AT$4:$AT$1203,0)),"")))</f>
        <v/>
      </c>
    </row>
    <row r="25">
      <c r="A25" s="4" t="n"/>
      <c r="B25" s="26" t="n"/>
      <c r="C25" s="4" t="n"/>
      <c r="D25" s="27" t="n"/>
      <c r="E25" s="5">
        <f>IF($A25="","",IFERROR(INDEX('ORDENES'!$D$4:$D$1203,MATCH($A25,'ORDENES'!$AT$4:$AT$1203,0)),"(no encontrada)"))</f>
        <v/>
      </c>
      <c r="F25" s="5">
        <f>IF($A25="","",IF(ISNA(MATCH($A25,'ORDENES'!$AT$4:$AT$1203,0)),"huérfano",IF(COUNTIF($A$4:$A25,$A25)&gt;1,"duplicado (se ignora)","aplicado")))</f>
        <v/>
      </c>
      <c r="G25" s="28">
        <f>IF($F25&lt;&gt;"aplicado","",IF(IFERROR(INDEX('ORDENES'!$K$4:$K$1203,MATCH($A25,'ORDENES'!$AT$4:$AT$1203,0)),"")="","",$B25-IFERROR(INDEX('ORDENES'!$K$4:$K$1203,MATCH($A25,'ORDENES'!$AT$4:$AT$1203,0)),"")))</f>
        <v/>
      </c>
    </row>
    <row r="26">
      <c r="A26" s="4" t="n"/>
      <c r="B26" s="26" t="n"/>
      <c r="C26" s="4" t="n"/>
      <c r="D26" s="27" t="n"/>
      <c r="E26" s="5">
        <f>IF($A26="","",IFERROR(INDEX('ORDENES'!$D$4:$D$1203,MATCH($A26,'ORDENES'!$AT$4:$AT$1203,0)),"(no encontrada)"))</f>
        <v/>
      </c>
      <c r="F26" s="5">
        <f>IF($A26="","",IF(ISNA(MATCH($A26,'ORDENES'!$AT$4:$AT$1203,0)),"huérfano",IF(COUNTIF($A$4:$A26,$A26)&gt;1,"duplicado (se ignora)","aplicado")))</f>
        <v/>
      </c>
      <c r="G26" s="28">
        <f>IF($F26&lt;&gt;"aplicado","",IF(IFERROR(INDEX('ORDENES'!$K$4:$K$1203,MATCH($A26,'ORDENES'!$AT$4:$AT$1203,0)),"")="","",$B26-IFERROR(INDEX('ORDENES'!$K$4:$K$1203,MATCH($A26,'ORDENES'!$AT$4:$AT$1203,0)),"")))</f>
        <v/>
      </c>
    </row>
    <row r="27">
      <c r="A27" s="4" t="n"/>
      <c r="B27" s="26" t="n"/>
      <c r="C27" s="4" t="n"/>
      <c r="D27" s="27" t="n"/>
      <c r="E27" s="5">
        <f>IF($A27="","",IFERROR(INDEX('ORDENES'!$D$4:$D$1203,MATCH($A27,'ORDENES'!$AT$4:$AT$1203,0)),"(no encontrada)"))</f>
        <v/>
      </c>
      <c r="F27" s="5">
        <f>IF($A27="","",IF(ISNA(MATCH($A27,'ORDENES'!$AT$4:$AT$1203,0)),"huérfano",IF(COUNTIF($A$4:$A27,$A27)&gt;1,"duplicado (se ignora)","aplicado")))</f>
        <v/>
      </c>
      <c r="G27" s="28">
        <f>IF($F27&lt;&gt;"aplicado","",IF(IFERROR(INDEX('ORDENES'!$K$4:$K$1203,MATCH($A27,'ORDENES'!$AT$4:$AT$1203,0)),"")="","",$B27-IFERROR(INDEX('ORDENES'!$K$4:$K$1203,MATCH($A27,'ORDENES'!$AT$4:$AT$1203,0)),"")))</f>
        <v/>
      </c>
    </row>
    <row r="28">
      <c r="A28" s="4" t="n"/>
      <c r="B28" s="26" t="n"/>
      <c r="C28" s="4" t="n"/>
      <c r="D28" s="27" t="n"/>
      <c r="E28" s="5">
        <f>IF($A28="","",IFERROR(INDEX('ORDENES'!$D$4:$D$1203,MATCH($A28,'ORDENES'!$AT$4:$AT$1203,0)),"(no encontrada)"))</f>
        <v/>
      </c>
      <c r="F28" s="5">
        <f>IF($A28="","",IF(ISNA(MATCH($A28,'ORDENES'!$AT$4:$AT$1203,0)),"huérfano",IF(COUNTIF($A$4:$A28,$A28)&gt;1,"duplicado (se ignora)","aplicado")))</f>
        <v/>
      </c>
      <c r="G28" s="28">
        <f>IF($F28&lt;&gt;"aplicado","",IF(IFERROR(INDEX('ORDENES'!$K$4:$K$1203,MATCH($A28,'ORDENES'!$AT$4:$AT$1203,0)),"")="","",$B28-IFERROR(INDEX('ORDENES'!$K$4:$K$1203,MATCH($A28,'ORDENES'!$AT$4:$AT$1203,0)),"")))</f>
        <v/>
      </c>
    </row>
    <row r="29">
      <c r="A29" s="4" t="n"/>
      <c r="B29" s="26" t="n"/>
      <c r="C29" s="4" t="n"/>
      <c r="D29" s="27" t="n"/>
      <c r="E29" s="5">
        <f>IF($A29="","",IFERROR(INDEX('ORDENES'!$D$4:$D$1203,MATCH($A29,'ORDENES'!$AT$4:$AT$1203,0)),"(no encontrada)"))</f>
        <v/>
      </c>
      <c r="F29" s="5">
        <f>IF($A29="","",IF(ISNA(MATCH($A29,'ORDENES'!$AT$4:$AT$1203,0)),"huérfano",IF(COUNTIF($A$4:$A29,$A29)&gt;1,"duplicado (se ignora)","aplicado")))</f>
        <v/>
      </c>
      <c r="G29" s="28">
        <f>IF($F29&lt;&gt;"aplicado","",IF(IFERROR(INDEX('ORDENES'!$K$4:$K$1203,MATCH($A29,'ORDENES'!$AT$4:$AT$1203,0)),"")="","",$B29-IFERROR(INDEX('ORDENES'!$K$4:$K$1203,MATCH($A29,'ORDENES'!$AT$4:$AT$1203,0)),"")))</f>
        <v/>
      </c>
    </row>
    <row r="30">
      <c r="A30" s="4" t="n"/>
      <c r="B30" s="26" t="n"/>
      <c r="C30" s="4" t="n"/>
      <c r="D30" s="27" t="n"/>
      <c r="E30" s="5">
        <f>IF($A30="","",IFERROR(INDEX('ORDENES'!$D$4:$D$1203,MATCH($A30,'ORDENES'!$AT$4:$AT$1203,0)),"(no encontrada)"))</f>
        <v/>
      </c>
      <c r="F30" s="5">
        <f>IF($A30="","",IF(ISNA(MATCH($A30,'ORDENES'!$AT$4:$AT$1203,0)),"huérfano",IF(COUNTIF($A$4:$A30,$A30)&gt;1,"duplicado (se ignora)","aplicado")))</f>
        <v/>
      </c>
      <c r="G30" s="28">
        <f>IF($F30&lt;&gt;"aplicado","",IF(IFERROR(INDEX('ORDENES'!$K$4:$K$1203,MATCH($A30,'ORDENES'!$AT$4:$AT$1203,0)),"")="","",$B30-IFERROR(INDEX('ORDENES'!$K$4:$K$1203,MATCH($A30,'ORDENES'!$AT$4:$AT$1203,0)),"")))</f>
        <v/>
      </c>
    </row>
    <row r="31">
      <c r="A31" s="4" t="n"/>
      <c r="B31" s="26" t="n"/>
      <c r="C31" s="4" t="n"/>
      <c r="D31" s="27" t="n"/>
      <c r="E31" s="5">
        <f>IF($A31="","",IFERROR(INDEX('ORDENES'!$D$4:$D$1203,MATCH($A31,'ORDENES'!$AT$4:$AT$1203,0)),"(no encontrada)"))</f>
        <v/>
      </c>
      <c r="F31" s="5">
        <f>IF($A31="","",IF(ISNA(MATCH($A31,'ORDENES'!$AT$4:$AT$1203,0)),"huérfano",IF(COUNTIF($A$4:$A31,$A31)&gt;1,"duplicado (se ignora)","aplicado")))</f>
        <v/>
      </c>
      <c r="G31" s="28">
        <f>IF($F31&lt;&gt;"aplicado","",IF(IFERROR(INDEX('ORDENES'!$K$4:$K$1203,MATCH($A31,'ORDENES'!$AT$4:$AT$1203,0)),"")="","",$B31-IFERROR(INDEX('ORDENES'!$K$4:$K$1203,MATCH($A31,'ORDENES'!$AT$4:$AT$1203,0)),"")))</f>
        <v/>
      </c>
    </row>
    <row r="32">
      <c r="A32" s="4" t="n"/>
      <c r="B32" s="26" t="n"/>
      <c r="C32" s="4" t="n"/>
      <c r="D32" s="27" t="n"/>
      <c r="E32" s="5">
        <f>IF($A32="","",IFERROR(INDEX('ORDENES'!$D$4:$D$1203,MATCH($A32,'ORDENES'!$AT$4:$AT$1203,0)),"(no encontrada)"))</f>
        <v/>
      </c>
      <c r="F32" s="5">
        <f>IF($A32="","",IF(ISNA(MATCH($A32,'ORDENES'!$AT$4:$AT$1203,0)),"huérfano",IF(COUNTIF($A$4:$A32,$A32)&gt;1,"duplicado (se ignora)","aplicado")))</f>
        <v/>
      </c>
      <c r="G32" s="28">
        <f>IF($F32&lt;&gt;"aplicado","",IF(IFERROR(INDEX('ORDENES'!$K$4:$K$1203,MATCH($A32,'ORDENES'!$AT$4:$AT$1203,0)),"")="","",$B32-IFERROR(INDEX('ORDENES'!$K$4:$K$1203,MATCH($A32,'ORDENES'!$AT$4:$AT$1203,0)),"")))</f>
        <v/>
      </c>
    </row>
    <row r="33">
      <c r="A33" s="4" t="n"/>
      <c r="B33" s="26" t="n"/>
      <c r="C33" s="4" t="n"/>
      <c r="D33" s="27" t="n"/>
      <c r="E33" s="5">
        <f>IF($A33="","",IFERROR(INDEX('ORDENES'!$D$4:$D$1203,MATCH($A33,'ORDENES'!$AT$4:$AT$1203,0)),"(no encontrada)"))</f>
        <v/>
      </c>
      <c r="F33" s="5">
        <f>IF($A33="","",IF(ISNA(MATCH($A33,'ORDENES'!$AT$4:$AT$1203,0)),"huérfano",IF(COUNTIF($A$4:$A33,$A33)&gt;1,"duplicado (se ignora)","aplicado")))</f>
        <v/>
      </c>
      <c r="G33" s="28">
        <f>IF($F33&lt;&gt;"aplicado","",IF(IFERROR(INDEX('ORDENES'!$K$4:$K$1203,MATCH($A33,'ORDENES'!$AT$4:$AT$1203,0)),"")="","",$B33-IFERROR(INDEX('ORDENES'!$K$4:$K$1203,MATCH($A33,'ORDENES'!$AT$4:$AT$1203,0)),"")))</f>
        <v/>
      </c>
    </row>
    <row r="34">
      <c r="A34" s="4" t="n"/>
      <c r="B34" s="26" t="n"/>
      <c r="C34" s="4" t="n"/>
      <c r="D34" s="27" t="n"/>
      <c r="E34" s="5">
        <f>IF($A34="","",IFERROR(INDEX('ORDENES'!$D$4:$D$1203,MATCH($A34,'ORDENES'!$AT$4:$AT$1203,0)),"(no encontrada)"))</f>
        <v/>
      </c>
      <c r="F34" s="5">
        <f>IF($A34="","",IF(ISNA(MATCH($A34,'ORDENES'!$AT$4:$AT$1203,0)),"huérfano",IF(COUNTIF($A$4:$A34,$A34)&gt;1,"duplicado (se ignora)","aplicado")))</f>
        <v/>
      </c>
      <c r="G34" s="28">
        <f>IF($F34&lt;&gt;"aplicado","",IF(IFERROR(INDEX('ORDENES'!$K$4:$K$1203,MATCH($A34,'ORDENES'!$AT$4:$AT$1203,0)),"")="","",$B34-IFERROR(INDEX('ORDENES'!$K$4:$K$1203,MATCH($A34,'ORDENES'!$AT$4:$AT$1203,0)),"")))</f>
        <v/>
      </c>
    </row>
    <row r="35">
      <c r="A35" s="4" t="n"/>
      <c r="B35" s="26" t="n"/>
      <c r="C35" s="4" t="n"/>
      <c r="D35" s="27" t="n"/>
      <c r="E35" s="5">
        <f>IF($A35="","",IFERROR(INDEX('ORDENES'!$D$4:$D$1203,MATCH($A35,'ORDENES'!$AT$4:$AT$1203,0)),"(no encontrada)"))</f>
        <v/>
      </c>
      <c r="F35" s="5">
        <f>IF($A35="","",IF(ISNA(MATCH($A35,'ORDENES'!$AT$4:$AT$1203,0)),"huérfano",IF(COUNTIF($A$4:$A35,$A35)&gt;1,"duplicado (se ignora)","aplicado")))</f>
        <v/>
      </c>
      <c r="G35" s="28">
        <f>IF($F35&lt;&gt;"aplicado","",IF(IFERROR(INDEX('ORDENES'!$K$4:$K$1203,MATCH($A35,'ORDENES'!$AT$4:$AT$1203,0)),"")="","",$B35-IFERROR(INDEX('ORDENES'!$K$4:$K$1203,MATCH($A35,'ORDENES'!$AT$4:$AT$1203,0)),"")))</f>
        <v/>
      </c>
    </row>
    <row r="36">
      <c r="A36" s="4" t="n"/>
      <c r="B36" s="26" t="n"/>
      <c r="C36" s="4" t="n"/>
      <c r="D36" s="27" t="n"/>
      <c r="E36" s="5">
        <f>IF($A36="","",IFERROR(INDEX('ORDENES'!$D$4:$D$1203,MATCH($A36,'ORDENES'!$AT$4:$AT$1203,0)),"(no encontrada)"))</f>
        <v/>
      </c>
      <c r="F36" s="5">
        <f>IF($A36="","",IF(ISNA(MATCH($A36,'ORDENES'!$AT$4:$AT$1203,0)),"huérfano",IF(COUNTIF($A$4:$A36,$A36)&gt;1,"duplicado (se ignora)","aplicado")))</f>
        <v/>
      </c>
      <c r="G36" s="28">
        <f>IF($F36&lt;&gt;"aplicado","",IF(IFERROR(INDEX('ORDENES'!$K$4:$K$1203,MATCH($A36,'ORDENES'!$AT$4:$AT$1203,0)),"")="","",$B36-IFERROR(INDEX('ORDENES'!$K$4:$K$1203,MATCH($A36,'ORDENES'!$AT$4:$AT$1203,0)),"")))</f>
        <v/>
      </c>
    </row>
    <row r="37">
      <c r="A37" s="4" t="n"/>
      <c r="B37" s="26" t="n"/>
      <c r="C37" s="4" t="n"/>
      <c r="D37" s="27" t="n"/>
      <c r="E37" s="5">
        <f>IF($A37="","",IFERROR(INDEX('ORDENES'!$D$4:$D$1203,MATCH($A37,'ORDENES'!$AT$4:$AT$1203,0)),"(no encontrada)"))</f>
        <v/>
      </c>
      <c r="F37" s="5">
        <f>IF($A37="","",IF(ISNA(MATCH($A37,'ORDENES'!$AT$4:$AT$1203,0)),"huérfano",IF(COUNTIF($A$4:$A37,$A37)&gt;1,"duplicado (se ignora)","aplicado")))</f>
        <v/>
      </c>
      <c r="G37" s="28">
        <f>IF($F37&lt;&gt;"aplicado","",IF(IFERROR(INDEX('ORDENES'!$K$4:$K$1203,MATCH($A37,'ORDENES'!$AT$4:$AT$1203,0)),"")="","",$B37-IFERROR(INDEX('ORDENES'!$K$4:$K$1203,MATCH($A37,'ORDENES'!$AT$4:$AT$1203,0)),"")))</f>
        <v/>
      </c>
    </row>
    <row r="38">
      <c r="A38" s="4" t="n"/>
      <c r="B38" s="26" t="n"/>
      <c r="C38" s="4" t="n"/>
      <c r="D38" s="27" t="n"/>
      <c r="E38" s="5">
        <f>IF($A38="","",IFERROR(INDEX('ORDENES'!$D$4:$D$1203,MATCH($A38,'ORDENES'!$AT$4:$AT$1203,0)),"(no encontrada)"))</f>
        <v/>
      </c>
      <c r="F38" s="5">
        <f>IF($A38="","",IF(ISNA(MATCH($A38,'ORDENES'!$AT$4:$AT$1203,0)),"huérfano",IF(COUNTIF($A$4:$A38,$A38)&gt;1,"duplicado (se ignora)","aplicado")))</f>
        <v/>
      </c>
      <c r="G38" s="28">
        <f>IF($F38&lt;&gt;"aplicado","",IF(IFERROR(INDEX('ORDENES'!$K$4:$K$1203,MATCH($A38,'ORDENES'!$AT$4:$AT$1203,0)),"")="","",$B38-IFERROR(INDEX('ORDENES'!$K$4:$K$1203,MATCH($A38,'ORDENES'!$AT$4:$AT$1203,0)),"")))</f>
        <v/>
      </c>
    </row>
    <row r="39">
      <c r="A39" s="4" t="n"/>
      <c r="B39" s="26" t="n"/>
      <c r="C39" s="4" t="n"/>
      <c r="D39" s="27" t="n"/>
      <c r="E39" s="5">
        <f>IF($A39="","",IFERROR(INDEX('ORDENES'!$D$4:$D$1203,MATCH($A39,'ORDENES'!$AT$4:$AT$1203,0)),"(no encontrada)"))</f>
        <v/>
      </c>
      <c r="F39" s="5">
        <f>IF($A39="","",IF(ISNA(MATCH($A39,'ORDENES'!$AT$4:$AT$1203,0)),"huérfano",IF(COUNTIF($A$4:$A39,$A39)&gt;1,"duplicado (se ignora)","aplicado")))</f>
        <v/>
      </c>
      <c r="G39" s="28">
        <f>IF($F39&lt;&gt;"aplicado","",IF(IFERROR(INDEX('ORDENES'!$K$4:$K$1203,MATCH($A39,'ORDENES'!$AT$4:$AT$1203,0)),"")="","",$B39-IFERROR(INDEX('ORDENES'!$K$4:$K$1203,MATCH($A39,'ORDENES'!$AT$4:$AT$1203,0)),"")))</f>
        <v/>
      </c>
    </row>
    <row r="40">
      <c r="A40" s="4" t="n"/>
      <c r="B40" s="26" t="n"/>
      <c r="C40" s="4" t="n"/>
      <c r="D40" s="27" t="n"/>
      <c r="E40" s="5">
        <f>IF($A40="","",IFERROR(INDEX('ORDENES'!$D$4:$D$1203,MATCH($A40,'ORDENES'!$AT$4:$AT$1203,0)),"(no encontrada)"))</f>
        <v/>
      </c>
      <c r="F40" s="5">
        <f>IF($A40="","",IF(ISNA(MATCH($A40,'ORDENES'!$AT$4:$AT$1203,0)),"huérfano",IF(COUNTIF($A$4:$A40,$A40)&gt;1,"duplicado (se ignora)","aplicado")))</f>
        <v/>
      </c>
      <c r="G40" s="28">
        <f>IF($F40&lt;&gt;"aplicado","",IF(IFERROR(INDEX('ORDENES'!$K$4:$K$1203,MATCH($A40,'ORDENES'!$AT$4:$AT$1203,0)),"")="","",$B40-IFERROR(INDEX('ORDENES'!$K$4:$K$1203,MATCH($A40,'ORDENES'!$AT$4:$AT$1203,0)),"")))</f>
        <v/>
      </c>
    </row>
    <row r="41">
      <c r="A41" s="4" t="n"/>
      <c r="B41" s="26" t="n"/>
      <c r="C41" s="4" t="n"/>
      <c r="D41" s="27" t="n"/>
      <c r="E41" s="5">
        <f>IF($A41="","",IFERROR(INDEX('ORDENES'!$D$4:$D$1203,MATCH($A41,'ORDENES'!$AT$4:$AT$1203,0)),"(no encontrada)"))</f>
        <v/>
      </c>
      <c r="F41" s="5">
        <f>IF($A41="","",IF(ISNA(MATCH($A41,'ORDENES'!$AT$4:$AT$1203,0)),"huérfano",IF(COUNTIF($A$4:$A41,$A41)&gt;1,"duplicado (se ignora)","aplicado")))</f>
        <v/>
      </c>
      <c r="G41" s="28">
        <f>IF($F41&lt;&gt;"aplicado","",IF(IFERROR(INDEX('ORDENES'!$K$4:$K$1203,MATCH($A41,'ORDENES'!$AT$4:$AT$1203,0)),"")="","",$B41-IFERROR(INDEX('ORDENES'!$K$4:$K$1203,MATCH($A41,'ORDENES'!$AT$4:$AT$1203,0)),"")))</f>
        <v/>
      </c>
    </row>
    <row r="42">
      <c r="A42" s="4" t="n"/>
      <c r="B42" s="26" t="n"/>
      <c r="C42" s="4" t="n"/>
      <c r="D42" s="27" t="n"/>
      <c r="E42" s="5">
        <f>IF($A42="","",IFERROR(INDEX('ORDENES'!$D$4:$D$1203,MATCH($A42,'ORDENES'!$AT$4:$AT$1203,0)),"(no encontrada)"))</f>
        <v/>
      </c>
      <c r="F42" s="5">
        <f>IF($A42="","",IF(ISNA(MATCH($A42,'ORDENES'!$AT$4:$AT$1203,0)),"huérfano",IF(COUNTIF($A$4:$A42,$A42)&gt;1,"duplicado (se ignora)","aplicado")))</f>
        <v/>
      </c>
      <c r="G42" s="28">
        <f>IF($F42&lt;&gt;"aplicado","",IF(IFERROR(INDEX('ORDENES'!$K$4:$K$1203,MATCH($A42,'ORDENES'!$AT$4:$AT$1203,0)),"")="","",$B42-IFERROR(INDEX('ORDENES'!$K$4:$K$1203,MATCH($A42,'ORDENES'!$AT$4:$AT$1203,0)),"")))</f>
        <v/>
      </c>
    </row>
    <row r="43">
      <c r="A43" s="4" t="n"/>
      <c r="B43" s="26" t="n"/>
      <c r="C43" s="4" t="n"/>
      <c r="D43" s="27" t="n"/>
      <c r="E43" s="5">
        <f>IF($A43="","",IFERROR(INDEX('ORDENES'!$D$4:$D$1203,MATCH($A43,'ORDENES'!$AT$4:$AT$1203,0)),"(no encontrada)"))</f>
        <v/>
      </c>
      <c r="F43" s="5">
        <f>IF($A43="","",IF(ISNA(MATCH($A43,'ORDENES'!$AT$4:$AT$1203,0)),"huérfano",IF(COUNTIF($A$4:$A43,$A43)&gt;1,"duplicado (se ignora)","aplicado")))</f>
        <v/>
      </c>
      <c r="G43" s="28">
        <f>IF($F43&lt;&gt;"aplicado","",IF(IFERROR(INDEX('ORDENES'!$K$4:$K$1203,MATCH($A43,'ORDENES'!$AT$4:$AT$1203,0)),"")="","",$B43-IFERROR(INDEX('ORDENES'!$K$4:$K$1203,MATCH($A43,'ORDENES'!$AT$4:$AT$1203,0)),"")))</f>
        <v/>
      </c>
    </row>
    <row r="44">
      <c r="A44" s="4" t="n"/>
      <c r="B44" s="26" t="n"/>
      <c r="C44" s="4" t="n"/>
      <c r="D44" s="27" t="n"/>
      <c r="E44" s="5">
        <f>IF($A44="","",IFERROR(INDEX('ORDENES'!$D$4:$D$1203,MATCH($A44,'ORDENES'!$AT$4:$AT$1203,0)),"(no encontrada)"))</f>
        <v/>
      </c>
      <c r="F44" s="5">
        <f>IF($A44="","",IF(ISNA(MATCH($A44,'ORDENES'!$AT$4:$AT$1203,0)),"huérfano",IF(COUNTIF($A$4:$A44,$A44)&gt;1,"duplicado (se ignora)","aplicado")))</f>
        <v/>
      </c>
      <c r="G44" s="28">
        <f>IF($F44&lt;&gt;"aplicado","",IF(IFERROR(INDEX('ORDENES'!$K$4:$K$1203,MATCH($A44,'ORDENES'!$AT$4:$AT$1203,0)),"")="","",$B44-IFERROR(INDEX('ORDENES'!$K$4:$K$1203,MATCH($A44,'ORDENES'!$AT$4:$AT$1203,0)),"")))</f>
        <v/>
      </c>
    </row>
    <row r="45">
      <c r="A45" s="4" t="n"/>
      <c r="B45" s="26" t="n"/>
      <c r="C45" s="4" t="n"/>
      <c r="D45" s="27" t="n"/>
      <c r="E45" s="5">
        <f>IF($A45="","",IFERROR(INDEX('ORDENES'!$D$4:$D$1203,MATCH($A45,'ORDENES'!$AT$4:$AT$1203,0)),"(no encontrada)"))</f>
        <v/>
      </c>
      <c r="F45" s="5">
        <f>IF($A45="","",IF(ISNA(MATCH($A45,'ORDENES'!$AT$4:$AT$1203,0)),"huérfano",IF(COUNTIF($A$4:$A45,$A45)&gt;1,"duplicado (se ignora)","aplicado")))</f>
        <v/>
      </c>
      <c r="G45" s="28">
        <f>IF($F45&lt;&gt;"aplicado","",IF(IFERROR(INDEX('ORDENES'!$K$4:$K$1203,MATCH($A45,'ORDENES'!$AT$4:$AT$1203,0)),"")="","",$B45-IFERROR(INDEX('ORDENES'!$K$4:$K$1203,MATCH($A45,'ORDENES'!$AT$4:$AT$1203,0)),"")))</f>
        <v/>
      </c>
    </row>
    <row r="46">
      <c r="A46" s="4" t="n"/>
      <c r="B46" s="26" t="n"/>
      <c r="C46" s="4" t="n"/>
      <c r="D46" s="27" t="n"/>
      <c r="E46" s="5">
        <f>IF($A46="","",IFERROR(INDEX('ORDENES'!$D$4:$D$1203,MATCH($A46,'ORDENES'!$AT$4:$AT$1203,0)),"(no encontrada)"))</f>
        <v/>
      </c>
      <c r="F46" s="5">
        <f>IF($A46="","",IF(ISNA(MATCH($A46,'ORDENES'!$AT$4:$AT$1203,0)),"huérfano",IF(COUNTIF($A$4:$A46,$A46)&gt;1,"duplicado (se ignora)","aplicado")))</f>
        <v/>
      </c>
      <c r="G46" s="28">
        <f>IF($F46&lt;&gt;"aplicado","",IF(IFERROR(INDEX('ORDENES'!$K$4:$K$1203,MATCH($A46,'ORDENES'!$AT$4:$AT$1203,0)),"")="","",$B46-IFERROR(INDEX('ORDENES'!$K$4:$K$1203,MATCH($A46,'ORDENES'!$AT$4:$AT$1203,0)),"")))</f>
        <v/>
      </c>
    </row>
    <row r="47">
      <c r="A47" s="4" t="n"/>
      <c r="B47" s="26" t="n"/>
      <c r="C47" s="4" t="n"/>
      <c r="D47" s="27" t="n"/>
      <c r="E47" s="5">
        <f>IF($A47="","",IFERROR(INDEX('ORDENES'!$D$4:$D$1203,MATCH($A47,'ORDENES'!$AT$4:$AT$1203,0)),"(no encontrada)"))</f>
        <v/>
      </c>
      <c r="F47" s="5">
        <f>IF($A47="","",IF(ISNA(MATCH($A47,'ORDENES'!$AT$4:$AT$1203,0)),"huérfano",IF(COUNTIF($A$4:$A47,$A47)&gt;1,"duplicado (se ignora)","aplicado")))</f>
        <v/>
      </c>
      <c r="G47" s="28">
        <f>IF($F47&lt;&gt;"aplicado","",IF(IFERROR(INDEX('ORDENES'!$K$4:$K$1203,MATCH($A47,'ORDENES'!$AT$4:$AT$1203,0)),"")="","",$B47-IFERROR(INDEX('ORDENES'!$K$4:$K$1203,MATCH($A47,'ORDENES'!$AT$4:$AT$1203,0)),"")))</f>
        <v/>
      </c>
    </row>
    <row r="48">
      <c r="A48" s="4" t="n"/>
      <c r="B48" s="26" t="n"/>
      <c r="C48" s="4" t="n"/>
      <c r="D48" s="27" t="n"/>
      <c r="E48" s="5">
        <f>IF($A48="","",IFERROR(INDEX('ORDENES'!$D$4:$D$1203,MATCH($A48,'ORDENES'!$AT$4:$AT$1203,0)),"(no encontrada)"))</f>
        <v/>
      </c>
      <c r="F48" s="5">
        <f>IF($A48="","",IF(ISNA(MATCH($A48,'ORDENES'!$AT$4:$AT$1203,0)),"huérfano",IF(COUNTIF($A$4:$A48,$A48)&gt;1,"duplicado (se ignora)","aplicado")))</f>
        <v/>
      </c>
      <c r="G48" s="28">
        <f>IF($F48&lt;&gt;"aplicado","",IF(IFERROR(INDEX('ORDENES'!$K$4:$K$1203,MATCH($A48,'ORDENES'!$AT$4:$AT$1203,0)),"")="","",$B48-IFERROR(INDEX('ORDENES'!$K$4:$K$1203,MATCH($A48,'ORDENES'!$AT$4:$AT$1203,0)),"")))</f>
        <v/>
      </c>
    </row>
    <row r="49">
      <c r="A49" s="4" t="n"/>
      <c r="B49" s="26" t="n"/>
      <c r="C49" s="4" t="n"/>
      <c r="D49" s="27" t="n"/>
      <c r="E49" s="5">
        <f>IF($A49="","",IFERROR(INDEX('ORDENES'!$D$4:$D$1203,MATCH($A49,'ORDENES'!$AT$4:$AT$1203,0)),"(no encontrada)"))</f>
        <v/>
      </c>
      <c r="F49" s="5">
        <f>IF($A49="","",IF(ISNA(MATCH($A49,'ORDENES'!$AT$4:$AT$1203,0)),"huérfano",IF(COUNTIF($A$4:$A49,$A49)&gt;1,"duplicado (se ignora)","aplicado")))</f>
        <v/>
      </c>
      <c r="G49" s="28">
        <f>IF($F49&lt;&gt;"aplicado","",IF(IFERROR(INDEX('ORDENES'!$K$4:$K$1203,MATCH($A49,'ORDENES'!$AT$4:$AT$1203,0)),"")="","",$B49-IFERROR(INDEX('ORDENES'!$K$4:$K$1203,MATCH($A49,'ORDENES'!$AT$4:$AT$1203,0)),"")))</f>
        <v/>
      </c>
    </row>
    <row r="50">
      <c r="A50" s="4" t="n"/>
      <c r="B50" s="26" t="n"/>
      <c r="C50" s="4" t="n"/>
      <c r="D50" s="27" t="n"/>
      <c r="E50" s="5">
        <f>IF($A50="","",IFERROR(INDEX('ORDENES'!$D$4:$D$1203,MATCH($A50,'ORDENES'!$AT$4:$AT$1203,0)),"(no encontrada)"))</f>
        <v/>
      </c>
      <c r="F50" s="5">
        <f>IF($A50="","",IF(ISNA(MATCH($A50,'ORDENES'!$AT$4:$AT$1203,0)),"huérfano",IF(COUNTIF($A$4:$A50,$A50)&gt;1,"duplicado (se ignora)","aplicado")))</f>
        <v/>
      </c>
      <c r="G50" s="28">
        <f>IF($F50&lt;&gt;"aplicado","",IF(IFERROR(INDEX('ORDENES'!$K$4:$K$1203,MATCH($A50,'ORDENES'!$AT$4:$AT$1203,0)),"")="","",$B50-IFERROR(INDEX('ORDENES'!$K$4:$K$1203,MATCH($A50,'ORDENES'!$AT$4:$AT$1203,0)),"")))</f>
        <v/>
      </c>
    </row>
    <row r="51">
      <c r="A51" s="4" t="n"/>
      <c r="B51" s="26" t="n"/>
      <c r="C51" s="4" t="n"/>
      <c r="D51" s="27" t="n"/>
      <c r="E51" s="5">
        <f>IF($A51="","",IFERROR(INDEX('ORDENES'!$D$4:$D$1203,MATCH($A51,'ORDENES'!$AT$4:$AT$1203,0)),"(no encontrada)"))</f>
        <v/>
      </c>
      <c r="F51" s="5">
        <f>IF($A51="","",IF(ISNA(MATCH($A51,'ORDENES'!$AT$4:$AT$1203,0)),"huérfano",IF(COUNTIF($A$4:$A51,$A51)&gt;1,"duplicado (se ignora)","aplicado")))</f>
        <v/>
      </c>
      <c r="G51" s="28">
        <f>IF($F51&lt;&gt;"aplicado","",IF(IFERROR(INDEX('ORDENES'!$K$4:$K$1203,MATCH($A51,'ORDENES'!$AT$4:$AT$1203,0)),"")="","",$B51-IFERROR(INDEX('ORDENES'!$K$4:$K$1203,MATCH($A51,'ORDENES'!$AT$4:$AT$1203,0)),"")))</f>
        <v/>
      </c>
    </row>
    <row r="52">
      <c r="A52" s="4" t="n"/>
      <c r="B52" s="26" t="n"/>
      <c r="C52" s="4" t="n"/>
      <c r="D52" s="27" t="n"/>
      <c r="E52" s="5">
        <f>IF($A52="","",IFERROR(INDEX('ORDENES'!$D$4:$D$1203,MATCH($A52,'ORDENES'!$AT$4:$AT$1203,0)),"(no encontrada)"))</f>
        <v/>
      </c>
      <c r="F52" s="5">
        <f>IF($A52="","",IF(ISNA(MATCH($A52,'ORDENES'!$AT$4:$AT$1203,0)),"huérfano",IF(COUNTIF($A$4:$A52,$A52)&gt;1,"duplicado (se ignora)","aplicado")))</f>
        <v/>
      </c>
      <c r="G52" s="28">
        <f>IF($F52&lt;&gt;"aplicado","",IF(IFERROR(INDEX('ORDENES'!$K$4:$K$1203,MATCH($A52,'ORDENES'!$AT$4:$AT$1203,0)),"")="","",$B52-IFERROR(INDEX('ORDENES'!$K$4:$K$1203,MATCH($A52,'ORDENES'!$AT$4:$AT$1203,0)),"")))</f>
        <v/>
      </c>
    </row>
    <row r="53">
      <c r="A53" s="4" t="n"/>
      <c r="B53" s="26" t="n"/>
      <c r="C53" s="4" t="n"/>
      <c r="D53" s="27" t="n"/>
      <c r="E53" s="5">
        <f>IF($A53="","",IFERROR(INDEX('ORDENES'!$D$4:$D$1203,MATCH($A53,'ORDENES'!$AT$4:$AT$1203,0)),"(no encontrada)"))</f>
        <v/>
      </c>
      <c r="F53" s="5">
        <f>IF($A53="","",IF(ISNA(MATCH($A53,'ORDENES'!$AT$4:$AT$1203,0)),"huérfano",IF(COUNTIF($A$4:$A53,$A53)&gt;1,"duplicado (se ignora)","aplicado")))</f>
        <v/>
      </c>
      <c r="G53" s="28">
        <f>IF($F53&lt;&gt;"aplicado","",IF(IFERROR(INDEX('ORDENES'!$K$4:$K$1203,MATCH($A53,'ORDENES'!$AT$4:$AT$1203,0)),"")="","",$B53-IFERROR(INDEX('ORDENES'!$K$4:$K$1203,MATCH($A53,'ORDENES'!$AT$4:$AT$1203,0)),"")))</f>
        <v/>
      </c>
    </row>
    <row r="54">
      <c r="A54" s="4" t="n"/>
      <c r="B54" s="26" t="n"/>
      <c r="C54" s="4" t="n"/>
      <c r="D54" s="27" t="n"/>
      <c r="E54" s="5">
        <f>IF($A54="","",IFERROR(INDEX('ORDENES'!$D$4:$D$1203,MATCH($A54,'ORDENES'!$AT$4:$AT$1203,0)),"(no encontrada)"))</f>
        <v/>
      </c>
      <c r="F54" s="5">
        <f>IF($A54="","",IF(ISNA(MATCH($A54,'ORDENES'!$AT$4:$AT$1203,0)),"huérfano",IF(COUNTIF($A$4:$A54,$A54)&gt;1,"duplicado (se ignora)","aplicado")))</f>
        <v/>
      </c>
      <c r="G54" s="28">
        <f>IF($F54&lt;&gt;"aplicado","",IF(IFERROR(INDEX('ORDENES'!$K$4:$K$1203,MATCH($A54,'ORDENES'!$AT$4:$AT$1203,0)),"")="","",$B54-IFERROR(INDEX('ORDENES'!$K$4:$K$1203,MATCH($A54,'ORDENES'!$AT$4:$AT$1203,0)),"")))</f>
        <v/>
      </c>
    </row>
    <row r="55">
      <c r="A55" s="4" t="n"/>
      <c r="B55" s="26" t="n"/>
      <c r="C55" s="4" t="n"/>
      <c r="D55" s="27" t="n"/>
      <c r="E55" s="5">
        <f>IF($A55="","",IFERROR(INDEX('ORDENES'!$D$4:$D$1203,MATCH($A55,'ORDENES'!$AT$4:$AT$1203,0)),"(no encontrada)"))</f>
        <v/>
      </c>
      <c r="F55" s="5">
        <f>IF($A55="","",IF(ISNA(MATCH($A55,'ORDENES'!$AT$4:$AT$1203,0)),"huérfano",IF(COUNTIF($A$4:$A55,$A55)&gt;1,"duplicado (se ignora)","aplicado")))</f>
        <v/>
      </c>
      <c r="G55" s="28">
        <f>IF($F55&lt;&gt;"aplicado","",IF(IFERROR(INDEX('ORDENES'!$K$4:$K$1203,MATCH($A55,'ORDENES'!$AT$4:$AT$1203,0)),"")="","",$B55-IFERROR(INDEX('ORDENES'!$K$4:$K$1203,MATCH($A55,'ORDENES'!$AT$4:$AT$1203,0)),"")))</f>
        <v/>
      </c>
    </row>
    <row r="56">
      <c r="A56" s="4" t="n"/>
      <c r="B56" s="26" t="n"/>
      <c r="C56" s="4" t="n"/>
      <c r="D56" s="27" t="n"/>
      <c r="E56" s="5">
        <f>IF($A56="","",IFERROR(INDEX('ORDENES'!$D$4:$D$1203,MATCH($A56,'ORDENES'!$AT$4:$AT$1203,0)),"(no encontrada)"))</f>
        <v/>
      </c>
      <c r="F56" s="5">
        <f>IF($A56="","",IF(ISNA(MATCH($A56,'ORDENES'!$AT$4:$AT$1203,0)),"huérfano",IF(COUNTIF($A$4:$A56,$A56)&gt;1,"duplicado (se ignora)","aplicado")))</f>
        <v/>
      </c>
      <c r="G56" s="28">
        <f>IF($F56&lt;&gt;"aplicado","",IF(IFERROR(INDEX('ORDENES'!$K$4:$K$1203,MATCH($A56,'ORDENES'!$AT$4:$AT$1203,0)),"")="","",$B56-IFERROR(INDEX('ORDENES'!$K$4:$K$1203,MATCH($A56,'ORDENES'!$AT$4:$AT$1203,0)),"")))</f>
        <v/>
      </c>
    </row>
    <row r="57">
      <c r="A57" s="4" t="n"/>
      <c r="B57" s="26" t="n"/>
      <c r="C57" s="4" t="n"/>
      <c r="D57" s="27" t="n"/>
      <c r="E57" s="5">
        <f>IF($A57="","",IFERROR(INDEX('ORDENES'!$D$4:$D$1203,MATCH($A57,'ORDENES'!$AT$4:$AT$1203,0)),"(no encontrada)"))</f>
        <v/>
      </c>
      <c r="F57" s="5">
        <f>IF($A57="","",IF(ISNA(MATCH($A57,'ORDENES'!$AT$4:$AT$1203,0)),"huérfano",IF(COUNTIF($A$4:$A57,$A57)&gt;1,"duplicado (se ignora)","aplicado")))</f>
        <v/>
      </c>
      <c r="G57" s="28">
        <f>IF($F57&lt;&gt;"aplicado","",IF(IFERROR(INDEX('ORDENES'!$K$4:$K$1203,MATCH($A57,'ORDENES'!$AT$4:$AT$1203,0)),"")="","",$B57-IFERROR(INDEX('ORDENES'!$K$4:$K$1203,MATCH($A57,'ORDENES'!$AT$4:$AT$1203,0)),"")))</f>
        <v/>
      </c>
    </row>
    <row r="58">
      <c r="A58" s="4" t="n"/>
      <c r="B58" s="26" t="n"/>
      <c r="C58" s="4" t="n"/>
      <c r="D58" s="27" t="n"/>
      <c r="E58" s="5">
        <f>IF($A58="","",IFERROR(INDEX('ORDENES'!$D$4:$D$1203,MATCH($A58,'ORDENES'!$AT$4:$AT$1203,0)),"(no encontrada)"))</f>
        <v/>
      </c>
      <c r="F58" s="5">
        <f>IF($A58="","",IF(ISNA(MATCH($A58,'ORDENES'!$AT$4:$AT$1203,0)),"huérfano",IF(COUNTIF($A$4:$A58,$A58)&gt;1,"duplicado (se ignora)","aplicado")))</f>
        <v/>
      </c>
      <c r="G58" s="28">
        <f>IF($F58&lt;&gt;"aplicado","",IF(IFERROR(INDEX('ORDENES'!$K$4:$K$1203,MATCH($A58,'ORDENES'!$AT$4:$AT$1203,0)),"")="","",$B58-IFERROR(INDEX('ORDENES'!$K$4:$K$1203,MATCH($A58,'ORDENES'!$AT$4:$AT$1203,0)),"")))</f>
        <v/>
      </c>
    </row>
    <row r="59">
      <c r="A59" s="4" t="n"/>
      <c r="B59" s="26" t="n"/>
      <c r="C59" s="4" t="n"/>
      <c r="D59" s="27" t="n"/>
      <c r="E59" s="5">
        <f>IF($A59="","",IFERROR(INDEX('ORDENES'!$D$4:$D$1203,MATCH($A59,'ORDENES'!$AT$4:$AT$1203,0)),"(no encontrada)"))</f>
        <v/>
      </c>
      <c r="F59" s="5">
        <f>IF($A59="","",IF(ISNA(MATCH($A59,'ORDENES'!$AT$4:$AT$1203,0)),"huérfano",IF(COUNTIF($A$4:$A59,$A59)&gt;1,"duplicado (se ignora)","aplicado")))</f>
        <v/>
      </c>
      <c r="G59" s="28">
        <f>IF($F59&lt;&gt;"aplicado","",IF(IFERROR(INDEX('ORDENES'!$K$4:$K$1203,MATCH($A59,'ORDENES'!$AT$4:$AT$1203,0)),"")="","",$B59-IFERROR(INDEX('ORDENES'!$K$4:$K$1203,MATCH($A59,'ORDENES'!$AT$4:$AT$1203,0)),"")))</f>
        <v/>
      </c>
    </row>
    <row r="60">
      <c r="A60" s="4" t="n"/>
      <c r="B60" s="26" t="n"/>
      <c r="C60" s="4" t="n"/>
      <c r="D60" s="27" t="n"/>
      <c r="E60" s="5">
        <f>IF($A60="","",IFERROR(INDEX('ORDENES'!$D$4:$D$1203,MATCH($A60,'ORDENES'!$AT$4:$AT$1203,0)),"(no encontrada)"))</f>
        <v/>
      </c>
      <c r="F60" s="5">
        <f>IF($A60="","",IF(ISNA(MATCH($A60,'ORDENES'!$AT$4:$AT$1203,0)),"huérfano",IF(COUNTIF($A$4:$A60,$A60)&gt;1,"duplicado (se ignora)","aplicado")))</f>
        <v/>
      </c>
      <c r="G60" s="28">
        <f>IF($F60&lt;&gt;"aplicado","",IF(IFERROR(INDEX('ORDENES'!$K$4:$K$1203,MATCH($A60,'ORDENES'!$AT$4:$AT$1203,0)),"")="","",$B60-IFERROR(INDEX('ORDENES'!$K$4:$K$1203,MATCH($A60,'ORDENES'!$AT$4:$AT$1203,0)),"")))</f>
        <v/>
      </c>
    </row>
    <row r="61">
      <c r="A61" s="4" t="n"/>
      <c r="B61" s="26" t="n"/>
      <c r="C61" s="4" t="n"/>
      <c r="D61" s="27" t="n"/>
      <c r="E61" s="5">
        <f>IF($A61="","",IFERROR(INDEX('ORDENES'!$D$4:$D$1203,MATCH($A61,'ORDENES'!$AT$4:$AT$1203,0)),"(no encontrada)"))</f>
        <v/>
      </c>
      <c r="F61" s="5">
        <f>IF($A61="","",IF(ISNA(MATCH($A61,'ORDENES'!$AT$4:$AT$1203,0)),"huérfano",IF(COUNTIF($A$4:$A61,$A61)&gt;1,"duplicado (se ignora)","aplicado")))</f>
        <v/>
      </c>
      <c r="G61" s="28">
        <f>IF($F61&lt;&gt;"aplicado","",IF(IFERROR(INDEX('ORDENES'!$K$4:$K$1203,MATCH($A61,'ORDENES'!$AT$4:$AT$1203,0)),"")="","",$B61-IFERROR(INDEX('ORDENES'!$K$4:$K$1203,MATCH($A61,'ORDENES'!$AT$4:$AT$1203,0)),"")))</f>
        <v/>
      </c>
    </row>
    <row r="62">
      <c r="A62" s="4" t="n"/>
      <c r="B62" s="26" t="n"/>
      <c r="C62" s="4" t="n"/>
      <c r="D62" s="27" t="n"/>
      <c r="E62" s="5">
        <f>IF($A62="","",IFERROR(INDEX('ORDENES'!$D$4:$D$1203,MATCH($A62,'ORDENES'!$AT$4:$AT$1203,0)),"(no encontrada)"))</f>
        <v/>
      </c>
      <c r="F62" s="5">
        <f>IF($A62="","",IF(ISNA(MATCH($A62,'ORDENES'!$AT$4:$AT$1203,0)),"huérfano",IF(COUNTIF($A$4:$A62,$A62)&gt;1,"duplicado (se ignora)","aplicado")))</f>
        <v/>
      </c>
      <c r="G62" s="28">
        <f>IF($F62&lt;&gt;"aplicado","",IF(IFERROR(INDEX('ORDENES'!$K$4:$K$1203,MATCH($A62,'ORDENES'!$AT$4:$AT$1203,0)),"")="","",$B62-IFERROR(INDEX('ORDENES'!$K$4:$K$1203,MATCH($A62,'ORDENES'!$AT$4:$AT$1203,0)),"")))</f>
        <v/>
      </c>
    </row>
    <row r="63">
      <c r="A63" s="4" t="n"/>
      <c r="B63" s="26" t="n"/>
      <c r="C63" s="4" t="n"/>
      <c r="D63" s="27" t="n"/>
      <c r="E63" s="5">
        <f>IF($A63="","",IFERROR(INDEX('ORDENES'!$D$4:$D$1203,MATCH($A63,'ORDENES'!$AT$4:$AT$1203,0)),"(no encontrada)"))</f>
        <v/>
      </c>
      <c r="F63" s="5">
        <f>IF($A63="","",IF(ISNA(MATCH($A63,'ORDENES'!$AT$4:$AT$1203,0)),"huérfano",IF(COUNTIF($A$4:$A63,$A63)&gt;1,"duplicado (se ignora)","aplicado")))</f>
        <v/>
      </c>
      <c r="G63" s="28">
        <f>IF($F63&lt;&gt;"aplicado","",IF(IFERROR(INDEX('ORDENES'!$K$4:$K$1203,MATCH($A63,'ORDENES'!$AT$4:$AT$1203,0)),"")="","",$B63-IFERROR(INDEX('ORDENES'!$K$4:$K$1203,MATCH($A63,'ORDENES'!$AT$4:$AT$1203,0)),"")))</f>
        <v/>
      </c>
    </row>
    <row r="64">
      <c r="A64" s="4" t="n"/>
      <c r="B64" s="26" t="n"/>
      <c r="C64" s="4" t="n"/>
      <c r="D64" s="27" t="n"/>
      <c r="E64" s="5">
        <f>IF($A64="","",IFERROR(INDEX('ORDENES'!$D$4:$D$1203,MATCH($A64,'ORDENES'!$AT$4:$AT$1203,0)),"(no encontrada)"))</f>
        <v/>
      </c>
      <c r="F64" s="5">
        <f>IF($A64="","",IF(ISNA(MATCH($A64,'ORDENES'!$AT$4:$AT$1203,0)),"huérfano",IF(COUNTIF($A$4:$A64,$A64)&gt;1,"duplicado (se ignora)","aplicado")))</f>
        <v/>
      </c>
      <c r="G64" s="28">
        <f>IF($F64&lt;&gt;"aplicado","",IF(IFERROR(INDEX('ORDENES'!$K$4:$K$1203,MATCH($A64,'ORDENES'!$AT$4:$AT$1203,0)),"")="","",$B64-IFERROR(INDEX('ORDENES'!$K$4:$K$1203,MATCH($A64,'ORDENES'!$AT$4:$AT$1203,0)),"")))</f>
        <v/>
      </c>
    </row>
    <row r="65">
      <c r="A65" s="4" t="n"/>
      <c r="B65" s="26" t="n"/>
      <c r="C65" s="4" t="n"/>
      <c r="D65" s="27" t="n"/>
      <c r="E65" s="5">
        <f>IF($A65="","",IFERROR(INDEX('ORDENES'!$D$4:$D$1203,MATCH($A65,'ORDENES'!$AT$4:$AT$1203,0)),"(no encontrada)"))</f>
        <v/>
      </c>
      <c r="F65" s="5">
        <f>IF($A65="","",IF(ISNA(MATCH($A65,'ORDENES'!$AT$4:$AT$1203,0)),"huérfano",IF(COUNTIF($A$4:$A65,$A65)&gt;1,"duplicado (se ignora)","aplicado")))</f>
        <v/>
      </c>
      <c r="G65" s="28">
        <f>IF($F65&lt;&gt;"aplicado","",IF(IFERROR(INDEX('ORDENES'!$K$4:$K$1203,MATCH($A65,'ORDENES'!$AT$4:$AT$1203,0)),"")="","",$B65-IFERROR(INDEX('ORDENES'!$K$4:$K$1203,MATCH($A65,'ORDENES'!$AT$4:$AT$1203,0)),"")))</f>
        <v/>
      </c>
    </row>
    <row r="66">
      <c r="A66" s="4" t="n"/>
      <c r="B66" s="26" t="n"/>
      <c r="C66" s="4" t="n"/>
      <c r="D66" s="27" t="n"/>
      <c r="E66" s="5">
        <f>IF($A66="","",IFERROR(INDEX('ORDENES'!$D$4:$D$1203,MATCH($A66,'ORDENES'!$AT$4:$AT$1203,0)),"(no encontrada)"))</f>
        <v/>
      </c>
      <c r="F66" s="5">
        <f>IF($A66="","",IF(ISNA(MATCH($A66,'ORDENES'!$AT$4:$AT$1203,0)),"huérfano",IF(COUNTIF($A$4:$A66,$A66)&gt;1,"duplicado (se ignora)","aplicado")))</f>
        <v/>
      </c>
      <c r="G66" s="28">
        <f>IF($F66&lt;&gt;"aplicado","",IF(IFERROR(INDEX('ORDENES'!$K$4:$K$1203,MATCH($A66,'ORDENES'!$AT$4:$AT$1203,0)),"")="","",$B66-IFERROR(INDEX('ORDENES'!$K$4:$K$1203,MATCH($A66,'ORDENES'!$AT$4:$AT$1203,0)),"")))</f>
        <v/>
      </c>
    </row>
    <row r="67">
      <c r="A67" s="4" t="n"/>
      <c r="B67" s="26" t="n"/>
      <c r="C67" s="4" t="n"/>
      <c r="D67" s="27" t="n"/>
      <c r="E67" s="5">
        <f>IF($A67="","",IFERROR(INDEX('ORDENES'!$D$4:$D$1203,MATCH($A67,'ORDENES'!$AT$4:$AT$1203,0)),"(no encontrada)"))</f>
        <v/>
      </c>
      <c r="F67" s="5">
        <f>IF($A67="","",IF(ISNA(MATCH($A67,'ORDENES'!$AT$4:$AT$1203,0)),"huérfano",IF(COUNTIF($A$4:$A67,$A67)&gt;1,"duplicado (se ignora)","aplicado")))</f>
        <v/>
      </c>
      <c r="G67" s="28">
        <f>IF($F67&lt;&gt;"aplicado","",IF(IFERROR(INDEX('ORDENES'!$K$4:$K$1203,MATCH($A67,'ORDENES'!$AT$4:$AT$1203,0)),"")="","",$B67-IFERROR(INDEX('ORDENES'!$K$4:$K$1203,MATCH($A67,'ORDENES'!$AT$4:$AT$1203,0)),"")))</f>
        <v/>
      </c>
    </row>
    <row r="68">
      <c r="A68" s="4" t="n"/>
      <c r="B68" s="26" t="n"/>
      <c r="C68" s="4" t="n"/>
      <c r="D68" s="27" t="n"/>
      <c r="E68" s="5">
        <f>IF($A68="","",IFERROR(INDEX('ORDENES'!$D$4:$D$1203,MATCH($A68,'ORDENES'!$AT$4:$AT$1203,0)),"(no encontrada)"))</f>
        <v/>
      </c>
      <c r="F68" s="5">
        <f>IF($A68="","",IF(ISNA(MATCH($A68,'ORDENES'!$AT$4:$AT$1203,0)),"huérfano",IF(COUNTIF($A$4:$A68,$A68)&gt;1,"duplicado (se ignora)","aplicado")))</f>
        <v/>
      </c>
      <c r="G68" s="28">
        <f>IF($F68&lt;&gt;"aplicado","",IF(IFERROR(INDEX('ORDENES'!$K$4:$K$1203,MATCH($A68,'ORDENES'!$AT$4:$AT$1203,0)),"")="","",$B68-IFERROR(INDEX('ORDENES'!$K$4:$K$1203,MATCH($A68,'ORDENES'!$AT$4:$AT$1203,0)),"")))</f>
        <v/>
      </c>
    </row>
    <row r="69">
      <c r="A69" s="4" t="n"/>
      <c r="B69" s="26" t="n"/>
      <c r="C69" s="4" t="n"/>
      <c r="D69" s="27" t="n"/>
      <c r="E69" s="5">
        <f>IF($A69="","",IFERROR(INDEX('ORDENES'!$D$4:$D$1203,MATCH($A69,'ORDENES'!$AT$4:$AT$1203,0)),"(no encontrada)"))</f>
        <v/>
      </c>
      <c r="F69" s="5">
        <f>IF($A69="","",IF(ISNA(MATCH($A69,'ORDENES'!$AT$4:$AT$1203,0)),"huérfano",IF(COUNTIF($A$4:$A69,$A69)&gt;1,"duplicado (se ignora)","aplicado")))</f>
        <v/>
      </c>
      <c r="G69" s="28">
        <f>IF($F69&lt;&gt;"aplicado","",IF(IFERROR(INDEX('ORDENES'!$K$4:$K$1203,MATCH($A69,'ORDENES'!$AT$4:$AT$1203,0)),"")="","",$B69-IFERROR(INDEX('ORDENES'!$K$4:$K$1203,MATCH($A69,'ORDENES'!$AT$4:$AT$1203,0)),"")))</f>
        <v/>
      </c>
    </row>
    <row r="70">
      <c r="A70" s="4" t="n"/>
      <c r="B70" s="26" t="n"/>
      <c r="C70" s="4" t="n"/>
      <c r="D70" s="27" t="n"/>
      <c r="E70" s="5">
        <f>IF($A70="","",IFERROR(INDEX('ORDENES'!$D$4:$D$1203,MATCH($A70,'ORDENES'!$AT$4:$AT$1203,0)),"(no encontrada)"))</f>
        <v/>
      </c>
      <c r="F70" s="5">
        <f>IF($A70="","",IF(ISNA(MATCH($A70,'ORDENES'!$AT$4:$AT$1203,0)),"huérfano",IF(COUNTIF($A$4:$A70,$A70)&gt;1,"duplicado (se ignora)","aplicado")))</f>
        <v/>
      </c>
      <c r="G70" s="28">
        <f>IF($F70&lt;&gt;"aplicado","",IF(IFERROR(INDEX('ORDENES'!$K$4:$K$1203,MATCH($A70,'ORDENES'!$AT$4:$AT$1203,0)),"")="","",$B70-IFERROR(INDEX('ORDENES'!$K$4:$K$1203,MATCH($A70,'ORDENES'!$AT$4:$AT$1203,0)),"")))</f>
        <v/>
      </c>
    </row>
    <row r="71">
      <c r="A71" s="4" t="n"/>
      <c r="B71" s="26" t="n"/>
      <c r="C71" s="4" t="n"/>
      <c r="D71" s="27" t="n"/>
      <c r="E71" s="5">
        <f>IF($A71="","",IFERROR(INDEX('ORDENES'!$D$4:$D$1203,MATCH($A71,'ORDENES'!$AT$4:$AT$1203,0)),"(no encontrada)"))</f>
        <v/>
      </c>
      <c r="F71" s="5">
        <f>IF($A71="","",IF(ISNA(MATCH($A71,'ORDENES'!$AT$4:$AT$1203,0)),"huérfano",IF(COUNTIF($A$4:$A71,$A71)&gt;1,"duplicado (se ignora)","aplicado")))</f>
        <v/>
      </c>
      <c r="G71" s="28">
        <f>IF($F71&lt;&gt;"aplicado","",IF(IFERROR(INDEX('ORDENES'!$K$4:$K$1203,MATCH($A71,'ORDENES'!$AT$4:$AT$1203,0)),"")="","",$B71-IFERROR(INDEX('ORDENES'!$K$4:$K$1203,MATCH($A71,'ORDENES'!$AT$4:$AT$1203,0)),"")))</f>
        <v/>
      </c>
    </row>
    <row r="72">
      <c r="A72" s="4" t="n"/>
      <c r="B72" s="26" t="n"/>
      <c r="C72" s="4" t="n"/>
      <c r="D72" s="27" t="n"/>
      <c r="E72" s="5">
        <f>IF($A72="","",IFERROR(INDEX('ORDENES'!$D$4:$D$1203,MATCH($A72,'ORDENES'!$AT$4:$AT$1203,0)),"(no encontrada)"))</f>
        <v/>
      </c>
      <c r="F72" s="5">
        <f>IF($A72="","",IF(ISNA(MATCH($A72,'ORDENES'!$AT$4:$AT$1203,0)),"huérfano",IF(COUNTIF($A$4:$A72,$A72)&gt;1,"duplicado (se ignora)","aplicado")))</f>
        <v/>
      </c>
      <c r="G72" s="28">
        <f>IF($F72&lt;&gt;"aplicado","",IF(IFERROR(INDEX('ORDENES'!$K$4:$K$1203,MATCH($A72,'ORDENES'!$AT$4:$AT$1203,0)),"")="","",$B72-IFERROR(INDEX('ORDENES'!$K$4:$K$1203,MATCH($A72,'ORDENES'!$AT$4:$AT$1203,0)),"")))</f>
        <v/>
      </c>
    </row>
    <row r="73">
      <c r="A73" s="4" t="n"/>
      <c r="B73" s="26" t="n"/>
      <c r="C73" s="4" t="n"/>
      <c r="D73" s="27" t="n"/>
      <c r="E73" s="5">
        <f>IF($A73="","",IFERROR(INDEX('ORDENES'!$D$4:$D$1203,MATCH($A73,'ORDENES'!$AT$4:$AT$1203,0)),"(no encontrada)"))</f>
        <v/>
      </c>
      <c r="F73" s="5">
        <f>IF($A73="","",IF(ISNA(MATCH($A73,'ORDENES'!$AT$4:$AT$1203,0)),"huérfano",IF(COUNTIF($A$4:$A73,$A73)&gt;1,"duplicado (se ignora)","aplicado")))</f>
        <v/>
      </c>
      <c r="G73" s="28">
        <f>IF($F73&lt;&gt;"aplicado","",IF(IFERROR(INDEX('ORDENES'!$K$4:$K$1203,MATCH($A73,'ORDENES'!$AT$4:$AT$1203,0)),"")="","",$B73-IFERROR(INDEX('ORDENES'!$K$4:$K$1203,MATCH($A73,'ORDENES'!$AT$4:$AT$1203,0)),"")))</f>
        <v/>
      </c>
    </row>
    <row r="74">
      <c r="A74" s="4" t="n"/>
      <c r="B74" s="26" t="n"/>
      <c r="C74" s="4" t="n"/>
      <c r="D74" s="27" t="n"/>
      <c r="E74" s="5">
        <f>IF($A74="","",IFERROR(INDEX('ORDENES'!$D$4:$D$1203,MATCH($A74,'ORDENES'!$AT$4:$AT$1203,0)),"(no encontrada)"))</f>
        <v/>
      </c>
      <c r="F74" s="5">
        <f>IF($A74="","",IF(ISNA(MATCH($A74,'ORDENES'!$AT$4:$AT$1203,0)),"huérfano",IF(COUNTIF($A$4:$A74,$A74)&gt;1,"duplicado (se ignora)","aplicado")))</f>
        <v/>
      </c>
      <c r="G74" s="28">
        <f>IF($F74&lt;&gt;"aplicado","",IF(IFERROR(INDEX('ORDENES'!$K$4:$K$1203,MATCH($A74,'ORDENES'!$AT$4:$AT$1203,0)),"")="","",$B74-IFERROR(INDEX('ORDENES'!$K$4:$K$1203,MATCH($A74,'ORDENES'!$AT$4:$AT$1203,0)),"")))</f>
        <v/>
      </c>
    </row>
    <row r="75">
      <c r="A75" s="4" t="n"/>
      <c r="B75" s="26" t="n"/>
      <c r="C75" s="4" t="n"/>
      <c r="D75" s="27" t="n"/>
      <c r="E75" s="5">
        <f>IF($A75="","",IFERROR(INDEX('ORDENES'!$D$4:$D$1203,MATCH($A75,'ORDENES'!$AT$4:$AT$1203,0)),"(no encontrada)"))</f>
        <v/>
      </c>
      <c r="F75" s="5">
        <f>IF($A75="","",IF(ISNA(MATCH($A75,'ORDENES'!$AT$4:$AT$1203,0)),"huérfano",IF(COUNTIF($A$4:$A75,$A75)&gt;1,"duplicado (se ignora)","aplicado")))</f>
        <v/>
      </c>
      <c r="G75" s="28">
        <f>IF($F75&lt;&gt;"aplicado","",IF(IFERROR(INDEX('ORDENES'!$K$4:$K$1203,MATCH($A75,'ORDENES'!$AT$4:$AT$1203,0)),"")="","",$B75-IFERROR(INDEX('ORDENES'!$K$4:$K$1203,MATCH($A75,'ORDENES'!$AT$4:$AT$1203,0)),"")))</f>
        <v/>
      </c>
    </row>
    <row r="76">
      <c r="A76" s="4" t="n"/>
      <c r="B76" s="26" t="n"/>
      <c r="C76" s="4" t="n"/>
      <c r="D76" s="27" t="n"/>
      <c r="E76" s="5">
        <f>IF($A76="","",IFERROR(INDEX('ORDENES'!$D$4:$D$1203,MATCH($A76,'ORDENES'!$AT$4:$AT$1203,0)),"(no encontrada)"))</f>
        <v/>
      </c>
      <c r="F76" s="5">
        <f>IF($A76="","",IF(ISNA(MATCH($A76,'ORDENES'!$AT$4:$AT$1203,0)),"huérfano",IF(COUNTIF($A$4:$A76,$A76)&gt;1,"duplicado (se ignora)","aplicado")))</f>
        <v/>
      </c>
      <c r="G76" s="28">
        <f>IF($F76&lt;&gt;"aplicado","",IF(IFERROR(INDEX('ORDENES'!$K$4:$K$1203,MATCH($A76,'ORDENES'!$AT$4:$AT$1203,0)),"")="","",$B76-IFERROR(INDEX('ORDENES'!$K$4:$K$1203,MATCH($A76,'ORDENES'!$AT$4:$AT$1203,0)),"")))</f>
        <v/>
      </c>
    </row>
    <row r="77">
      <c r="A77" s="4" t="n"/>
      <c r="B77" s="26" t="n"/>
      <c r="C77" s="4" t="n"/>
      <c r="D77" s="27" t="n"/>
      <c r="E77" s="5">
        <f>IF($A77="","",IFERROR(INDEX('ORDENES'!$D$4:$D$1203,MATCH($A77,'ORDENES'!$AT$4:$AT$1203,0)),"(no encontrada)"))</f>
        <v/>
      </c>
      <c r="F77" s="5">
        <f>IF($A77="","",IF(ISNA(MATCH($A77,'ORDENES'!$AT$4:$AT$1203,0)),"huérfano",IF(COUNTIF($A$4:$A77,$A77)&gt;1,"duplicado (se ignora)","aplicado")))</f>
        <v/>
      </c>
      <c r="G77" s="28">
        <f>IF($F77&lt;&gt;"aplicado","",IF(IFERROR(INDEX('ORDENES'!$K$4:$K$1203,MATCH($A77,'ORDENES'!$AT$4:$AT$1203,0)),"")="","",$B77-IFERROR(INDEX('ORDENES'!$K$4:$K$1203,MATCH($A77,'ORDENES'!$AT$4:$AT$1203,0)),"")))</f>
        <v/>
      </c>
    </row>
    <row r="78">
      <c r="A78" s="4" t="n"/>
      <c r="B78" s="26" t="n"/>
      <c r="C78" s="4" t="n"/>
      <c r="D78" s="27" t="n"/>
      <c r="E78" s="5">
        <f>IF($A78="","",IFERROR(INDEX('ORDENES'!$D$4:$D$1203,MATCH($A78,'ORDENES'!$AT$4:$AT$1203,0)),"(no encontrada)"))</f>
        <v/>
      </c>
      <c r="F78" s="5">
        <f>IF($A78="","",IF(ISNA(MATCH($A78,'ORDENES'!$AT$4:$AT$1203,0)),"huérfano",IF(COUNTIF($A$4:$A78,$A78)&gt;1,"duplicado (se ignora)","aplicado")))</f>
        <v/>
      </c>
      <c r="G78" s="28">
        <f>IF($F78&lt;&gt;"aplicado","",IF(IFERROR(INDEX('ORDENES'!$K$4:$K$1203,MATCH($A78,'ORDENES'!$AT$4:$AT$1203,0)),"")="","",$B78-IFERROR(INDEX('ORDENES'!$K$4:$K$1203,MATCH($A78,'ORDENES'!$AT$4:$AT$1203,0)),"")))</f>
        <v/>
      </c>
    </row>
    <row r="79">
      <c r="A79" s="4" t="n"/>
      <c r="B79" s="26" t="n"/>
      <c r="C79" s="4" t="n"/>
      <c r="D79" s="27" t="n"/>
      <c r="E79" s="5">
        <f>IF($A79="","",IFERROR(INDEX('ORDENES'!$D$4:$D$1203,MATCH($A79,'ORDENES'!$AT$4:$AT$1203,0)),"(no encontrada)"))</f>
        <v/>
      </c>
      <c r="F79" s="5">
        <f>IF($A79="","",IF(ISNA(MATCH($A79,'ORDENES'!$AT$4:$AT$1203,0)),"huérfano",IF(COUNTIF($A$4:$A79,$A79)&gt;1,"duplicado (se ignora)","aplicado")))</f>
        <v/>
      </c>
      <c r="G79" s="28">
        <f>IF($F79&lt;&gt;"aplicado","",IF(IFERROR(INDEX('ORDENES'!$K$4:$K$1203,MATCH($A79,'ORDENES'!$AT$4:$AT$1203,0)),"")="","",$B79-IFERROR(INDEX('ORDENES'!$K$4:$K$1203,MATCH($A79,'ORDENES'!$AT$4:$AT$1203,0)),"")))</f>
        <v/>
      </c>
    </row>
    <row r="80">
      <c r="A80" s="4" t="n"/>
      <c r="B80" s="26" t="n"/>
      <c r="C80" s="4" t="n"/>
      <c r="D80" s="27" t="n"/>
      <c r="E80" s="5">
        <f>IF($A80="","",IFERROR(INDEX('ORDENES'!$D$4:$D$1203,MATCH($A80,'ORDENES'!$AT$4:$AT$1203,0)),"(no encontrada)"))</f>
        <v/>
      </c>
      <c r="F80" s="5">
        <f>IF($A80="","",IF(ISNA(MATCH($A80,'ORDENES'!$AT$4:$AT$1203,0)),"huérfano",IF(COUNTIF($A$4:$A80,$A80)&gt;1,"duplicado (se ignora)","aplicado")))</f>
        <v/>
      </c>
      <c r="G80" s="28">
        <f>IF($F80&lt;&gt;"aplicado","",IF(IFERROR(INDEX('ORDENES'!$K$4:$K$1203,MATCH($A80,'ORDENES'!$AT$4:$AT$1203,0)),"")="","",$B80-IFERROR(INDEX('ORDENES'!$K$4:$K$1203,MATCH($A80,'ORDENES'!$AT$4:$AT$1203,0)),"")))</f>
        <v/>
      </c>
    </row>
    <row r="81">
      <c r="A81" s="4" t="n"/>
      <c r="B81" s="26" t="n"/>
      <c r="C81" s="4" t="n"/>
      <c r="D81" s="27" t="n"/>
      <c r="E81" s="5">
        <f>IF($A81="","",IFERROR(INDEX('ORDENES'!$D$4:$D$1203,MATCH($A81,'ORDENES'!$AT$4:$AT$1203,0)),"(no encontrada)"))</f>
        <v/>
      </c>
      <c r="F81" s="5">
        <f>IF($A81="","",IF(ISNA(MATCH($A81,'ORDENES'!$AT$4:$AT$1203,0)),"huérfano",IF(COUNTIF($A$4:$A81,$A81)&gt;1,"duplicado (se ignora)","aplicado")))</f>
        <v/>
      </c>
      <c r="G81" s="28">
        <f>IF($F81&lt;&gt;"aplicado","",IF(IFERROR(INDEX('ORDENES'!$K$4:$K$1203,MATCH($A81,'ORDENES'!$AT$4:$AT$1203,0)),"")="","",$B81-IFERROR(INDEX('ORDENES'!$K$4:$K$1203,MATCH($A81,'ORDENES'!$AT$4:$AT$1203,0)),"")))</f>
        <v/>
      </c>
    </row>
    <row r="82">
      <c r="A82" s="4" t="n"/>
      <c r="B82" s="26" t="n"/>
      <c r="C82" s="4" t="n"/>
      <c r="D82" s="27" t="n"/>
      <c r="E82" s="5">
        <f>IF($A82="","",IFERROR(INDEX('ORDENES'!$D$4:$D$1203,MATCH($A82,'ORDENES'!$AT$4:$AT$1203,0)),"(no encontrada)"))</f>
        <v/>
      </c>
      <c r="F82" s="5">
        <f>IF($A82="","",IF(ISNA(MATCH($A82,'ORDENES'!$AT$4:$AT$1203,0)),"huérfano",IF(COUNTIF($A$4:$A82,$A82)&gt;1,"duplicado (se ignora)","aplicado")))</f>
        <v/>
      </c>
      <c r="G82" s="28">
        <f>IF($F82&lt;&gt;"aplicado","",IF(IFERROR(INDEX('ORDENES'!$K$4:$K$1203,MATCH($A82,'ORDENES'!$AT$4:$AT$1203,0)),"")="","",$B82-IFERROR(INDEX('ORDENES'!$K$4:$K$1203,MATCH($A82,'ORDENES'!$AT$4:$AT$1203,0)),"")))</f>
        <v/>
      </c>
    </row>
    <row r="83">
      <c r="A83" s="4" t="n"/>
      <c r="B83" s="26" t="n"/>
      <c r="C83" s="4" t="n"/>
      <c r="D83" s="27" t="n"/>
      <c r="E83" s="5">
        <f>IF($A83="","",IFERROR(INDEX('ORDENES'!$D$4:$D$1203,MATCH($A83,'ORDENES'!$AT$4:$AT$1203,0)),"(no encontrada)"))</f>
        <v/>
      </c>
      <c r="F83" s="5">
        <f>IF($A83="","",IF(ISNA(MATCH($A83,'ORDENES'!$AT$4:$AT$1203,0)),"huérfano",IF(COUNTIF($A$4:$A83,$A83)&gt;1,"duplicado (se ignora)","aplicado")))</f>
        <v/>
      </c>
      <c r="G83" s="28">
        <f>IF($F83&lt;&gt;"aplicado","",IF(IFERROR(INDEX('ORDENES'!$K$4:$K$1203,MATCH($A83,'ORDENES'!$AT$4:$AT$1203,0)),"")="","",$B83-IFERROR(INDEX('ORDENES'!$K$4:$K$1203,MATCH($A83,'ORDENES'!$AT$4:$AT$1203,0)),"")))</f>
        <v/>
      </c>
    </row>
    <row r="84">
      <c r="A84" s="4" t="n"/>
      <c r="B84" s="26" t="n"/>
      <c r="C84" s="4" t="n"/>
      <c r="D84" s="27" t="n"/>
      <c r="E84" s="5">
        <f>IF($A84="","",IFERROR(INDEX('ORDENES'!$D$4:$D$1203,MATCH($A84,'ORDENES'!$AT$4:$AT$1203,0)),"(no encontrada)"))</f>
        <v/>
      </c>
      <c r="F84" s="5">
        <f>IF($A84="","",IF(ISNA(MATCH($A84,'ORDENES'!$AT$4:$AT$1203,0)),"huérfano",IF(COUNTIF($A$4:$A84,$A84)&gt;1,"duplicado (se ignora)","aplicado")))</f>
        <v/>
      </c>
      <c r="G84" s="28">
        <f>IF($F84&lt;&gt;"aplicado","",IF(IFERROR(INDEX('ORDENES'!$K$4:$K$1203,MATCH($A84,'ORDENES'!$AT$4:$AT$1203,0)),"")="","",$B84-IFERROR(INDEX('ORDENES'!$K$4:$K$1203,MATCH($A84,'ORDENES'!$AT$4:$AT$1203,0)),"")))</f>
        <v/>
      </c>
    </row>
    <row r="85">
      <c r="A85" s="4" t="n"/>
      <c r="B85" s="26" t="n"/>
      <c r="C85" s="4" t="n"/>
      <c r="D85" s="27" t="n"/>
      <c r="E85" s="5">
        <f>IF($A85="","",IFERROR(INDEX('ORDENES'!$D$4:$D$1203,MATCH($A85,'ORDENES'!$AT$4:$AT$1203,0)),"(no encontrada)"))</f>
        <v/>
      </c>
      <c r="F85" s="5">
        <f>IF($A85="","",IF(ISNA(MATCH($A85,'ORDENES'!$AT$4:$AT$1203,0)),"huérfano",IF(COUNTIF($A$4:$A85,$A85)&gt;1,"duplicado (se ignora)","aplicado")))</f>
        <v/>
      </c>
      <c r="G85" s="28">
        <f>IF($F85&lt;&gt;"aplicado","",IF(IFERROR(INDEX('ORDENES'!$K$4:$K$1203,MATCH($A85,'ORDENES'!$AT$4:$AT$1203,0)),"")="","",$B85-IFERROR(INDEX('ORDENES'!$K$4:$K$1203,MATCH($A85,'ORDENES'!$AT$4:$AT$1203,0)),"")))</f>
        <v/>
      </c>
    </row>
    <row r="86">
      <c r="A86" s="4" t="n"/>
      <c r="B86" s="26" t="n"/>
      <c r="C86" s="4" t="n"/>
      <c r="D86" s="27" t="n"/>
      <c r="E86" s="5">
        <f>IF($A86="","",IFERROR(INDEX('ORDENES'!$D$4:$D$1203,MATCH($A86,'ORDENES'!$AT$4:$AT$1203,0)),"(no encontrada)"))</f>
        <v/>
      </c>
      <c r="F86" s="5">
        <f>IF($A86="","",IF(ISNA(MATCH($A86,'ORDENES'!$AT$4:$AT$1203,0)),"huérfano",IF(COUNTIF($A$4:$A86,$A86)&gt;1,"duplicado (se ignora)","aplicado")))</f>
        <v/>
      </c>
      <c r="G86" s="28">
        <f>IF($F86&lt;&gt;"aplicado","",IF(IFERROR(INDEX('ORDENES'!$K$4:$K$1203,MATCH($A86,'ORDENES'!$AT$4:$AT$1203,0)),"")="","",$B86-IFERROR(INDEX('ORDENES'!$K$4:$K$1203,MATCH($A86,'ORDENES'!$AT$4:$AT$1203,0)),"")))</f>
        <v/>
      </c>
    </row>
    <row r="87">
      <c r="A87" s="4" t="n"/>
      <c r="B87" s="26" t="n"/>
      <c r="C87" s="4" t="n"/>
      <c r="D87" s="27" t="n"/>
      <c r="E87" s="5">
        <f>IF($A87="","",IFERROR(INDEX('ORDENES'!$D$4:$D$1203,MATCH($A87,'ORDENES'!$AT$4:$AT$1203,0)),"(no encontrada)"))</f>
        <v/>
      </c>
      <c r="F87" s="5">
        <f>IF($A87="","",IF(ISNA(MATCH($A87,'ORDENES'!$AT$4:$AT$1203,0)),"huérfano",IF(COUNTIF($A$4:$A87,$A87)&gt;1,"duplicado (se ignora)","aplicado")))</f>
        <v/>
      </c>
      <c r="G87" s="28">
        <f>IF($F87&lt;&gt;"aplicado","",IF(IFERROR(INDEX('ORDENES'!$K$4:$K$1203,MATCH($A87,'ORDENES'!$AT$4:$AT$1203,0)),"")="","",$B87-IFERROR(INDEX('ORDENES'!$K$4:$K$1203,MATCH($A87,'ORDENES'!$AT$4:$AT$1203,0)),"")))</f>
        <v/>
      </c>
    </row>
    <row r="88">
      <c r="A88" s="4" t="n"/>
      <c r="B88" s="26" t="n"/>
      <c r="C88" s="4" t="n"/>
      <c r="D88" s="27" t="n"/>
      <c r="E88" s="5">
        <f>IF($A88="","",IFERROR(INDEX('ORDENES'!$D$4:$D$1203,MATCH($A88,'ORDENES'!$AT$4:$AT$1203,0)),"(no encontrada)"))</f>
        <v/>
      </c>
      <c r="F88" s="5">
        <f>IF($A88="","",IF(ISNA(MATCH($A88,'ORDENES'!$AT$4:$AT$1203,0)),"huérfano",IF(COUNTIF($A$4:$A88,$A88)&gt;1,"duplicado (se ignora)","aplicado")))</f>
        <v/>
      </c>
      <c r="G88" s="28">
        <f>IF($F88&lt;&gt;"aplicado","",IF(IFERROR(INDEX('ORDENES'!$K$4:$K$1203,MATCH($A88,'ORDENES'!$AT$4:$AT$1203,0)),"")="","",$B88-IFERROR(INDEX('ORDENES'!$K$4:$K$1203,MATCH($A88,'ORDENES'!$AT$4:$AT$1203,0)),"")))</f>
        <v/>
      </c>
    </row>
    <row r="89">
      <c r="A89" s="4" t="n"/>
      <c r="B89" s="26" t="n"/>
      <c r="C89" s="4" t="n"/>
      <c r="D89" s="27" t="n"/>
      <c r="E89" s="5">
        <f>IF($A89="","",IFERROR(INDEX('ORDENES'!$D$4:$D$1203,MATCH($A89,'ORDENES'!$AT$4:$AT$1203,0)),"(no encontrada)"))</f>
        <v/>
      </c>
      <c r="F89" s="5">
        <f>IF($A89="","",IF(ISNA(MATCH($A89,'ORDENES'!$AT$4:$AT$1203,0)),"huérfano",IF(COUNTIF($A$4:$A89,$A89)&gt;1,"duplicado (se ignora)","aplicado")))</f>
        <v/>
      </c>
      <c r="G89" s="28">
        <f>IF($F89&lt;&gt;"aplicado","",IF(IFERROR(INDEX('ORDENES'!$K$4:$K$1203,MATCH($A89,'ORDENES'!$AT$4:$AT$1203,0)),"")="","",$B89-IFERROR(INDEX('ORDENES'!$K$4:$K$1203,MATCH($A89,'ORDENES'!$AT$4:$AT$1203,0)),"")))</f>
        <v/>
      </c>
    </row>
    <row r="90">
      <c r="A90" s="4" t="n"/>
      <c r="B90" s="26" t="n"/>
      <c r="C90" s="4" t="n"/>
      <c r="D90" s="27" t="n"/>
      <c r="E90" s="5">
        <f>IF($A90="","",IFERROR(INDEX('ORDENES'!$D$4:$D$1203,MATCH($A90,'ORDENES'!$AT$4:$AT$1203,0)),"(no encontrada)"))</f>
        <v/>
      </c>
      <c r="F90" s="5">
        <f>IF($A90="","",IF(ISNA(MATCH($A90,'ORDENES'!$AT$4:$AT$1203,0)),"huérfano",IF(COUNTIF($A$4:$A90,$A90)&gt;1,"duplicado (se ignora)","aplicado")))</f>
        <v/>
      </c>
      <c r="G90" s="28">
        <f>IF($F90&lt;&gt;"aplicado","",IF(IFERROR(INDEX('ORDENES'!$K$4:$K$1203,MATCH($A90,'ORDENES'!$AT$4:$AT$1203,0)),"")="","",$B90-IFERROR(INDEX('ORDENES'!$K$4:$K$1203,MATCH($A90,'ORDENES'!$AT$4:$AT$1203,0)),"")))</f>
        <v/>
      </c>
    </row>
    <row r="91">
      <c r="A91" s="4" t="n"/>
      <c r="B91" s="26" t="n"/>
      <c r="C91" s="4" t="n"/>
      <c r="D91" s="27" t="n"/>
      <c r="E91" s="5">
        <f>IF($A91="","",IFERROR(INDEX('ORDENES'!$D$4:$D$1203,MATCH($A91,'ORDENES'!$AT$4:$AT$1203,0)),"(no encontrada)"))</f>
        <v/>
      </c>
      <c r="F91" s="5">
        <f>IF($A91="","",IF(ISNA(MATCH($A91,'ORDENES'!$AT$4:$AT$1203,0)),"huérfano",IF(COUNTIF($A$4:$A91,$A91)&gt;1,"duplicado (se ignora)","aplicado")))</f>
        <v/>
      </c>
      <c r="G91" s="28">
        <f>IF($F91&lt;&gt;"aplicado","",IF(IFERROR(INDEX('ORDENES'!$K$4:$K$1203,MATCH($A91,'ORDENES'!$AT$4:$AT$1203,0)),"")="","",$B91-IFERROR(INDEX('ORDENES'!$K$4:$K$1203,MATCH($A91,'ORDENES'!$AT$4:$AT$1203,0)),"")))</f>
        <v/>
      </c>
    </row>
    <row r="92">
      <c r="A92" s="4" t="n"/>
      <c r="B92" s="26" t="n"/>
      <c r="C92" s="4" t="n"/>
      <c r="D92" s="27" t="n"/>
      <c r="E92" s="5">
        <f>IF($A92="","",IFERROR(INDEX('ORDENES'!$D$4:$D$1203,MATCH($A92,'ORDENES'!$AT$4:$AT$1203,0)),"(no encontrada)"))</f>
        <v/>
      </c>
      <c r="F92" s="5">
        <f>IF($A92="","",IF(ISNA(MATCH($A92,'ORDENES'!$AT$4:$AT$1203,0)),"huérfano",IF(COUNTIF($A$4:$A92,$A92)&gt;1,"duplicado (se ignora)","aplicado")))</f>
        <v/>
      </c>
      <c r="G92" s="28">
        <f>IF($F92&lt;&gt;"aplicado","",IF(IFERROR(INDEX('ORDENES'!$K$4:$K$1203,MATCH($A92,'ORDENES'!$AT$4:$AT$1203,0)),"")="","",$B92-IFERROR(INDEX('ORDENES'!$K$4:$K$1203,MATCH($A92,'ORDENES'!$AT$4:$AT$1203,0)),"")))</f>
        <v/>
      </c>
    </row>
    <row r="93">
      <c r="A93" s="4" t="n"/>
      <c r="B93" s="26" t="n"/>
      <c r="C93" s="4" t="n"/>
      <c r="D93" s="27" t="n"/>
      <c r="E93" s="5">
        <f>IF($A93="","",IFERROR(INDEX('ORDENES'!$D$4:$D$1203,MATCH($A93,'ORDENES'!$AT$4:$AT$1203,0)),"(no encontrada)"))</f>
        <v/>
      </c>
      <c r="F93" s="5">
        <f>IF($A93="","",IF(ISNA(MATCH($A93,'ORDENES'!$AT$4:$AT$1203,0)),"huérfano",IF(COUNTIF($A$4:$A93,$A93)&gt;1,"duplicado (se ignora)","aplicado")))</f>
        <v/>
      </c>
      <c r="G93" s="28">
        <f>IF($F93&lt;&gt;"aplicado","",IF(IFERROR(INDEX('ORDENES'!$K$4:$K$1203,MATCH($A93,'ORDENES'!$AT$4:$AT$1203,0)),"")="","",$B93-IFERROR(INDEX('ORDENES'!$K$4:$K$1203,MATCH($A93,'ORDENES'!$AT$4:$AT$1203,0)),"")))</f>
        <v/>
      </c>
    </row>
    <row r="94">
      <c r="A94" s="4" t="n"/>
      <c r="B94" s="26" t="n"/>
      <c r="C94" s="4" t="n"/>
      <c r="D94" s="27" t="n"/>
      <c r="E94" s="5">
        <f>IF($A94="","",IFERROR(INDEX('ORDENES'!$D$4:$D$1203,MATCH($A94,'ORDENES'!$AT$4:$AT$1203,0)),"(no encontrada)"))</f>
        <v/>
      </c>
      <c r="F94" s="5">
        <f>IF($A94="","",IF(ISNA(MATCH($A94,'ORDENES'!$AT$4:$AT$1203,0)),"huérfano",IF(COUNTIF($A$4:$A94,$A94)&gt;1,"duplicado (se ignora)","aplicado")))</f>
        <v/>
      </c>
      <c r="G94" s="28">
        <f>IF($F94&lt;&gt;"aplicado","",IF(IFERROR(INDEX('ORDENES'!$K$4:$K$1203,MATCH($A94,'ORDENES'!$AT$4:$AT$1203,0)),"")="","",$B94-IFERROR(INDEX('ORDENES'!$K$4:$K$1203,MATCH($A94,'ORDENES'!$AT$4:$AT$1203,0)),"")))</f>
        <v/>
      </c>
    </row>
    <row r="95">
      <c r="A95" s="4" t="n"/>
      <c r="B95" s="26" t="n"/>
      <c r="C95" s="4" t="n"/>
      <c r="D95" s="27" t="n"/>
      <c r="E95" s="5">
        <f>IF($A95="","",IFERROR(INDEX('ORDENES'!$D$4:$D$1203,MATCH($A95,'ORDENES'!$AT$4:$AT$1203,0)),"(no encontrada)"))</f>
        <v/>
      </c>
      <c r="F95" s="5">
        <f>IF($A95="","",IF(ISNA(MATCH($A95,'ORDENES'!$AT$4:$AT$1203,0)),"huérfano",IF(COUNTIF($A$4:$A95,$A95)&gt;1,"duplicado (se ignora)","aplicado")))</f>
        <v/>
      </c>
      <c r="G95" s="28">
        <f>IF($F95&lt;&gt;"aplicado","",IF(IFERROR(INDEX('ORDENES'!$K$4:$K$1203,MATCH($A95,'ORDENES'!$AT$4:$AT$1203,0)),"")="","",$B95-IFERROR(INDEX('ORDENES'!$K$4:$K$1203,MATCH($A95,'ORDENES'!$AT$4:$AT$1203,0)),"")))</f>
        <v/>
      </c>
    </row>
    <row r="96">
      <c r="A96" s="4" t="n"/>
      <c r="B96" s="26" t="n"/>
      <c r="C96" s="4" t="n"/>
      <c r="D96" s="27" t="n"/>
      <c r="E96" s="5">
        <f>IF($A96="","",IFERROR(INDEX('ORDENES'!$D$4:$D$1203,MATCH($A96,'ORDENES'!$AT$4:$AT$1203,0)),"(no encontrada)"))</f>
        <v/>
      </c>
      <c r="F96" s="5">
        <f>IF($A96="","",IF(ISNA(MATCH($A96,'ORDENES'!$AT$4:$AT$1203,0)),"huérfano",IF(COUNTIF($A$4:$A96,$A96)&gt;1,"duplicado (se ignora)","aplicado")))</f>
        <v/>
      </c>
      <c r="G96" s="28">
        <f>IF($F96&lt;&gt;"aplicado","",IF(IFERROR(INDEX('ORDENES'!$K$4:$K$1203,MATCH($A96,'ORDENES'!$AT$4:$AT$1203,0)),"")="","",$B96-IFERROR(INDEX('ORDENES'!$K$4:$K$1203,MATCH($A96,'ORDENES'!$AT$4:$AT$1203,0)),"")))</f>
        <v/>
      </c>
    </row>
    <row r="97">
      <c r="A97" s="4" t="n"/>
      <c r="B97" s="26" t="n"/>
      <c r="C97" s="4" t="n"/>
      <c r="D97" s="27" t="n"/>
      <c r="E97" s="5">
        <f>IF($A97="","",IFERROR(INDEX('ORDENES'!$D$4:$D$1203,MATCH($A97,'ORDENES'!$AT$4:$AT$1203,0)),"(no encontrada)"))</f>
        <v/>
      </c>
      <c r="F97" s="5">
        <f>IF($A97="","",IF(ISNA(MATCH($A97,'ORDENES'!$AT$4:$AT$1203,0)),"huérfano",IF(COUNTIF($A$4:$A97,$A97)&gt;1,"duplicado (se ignora)","aplicado")))</f>
        <v/>
      </c>
      <c r="G97" s="28">
        <f>IF($F97&lt;&gt;"aplicado","",IF(IFERROR(INDEX('ORDENES'!$K$4:$K$1203,MATCH($A97,'ORDENES'!$AT$4:$AT$1203,0)),"")="","",$B97-IFERROR(INDEX('ORDENES'!$K$4:$K$1203,MATCH($A97,'ORDENES'!$AT$4:$AT$1203,0)),"")))</f>
        <v/>
      </c>
    </row>
    <row r="98">
      <c r="A98" s="4" t="n"/>
      <c r="B98" s="26" t="n"/>
      <c r="C98" s="4" t="n"/>
      <c r="D98" s="27" t="n"/>
      <c r="E98" s="5">
        <f>IF($A98="","",IFERROR(INDEX('ORDENES'!$D$4:$D$1203,MATCH($A98,'ORDENES'!$AT$4:$AT$1203,0)),"(no encontrada)"))</f>
        <v/>
      </c>
      <c r="F98" s="5">
        <f>IF($A98="","",IF(ISNA(MATCH($A98,'ORDENES'!$AT$4:$AT$1203,0)),"huérfano",IF(COUNTIF($A$4:$A98,$A98)&gt;1,"duplicado (se ignora)","aplicado")))</f>
        <v/>
      </c>
      <c r="G98" s="28">
        <f>IF($F98&lt;&gt;"aplicado","",IF(IFERROR(INDEX('ORDENES'!$K$4:$K$1203,MATCH($A98,'ORDENES'!$AT$4:$AT$1203,0)),"")="","",$B98-IFERROR(INDEX('ORDENES'!$K$4:$K$1203,MATCH($A98,'ORDENES'!$AT$4:$AT$1203,0)),"")))</f>
        <v/>
      </c>
    </row>
    <row r="99">
      <c r="A99" s="4" t="n"/>
      <c r="B99" s="26" t="n"/>
      <c r="C99" s="4" t="n"/>
      <c r="D99" s="27" t="n"/>
      <c r="E99" s="5">
        <f>IF($A99="","",IFERROR(INDEX('ORDENES'!$D$4:$D$1203,MATCH($A99,'ORDENES'!$AT$4:$AT$1203,0)),"(no encontrada)"))</f>
        <v/>
      </c>
      <c r="F99" s="5">
        <f>IF($A99="","",IF(ISNA(MATCH($A99,'ORDENES'!$AT$4:$AT$1203,0)),"huérfano",IF(COUNTIF($A$4:$A99,$A99)&gt;1,"duplicado (se ignora)","aplicado")))</f>
        <v/>
      </c>
      <c r="G99" s="28">
        <f>IF($F99&lt;&gt;"aplicado","",IF(IFERROR(INDEX('ORDENES'!$K$4:$K$1203,MATCH($A99,'ORDENES'!$AT$4:$AT$1203,0)),"")="","",$B99-IFERROR(INDEX('ORDENES'!$K$4:$K$1203,MATCH($A99,'ORDENES'!$AT$4:$AT$1203,0)),"")))</f>
        <v/>
      </c>
    </row>
    <row r="100">
      <c r="A100" s="4" t="n"/>
      <c r="B100" s="26" t="n"/>
      <c r="C100" s="4" t="n"/>
      <c r="D100" s="27" t="n"/>
      <c r="E100" s="5">
        <f>IF($A100="","",IFERROR(INDEX('ORDENES'!$D$4:$D$1203,MATCH($A100,'ORDENES'!$AT$4:$AT$1203,0)),"(no encontrada)"))</f>
        <v/>
      </c>
      <c r="F100" s="5">
        <f>IF($A100="","",IF(ISNA(MATCH($A100,'ORDENES'!$AT$4:$AT$1203,0)),"huérfano",IF(COUNTIF($A$4:$A100,$A100)&gt;1,"duplicado (se ignora)","aplicado")))</f>
        <v/>
      </c>
      <c r="G100" s="28">
        <f>IF($F100&lt;&gt;"aplicado","",IF(IFERROR(INDEX('ORDENES'!$K$4:$K$1203,MATCH($A100,'ORDENES'!$AT$4:$AT$1203,0)),"")="","",$B100-IFERROR(INDEX('ORDENES'!$K$4:$K$1203,MATCH($A100,'ORDENES'!$AT$4:$AT$1203,0)),"")))</f>
        <v/>
      </c>
    </row>
    <row r="101">
      <c r="A101" s="4" t="n"/>
      <c r="B101" s="26" t="n"/>
      <c r="C101" s="4" t="n"/>
      <c r="D101" s="27" t="n"/>
      <c r="E101" s="5">
        <f>IF($A101="","",IFERROR(INDEX('ORDENES'!$D$4:$D$1203,MATCH($A101,'ORDENES'!$AT$4:$AT$1203,0)),"(no encontrada)"))</f>
        <v/>
      </c>
      <c r="F101" s="5">
        <f>IF($A101="","",IF(ISNA(MATCH($A101,'ORDENES'!$AT$4:$AT$1203,0)),"huérfano",IF(COUNTIF($A$4:$A101,$A101)&gt;1,"duplicado (se ignora)","aplicado")))</f>
        <v/>
      </c>
      <c r="G101" s="28">
        <f>IF($F101&lt;&gt;"aplicado","",IF(IFERROR(INDEX('ORDENES'!$K$4:$K$1203,MATCH($A101,'ORDENES'!$AT$4:$AT$1203,0)),"")="","",$B101-IFERROR(INDEX('ORDENES'!$K$4:$K$1203,MATCH($A101,'ORDENES'!$AT$4:$AT$1203,0)),"")))</f>
        <v/>
      </c>
    </row>
    <row r="102">
      <c r="A102" s="4" t="n"/>
      <c r="B102" s="26" t="n"/>
      <c r="C102" s="4" t="n"/>
      <c r="D102" s="27" t="n"/>
      <c r="E102" s="5">
        <f>IF($A102="","",IFERROR(INDEX('ORDENES'!$D$4:$D$1203,MATCH($A102,'ORDENES'!$AT$4:$AT$1203,0)),"(no encontrada)"))</f>
        <v/>
      </c>
      <c r="F102" s="5">
        <f>IF($A102="","",IF(ISNA(MATCH($A102,'ORDENES'!$AT$4:$AT$1203,0)),"huérfano",IF(COUNTIF($A$4:$A102,$A102)&gt;1,"duplicado (se ignora)","aplicado")))</f>
        <v/>
      </c>
      <c r="G102" s="28">
        <f>IF($F102&lt;&gt;"aplicado","",IF(IFERROR(INDEX('ORDENES'!$K$4:$K$1203,MATCH($A102,'ORDENES'!$AT$4:$AT$1203,0)),"")="","",$B102-IFERROR(INDEX('ORDENES'!$K$4:$K$1203,MATCH($A102,'ORDENES'!$AT$4:$AT$1203,0)),"")))</f>
        <v/>
      </c>
    </row>
    <row r="103">
      <c r="A103" s="4" t="n"/>
      <c r="B103" s="26" t="n"/>
      <c r="C103" s="4" t="n"/>
      <c r="D103" s="27" t="n"/>
      <c r="E103" s="5">
        <f>IF($A103="","",IFERROR(INDEX('ORDENES'!$D$4:$D$1203,MATCH($A103,'ORDENES'!$AT$4:$AT$1203,0)),"(no encontrada)"))</f>
        <v/>
      </c>
      <c r="F103" s="5">
        <f>IF($A103="","",IF(ISNA(MATCH($A103,'ORDENES'!$AT$4:$AT$1203,0)),"huérfano",IF(COUNTIF($A$4:$A103,$A103)&gt;1,"duplicado (se ignora)","aplicado")))</f>
        <v/>
      </c>
      <c r="G103" s="28">
        <f>IF($F103&lt;&gt;"aplicado","",IF(IFERROR(INDEX('ORDENES'!$K$4:$K$1203,MATCH($A103,'ORDENES'!$AT$4:$AT$1203,0)),"")="","",$B103-IFERROR(INDEX('ORDENES'!$K$4:$K$1203,MATCH($A103,'ORDENES'!$AT$4:$AT$1203,0)),"")))</f>
        <v/>
      </c>
    </row>
    <row r="104">
      <c r="A104" s="4" t="n"/>
      <c r="B104" s="26" t="n"/>
      <c r="C104" s="4" t="n"/>
      <c r="D104" s="27" t="n"/>
      <c r="E104" s="5">
        <f>IF($A104="","",IFERROR(INDEX('ORDENES'!$D$4:$D$1203,MATCH($A104,'ORDENES'!$AT$4:$AT$1203,0)),"(no encontrada)"))</f>
        <v/>
      </c>
      <c r="F104" s="5">
        <f>IF($A104="","",IF(ISNA(MATCH($A104,'ORDENES'!$AT$4:$AT$1203,0)),"huérfano",IF(COUNTIF($A$4:$A104,$A104)&gt;1,"duplicado (se ignora)","aplicado")))</f>
        <v/>
      </c>
      <c r="G104" s="28">
        <f>IF($F104&lt;&gt;"aplicado","",IF(IFERROR(INDEX('ORDENES'!$K$4:$K$1203,MATCH($A104,'ORDENES'!$AT$4:$AT$1203,0)),"")="","",$B104-IFERROR(INDEX('ORDENES'!$K$4:$K$1203,MATCH($A104,'ORDENES'!$AT$4:$AT$1203,0)),"")))</f>
        <v/>
      </c>
    </row>
    <row r="105">
      <c r="A105" s="4" t="n"/>
      <c r="B105" s="26" t="n"/>
      <c r="C105" s="4" t="n"/>
      <c r="D105" s="27" t="n"/>
      <c r="E105" s="5">
        <f>IF($A105="","",IFERROR(INDEX('ORDENES'!$D$4:$D$1203,MATCH($A105,'ORDENES'!$AT$4:$AT$1203,0)),"(no encontrada)"))</f>
        <v/>
      </c>
      <c r="F105" s="5">
        <f>IF($A105="","",IF(ISNA(MATCH($A105,'ORDENES'!$AT$4:$AT$1203,0)),"huérfano",IF(COUNTIF($A$4:$A105,$A105)&gt;1,"duplicado (se ignora)","aplicado")))</f>
        <v/>
      </c>
      <c r="G105" s="28">
        <f>IF($F105&lt;&gt;"aplicado","",IF(IFERROR(INDEX('ORDENES'!$K$4:$K$1203,MATCH($A105,'ORDENES'!$AT$4:$AT$1203,0)),"")="","",$B105-IFERROR(INDEX('ORDENES'!$K$4:$K$1203,MATCH($A105,'ORDENES'!$AT$4:$AT$1203,0)),"")))</f>
        <v/>
      </c>
    </row>
    <row r="106">
      <c r="A106" s="4" t="n"/>
      <c r="B106" s="26" t="n"/>
      <c r="C106" s="4" t="n"/>
      <c r="D106" s="27" t="n"/>
      <c r="E106" s="5">
        <f>IF($A106="","",IFERROR(INDEX('ORDENES'!$D$4:$D$1203,MATCH($A106,'ORDENES'!$AT$4:$AT$1203,0)),"(no encontrada)"))</f>
        <v/>
      </c>
      <c r="F106" s="5">
        <f>IF($A106="","",IF(ISNA(MATCH($A106,'ORDENES'!$AT$4:$AT$1203,0)),"huérfano",IF(COUNTIF($A$4:$A106,$A106)&gt;1,"duplicado (se ignora)","aplicado")))</f>
        <v/>
      </c>
      <c r="G106" s="28">
        <f>IF($F106&lt;&gt;"aplicado","",IF(IFERROR(INDEX('ORDENES'!$K$4:$K$1203,MATCH($A106,'ORDENES'!$AT$4:$AT$1203,0)),"")="","",$B106-IFERROR(INDEX('ORDENES'!$K$4:$K$1203,MATCH($A106,'ORDENES'!$AT$4:$AT$1203,0)),"")))</f>
        <v/>
      </c>
    </row>
    <row r="107">
      <c r="A107" s="4" t="n"/>
      <c r="B107" s="26" t="n"/>
      <c r="C107" s="4" t="n"/>
      <c r="D107" s="27" t="n"/>
      <c r="E107" s="5">
        <f>IF($A107="","",IFERROR(INDEX('ORDENES'!$D$4:$D$1203,MATCH($A107,'ORDENES'!$AT$4:$AT$1203,0)),"(no encontrada)"))</f>
        <v/>
      </c>
      <c r="F107" s="5">
        <f>IF($A107="","",IF(ISNA(MATCH($A107,'ORDENES'!$AT$4:$AT$1203,0)),"huérfano",IF(COUNTIF($A$4:$A107,$A107)&gt;1,"duplicado (se ignora)","aplicado")))</f>
        <v/>
      </c>
      <c r="G107" s="28">
        <f>IF($F107&lt;&gt;"aplicado","",IF(IFERROR(INDEX('ORDENES'!$K$4:$K$1203,MATCH($A107,'ORDENES'!$AT$4:$AT$1203,0)),"")="","",$B107-IFERROR(INDEX('ORDENES'!$K$4:$K$1203,MATCH($A107,'ORDENES'!$AT$4:$AT$1203,0)),"")))</f>
        <v/>
      </c>
    </row>
    <row r="108">
      <c r="A108" s="4" t="n"/>
      <c r="B108" s="26" t="n"/>
      <c r="C108" s="4" t="n"/>
      <c r="D108" s="27" t="n"/>
      <c r="E108" s="5">
        <f>IF($A108="","",IFERROR(INDEX('ORDENES'!$D$4:$D$1203,MATCH($A108,'ORDENES'!$AT$4:$AT$1203,0)),"(no encontrada)"))</f>
        <v/>
      </c>
      <c r="F108" s="5">
        <f>IF($A108="","",IF(ISNA(MATCH($A108,'ORDENES'!$AT$4:$AT$1203,0)),"huérfano",IF(COUNTIF($A$4:$A108,$A108)&gt;1,"duplicado (se ignora)","aplicado")))</f>
        <v/>
      </c>
      <c r="G108" s="28">
        <f>IF($F108&lt;&gt;"aplicado","",IF(IFERROR(INDEX('ORDENES'!$K$4:$K$1203,MATCH($A108,'ORDENES'!$AT$4:$AT$1203,0)),"")="","",$B108-IFERROR(INDEX('ORDENES'!$K$4:$K$1203,MATCH($A108,'ORDENES'!$AT$4:$AT$1203,0)),"")))</f>
        <v/>
      </c>
    </row>
    <row r="109">
      <c r="A109" s="4" t="n"/>
      <c r="B109" s="26" t="n"/>
      <c r="C109" s="4" t="n"/>
      <c r="D109" s="27" t="n"/>
      <c r="E109" s="5">
        <f>IF($A109="","",IFERROR(INDEX('ORDENES'!$D$4:$D$1203,MATCH($A109,'ORDENES'!$AT$4:$AT$1203,0)),"(no encontrada)"))</f>
        <v/>
      </c>
      <c r="F109" s="5">
        <f>IF($A109="","",IF(ISNA(MATCH($A109,'ORDENES'!$AT$4:$AT$1203,0)),"huérfano",IF(COUNTIF($A$4:$A109,$A109)&gt;1,"duplicado (se ignora)","aplicado")))</f>
        <v/>
      </c>
      <c r="G109" s="28">
        <f>IF($F109&lt;&gt;"aplicado","",IF(IFERROR(INDEX('ORDENES'!$K$4:$K$1203,MATCH($A109,'ORDENES'!$AT$4:$AT$1203,0)),"")="","",$B109-IFERROR(INDEX('ORDENES'!$K$4:$K$1203,MATCH($A109,'ORDENES'!$AT$4:$AT$1203,0)),"")))</f>
        <v/>
      </c>
    </row>
    <row r="110">
      <c r="A110" s="4" t="n"/>
      <c r="B110" s="26" t="n"/>
      <c r="C110" s="4" t="n"/>
      <c r="D110" s="27" t="n"/>
      <c r="E110" s="5">
        <f>IF($A110="","",IFERROR(INDEX('ORDENES'!$D$4:$D$1203,MATCH($A110,'ORDENES'!$AT$4:$AT$1203,0)),"(no encontrada)"))</f>
        <v/>
      </c>
      <c r="F110" s="5">
        <f>IF($A110="","",IF(ISNA(MATCH($A110,'ORDENES'!$AT$4:$AT$1203,0)),"huérfano",IF(COUNTIF($A$4:$A110,$A110)&gt;1,"duplicado (se ignora)","aplicado")))</f>
        <v/>
      </c>
      <c r="G110" s="28">
        <f>IF($F110&lt;&gt;"aplicado","",IF(IFERROR(INDEX('ORDENES'!$K$4:$K$1203,MATCH($A110,'ORDENES'!$AT$4:$AT$1203,0)),"")="","",$B110-IFERROR(INDEX('ORDENES'!$K$4:$K$1203,MATCH($A110,'ORDENES'!$AT$4:$AT$1203,0)),"")))</f>
        <v/>
      </c>
    </row>
    <row r="111">
      <c r="A111" s="4" t="n"/>
      <c r="B111" s="26" t="n"/>
      <c r="C111" s="4" t="n"/>
      <c r="D111" s="27" t="n"/>
      <c r="E111" s="5">
        <f>IF($A111="","",IFERROR(INDEX('ORDENES'!$D$4:$D$1203,MATCH($A111,'ORDENES'!$AT$4:$AT$1203,0)),"(no encontrada)"))</f>
        <v/>
      </c>
      <c r="F111" s="5">
        <f>IF($A111="","",IF(ISNA(MATCH($A111,'ORDENES'!$AT$4:$AT$1203,0)),"huérfano",IF(COUNTIF($A$4:$A111,$A111)&gt;1,"duplicado (se ignora)","aplicado")))</f>
        <v/>
      </c>
      <c r="G111" s="28">
        <f>IF($F111&lt;&gt;"aplicado","",IF(IFERROR(INDEX('ORDENES'!$K$4:$K$1203,MATCH($A111,'ORDENES'!$AT$4:$AT$1203,0)),"")="","",$B111-IFERROR(INDEX('ORDENES'!$K$4:$K$1203,MATCH($A111,'ORDENES'!$AT$4:$AT$1203,0)),"")))</f>
        <v/>
      </c>
    </row>
    <row r="112">
      <c r="A112" s="4" t="n"/>
      <c r="B112" s="26" t="n"/>
      <c r="C112" s="4" t="n"/>
      <c r="D112" s="27" t="n"/>
      <c r="E112" s="5">
        <f>IF($A112="","",IFERROR(INDEX('ORDENES'!$D$4:$D$1203,MATCH($A112,'ORDENES'!$AT$4:$AT$1203,0)),"(no encontrada)"))</f>
        <v/>
      </c>
      <c r="F112" s="5">
        <f>IF($A112="","",IF(ISNA(MATCH($A112,'ORDENES'!$AT$4:$AT$1203,0)),"huérfano",IF(COUNTIF($A$4:$A112,$A112)&gt;1,"duplicado (se ignora)","aplicado")))</f>
        <v/>
      </c>
      <c r="G112" s="28">
        <f>IF($F112&lt;&gt;"aplicado","",IF(IFERROR(INDEX('ORDENES'!$K$4:$K$1203,MATCH($A112,'ORDENES'!$AT$4:$AT$1203,0)),"")="","",$B112-IFERROR(INDEX('ORDENES'!$K$4:$K$1203,MATCH($A112,'ORDENES'!$AT$4:$AT$1203,0)),"")))</f>
        <v/>
      </c>
    </row>
    <row r="113">
      <c r="A113" s="4" t="n"/>
      <c r="B113" s="26" t="n"/>
      <c r="C113" s="4" t="n"/>
      <c r="D113" s="27" t="n"/>
      <c r="E113" s="5">
        <f>IF($A113="","",IFERROR(INDEX('ORDENES'!$D$4:$D$1203,MATCH($A113,'ORDENES'!$AT$4:$AT$1203,0)),"(no encontrada)"))</f>
        <v/>
      </c>
      <c r="F113" s="5">
        <f>IF($A113="","",IF(ISNA(MATCH($A113,'ORDENES'!$AT$4:$AT$1203,0)),"huérfano",IF(COUNTIF($A$4:$A113,$A113)&gt;1,"duplicado (se ignora)","aplicado")))</f>
        <v/>
      </c>
      <c r="G113" s="28">
        <f>IF($F113&lt;&gt;"aplicado","",IF(IFERROR(INDEX('ORDENES'!$K$4:$K$1203,MATCH($A113,'ORDENES'!$AT$4:$AT$1203,0)),"")="","",$B113-IFERROR(INDEX('ORDENES'!$K$4:$K$1203,MATCH($A113,'ORDENES'!$AT$4:$AT$1203,0)),"")))</f>
        <v/>
      </c>
    </row>
    <row r="114">
      <c r="A114" s="4" t="n"/>
      <c r="B114" s="26" t="n"/>
      <c r="C114" s="4" t="n"/>
      <c r="D114" s="27" t="n"/>
      <c r="E114" s="5">
        <f>IF($A114="","",IFERROR(INDEX('ORDENES'!$D$4:$D$1203,MATCH($A114,'ORDENES'!$AT$4:$AT$1203,0)),"(no encontrada)"))</f>
        <v/>
      </c>
      <c r="F114" s="5">
        <f>IF($A114="","",IF(ISNA(MATCH($A114,'ORDENES'!$AT$4:$AT$1203,0)),"huérfano",IF(COUNTIF($A$4:$A114,$A114)&gt;1,"duplicado (se ignora)","aplicado")))</f>
        <v/>
      </c>
      <c r="G114" s="28">
        <f>IF($F114&lt;&gt;"aplicado","",IF(IFERROR(INDEX('ORDENES'!$K$4:$K$1203,MATCH($A114,'ORDENES'!$AT$4:$AT$1203,0)),"")="","",$B114-IFERROR(INDEX('ORDENES'!$K$4:$K$1203,MATCH($A114,'ORDENES'!$AT$4:$AT$1203,0)),"")))</f>
        <v/>
      </c>
    </row>
    <row r="115">
      <c r="A115" s="4" t="n"/>
      <c r="B115" s="26" t="n"/>
      <c r="C115" s="4" t="n"/>
      <c r="D115" s="27" t="n"/>
      <c r="E115" s="5">
        <f>IF($A115="","",IFERROR(INDEX('ORDENES'!$D$4:$D$1203,MATCH($A115,'ORDENES'!$AT$4:$AT$1203,0)),"(no encontrada)"))</f>
        <v/>
      </c>
      <c r="F115" s="5">
        <f>IF($A115="","",IF(ISNA(MATCH($A115,'ORDENES'!$AT$4:$AT$1203,0)),"huérfano",IF(COUNTIF($A$4:$A115,$A115)&gt;1,"duplicado (se ignora)","aplicado")))</f>
        <v/>
      </c>
      <c r="G115" s="28">
        <f>IF($F115&lt;&gt;"aplicado","",IF(IFERROR(INDEX('ORDENES'!$K$4:$K$1203,MATCH($A115,'ORDENES'!$AT$4:$AT$1203,0)),"")="","",$B115-IFERROR(INDEX('ORDENES'!$K$4:$K$1203,MATCH($A115,'ORDENES'!$AT$4:$AT$1203,0)),"")))</f>
        <v/>
      </c>
    </row>
    <row r="116">
      <c r="A116" s="4" t="n"/>
      <c r="B116" s="26" t="n"/>
      <c r="C116" s="4" t="n"/>
      <c r="D116" s="27" t="n"/>
      <c r="E116" s="5">
        <f>IF($A116="","",IFERROR(INDEX('ORDENES'!$D$4:$D$1203,MATCH($A116,'ORDENES'!$AT$4:$AT$1203,0)),"(no encontrada)"))</f>
        <v/>
      </c>
      <c r="F116" s="5">
        <f>IF($A116="","",IF(ISNA(MATCH($A116,'ORDENES'!$AT$4:$AT$1203,0)),"huérfano",IF(COUNTIF($A$4:$A116,$A116)&gt;1,"duplicado (se ignora)","aplicado")))</f>
        <v/>
      </c>
      <c r="G116" s="28">
        <f>IF($F116&lt;&gt;"aplicado","",IF(IFERROR(INDEX('ORDENES'!$K$4:$K$1203,MATCH($A116,'ORDENES'!$AT$4:$AT$1203,0)),"")="","",$B116-IFERROR(INDEX('ORDENES'!$K$4:$K$1203,MATCH($A116,'ORDENES'!$AT$4:$AT$1203,0)),"")))</f>
        <v/>
      </c>
    </row>
    <row r="117">
      <c r="A117" s="4" t="n"/>
      <c r="B117" s="26" t="n"/>
      <c r="C117" s="4" t="n"/>
      <c r="D117" s="27" t="n"/>
      <c r="E117" s="5">
        <f>IF($A117="","",IFERROR(INDEX('ORDENES'!$D$4:$D$1203,MATCH($A117,'ORDENES'!$AT$4:$AT$1203,0)),"(no encontrada)"))</f>
        <v/>
      </c>
      <c r="F117" s="5">
        <f>IF($A117="","",IF(ISNA(MATCH($A117,'ORDENES'!$AT$4:$AT$1203,0)),"huérfano",IF(COUNTIF($A$4:$A117,$A117)&gt;1,"duplicado (se ignora)","aplicado")))</f>
        <v/>
      </c>
      <c r="G117" s="28">
        <f>IF($F117&lt;&gt;"aplicado","",IF(IFERROR(INDEX('ORDENES'!$K$4:$K$1203,MATCH($A117,'ORDENES'!$AT$4:$AT$1203,0)),"")="","",$B117-IFERROR(INDEX('ORDENES'!$K$4:$K$1203,MATCH($A117,'ORDENES'!$AT$4:$AT$1203,0)),"")))</f>
        <v/>
      </c>
    </row>
    <row r="118">
      <c r="A118" s="4" t="n"/>
      <c r="B118" s="26" t="n"/>
      <c r="C118" s="4" t="n"/>
      <c r="D118" s="27" t="n"/>
      <c r="E118" s="5">
        <f>IF($A118="","",IFERROR(INDEX('ORDENES'!$D$4:$D$1203,MATCH($A118,'ORDENES'!$AT$4:$AT$1203,0)),"(no encontrada)"))</f>
        <v/>
      </c>
      <c r="F118" s="5">
        <f>IF($A118="","",IF(ISNA(MATCH($A118,'ORDENES'!$AT$4:$AT$1203,0)),"huérfano",IF(COUNTIF($A$4:$A118,$A118)&gt;1,"duplicado (se ignora)","aplicado")))</f>
        <v/>
      </c>
      <c r="G118" s="28">
        <f>IF($F118&lt;&gt;"aplicado","",IF(IFERROR(INDEX('ORDENES'!$K$4:$K$1203,MATCH($A118,'ORDENES'!$AT$4:$AT$1203,0)),"")="","",$B118-IFERROR(INDEX('ORDENES'!$K$4:$K$1203,MATCH($A118,'ORDENES'!$AT$4:$AT$1203,0)),"")))</f>
        <v/>
      </c>
    </row>
    <row r="119">
      <c r="A119" s="4" t="n"/>
      <c r="B119" s="26" t="n"/>
      <c r="C119" s="4" t="n"/>
      <c r="D119" s="27" t="n"/>
      <c r="E119" s="5">
        <f>IF($A119="","",IFERROR(INDEX('ORDENES'!$D$4:$D$1203,MATCH($A119,'ORDENES'!$AT$4:$AT$1203,0)),"(no encontrada)"))</f>
        <v/>
      </c>
      <c r="F119" s="5">
        <f>IF($A119="","",IF(ISNA(MATCH($A119,'ORDENES'!$AT$4:$AT$1203,0)),"huérfano",IF(COUNTIF($A$4:$A119,$A119)&gt;1,"duplicado (se ignora)","aplicado")))</f>
        <v/>
      </c>
      <c r="G119" s="28">
        <f>IF($F119&lt;&gt;"aplicado","",IF(IFERROR(INDEX('ORDENES'!$K$4:$K$1203,MATCH($A119,'ORDENES'!$AT$4:$AT$1203,0)),"")="","",$B119-IFERROR(INDEX('ORDENES'!$K$4:$K$1203,MATCH($A119,'ORDENES'!$AT$4:$AT$1203,0)),"")))</f>
        <v/>
      </c>
    </row>
    <row r="120">
      <c r="A120" s="4" t="n"/>
      <c r="B120" s="26" t="n"/>
      <c r="C120" s="4" t="n"/>
      <c r="D120" s="27" t="n"/>
      <c r="E120" s="5">
        <f>IF($A120="","",IFERROR(INDEX('ORDENES'!$D$4:$D$1203,MATCH($A120,'ORDENES'!$AT$4:$AT$1203,0)),"(no encontrada)"))</f>
        <v/>
      </c>
      <c r="F120" s="5">
        <f>IF($A120="","",IF(ISNA(MATCH($A120,'ORDENES'!$AT$4:$AT$1203,0)),"huérfano",IF(COUNTIF($A$4:$A120,$A120)&gt;1,"duplicado (se ignora)","aplicado")))</f>
        <v/>
      </c>
      <c r="G120" s="28">
        <f>IF($F120&lt;&gt;"aplicado","",IF(IFERROR(INDEX('ORDENES'!$K$4:$K$1203,MATCH($A120,'ORDENES'!$AT$4:$AT$1203,0)),"")="","",$B120-IFERROR(INDEX('ORDENES'!$K$4:$K$1203,MATCH($A120,'ORDENES'!$AT$4:$AT$1203,0)),"")))</f>
        <v/>
      </c>
    </row>
    <row r="121">
      <c r="A121" s="4" t="n"/>
      <c r="B121" s="26" t="n"/>
      <c r="C121" s="4" t="n"/>
      <c r="D121" s="27" t="n"/>
      <c r="E121" s="5">
        <f>IF($A121="","",IFERROR(INDEX('ORDENES'!$D$4:$D$1203,MATCH($A121,'ORDENES'!$AT$4:$AT$1203,0)),"(no encontrada)"))</f>
        <v/>
      </c>
      <c r="F121" s="5">
        <f>IF($A121="","",IF(ISNA(MATCH($A121,'ORDENES'!$AT$4:$AT$1203,0)),"huérfano",IF(COUNTIF($A$4:$A121,$A121)&gt;1,"duplicado (se ignora)","aplicado")))</f>
        <v/>
      </c>
      <c r="G121" s="28">
        <f>IF($F121&lt;&gt;"aplicado","",IF(IFERROR(INDEX('ORDENES'!$K$4:$K$1203,MATCH($A121,'ORDENES'!$AT$4:$AT$1203,0)),"")="","",$B121-IFERROR(INDEX('ORDENES'!$K$4:$K$1203,MATCH($A121,'ORDENES'!$AT$4:$AT$1203,0)),"")))</f>
        <v/>
      </c>
    </row>
    <row r="122">
      <c r="A122" s="4" t="n"/>
      <c r="B122" s="26" t="n"/>
      <c r="C122" s="4" t="n"/>
      <c r="D122" s="27" t="n"/>
      <c r="E122" s="5">
        <f>IF($A122="","",IFERROR(INDEX('ORDENES'!$D$4:$D$1203,MATCH($A122,'ORDENES'!$AT$4:$AT$1203,0)),"(no encontrada)"))</f>
        <v/>
      </c>
      <c r="F122" s="5">
        <f>IF($A122="","",IF(ISNA(MATCH($A122,'ORDENES'!$AT$4:$AT$1203,0)),"huérfano",IF(COUNTIF($A$4:$A122,$A122)&gt;1,"duplicado (se ignora)","aplicado")))</f>
        <v/>
      </c>
      <c r="G122" s="28">
        <f>IF($F122&lt;&gt;"aplicado","",IF(IFERROR(INDEX('ORDENES'!$K$4:$K$1203,MATCH($A122,'ORDENES'!$AT$4:$AT$1203,0)),"")="","",$B122-IFERROR(INDEX('ORDENES'!$K$4:$K$1203,MATCH($A122,'ORDENES'!$AT$4:$AT$1203,0)),"")))</f>
        <v/>
      </c>
    </row>
    <row r="123">
      <c r="A123" s="4" t="n"/>
      <c r="B123" s="26" t="n"/>
      <c r="C123" s="4" t="n"/>
      <c r="D123" s="27" t="n"/>
      <c r="E123" s="5">
        <f>IF($A123="","",IFERROR(INDEX('ORDENES'!$D$4:$D$1203,MATCH($A123,'ORDENES'!$AT$4:$AT$1203,0)),"(no encontrada)"))</f>
        <v/>
      </c>
      <c r="F123" s="5">
        <f>IF($A123="","",IF(ISNA(MATCH($A123,'ORDENES'!$AT$4:$AT$1203,0)),"huérfano",IF(COUNTIF($A$4:$A123,$A123)&gt;1,"duplicado (se ignora)","aplicado")))</f>
        <v/>
      </c>
      <c r="G123" s="28">
        <f>IF($F123&lt;&gt;"aplicado","",IF(IFERROR(INDEX('ORDENES'!$K$4:$K$1203,MATCH($A123,'ORDENES'!$AT$4:$AT$1203,0)),"")="","",$B123-IFERROR(INDEX('ORDENES'!$K$4:$K$1203,MATCH($A123,'ORDENES'!$AT$4:$AT$1203,0)),"")))</f>
        <v/>
      </c>
    </row>
    <row r="124">
      <c r="A124" s="4" t="n"/>
      <c r="B124" s="26" t="n"/>
      <c r="C124" s="4" t="n"/>
      <c r="D124" s="27" t="n"/>
      <c r="E124" s="5">
        <f>IF($A124="","",IFERROR(INDEX('ORDENES'!$D$4:$D$1203,MATCH($A124,'ORDENES'!$AT$4:$AT$1203,0)),"(no encontrada)"))</f>
        <v/>
      </c>
      <c r="F124" s="5">
        <f>IF($A124="","",IF(ISNA(MATCH($A124,'ORDENES'!$AT$4:$AT$1203,0)),"huérfano",IF(COUNTIF($A$4:$A124,$A124)&gt;1,"duplicado (se ignora)","aplicado")))</f>
        <v/>
      </c>
      <c r="G124" s="28">
        <f>IF($F124&lt;&gt;"aplicado","",IF(IFERROR(INDEX('ORDENES'!$K$4:$K$1203,MATCH($A124,'ORDENES'!$AT$4:$AT$1203,0)),"")="","",$B124-IFERROR(INDEX('ORDENES'!$K$4:$K$1203,MATCH($A124,'ORDENES'!$AT$4:$AT$1203,0)),"")))</f>
        <v/>
      </c>
    </row>
    <row r="125">
      <c r="A125" s="4" t="n"/>
      <c r="B125" s="26" t="n"/>
      <c r="C125" s="4" t="n"/>
      <c r="D125" s="27" t="n"/>
      <c r="E125" s="5">
        <f>IF($A125="","",IFERROR(INDEX('ORDENES'!$D$4:$D$1203,MATCH($A125,'ORDENES'!$AT$4:$AT$1203,0)),"(no encontrada)"))</f>
        <v/>
      </c>
      <c r="F125" s="5">
        <f>IF($A125="","",IF(ISNA(MATCH($A125,'ORDENES'!$AT$4:$AT$1203,0)),"huérfano",IF(COUNTIF($A$4:$A125,$A125)&gt;1,"duplicado (se ignora)","aplicado")))</f>
        <v/>
      </c>
      <c r="G125" s="28">
        <f>IF($F125&lt;&gt;"aplicado","",IF(IFERROR(INDEX('ORDENES'!$K$4:$K$1203,MATCH($A125,'ORDENES'!$AT$4:$AT$1203,0)),"")="","",$B125-IFERROR(INDEX('ORDENES'!$K$4:$K$1203,MATCH($A125,'ORDENES'!$AT$4:$AT$1203,0)),"")))</f>
        <v/>
      </c>
    </row>
    <row r="126">
      <c r="A126" s="4" t="n"/>
      <c r="B126" s="26" t="n"/>
      <c r="C126" s="4" t="n"/>
      <c r="D126" s="27" t="n"/>
      <c r="E126" s="5">
        <f>IF($A126="","",IFERROR(INDEX('ORDENES'!$D$4:$D$1203,MATCH($A126,'ORDENES'!$AT$4:$AT$1203,0)),"(no encontrada)"))</f>
        <v/>
      </c>
      <c r="F126" s="5">
        <f>IF($A126="","",IF(ISNA(MATCH($A126,'ORDENES'!$AT$4:$AT$1203,0)),"huérfano",IF(COUNTIF($A$4:$A126,$A126)&gt;1,"duplicado (se ignora)","aplicado")))</f>
        <v/>
      </c>
      <c r="G126" s="28">
        <f>IF($F126&lt;&gt;"aplicado","",IF(IFERROR(INDEX('ORDENES'!$K$4:$K$1203,MATCH($A126,'ORDENES'!$AT$4:$AT$1203,0)),"")="","",$B126-IFERROR(INDEX('ORDENES'!$K$4:$K$1203,MATCH($A126,'ORDENES'!$AT$4:$AT$1203,0)),"")))</f>
        <v/>
      </c>
    </row>
    <row r="127">
      <c r="A127" s="4" t="n"/>
      <c r="B127" s="26" t="n"/>
      <c r="C127" s="4" t="n"/>
      <c r="D127" s="27" t="n"/>
      <c r="E127" s="5">
        <f>IF($A127="","",IFERROR(INDEX('ORDENES'!$D$4:$D$1203,MATCH($A127,'ORDENES'!$AT$4:$AT$1203,0)),"(no encontrada)"))</f>
        <v/>
      </c>
      <c r="F127" s="5">
        <f>IF($A127="","",IF(ISNA(MATCH($A127,'ORDENES'!$AT$4:$AT$1203,0)),"huérfano",IF(COUNTIF($A$4:$A127,$A127)&gt;1,"duplicado (se ignora)","aplicado")))</f>
        <v/>
      </c>
      <c r="G127" s="28">
        <f>IF($F127&lt;&gt;"aplicado","",IF(IFERROR(INDEX('ORDENES'!$K$4:$K$1203,MATCH($A127,'ORDENES'!$AT$4:$AT$1203,0)),"")="","",$B127-IFERROR(INDEX('ORDENES'!$K$4:$K$1203,MATCH($A127,'ORDENES'!$AT$4:$AT$1203,0)),"")))</f>
        <v/>
      </c>
    </row>
    <row r="128">
      <c r="A128" s="4" t="n"/>
      <c r="B128" s="26" t="n"/>
      <c r="C128" s="4" t="n"/>
      <c r="D128" s="27" t="n"/>
      <c r="E128" s="5">
        <f>IF($A128="","",IFERROR(INDEX('ORDENES'!$D$4:$D$1203,MATCH($A128,'ORDENES'!$AT$4:$AT$1203,0)),"(no encontrada)"))</f>
        <v/>
      </c>
      <c r="F128" s="5">
        <f>IF($A128="","",IF(ISNA(MATCH($A128,'ORDENES'!$AT$4:$AT$1203,0)),"huérfano",IF(COUNTIF($A$4:$A128,$A128)&gt;1,"duplicado (se ignora)","aplicado")))</f>
        <v/>
      </c>
      <c r="G128" s="28">
        <f>IF($F128&lt;&gt;"aplicado","",IF(IFERROR(INDEX('ORDENES'!$K$4:$K$1203,MATCH($A128,'ORDENES'!$AT$4:$AT$1203,0)),"")="","",$B128-IFERROR(INDEX('ORDENES'!$K$4:$K$1203,MATCH($A128,'ORDENES'!$AT$4:$AT$1203,0)),"")))</f>
        <v/>
      </c>
    </row>
    <row r="129">
      <c r="A129" s="4" t="n"/>
      <c r="B129" s="26" t="n"/>
      <c r="C129" s="4" t="n"/>
      <c r="D129" s="27" t="n"/>
      <c r="E129" s="5">
        <f>IF($A129="","",IFERROR(INDEX('ORDENES'!$D$4:$D$1203,MATCH($A129,'ORDENES'!$AT$4:$AT$1203,0)),"(no encontrada)"))</f>
        <v/>
      </c>
      <c r="F129" s="5">
        <f>IF($A129="","",IF(ISNA(MATCH($A129,'ORDENES'!$AT$4:$AT$1203,0)),"huérfano",IF(COUNTIF($A$4:$A129,$A129)&gt;1,"duplicado (se ignora)","aplicado")))</f>
        <v/>
      </c>
      <c r="G129" s="28">
        <f>IF($F129&lt;&gt;"aplicado","",IF(IFERROR(INDEX('ORDENES'!$K$4:$K$1203,MATCH($A129,'ORDENES'!$AT$4:$AT$1203,0)),"")="","",$B129-IFERROR(INDEX('ORDENES'!$K$4:$K$1203,MATCH($A129,'ORDENES'!$AT$4:$AT$1203,0)),"")))</f>
        <v/>
      </c>
    </row>
    <row r="130">
      <c r="A130" s="4" t="n"/>
      <c r="B130" s="26" t="n"/>
      <c r="C130" s="4" t="n"/>
      <c r="D130" s="27" t="n"/>
      <c r="E130" s="5">
        <f>IF($A130="","",IFERROR(INDEX('ORDENES'!$D$4:$D$1203,MATCH($A130,'ORDENES'!$AT$4:$AT$1203,0)),"(no encontrada)"))</f>
        <v/>
      </c>
      <c r="F130" s="5">
        <f>IF($A130="","",IF(ISNA(MATCH($A130,'ORDENES'!$AT$4:$AT$1203,0)),"huérfano",IF(COUNTIF($A$4:$A130,$A130)&gt;1,"duplicado (se ignora)","aplicado")))</f>
        <v/>
      </c>
      <c r="G130" s="28">
        <f>IF($F130&lt;&gt;"aplicado","",IF(IFERROR(INDEX('ORDENES'!$K$4:$K$1203,MATCH($A130,'ORDENES'!$AT$4:$AT$1203,0)),"")="","",$B130-IFERROR(INDEX('ORDENES'!$K$4:$K$1203,MATCH($A130,'ORDENES'!$AT$4:$AT$1203,0)),"")))</f>
        <v/>
      </c>
    </row>
    <row r="131">
      <c r="A131" s="4" t="n"/>
      <c r="B131" s="26" t="n"/>
      <c r="C131" s="4" t="n"/>
      <c r="D131" s="27" t="n"/>
      <c r="E131" s="5">
        <f>IF($A131="","",IFERROR(INDEX('ORDENES'!$D$4:$D$1203,MATCH($A131,'ORDENES'!$AT$4:$AT$1203,0)),"(no encontrada)"))</f>
        <v/>
      </c>
      <c r="F131" s="5">
        <f>IF($A131="","",IF(ISNA(MATCH($A131,'ORDENES'!$AT$4:$AT$1203,0)),"huérfano",IF(COUNTIF($A$4:$A131,$A131)&gt;1,"duplicado (se ignora)","aplicado")))</f>
        <v/>
      </c>
      <c r="G131" s="28">
        <f>IF($F131&lt;&gt;"aplicado","",IF(IFERROR(INDEX('ORDENES'!$K$4:$K$1203,MATCH($A131,'ORDENES'!$AT$4:$AT$1203,0)),"")="","",$B131-IFERROR(INDEX('ORDENES'!$K$4:$K$1203,MATCH($A131,'ORDENES'!$AT$4:$AT$1203,0)),"")))</f>
        <v/>
      </c>
    </row>
    <row r="132">
      <c r="A132" s="4" t="n"/>
      <c r="B132" s="26" t="n"/>
      <c r="C132" s="4" t="n"/>
      <c r="D132" s="27" t="n"/>
      <c r="E132" s="5">
        <f>IF($A132="","",IFERROR(INDEX('ORDENES'!$D$4:$D$1203,MATCH($A132,'ORDENES'!$AT$4:$AT$1203,0)),"(no encontrada)"))</f>
        <v/>
      </c>
      <c r="F132" s="5">
        <f>IF($A132="","",IF(ISNA(MATCH($A132,'ORDENES'!$AT$4:$AT$1203,0)),"huérfano",IF(COUNTIF($A$4:$A132,$A132)&gt;1,"duplicado (se ignora)","aplicado")))</f>
        <v/>
      </c>
      <c r="G132" s="28">
        <f>IF($F132&lt;&gt;"aplicado","",IF(IFERROR(INDEX('ORDENES'!$K$4:$K$1203,MATCH($A132,'ORDENES'!$AT$4:$AT$1203,0)),"")="","",$B132-IFERROR(INDEX('ORDENES'!$K$4:$K$1203,MATCH($A132,'ORDENES'!$AT$4:$AT$1203,0)),"")))</f>
        <v/>
      </c>
    </row>
    <row r="133">
      <c r="A133" s="4" t="n"/>
      <c r="B133" s="26" t="n"/>
      <c r="C133" s="4" t="n"/>
      <c r="D133" s="27" t="n"/>
      <c r="E133" s="5">
        <f>IF($A133="","",IFERROR(INDEX('ORDENES'!$D$4:$D$1203,MATCH($A133,'ORDENES'!$AT$4:$AT$1203,0)),"(no encontrada)"))</f>
        <v/>
      </c>
      <c r="F133" s="5">
        <f>IF($A133="","",IF(ISNA(MATCH($A133,'ORDENES'!$AT$4:$AT$1203,0)),"huérfano",IF(COUNTIF($A$4:$A133,$A133)&gt;1,"duplicado (se ignora)","aplicado")))</f>
        <v/>
      </c>
      <c r="G133" s="28">
        <f>IF($F133&lt;&gt;"aplicado","",IF(IFERROR(INDEX('ORDENES'!$K$4:$K$1203,MATCH($A133,'ORDENES'!$AT$4:$AT$1203,0)),"")="","",$B133-IFERROR(INDEX('ORDENES'!$K$4:$K$1203,MATCH($A133,'ORDENES'!$AT$4:$AT$1203,0)),"")))</f>
        <v/>
      </c>
    </row>
    <row r="134">
      <c r="A134" s="4" t="n"/>
      <c r="B134" s="26" t="n"/>
      <c r="C134" s="4" t="n"/>
      <c r="D134" s="27" t="n"/>
      <c r="E134" s="5">
        <f>IF($A134="","",IFERROR(INDEX('ORDENES'!$D$4:$D$1203,MATCH($A134,'ORDENES'!$AT$4:$AT$1203,0)),"(no encontrada)"))</f>
        <v/>
      </c>
      <c r="F134" s="5">
        <f>IF($A134="","",IF(ISNA(MATCH($A134,'ORDENES'!$AT$4:$AT$1203,0)),"huérfano",IF(COUNTIF($A$4:$A134,$A134)&gt;1,"duplicado (se ignora)","aplicado")))</f>
        <v/>
      </c>
      <c r="G134" s="28">
        <f>IF($F134&lt;&gt;"aplicado","",IF(IFERROR(INDEX('ORDENES'!$K$4:$K$1203,MATCH($A134,'ORDENES'!$AT$4:$AT$1203,0)),"")="","",$B134-IFERROR(INDEX('ORDENES'!$K$4:$K$1203,MATCH($A134,'ORDENES'!$AT$4:$AT$1203,0)),"")))</f>
        <v/>
      </c>
    </row>
    <row r="135">
      <c r="A135" s="4" t="n"/>
      <c r="B135" s="26" t="n"/>
      <c r="C135" s="4" t="n"/>
      <c r="D135" s="27" t="n"/>
      <c r="E135" s="5">
        <f>IF($A135="","",IFERROR(INDEX('ORDENES'!$D$4:$D$1203,MATCH($A135,'ORDENES'!$AT$4:$AT$1203,0)),"(no encontrada)"))</f>
        <v/>
      </c>
      <c r="F135" s="5">
        <f>IF($A135="","",IF(ISNA(MATCH($A135,'ORDENES'!$AT$4:$AT$1203,0)),"huérfano",IF(COUNTIF($A$4:$A135,$A135)&gt;1,"duplicado (se ignora)","aplicado")))</f>
        <v/>
      </c>
      <c r="G135" s="28">
        <f>IF($F135&lt;&gt;"aplicado","",IF(IFERROR(INDEX('ORDENES'!$K$4:$K$1203,MATCH($A135,'ORDENES'!$AT$4:$AT$1203,0)),"")="","",$B135-IFERROR(INDEX('ORDENES'!$K$4:$K$1203,MATCH($A135,'ORDENES'!$AT$4:$AT$1203,0)),"")))</f>
        <v/>
      </c>
    </row>
    <row r="136">
      <c r="A136" s="4" t="n"/>
      <c r="B136" s="26" t="n"/>
      <c r="C136" s="4" t="n"/>
      <c r="D136" s="27" t="n"/>
      <c r="E136" s="5">
        <f>IF($A136="","",IFERROR(INDEX('ORDENES'!$D$4:$D$1203,MATCH($A136,'ORDENES'!$AT$4:$AT$1203,0)),"(no encontrada)"))</f>
        <v/>
      </c>
      <c r="F136" s="5">
        <f>IF($A136="","",IF(ISNA(MATCH($A136,'ORDENES'!$AT$4:$AT$1203,0)),"huérfano",IF(COUNTIF($A$4:$A136,$A136)&gt;1,"duplicado (se ignora)","aplicado")))</f>
        <v/>
      </c>
      <c r="G136" s="28">
        <f>IF($F136&lt;&gt;"aplicado","",IF(IFERROR(INDEX('ORDENES'!$K$4:$K$1203,MATCH($A136,'ORDENES'!$AT$4:$AT$1203,0)),"")="","",$B136-IFERROR(INDEX('ORDENES'!$K$4:$K$1203,MATCH($A136,'ORDENES'!$AT$4:$AT$1203,0)),"")))</f>
        <v/>
      </c>
    </row>
    <row r="137">
      <c r="A137" s="4" t="n"/>
      <c r="B137" s="26" t="n"/>
      <c r="C137" s="4" t="n"/>
      <c r="D137" s="27" t="n"/>
      <c r="E137" s="5">
        <f>IF($A137="","",IFERROR(INDEX('ORDENES'!$D$4:$D$1203,MATCH($A137,'ORDENES'!$AT$4:$AT$1203,0)),"(no encontrada)"))</f>
        <v/>
      </c>
      <c r="F137" s="5">
        <f>IF($A137="","",IF(ISNA(MATCH($A137,'ORDENES'!$AT$4:$AT$1203,0)),"huérfano",IF(COUNTIF($A$4:$A137,$A137)&gt;1,"duplicado (se ignora)","aplicado")))</f>
        <v/>
      </c>
      <c r="G137" s="28">
        <f>IF($F137&lt;&gt;"aplicado","",IF(IFERROR(INDEX('ORDENES'!$K$4:$K$1203,MATCH($A137,'ORDENES'!$AT$4:$AT$1203,0)),"")="","",$B137-IFERROR(INDEX('ORDENES'!$K$4:$K$1203,MATCH($A137,'ORDENES'!$AT$4:$AT$1203,0)),"")))</f>
        <v/>
      </c>
    </row>
    <row r="138">
      <c r="A138" s="4" t="n"/>
      <c r="B138" s="26" t="n"/>
      <c r="C138" s="4" t="n"/>
      <c r="D138" s="27" t="n"/>
      <c r="E138" s="5">
        <f>IF($A138="","",IFERROR(INDEX('ORDENES'!$D$4:$D$1203,MATCH($A138,'ORDENES'!$AT$4:$AT$1203,0)),"(no encontrada)"))</f>
        <v/>
      </c>
      <c r="F138" s="5">
        <f>IF($A138="","",IF(ISNA(MATCH($A138,'ORDENES'!$AT$4:$AT$1203,0)),"huérfano",IF(COUNTIF($A$4:$A138,$A138)&gt;1,"duplicado (se ignora)","aplicado")))</f>
        <v/>
      </c>
      <c r="G138" s="28">
        <f>IF($F138&lt;&gt;"aplicado","",IF(IFERROR(INDEX('ORDENES'!$K$4:$K$1203,MATCH($A138,'ORDENES'!$AT$4:$AT$1203,0)),"")="","",$B138-IFERROR(INDEX('ORDENES'!$K$4:$K$1203,MATCH($A138,'ORDENES'!$AT$4:$AT$1203,0)),"")))</f>
        <v/>
      </c>
    </row>
    <row r="139">
      <c r="A139" s="4" t="n"/>
      <c r="B139" s="26" t="n"/>
      <c r="C139" s="4" t="n"/>
      <c r="D139" s="27" t="n"/>
      <c r="E139" s="5">
        <f>IF($A139="","",IFERROR(INDEX('ORDENES'!$D$4:$D$1203,MATCH($A139,'ORDENES'!$AT$4:$AT$1203,0)),"(no encontrada)"))</f>
        <v/>
      </c>
      <c r="F139" s="5">
        <f>IF($A139="","",IF(ISNA(MATCH($A139,'ORDENES'!$AT$4:$AT$1203,0)),"huérfano",IF(COUNTIF($A$4:$A139,$A139)&gt;1,"duplicado (se ignora)","aplicado")))</f>
        <v/>
      </c>
      <c r="G139" s="28">
        <f>IF($F139&lt;&gt;"aplicado","",IF(IFERROR(INDEX('ORDENES'!$K$4:$K$1203,MATCH($A139,'ORDENES'!$AT$4:$AT$1203,0)),"")="","",$B139-IFERROR(INDEX('ORDENES'!$K$4:$K$1203,MATCH($A139,'ORDENES'!$AT$4:$AT$1203,0)),"")))</f>
        <v/>
      </c>
    </row>
    <row r="140">
      <c r="A140" s="4" t="n"/>
      <c r="B140" s="26" t="n"/>
      <c r="C140" s="4" t="n"/>
      <c r="D140" s="27" t="n"/>
      <c r="E140" s="5">
        <f>IF($A140="","",IFERROR(INDEX('ORDENES'!$D$4:$D$1203,MATCH($A140,'ORDENES'!$AT$4:$AT$1203,0)),"(no encontrada)"))</f>
        <v/>
      </c>
      <c r="F140" s="5">
        <f>IF($A140="","",IF(ISNA(MATCH($A140,'ORDENES'!$AT$4:$AT$1203,0)),"huérfano",IF(COUNTIF($A$4:$A140,$A140)&gt;1,"duplicado (se ignora)","aplicado")))</f>
        <v/>
      </c>
      <c r="G140" s="28">
        <f>IF($F140&lt;&gt;"aplicado","",IF(IFERROR(INDEX('ORDENES'!$K$4:$K$1203,MATCH($A140,'ORDENES'!$AT$4:$AT$1203,0)),"")="","",$B140-IFERROR(INDEX('ORDENES'!$K$4:$K$1203,MATCH($A140,'ORDENES'!$AT$4:$AT$1203,0)),"")))</f>
        <v/>
      </c>
    </row>
    <row r="141">
      <c r="A141" s="4" t="n"/>
      <c r="B141" s="26" t="n"/>
      <c r="C141" s="4" t="n"/>
      <c r="D141" s="27" t="n"/>
      <c r="E141" s="5">
        <f>IF($A141="","",IFERROR(INDEX('ORDENES'!$D$4:$D$1203,MATCH($A141,'ORDENES'!$AT$4:$AT$1203,0)),"(no encontrada)"))</f>
        <v/>
      </c>
      <c r="F141" s="5">
        <f>IF($A141="","",IF(ISNA(MATCH($A141,'ORDENES'!$AT$4:$AT$1203,0)),"huérfano",IF(COUNTIF($A$4:$A141,$A141)&gt;1,"duplicado (se ignora)","aplicado")))</f>
        <v/>
      </c>
      <c r="G141" s="28">
        <f>IF($F141&lt;&gt;"aplicado","",IF(IFERROR(INDEX('ORDENES'!$K$4:$K$1203,MATCH($A141,'ORDENES'!$AT$4:$AT$1203,0)),"")="","",$B141-IFERROR(INDEX('ORDENES'!$K$4:$K$1203,MATCH($A141,'ORDENES'!$AT$4:$AT$1203,0)),"")))</f>
        <v/>
      </c>
    </row>
    <row r="142">
      <c r="A142" s="4" t="n"/>
      <c r="B142" s="26" t="n"/>
      <c r="C142" s="4" t="n"/>
      <c r="D142" s="27" t="n"/>
      <c r="E142" s="5">
        <f>IF($A142="","",IFERROR(INDEX('ORDENES'!$D$4:$D$1203,MATCH($A142,'ORDENES'!$AT$4:$AT$1203,0)),"(no encontrada)"))</f>
        <v/>
      </c>
      <c r="F142" s="5">
        <f>IF($A142="","",IF(ISNA(MATCH($A142,'ORDENES'!$AT$4:$AT$1203,0)),"huérfano",IF(COUNTIF($A$4:$A142,$A142)&gt;1,"duplicado (se ignora)","aplicado")))</f>
        <v/>
      </c>
      <c r="G142" s="28">
        <f>IF($F142&lt;&gt;"aplicado","",IF(IFERROR(INDEX('ORDENES'!$K$4:$K$1203,MATCH($A142,'ORDENES'!$AT$4:$AT$1203,0)),"")="","",$B142-IFERROR(INDEX('ORDENES'!$K$4:$K$1203,MATCH($A142,'ORDENES'!$AT$4:$AT$1203,0)),"")))</f>
        <v/>
      </c>
    </row>
    <row r="143">
      <c r="A143" s="4" t="n"/>
      <c r="B143" s="26" t="n"/>
      <c r="C143" s="4" t="n"/>
      <c r="D143" s="27" t="n"/>
      <c r="E143" s="5">
        <f>IF($A143="","",IFERROR(INDEX('ORDENES'!$D$4:$D$1203,MATCH($A143,'ORDENES'!$AT$4:$AT$1203,0)),"(no encontrada)"))</f>
        <v/>
      </c>
      <c r="F143" s="5">
        <f>IF($A143="","",IF(ISNA(MATCH($A143,'ORDENES'!$AT$4:$AT$1203,0)),"huérfano",IF(COUNTIF($A$4:$A143,$A143)&gt;1,"duplicado (se ignora)","aplicado")))</f>
        <v/>
      </c>
      <c r="G143" s="28">
        <f>IF($F143&lt;&gt;"aplicado","",IF(IFERROR(INDEX('ORDENES'!$K$4:$K$1203,MATCH($A143,'ORDENES'!$AT$4:$AT$1203,0)),"")="","",$B143-IFERROR(INDEX('ORDENES'!$K$4:$K$1203,MATCH($A143,'ORDENES'!$AT$4:$AT$1203,0)),"")))</f>
        <v/>
      </c>
    </row>
    <row r="144">
      <c r="A144" s="4" t="n"/>
      <c r="B144" s="26" t="n"/>
      <c r="C144" s="4" t="n"/>
      <c r="D144" s="27" t="n"/>
      <c r="E144" s="5">
        <f>IF($A144="","",IFERROR(INDEX('ORDENES'!$D$4:$D$1203,MATCH($A144,'ORDENES'!$AT$4:$AT$1203,0)),"(no encontrada)"))</f>
        <v/>
      </c>
      <c r="F144" s="5">
        <f>IF($A144="","",IF(ISNA(MATCH($A144,'ORDENES'!$AT$4:$AT$1203,0)),"huérfano",IF(COUNTIF($A$4:$A144,$A144)&gt;1,"duplicado (se ignora)","aplicado")))</f>
        <v/>
      </c>
      <c r="G144" s="28">
        <f>IF($F144&lt;&gt;"aplicado","",IF(IFERROR(INDEX('ORDENES'!$K$4:$K$1203,MATCH($A144,'ORDENES'!$AT$4:$AT$1203,0)),"")="","",$B144-IFERROR(INDEX('ORDENES'!$K$4:$K$1203,MATCH($A144,'ORDENES'!$AT$4:$AT$1203,0)),"")))</f>
        <v/>
      </c>
    </row>
    <row r="145">
      <c r="A145" s="4" t="n"/>
      <c r="B145" s="26" t="n"/>
      <c r="C145" s="4" t="n"/>
      <c r="D145" s="27" t="n"/>
      <c r="E145" s="5">
        <f>IF($A145="","",IFERROR(INDEX('ORDENES'!$D$4:$D$1203,MATCH($A145,'ORDENES'!$AT$4:$AT$1203,0)),"(no encontrada)"))</f>
        <v/>
      </c>
      <c r="F145" s="5">
        <f>IF($A145="","",IF(ISNA(MATCH($A145,'ORDENES'!$AT$4:$AT$1203,0)),"huérfano",IF(COUNTIF($A$4:$A145,$A145)&gt;1,"duplicado (se ignora)","aplicado")))</f>
        <v/>
      </c>
      <c r="G145" s="28">
        <f>IF($F145&lt;&gt;"aplicado","",IF(IFERROR(INDEX('ORDENES'!$K$4:$K$1203,MATCH($A145,'ORDENES'!$AT$4:$AT$1203,0)),"")="","",$B145-IFERROR(INDEX('ORDENES'!$K$4:$K$1203,MATCH($A145,'ORDENES'!$AT$4:$AT$1203,0)),"")))</f>
        <v/>
      </c>
    </row>
    <row r="146">
      <c r="A146" s="4" t="n"/>
      <c r="B146" s="26" t="n"/>
      <c r="C146" s="4" t="n"/>
      <c r="D146" s="27" t="n"/>
      <c r="E146" s="5">
        <f>IF($A146="","",IFERROR(INDEX('ORDENES'!$D$4:$D$1203,MATCH($A146,'ORDENES'!$AT$4:$AT$1203,0)),"(no encontrada)"))</f>
        <v/>
      </c>
      <c r="F146" s="5">
        <f>IF($A146="","",IF(ISNA(MATCH($A146,'ORDENES'!$AT$4:$AT$1203,0)),"huérfano",IF(COUNTIF($A$4:$A146,$A146)&gt;1,"duplicado (se ignora)","aplicado")))</f>
        <v/>
      </c>
      <c r="G146" s="28">
        <f>IF($F146&lt;&gt;"aplicado","",IF(IFERROR(INDEX('ORDENES'!$K$4:$K$1203,MATCH($A146,'ORDENES'!$AT$4:$AT$1203,0)),"")="","",$B146-IFERROR(INDEX('ORDENES'!$K$4:$K$1203,MATCH($A146,'ORDENES'!$AT$4:$AT$1203,0)),"")))</f>
        <v/>
      </c>
    </row>
    <row r="147">
      <c r="A147" s="4" t="n"/>
      <c r="B147" s="26" t="n"/>
      <c r="C147" s="4" t="n"/>
      <c r="D147" s="27" t="n"/>
      <c r="E147" s="5">
        <f>IF($A147="","",IFERROR(INDEX('ORDENES'!$D$4:$D$1203,MATCH($A147,'ORDENES'!$AT$4:$AT$1203,0)),"(no encontrada)"))</f>
        <v/>
      </c>
      <c r="F147" s="5">
        <f>IF($A147="","",IF(ISNA(MATCH($A147,'ORDENES'!$AT$4:$AT$1203,0)),"huérfano",IF(COUNTIF($A$4:$A147,$A147)&gt;1,"duplicado (se ignora)","aplicado")))</f>
        <v/>
      </c>
      <c r="G147" s="28">
        <f>IF($F147&lt;&gt;"aplicado","",IF(IFERROR(INDEX('ORDENES'!$K$4:$K$1203,MATCH($A147,'ORDENES'!$AT$4:$AT$1203,0)),"")="","",$B147-IFERROR(INDEX('ORDENES'!$K$4:$K$1203,MATCH($A147,'ORDENES'!$AT$4:$AT$1203,0)),"")))</f>
        <v/>
      </c>
    </row>
    <row r="148">
      <c r="A148" s="4" t="n"/>
      <c r="B148" s="26" t="n"/>
      <c r="C148" s="4" t="n"/>
      <c r="D148" s="27" t="n"/>
      <c r="E148" s="5">
        <f>IF($A148="","",IFERROR(INDEX('ORDENES'!$D$4:$D$1203,MATCH($A148,'ORDENES'!$AT$4:$AT$1203,0)),"(no encontrada)"))</f>
        <v/>
      </c>
      <c r="F148" s="5">
        <f>IF($A148="","",IF(ISNA(MATCH($A148,'ORDENES'!$AT$4:$AT$1203,0)),"huérfano",IF(COUNTIF($A$4:$A148,$A148)&gt;1,"duplicado (se ignora)","aplicado")))</f>
        <v/>
      </c>
      <c r="G148" s="28">
        <f>IF($F148&lt;&gt;"aplicado","",IF(IFERROR(INDEX('ORDENES'!$K$4:$K$1203,MATCH($A148,'ORDENES'!$AT$4:$AT$1203,0)),"")="","",$B148-IFERROR(INDEX('ORDENES'!$K$4:$K$1203,MATCH($A148,'ORDENES'!$AT$4:$AT$1203,0)),"")))</f>
        <v/>
      </c>
    </row>
    <row r="149">
      <c r="A149" s="4" t="n"/>
      <c r="B149" s="26" t="n"/>
      <c r="C149" s="4" t="n"/>
      <c r="D149" s="27" t="n"/>
      <c r="E149" s="5">
        <f>IF($A149="","",IFERROR(INDEX('ORDENES'!$D$4:$D$1203,MATCH($A149,'ORDENES'!$AT$4:$AT$1203,0)),"(no encontrada)"))</f>
        <v/>
      </c>
      <c r="F149" s="5">
        <f>IF($A149="","",IF(ISNA(MATCH($A149,'ORDENES'!$AT$4:$AT$1203,0)),"huérfano",IF(COUNTIF($A$4:$A149,$A149)&gt;1,"duplicado (se ignora)","aplicado")))</f>
        <v/>
      </c>
      <c r="G149" s="28">
        <f>IF($F149&lt;&gt;"aplicado","",IF(IFERROR(INDEX('ORDENES'!$K$4:$K$1203,MATCH($A149,'ORDENES'!$AT$4:$AT$1203,0)),"")="","",$B149-IFERROR(INDEX('ORDENES'!$K$4:$K$1203,MATCH($A149,'ORDENES'!$AT$4:$AT$1203,0)),"")))</f>
        <v/>
      </c>
    </row>
    <row r="150">
      <c r="A150" s="4" t="n"/>
      <c r="B150" s="26" t="n"/>
      <c r="C150" s="4" t="n"/>
      <c r="D150" s="27" t="n"/>
      <c r="E150" s="5">
        <f>IF($A150="","",IFERROR(INDEX('ORDENES'!$D$4:$D$1203,MATCH($A150,'ORDENES'!$AT$4:$AT$1203,0)),"(no encontrada)"))</f>
        <v/>
      </c>
      <c r="F150" s="5">
        <f>IF($A150="","",IF(ISNA(MATCH($A150,'ORDENES'!$AT$4:$AT$1203,0)),"huérfano",IF(COUNTIF($A$4:$A150,$A150)&gt;1,"duplicado (se ignora)","aplicado")))</f>
        <v/>
      </c>
      <c r="G150" s="28">
        <f>IF($F150&lt;&gt;"aplicado","",IF(IFERROR(INDEX('ORDENES'!$K$4:$K$1203,MATCH($A150,'ORDENES'!$AT$4:$AT$1203,0)),"")="","",$B150-IFERROR(INDEX('ORDENES'!$K$4:$K$1203,MATCH($A150,'ORDENES'!$AT$4:$AT$1203,0)),"")))</f>
        <v/>
      </c>
    </row>
    <row r="151">
      <c r="A151" s="4" t="n"/>
      <c r="B151" s="26" t="n"/>
      <c r="C151" s="4" t="n"/>
      <c r="D151" s="27" t="n"/>
      <c r="E151" s="5">
        <f>IF($A151="","",IFERROR(INDEX('ORDENES'!$D$4:$D$1203,MATCH($A151,'ORDENES'!$AT$4:$AT$1203,0)),"(no encontrada)"))</f>
        <v/>
      </c>
      <c r="F151" s="5">
        <f>IF($A151="","",IF(ISNA(MATCH($A151,'ORDENES'!$AT$4:$AT$1203,0)),"huérfano",IF(COUNTIF($A$4:$A151,$A151)&gt;1,"duplicado (se ignora)","aplicado")))</f>
        <v/>
      </c>
      <c r="G151" s="28">
        <f>IF($F151&lt;&gt;"aplicado","",IF(IFERROR(INDEX('ORDENES'!$K$4:$K$1203,MATCH($A151,'ORDENES'!$AT$4:$AT$1203,0)),"")="","",$B151-IFERROR(INDEX('ORDENES'!$K$4:$K$1203,MATCH($A151,'ORDENES'!$AT$4:$AT$1203,0)),"")))</f>
        <v/>
      </c>
    </row>
    <row r="152">
      <c r="A152" s="4" t="n"/>
      <c r="B152" s="26" t="n"/>
      <c r="C152" s="4" t="n"/>
      <c r="D152" s="27" t="n"/>
      <c r="E152" s="5">
        <f>IF($A152="","",IFERROR(INDEX('ORDENES'!$D$4:$D$1203,MATCH($A152,'ORDENES'!$AT$4:$AT$1203,0)),"(no encontrada)"))</f>
        <v/>
      </c>
      <c r="F152" s="5">
        <f>IF($A152="","",IF(ISNA(MATCH($A152,'ORDENES'!$AT$4:$AT$1203,0)),"huérfano",IF(COUNTIF($A$4:$A152,$A152)&gt;1,"duplicado (se ignora)","aplicado")))</f>
        <v/>
      </c>
      <c r="G152" s="28">
        <f>IF($F152&lt;&gt;"aplicado","",IF(IFERROR(INDEX('ORDENES'!$K$4:$K$1203,MATCH($A152,'ORDENES'!$AT$4:$AT$1203,0)),"")="","",$B152-IFERROR(INDEX('ORDENES'!$K$4:$K$1203,MATCH($A152,'ORDENES'!$AT$4:$AT$1203,0)),"")))</f>
        <v/>
      </c>
    </row>
    <row r="153">
      <c r="A153" s="4" t="n"/>
      <c r="B153" s="26" t="n"/>
      <c r="C153" s="4" t="n"/>
      <c r="D153" s="27" t="n"/>
      <c r="E153" s="5">
        <f>IF($A153="","",IFERROR(INDEX('ORDENES'!$D$4:$D$1203,MATCH($A153,'ORDENES'!$AT$4:$AT$1203,0)),"(no encontrada)"))</f>
        <v/>
      </c>
      <c r="F153" s="5">
        <f>IF($A153="","",IF(ISNA(MATCH($A153,'ORDENES'!$AT$4:$AT$1203,0)),"huérfano",IF(COUNTIF($A$4:$A153,$A153)&gt;1,"duplicado (se ignora)","aplicado")))</f>
        <v/>
      </c>
      <c r="G153" s="28">
        <f>IF($F153&lt;&gt;"aplicado","",IF(IFERROR(INDEX('ORDENES'!$K$4:$K$1203,MATCH($A153,'ORDENES'!$AT$4:$AT$1203,0)),"")="","",$B153-IFERROR(INDEX('ORDENES'!$K$4:$K$1203,MATCH($A153,'ORDENES'!$AT$4:$AT$1203,0)),"")))</f>
        <v/>
      </c>
    </row>
    <row r="154">
      <c r="A154" s="4" t="n"/>
      <c r="B154" s="26" t="n"/>
      <c r="C154" s="4" t="n"/>
      <c r="D154" s="27" t="n"/>
      <c r="E154" s="5">
        <f>IF($A154="","",IFERROR(INDEX('ORDENES'!$D$4:$D$1203,MATCH($A154,'ORDENES'!$AT$4:$AT$1203,0)),"(no encontrada)"))</f>
        <v/>
      </c>
      <c r="F154" s="5">
        <f>IF($A154="","",IF(ISNA(MATCH($A154,'ORDENES'!$AT$4:$AT$1203,0)),"huérfano",IF(COUNTIF($A$4:$A154,$A154)&gt;1,"duplicado (se ignora)","aplicado")))</f>
        <v/>
      </c>
      <c r="G154" s="28">
        <f>IF($F154&lt;&gt;"aplicado","",IF(IFERROR(INDEX('ORDENES'!$K$4:$K$1203,MATCH($A154,'ORDENES'!$AT$4:$AT$1203,0)),"")="","",$B154-IFERROR(INDEX('ORDENES'!$K$4:$K$1203,MATCH($A154,'ORDENES'!$AT$4:$AT$1203,0)),"")))</f>
        <v/>
      </c>
    </row>
    <row r="155">
      <c r="A155" s="4" t="n"/>
      <c r="B155" s="26" t="n"/>
      <c r="C155" s="4" t="n"/>
      <c r="D155" s="27" t="n"/>
      <c r="E155" s="5">
        <f>IF($A155="","",IFERROR(INDEX('ORDENES'!$D$4:$D$1203,MATCH($A155,'ORDENES'!$AT$4:$AT$1203,0)),"(no encontrada)"))</f>
        <v/>
      </c>
      <c r="F155" s="5">
        <f>IF($A155="","",IF(ISNA(MATCH($A155,'ORDENES'!$AT$4:$AT$1203,0)),"huérfano",IF(COUNTIF($A$4:$A155,$A155)&gt;1,"duplicado (se ignora)","aplicado")))</f>
        <v/>
      </c>
      <c r="G155" s="28">
        <f>IF($F155&lt;&gt;"aplicado","",IF(IFERROR(INDEX('ORDENES'!$K$4:$K$1203,MATCH($A155,'ORDENES'!$AT$4:$AT$1203,0)),"")="","",$B155-IFERROR(INDEX('ORDENES'!$K$4:$K$1203,MATCH($A155,'ORDENES'!$AT$4:$AT$1203,0)),"")))</f>
        <v/>
      </c>
    </row>
    <row r="156">
      <c r="A156" s="4" t="n"/>
      <c r="B156" s="26" t="n"/>
      <c r="C156" s="4" t="n"/>
      <c r="D156" s="27" t="n"/>
      <c r="E156" s="5">
        <f>IF($A156="","",IFERROR(INDEX('ORDENES'!$D$4:$D$1203,MATCH($A156,'ORDENES'!$AT$4:$AT$1203,0)),"(no encontrada)"))</f>
        <v/>
      </c>
      <c r="F156" s="5">
        <f>IF($A156="","",IF(ISNA(MATCH($A156,'ORDENES'!$AT$4:$AT$1203,0)),"huérfano",IF(COUNTIF($A$4:$A156,$A156)&gt;1,"duplicado (se ignora)","aplicado")))</f>
        <v/>
      </c>
      <c r="G156" s="28">
        <f>IF($F156&lt;&gt;"aplicado","",IF(IFERROR(INDEX('ORDENES'!$K$4:$K$1203,MATCH($A156,'ORDENES'!$AT$4:$AT$1203,0)),"")="","",$B156-IFERROR(INDEX('ORDENES'!$K$4:$K$1203,MATCH($A156,'ORDENES'!$AT$4:$AT$1203,0)),"")))</f>
        <v/>
      </c>
    </row>
    <row r="157">
      <c r="A157" s="4" t="n"/>
      <c r="B157" s="26" t="n"/>
      <c r="C157" s="4" t="n"/>
      <c r="D157" s="27" t="n"/>
      <c r="E157" s="5">
        <f>IF($A157="","",IFERROR(INDEX('ORDENES'!$D$4:$D$1203,MATCH($A157,'ORDENES'!$AT$4:$AT$1203,0)),"(no encontrada)"))</f>
        <v/>
      </c>
      <c r="F157" s="5">
        <f>IF($A157="","",IF(ISNA(MATCH($A157,'ORDENES'!$AT$4:$AT$1203,0)),"huérfano",IF(COUNTIF($A$4:$A157,$A157)&gt;1,"duplicado (se ignora)","aplicado")))</f>
        <v/>
      </c>
      <c r="G157" s="28">
        <f>IF($F157&lt;&gt;"aplicado","",IF(IFERROR(INDEX('ORDENES'!$K$4:$K$1203,MATCH($A157,'ORDENES'!$AT$4:$AT$1203,0)),"")="","",$B157-IFERROR(INDEX('ORDENES'!$K$4:$K$1203,MATCH($A157,'ORDENES'!$AT$4:$AT$1203,0)),"")))</f>
        <v/>
      </c>
    </row>
    <row r="158">
      <c r="A158" s="4" t="n"/>
      <c r="B158" s="26" t="n"/>
      <c r="C158" s="4" t="n"/>
      <c r="D158" s="27" t="n"/>
      <c r="E158" s="5">
        <f>IF($A158="","",IFERROR(INDEX('ORDENES'!$D$4:$D$1203,MATCH($A158,'ORDENES'!$AT$4:$AT$1203,0)),"(no encontrada)"))</f>
        <v/>
      </c>
      <c r="F158" s="5">
        <f>IF($A158="","",IF(ISNA(MATCH($A158,'ORDENES'!$AT$4:$AT$1203,0)),"huérfano",IF(COUNTIF($A$4:$A158,$A158)&gt;1,"duplicado (se ignora)","aplicado")))</f>
        <v/>
      </c>
      <c r="G158" s="28">
        <f>IF($F158&lt;&gt;"aplicado","",IF(IFERROR(INDEX('ORDENES'!$K$4:$K$1203,MATCH($A158,'ORDENES'!$AT$4:$AT$1203,0)),"")="","",$B158-IFERROR(INDEX('ORDENES'!$K$4:$K$1203,MATCH($A158,'ORDENES'!$AT$4:$AT$1203,0)),"")))</f>
        <v/>
      </c>
    </row>
    <row r="159">
      <c r="A159" s="4" t="n"/>
      <c r="B159" s="26" t="n"/>
      <c r="C159" s="4" t="n"/>
      <c r="D159" s="27" t="n"/>
      <c r="E159" s="5">
        <f>IF($A159="","",IFERROR(INDEX('ORDENES'!$D$4:$D$1203,MATCH($A159,'ORDENES'!$AT$4:$AT$1203,0)),"(no encontrada)"))</f>
        <v/>
      </c>
      <c r="F159" s="5">
        <f>IF($A159="","",IF(ISNA(MATCH($A159,'ORDENES'!$AT$4:$AT$1203,0)),"huérfano",IF(COUNTIF($A$4:$A159,$A159)&gt;1,"duplicado (se ignora)","aplicado")))</f>
        <v/>
      </c>
      <c r="G159" s="28">
        <f>IF($F159&lt;&gt;"aplicado","",IF(IFERROR(INDEX('ORDENES'!$K$4:$K$1203,MATCH($A159,'ORDENES'!$AT$4:$AT$1203,0)),"")="","",$B159-IFERROR(INDEX('ORDENES'!$K$4:$K$1203,MATCH($A159,'ORDENES'!$AT$4:$AT$1203,0)),"")))</f>
        <v/>
      </c>
    </row>
    <row r="160">
      <c r="A160" s="4" t="n"/>
      <c r="B160" s="26" t="n"/>
      <c r="C160" s="4" t="n"/>
      <c r="D160" s="27" t="n"/>
      <c r="E160" s="5">
        <f>IF($A160="","",IFERROR(INDEX('ORDENES'!$D$4:$D$1203,MATCH($A160,'ORDENES'!$AT$4:$AT$1203,0)),"(no encontrada)"))</f>
        <v/>
      </c>
      <c r="F160" s="5">
        <f>IF($A160="","",IF(ISNA(MATCH($A160,'ORDENES'!$AT$4:$AT$1203,0)),"huérfano",IF(COUNTIF($A$4:$A160,$A160)&gt;1,"duplicado (se ignora)","aplicado")))</f>
        <v/>
      </c>
      <c r="G160" s="28">
        <f>IF($F160&lt;&gt;"aplicado","",IF(IFERROR(INDEX('ORDENES'!$K$4:$K$1203,MATCH($A160,'ORDENES'!$AT$4:$AT$1203,0)),"")="","",$B160-IFERROR(INDEX('ORDENES'!$K$4:$K$1203,MATCH($A160,'ORDENES'!$AT$4:$AT$1203,0)),"")))</f>
        <v/>
      </c>
    </row>
    <row r="161">
      <c r="A161" s="4" t="n"/>
      <c r="B161" s="26" t="n"/>
      <c r="C161" s="4" t="n"/>
      <c r="D161" s="27" t="n"/>
      <c r="E161" s="5">
        <f>IF($A161="","",IFERROR(INDEX('ORDENES'!$D$4:$D$1203,MATCH($A161,'ORDENES'!$AT$4:$AT$1203,0)),"(no encontrada)"))</f>
        <v/>
      </c>
      <c r="F161" s="5">
        <f>IF($A161="","",IF(ISNA(MATCH($A161,'ORDENES'!$AT$4:$AT$1203,0)),"huérfano",IF(COUNTIF($A$4:$A161,$A161)&gt;1,"duplicado (se ignora)","aplicado")))</f>
        <v/>
      </c>
      <c r="G161" s="28">
        <f>IF($F161&lt;&gt;"aplicado","",IF(IFERROR(INDEX('ORDENES'!$K$4:$K$1203,MATCH($A161,'ORDENES'!$AT$4:$AT$1203,0)),"")="","",$B161-IFERROR(INDEX('ORDENES'!$K$4:$K$1203,MATCH($A161,'ORDENES'!$AT$4:$AT$1203,0)),"")))</f>
        <v/>
      </c>
    </row>
    <row r="162">
      <c r="A162" s="4" t="n"/>
      <c r="B162" s="26" t="n"/>
      <c r="C162" s="4" t="n"/>
      <c r="D162" s="27" t="n"/>
      <c r="E162" s="5">
        <f>IF($A162="","",IFERROR(INDEX('ORDENES'!$D$4:$D$1203,MATCH($A162,'ORDENES'!$AT$4:$AT$1203,0)),"(no encontrada)"))</f>
        <v/>
      </c>
      <c r="F162" s="5">
        <f>IF($A162="","",IF(ISNA(MATCH($A162,'ORDENES'!$AT$4:$AT$1203,0)),"huérfano",IF(COUNTIF($A$4:$A162,$A162)&gt;1,"duplicado (se ignora)","aplicado")))</f>
        <v/>
      </c>
      <c r="G162" s="28">
        <f>IF($F162&lt;&gt;"aplicado","",IF(IFERROR(INDEX('ORDENES'!$K$4:$K$1203,MATCH($A162,'ORDENES'!$AT$4:$AT$1203,0)),"")="","",$B162-IFERROR(INDEX('ORDENES'!$K$4:$K$1203,MATCH($A162,'ORDENES'!$AT$4:$AT$1203,0)),"")))</f>
        <v/>
      </c>
    </row>
    <row r="163">
      <c r="A163" s="4" t="n"/>
      <c r="B163" s="26" t="n"/>
      <c r="C163" s="4" t="n"/>
      <c r="D163" s="27" t="n"/>
      <c r="E163" s="5">
        <f>IF($A163="","",IFERROR(INDEX('ORDENES'!$D$4:$D$1203,MATCH($A163,'ORDENES'!$AT$4:$AT$1203,0)),"(no encontrada)"))</f>
        <v/>
      </c>
      <c r="F163" s="5">
        <f>IF($A163="","",IF(ISNA(MATCH($A163,'ORDENES'!$AT$4:$AT$1203,0)),"huérfano",IF(COUNTIF($A$4:$A163,$A163)&gt;1,"duplicado (se ignora)","aplicado")))</f>
        <v/>
      </c>
      <c r="G163" s="28">
        <f>IF($F163&lt;&gt;"aplicado","",IF(IFERROR(INDEX('ORDENES'!$K$4:$K$1203,MATCH($A163,'ORDENES'!$AT$4:$AT$1203,0)),"")="","",$B163-IFERROR(INDEX('ORDENES'!$K$4:$K$1203,MATCH($A163,'ORDENES'!$AT$4:$AT$1203,0)),"")))</f>
        <v/>
      </c>
    </row>
    <row r="164">
      <c r="A164" s="4" t="n"/>
      <c r="B164" s="26" t="n"/>
      <c r="C164" s="4" t="n"/>
      <c r="D164" s="27" t="n"/>
      <c r="E164" s="5">
        <f>IF($A164="","",IFERROR(INDEX('ORDENES'!$D$4:$D$1203,MATCH($A164,'ORDENES'!$AT$4:$AT$1203,0)),"(no encontrada)"))</f>
        <v/>
      </c>
      <c r="F164" s="5">
        <f>IF($A164="","",IF(ISNA(MATCH($A164,'ORDENES'!$AT$4:$AT$1203,0)),"huérfano",IF(COUNTIF($A$4:$A164,$A164)&gt;1,"duplicado (se ignora)","aplicado")))</f>
        <v/>
      </c>
      <c r="G164" s="28">
        <f>IF($F164&lt;&gt;"aplicado","",IF(IFERROR(INDEX('ORDENES'!$K$4:$K$1203,MATCH($A164,'ORDENES'!$AT$4:$AT$1203,0)),"")="","",$B164-IFERROR(INDEX('ORDENES'!$K$4:$K$1203,MATCH($A164,'ORDENES'!$AT$4:$AT$1203,0)),"")))</f>
        <v/>
      </c>
    </row>
    <row r="165">
      <c r="A165" s="4" t="n"/>
      <c r="B165" s="26" t="n"/>
      <c r="C165" s="4" t="n"/>
      <c r="D165" s="27" t="n"/>
      <c r="E165" s="5">
        <f>IF($A165="","",IFERROR(INDEX('ORDENES'!$D$4:$D$1203,MATCH($A165,'ORDENES'!$AT$4:$AT$1203,0)),"(no encontrada)"))</f>
        <v/>
      </c>
      <c r="F165" s="5">
        <f>IF($A165="","",IF(ISNA(MATCH($A165,'ORDENES'!$AT$4:$AT$1203,0)),"huérfano",IF(COUNTIF($A$4:$A165,$A165)&gt;1,"duplicado (se ignora)","aplicado")))</f>
        <v/>
      </c>
      <c r="G165" s="28">
        <f>IF($F165&lt;&gt;"aplicado","",IF(IFERROR(INDEX('ORDENES'!$K$4:$K$1203,MATCH($A165,'ORDENES'!$AT$4:$AT$1203,0)),"")="","",$B165-IFERROR(INDEX('ORDENES'!$K$4:$K$1203,MATCH($A165,'ORDENES'!$AT$4:$AT$1203,0)),"")))</f>
        <v/>
      </c>
    </row>
    <row r="166">
      <c r="A166" s="4" t="n"/>
      <c r="B166" s="26" t="n"/>
      <c r="C166" s="4" t="n"/>
      <c r="D166" s="27" t="n"/>
      <c r="E166" s="5">
        <f>IF($A166="","",IFERROR(INDEX('ORDENES'!$D$4:$D$1203,MATCH($A166,'ORDENES'!$AT$4:$AT$1203,0)),"(no encontrada)"))</f>
        <v/>
      </c>
      <c r="F166" s="5">
        <f>IF($A166="","",IF(ISNA(MATCH($A166,'ORDENES'!$AT$4:$AT$1203,0)),"huérfano",IF(COUNTIF($A$4:$A166,$A166)&gt;1,"duplicado (se ignora)","aplicado")))</f>
        <v/>
      </c>
      <c r="G166" s="28">
        <f>IF($F166&lt;&gt;"aplicado","",IF(IFERROR(INDEX('ORDENES'!$K$4:$K$1203,MATCH($A166,'ORDENES'!$AT$4:$AT$1203,0)),"")="","",$B166-IFERROR(INDEX('ORDENES'!$K$4:$K$1203,MATCH($A166,'ORDENES'!$AT$4:$AT$1203,0)),"")))</f>
        <v/>
      </c>
    </row>
    <row r="167">
      <c r="A167" s="4" t="n"/>
      <c r="B167" s="26" t="n"/>
      <c r="C167" s="4" t="n"/>
      <c r="D167" s="27" t="n"/>
      <c r="E167" s="5">
        <f>IF($A167="","",IFERROR(INDEX('ORDENES'!$D$4:$D$1203,MATCH($A167,'ORDENES'!$AT$4:$AT$1203,0)),"(no encontrada)"))</f>
        <v/>
      </c>
      <c r="F167" s="5">
        <f>IF($A167="","",IF(ISNA(MATCH($A167,'ORDENES'!$AT$4:$AT$1203,0)),"huérfano",IF(COUNTIF($A$4:$A167,$A167)&gt;1,"duplicado (se ignora)","aplicado")))</f>
        <v/>
      </c>
      <c r="G167" s="28">
        <f>IF($F167&lt;&gt;"aplicado","",IF(IFERROR(INDEX('ORDENES'!$K$4:$K$1203,MATCH($A167,'ORDENES'!$AT$4:$AT$1203,0)),"")="","",$B167-IFERROR(INDEX('ORDENES'!$K$4:$K$1203,MATCH($A167,'ORDENES'!$AT$4:$AT$1203,0)),"")))</f>
        <v/>
      </c>
    </row>
    <row r="168">
      <c r="A168" s="4" t="n"/>
      <c r="B168" s="26" t="n"/>
      <c r="C168" s="4" t="n"/>
      <c r="D168" s="27" t="n"/>
      <c r="E168" s="5">
        <f>IF($A168="","",IFERROR(INDEX('ORDENES'!$D$4:$D$1203,MATCH($A168,'ORDENES'!$AT$4:$AT$1203,0)),"(no encontrada)"))</f>
        <v/>
      </c>
      <c r="F168" s="5">
        <f>IF($A168="","",IF(ISNA(MATCH($A168,'ORDENES'!$AT$4:$AT$1203,0)),"huérfano",IF(COUNTIF($A$4:$A168,$A168)&gt;1,"duplicado (se ignora)","aplicado")))</f>
        <v/>
      </c>
      <c r="G168" s="28">
        <f>IF($F168&lt;&gt;"aplicado","",IF(IFERROR(INDEX('ORDENES'!$K$4:$K$1203,MATCH($A168,'ORDENES'!$AT$4:$AT$1203,0)),"")="","",$B168-IFERROR(INDEX('ORDENES'!$K$4:$K$1203,MATCH($A168,'ORDENES'!$AT$4:$AT$1203,0)),"")))</f>
        <v/>
      </c>
    </row>
    <row r="169">
      <c r="A169" s="4" t="n"/>
      <c r="B169" s="26" t="n"/>
      <c r="C169" s="4" t="n"/>
      <c r="D169" s="27" t="n"/>
      <c r="E169" s="5">
        <f>IF($A169="","",IFERROR(INDEX('ORDENES'!$D$4:$D$1203,MATCH($A169,'ORDENES'!$AT$4:$AT$1203,0)),"(no encontrada)"))</f>
        <v/>
      </c>
      <c r="F169" s="5">
        <f>IF($A169="","",IF(ISNA(MATCH($A169,'ORDENES'!$AT$4:$AT$1203,0)),"huérfano",IF(COUNTIF($A$4:$A169,$A169)&gt;1,"duplicado (se ignora)","aplicado")))</f>
        <v/>
      </c>
      <c r="G169" s="28">
        <f>IF($F169&lt;&gt;"aplicado","",IF(IFERROR(INDEX('ORDENES'!$K$4:$K$1203,MATCH($A169,'ORDENES'!$AT$4:$AT$1203,0)),"")="","",$B169-IFERROR(INDEX('ORDENES'!$K$4:$K$1203,MATCH($A169,'ORDENES'!$AT$4:$AT$1203,0)),"")))</f>
        <v/>
      </c>
    </row>
    <row r="170">
      <c r="A170" s="4" t="n"/>
      <c r="B170" s="26" t="n"/>
      <c r="C170" s="4" t="n"/>
      <c r="D170" s="27" t="n"/>
      <c r="E170" s="5">
        <f>IF($A170="","",IFERROR(INDEX('ORDENES'!$D$4:$D$1203,MATCH($A170,'ORDENES'!$AT$4:$AT$1203,0)),"(no encontrada)"))</f>
        <v/>
      </c>
      <c r="F170" s="5">
        <f>IF($A170="","",IF(ISNA(MATCH($A170,'ORDENES'!$AT$4:$AT$1203,0)),"huérfano",IF(COUNTIF($A$4:$A170,$A170)&gt;1,"duplicado (se ignora)","aplicado")))</f>
        <v/>
      </c>
      <c r="G170" s="28">
        <f>IF($F170&lt;&gt;"aplicado","",IF(IFERROR(INDEX('ORDENES'!$K$4:$K$1203,MATCH($A170,'ORDENES'!$AT$4:$AT$1203,0)),"")="","",$B170-IFERROR(INDEX('ORDENES'!$K$4:$K$1203,MATCH($A170,'ORDENES'!$AT$4:$AT$1203,0)),"")))</f>
        <v/>
      </c>
    </row>
    <row r="171">
      <c r="A171" s="4" t="n"/>
      <c r="B171" s="26" t="n"/>
      <c r="C171" s="4" t="n"/>
      <c r="D171" s="27" t="n"/>
      <c r="E171" s="5">
        <f>IF($A171="","",IFERROR(INDEX('ORDENES'!$D$4:$D$1203,MATCH($A171,'ORDENES'!$AT$4:$AT$1203,0)),"(no encontrada)"))</f>
        <v/>
      </c>
      <c r="F171" s="5">
        <f>IF($A171="","",IF(ISNA(MATCH($A171,'ORDENES'!$AT$4:$AT$1203,0)),"huérfano",IF(COUNTIF($A$4:$A171,$A171)&gt;1,"duplicado (se ignora)","aplicado")))</f>
        <v/>
      </c>
      <c r="G171" s="28">
        <f>IF($F171&lt;&gt;"aplicado","",IF(IFERROR(INDEX('ORDENES'!$K$4:$K$1203,MATCH($A171,'ORDENES'!$AT$4:$AT$1203,0)),"")="","",$B171-IFERROR(INDEX('ORDENES'!$K$4:$K$1203,MATCH($A171,'ORDENES'!$AT$4:$AT$1203,0)),"")))</f>
        <v/>
      </c>
    </row>
    <row r="172">
      <c r="A172" s="4" t="n"/>
      <c r="B172" s="26" t="n"/>
      <c r="C172" s="4" t="n"/>
      <c r="D172" s="27" t="n"/>
      <c r="E172" s="5">
        <f>IF($A172="","",IFERROR(INDEX('ORDENES'!$D$4:$D$1203,MATCH($A172,'ORDENES'!$AT$4:$AT$1203,0)),"(no encontrada)"))</f>
        <v/>
      </c>
      <c r="F172" s="5">
        <f>IF($A172="","",IF(ISNA(MATCH($A172,'ORDENES'!$AT$4:$AT$1203,0)),"huérfano",IF(COUNTIF($A$4:$A172,$A172)&gt;1,"duplicado (se ignora)","aplicado")))</f>
        <v/>
      </c>
      <c r="G172" s="28">
        <f>IF($F172&lt;&gt;"aplicado","",IF(IFERROR(INDEX('ORDENES'!$K$4:$K$1203,MATCH($A172,'ORDENES'!$AT$4:$AT$1203,0)),"")="","",$B172-IFERROR(INDEX('ORDENES'!$K$4:$K$1203,MATCH($A172,'ORDENES'!$AT$4:$AT$1203,0)),"")))</f>
        <v/>
      </c>
    </row>
    <row r="173">
      <c r="A173" s="4" t="n"/>
      <c r="B173" s="26" t="n"/>
      <c r="C173" s="4" t="n"/>
      <c r="D173" s="27" t="n"/>
      <c r="E173" s="5">
        <f>IF($A173="","",IFERROR(INDEX('ORDENES'!$D$4:$D$1203,MATCH($A173,'ORDENES'!$AT$4:$AT$1203,0)),"(no encontrada)"))</f>
        <v/>
      </c>
      <c r="F173" s="5">
        <f>IF($A173="","",IF(ISNA(MATCH($A173,'ORDENES'!$AT$4:$AT$1203,0)),"huérfano",IF(COUNTIF($A$4:$A173,$A173)&gt;1,"duplicado (se ignora)","aplicado")))</f>
        <v/>
      </c>
      <c r="G173" s="28">
        <f>IF($F173&lt;&gt;"aplicado","",IF(IFERROR(INDEX('ORDENES'!$K$4:$K$1203,MATCH($A173,'ORDENES'!$AT$4:$AT$1203,0)),"")="","",$B173-IFERROR(INDEX('ORDENES'!$K$4:$K$1203,MATCH($A173,'ORDENES'!$AT$4:$AT$1203,0)),"")))</f>
        <v/>
      </c>
    </row>
    <row r="174">
      <c r="A174" s="4" t="n"/>
      <c r="B174" s="26" t="n"/>
      <c r="C174" s="4" t="n"/>
      <c r="D174" s="27" t="n"/>
      <c r="E174" s="5">
        <f>IF($A174="","",IFERROR(INDEX('ORDENES'!$D$4:$D$1203,MATCH($A174,'ORDENES'!$AT$4:$AT$1203,0)),"(no encontrada)"))</f>
        <v/>
      </c>
      <c r="F174" s="5">
        <f>IF($A174="","",IF(ISNA(MATCH($A174,'ORDENES'!$AT$4:$AT$1203,0)),"huérfano",IF(COUNTIF($A$4:$A174,$A174)&gt;1,"duplicado (se ignora)","aplicado")))</f>
        <v/>
      </c>
      <c r="G174" s="28">
        <f>IF($F174&lt;&gt;"aplicado","",IF(IFERROR(INDEX('ORDENES'!$K$4:$K$1203,MATCH($A174,'ORDENES'!$AT$4:$AT$1203,0)),"")="","",$B174-IFERROR(INDEX('ORDENES'!$K$4:$K$1203,MATCH($A174,'ORDENES'!$AT$4:$AT$1203,0)),"")))</f>
        <v/>
      </c>
    </row>
    <row r="175">
      <c r="A175" s="4" t="n"/>
      <c r="B175" s="26" t="n"/>
      <c r="C175" s="4" t="n"/>
      <c r="D175" s="27" t="n"/>
      <c r="E175" s="5">
        <f>IF($A175="","",IFERROR(INDEX('ORDENES'!$D$4:$D$1203,MATCH($A175,'ORDENES'!$AT$4:$AT$1203,0)),"(no encontrada)"))</f>
        <v/>
      </c>
      <c r="F175" s="5">
        <f>IF($A175="","",IF(ISNA(MATCH($A175,'ORDENES'!$AT$4:$AT$1203,0)),"huérfano",IF(COUNTIF($A$4:$A175,$A175)&gt;1,"duplicado (se ignora)","aplicado")))</f>
        <v/>
      </c>
      <c r="G175" s="28">
        <f>IF($F175&lt;&gt;"aplicado","",IF(IFERROR(INDEX('ORDENES'!$K$4:$K$1203,MATCH($A175,'ORDENES'!$AT$4:$AT$1203,0)),"")="","",$B175-IFERROR(INDEX('ORDENES'!$K$4:$K$1203,MATCH($A175,'ORDENES'!$AT$4:$AT$1203,0)),"")))</f>
        <v/>
      </c>
    </row>
    <row r="176">
      <c r="A176" s="4" t="n"/>
      <c r="B176" s="26" t="n"/>
      <c r="C176" s="4" t="n"/>
      <c r="D176" s="27" t="n"/>
      <c r="E176" s="5">
        <f>IF($A176="","",IFERROR(INDEX('ORDENES'!$D$4:$D$1203,MATCH($A176,'ORDENES'!$AT$4:$AT$1203,0)),"(no encontrada)"))</f>
        <v/>
      </c>
      <c r="F176" s="5">
        <f>IF($A176="","",IF(ISNA(MATCH($A176,'ORDENES'!$AT$4:$AT$1203,0)),"huérfano",IF(COUNTIF($A$4:$A176,$A176)&gt;1,"duplicado (se ignora)","aplicado")))</f>
        <v/>
      </c>
      <c r="G176" s="28">
        <f>IF($F176&lt;&gt;"aplicado","",IF(IFERROR(INDEX('ORDENES'!$K$4:$K$1203,MATCH($A176,'ORDENES'!$AT$4:$AT$1203,0)),"")="","",$B176-IFERROR(INDEX('ORDENES'!$K$4:$K$1203,MATCH($A176,'ORDENES'!$AT$4:$AT$1203,0)),"")))</f>
        <v/>
      </c>
    </row>
    <row r="177">
      <c r="A177" s="4" t="n"/>
      <c r="B177" s="26" t="n"/>
      <c r="C177" s="4" t="n"/>
      <c r="D177" s="27" t="n"/>
      <c r="E177" s="5">
        <f>IF($A177="","",IFERROR(INDEX('ORDENES'!$D$4:$D$1203,MATCH($A177,'ORDENES'!$AT$4:$AT$1203,0)),"(no encontrada)"))</f>
        <v/>
      </c>
      <c r="F177" s="5">
        <f>IF($A177="","",IF(ISNA(MATCH($A177,'ORDENES'!$AT$4:$AT$1203,0)),"huérfano",IF(COUNTIF($A$4:$A177,$A177)&gt;1,"duplicado (se ignora)","aplicado")))</f>
        <v/>
      </c>
      <c r="G177" s="28">
        <f>IF($F177&lt;&gt;"aplicado","",IF(IFERROR(INDEX('ORDENES'!$K$4:$K$1203,MATCH($A177,'ORDENES'!$AT$4:$AT$1203,0)),"")="","",$B177-IFERROR(INDEX('ORDENES'!$K$4:$K$1203,MATCH($A177,'ORDENES'!$AT$4:$AT$1203,0)),"")))</f>
        <v/>
      </c>
    </row>
    <row r="178">
      <c r="A178" s="4" t="n"/>
      <c r="B178" s="26" t="n"/>
      <c r="C178" s="4" t="n"/>
      <c r="D178" s="27" t="n"/>
      <c r="E178" s="5">
        <f>IF($A178="","",IFERROR(INDEX('ORDENES'!$D$4:$D$1203,MATCH($A178,'ORDENES'!$AT$4:$AT$1203,0)),"(no encontrada)"))</f>
        <v/>
      </c>
      <c r="F178" s="5">
        <f>IF($A178="","",IF(ISNA(MATCH($A178,'ORDENES'!$AT$4:$AT$1203,0)),"huérfano",IF(COUNTIF($A$4:$A178,$A178)&gt;1,"duplicado (se ignora)","aplicado")))</f>
        <v/>
      </c>
      <c r="G178" s="28">
        <f>IF($F178&lt;&gt;"aplicado","",IF(IFERROR(INDEX('ORDENES'!$K$4:$K$1203,MATCH($A178,'ORDENES'!$AT$4:$AT$1203,0)),"")="","",$B178-IFERROR(INDEX('ORDENES'!$K$4:$K$1203,MATCH($A178,'ORDENES'!$AT$4:$AT$1203,0)),"")))</f>
        <v/>
      </c>
    </row>
    <row r="179">
      <c r="A179" s="4" t="n"/>
      <c r="B179" s="26" t="n"/>
      <c r="C179" s="4" t="n"/>
      <c r="D179" s="27" t="n"/>
      <c r="E179" s="5">
        <f>IF($A179="","",IFERROR(INDEX('ORDENES'!$D$4:$D$1203,MATCH($A179,'ORDENES'!$AT$4:$AT$1203,0)),"(no encontrada)"))</f>
        <v/>
      </c>
      <c r="F179" s="5">
        <f>IF($A179="","",IF(ISNA(MATCH($A179,'ORDENES'!$AT$4:$AT$1203,0)),"huérfano",IF(COUNTIF($A$4:$A179,$A179)&gt;1,"duplicado (se ignora)","aplicado")))</f>
        <v/>
      </c>
      <c r="G179" s="28">
        <f>IF($F179&lt;&gt;"aplicado","",IF(IFERROR(INDEX('ORDENES'!$K$4:$K$1203,MATCH($A179,'ORDENES'!$AT$4:$AT$1203,0)),"")="","",$B179-IFERROR(INDEX('ORDENES'!$K$4:$K$1203,MATCH($A179,'ORDENES'!$AT$4:$AT$1203,0)),"")))</f>
        <v/>
      </c>
    </row>
    <row r="180">
      <c r="A180" s="4" t="n"/>
      <c r="B180" s="26" t="n"/>
      <c r="C180" s="4" t="n"/>
      <c r="D180" s="27" t="n"/>
      <c r="E180" s="5">
        <f>IF($A180="","",IFERROR(INDEX('ORDENES'!$D$4:$D$1203,MATCH($A180,'ORDENES'!$AT$4:$AT$1203,0)),"(no encontrada)"))</f>
        <v/>
      </c>
      <c r="F180" s="5">
        <f>IF($A180="","",IF(ISNA(MATCH($A180,'ORDENES'!$AT$4:$AT$1203,0)),"huérfano",IF(COUNTIF($A$4:$A180,$A180)&gt;1,"duplicado (se ignora)","aplicado")))</f>
        <v/>
      </c>
      <c r="G180" s="28">
        <f>IF($F180&lt;&gt;"aplicado","",IF(IFERROR(INDEX('ORDENES'!$K$4:$K$1203,MATCH($A180,'ORDENES'!$AT$4:$AT$1203,0)),"")="","",$B180-IFERROR(INDEX('ORDENES'!$K$4:$K$1203,MATCH($A180,'ORDENES'!$AT$4:$AT$1203,0)),"")))</f>
        <v/>
      </c>
    </row>
    <row r="181">
      <c r="A181" s="4" t="n"/>
      <c r="B181" s="26" t="n"/>
      <c r="C181" s="4" t="n"/>
      <c r="D181" s="27" t="n"/>
      <c r="E181" s="5">
        <f>IF($A181="","",IFERROR(INDEX('ORDENES'!$D$4:$D$1203,MATCH($A181,'ORDENES'!$AT$4:$AT$1203,0)),"(no encontrada)"))</f>
        <v/>
      </c>
      <c r="F181" s="5">
        <f>IF($A181="","",IF(ISNA(MATCH($A181,'ORDENES'!$AT$4:$AT$1203,0)),"huérfano",IF(COUNTIF($A$4:$A181,$A181)&gt;1,"duplicado (se ignora)","aplicado")))</f>
        <v/>
      </c>
      <c r="G181" s="28">
        <f>IF($F181&lt;&gt;"aplicado","",IF(IFERROR(INDEX('ORDENES'!$K$4:$K$1203,MATCH($A181,'ORDENES'!$AT$4:$AT$1203,0)),"")="","",$B181-IFERROR(INDEX('ORDENES'!$K$4:$K$1203,MATCH($A181,'ORDENES'!$AT$4:$AT$1203,0)),"")))</f>
        <v/>
      </c>
    </row>
    <row r="182">
      <c r="A182" s="4" t="n"/>
      <c r="B182" s="26" t="n"/>
      <c r="C182" s="4" t="n"/>
      <c r="D182" s="27" t="n"/>
      <c r="E182" s="5">
        <f>IF($A182="","",IFERROR(INDEX('ORDENES'!$D$4:$D$1203,MATCH($A182,'ORDENES'!$AT$4:$AT$1203,0)),"(no encontrada)"))</f>
        <v/>
      </c>
      <c r="F182" s="5">
        <f>IF($A182="","",IF(ISNA(MATCH($A182,'ORDENES'!$AT$4:$AT$1203,0)),"huérfano",IF(COUNTIF($A$4:$A182,$A182)&gt;1,"duplicado (se ignora)","aplicado")))</f>
        <v/>
      </c>
      <c r="G182" s="28">
        <f>IF($F182&lt;&gt;"aplicado","",IF(IFERROR(INDEX('ORDENES'!$K$4:$K$1203,MATCH($A182,'ORDENES'!$AT$4:$AT$1203,0)),"")="","",$B182-IFERROR(INDEX('ORDENES'!$K$4:$K$1203,MATCH($A182,'ORDENES'!$AT$4:$AT$1203,0)),"")))</f>
        <v/>
      </c>
    </row>
    <row r="183">
      <c r="A183" s="4" t="n"/>
      <c r="B183" s="26" t="n"/>
      <c r="C183" s="4" t="n"/>
      <c r="D183" s="27" t="n"/>
      <c r="E183" s="5">
        <f>IF($A183="","",IFERROR(INDEX('ORDENES'!$D$4:$D$1203,MATCH($A183,'ORDENES'!$AT$4:$AT$1203,0)),"(no encontrada)"))</f>
        <v/>
      </c>
      <c r="F183" s="5">
        <f>IF($A183="","",IF(ISNA(MATCH($A183,'ORDENES'!$AT$4:$AT$1203,0)),"huérfano",IF(COUNTIF($A$4:$A183,$A183)&gt;1,"duplicado (se ignora)","aplicado")))</f>
        <v/>
      </c>
      <c r="G183" s="28">
        <f>IF($F183&lt;&gt;"aplicado","",IF(IFERROR(INDEX('ORDENES'!$K$4:$K$1203,MATCH($A183,'ORDENES'!$AT$4:$AT$1203,0)),"")="","",$B183-IFERROR(INDEX('ORDENES'!$K$4:$K$1203,MATCH($A183,'ORDENES'!$AT$4:$AT$1203,0)),"")))</f>
        <v/>
      </c>
    </row>
    <row r="184">
      <c r="A184" s="4" t="n"/>
      <c r="B184" s="26" t="n"/>
      <c r="C184" s="4" t="n"/>
      <c r="D184" s="27" t="n"/>
      <c r="E184" s="5">
        <f>IF($A184="","",IFERROR(INDEX('ORDENES'!$D$4:$D$1203,MATCH($A184,'ORDENES'!$AT$4:$AT$1203,0)),"(no encontrada)"))</f>
        <v/>
      </c>
      <c r="F184" s="5">
        <f>IF($A184="","",IF(ISNA(MATCH($A184,'ORDENES'!$AT$4:$AT$1203,0)),"huérfano",IF(COUNTIF($A$4:$A184,$A184)&gt;1,"duplicado (se ignora)","aplicado")))</f>
        <v/>
      </c>
      <c r="G184" s="28">
        <f>IF($F184&lt;&gt;"aplicado","",IF(IFERROR(INDEX('ORDENES'!$K$4:$K$1203,MATCH($A184,'ORDENES'!$AT$4:$AT$1203,0)),"")="","",$B184-IFERROR(INDEX('ORDENES'!$K$4:$K$1203,MATCH($A184,'ORDENES'!$AT$4:$AT$1203,0)),"")))</f>
        <v/>
      </c>
    </row>
    <row r="185">
      <c r="A185" s="4" t="n"/>
      <c r="B185" s="26" t="n"/>
      <c r="C185" s="4" t="n"/>
      <c r="D185" s="27" t="n"/>
      <c r="E185" s="5">
        <f>IF($A185="","",IFERROR(INDEX('ORDENES'!$D$4:$D$1203,MATCH($A185,'ORDENES'!$AT$4:$AT$1203,0)),"(no encontrada)"))</f>
        <v/>
      </c>
      <c r="F185" s="5">
        <f>IF($A185="","",IF(ISNA(MATCH($A185,'ORDENES'!$AT$4:$AT$1203,0)),"huérfano",IF(COUNTIF($A$4:$A185,$A185)&gt;1,"duplicado (se ignora)","aplicado")))</f>
        <v/>
      </c>
      <c r="G185" s="28">
        <f>IF($F185&lt;&gt;"aplicado","",IF(IFERROR(INDEX('ORDENES'!$K$4:$K$1203,MATCH($A185,'ORDENES'!$AT$4:$AT$1203,0)),"")="","",$B185-IFERROR(INDEX('ORDENES'!$K$4:$K$1203,MATCH($A185,'ORDENES'!$AT$4:$AT$1203,0)),"")))</f>
        <v/>
      </c>
    </row>
    <row r="186">
      <c r="A186" s="4" t="n"/>
      <c r="B186" s="26" t="n"/>
      <c r="C186" s="4" t="n"/>
      <c r="D186" s="27" t="n"/>
      <c r="E186" s="5">
        <f>IF($A186="","",IFERROR(INDEX('ORDENES'!$D$4:$D$1203,MATCH($A186,'ORDENES'!$AT$4:$AT$1203,0)),"(no encontrada)"))</f>
        <v/>
      </c>
      <c r="F186" s="5">
        <f>IF($A186="","",IF(ISNA(MATCH($A186,'ORDENES'!$AT$4:$AT$1203,0)),"huérfano",IF(COUNTIF($A$4:$A186,$A186)&gt;1,"duplicado (se ignora)","aplicado")))</f>
        <v/>
      </c>
      <c r="G186" s="28">
        <f>IF($F186&lt;&gt;"aplicado","",IF(IFERROR(INDEX('ORDENES'!$K$4:$K$1203,MATCH($A186,'ORDENES'!$AT$4:$AT$1203,0)),"")="","",$B186-IFERROR(INDEX('ORDENES'!$K$4:$K$1203,MATCH($A186,'ORDENES'!$AT$4:$AT$1203,0)),"")))</f>
        <v/>
      </c>
    </row>
    <row r="187">
      <c r="A187" s="4" t="n"/>
      <c r="B187" s="26" t="n"/>
      <c r="C187" s="4" t="n"/>
      <c r="D187" s="27" t="n"/>
      <c r="E187" s="5">
        <f>IF($A187="","",IFERROR(INDEX('ORDENES'!$D$4:$D$1203,MATCH($A187,'ORDENES'!$AT$4:$AT$1203,0)),"(no encontrada)"))</f>
        <v/>
      </c>
      <c r="F187" s="5">
        <f>IF($A187="","",IF(ISNA(MATCH($A187,'ORDENES'!$AT$4:$AT$1203,0)),"huérfano",IF(COUNTIF($A$4:$A187,$A187)&gt;1,"duplicado (se ignora)","aplicado")))</f>
        <v/>
      </c>
      <c r="G187" s="28">
        <f>IF($F187&lt;&gt;"aplicado","",IF(IFERROR(INDEX('ORDENES'!$K$4:$K$1203,MATCH($A187,'ORDENES'!$AT$4:$AT$1203,0)),"")="","",$B187-IFERROR(INDEX('ORDENES'!$K$4:$K$1203,MATCH($A187,'ORDENES'!$AT$4:$AT$1203,0)),"")))</f>
        <v/>
      </c>
    </row>
    <row r="188">
      <c r="A188" s="4" t="n"/>
      <c r="B188" s="26" t="n"/>
      <c r="C188" s="4" t="n"/>
      <c r="D188" s="27" t="n"/>
      <c r="E188" s="5">
        <f>IF($A188="","",IFERROR(INDEX('ORDENES'!$D$4:$D$1203,MATCH($A188,'ORDENES'!$AT$4:$AT$1203,0)),"(no encontrada)"))</f>
        <v/>
      </c>
      <c r="F188" s="5">
        <f>IF($A188="","",IF(ISNA(MATCH($A188,'ORDENES'!$AT$4:$AT$1203,0)),"huérfano",IF(COUNTIF($A$4:$A188,$A188)&gt;1,"duplicado (se ignora)","aplicado")))</f>
        <v/>
      </c>
      <c r="G188" s="28">
        <f>IF($F188&lt;&gt;"aplicado","",IF(IFERROR(INDEX('ORDENES'!$K$4:$K$1203,MATCH($A188,'ORDENES'!$AT$4:$AT$1203,0)),"")="","",$B188-IFERROR(INDEX('ORDENES'!$K$4:$K$1203,MATCH($A188,'ORDENES'!$AT$4:$AT$1203,0)),"")))</f>
        <v/>
      </c>
    </row>
    <row r="189">
      <c r="A189" s="4" t="n"/>
      <c r="B189" s="26" t="n"/>
      <c r="C189" s="4" t="n"/>
      <c r="D189" s="27" t="n"/>
      <c r="E189" s="5">
        <f>IF($A189="","",IFERROR(INDEX('ORDENES'!$D$4:$D$1203,MATCH($A189,'ORDENES'!$AT$4:$AT$1203,0)),"(no encontrada)"))</f>
        <v/>
      </c>
      <c r="F189" s="5">
        <f>IF($A189="","",IF(ISNA(MATCH($A189,'ORDENES'!$AT$4:$AT$1203,0)),"huérfano",IF(COUNTIF($A$4:$A189,$A189)&gt;1,"duplicado (se ignora)","aplicado")))</f>
        <v/>
      </c>
      <c r="G189" s="28">
        <f>IF($F189&lt;&gt;"aplicado","",IF(IFERROR(INDEX('ORDENES'!$K$4:$K$1203,MATCH($A189,'ORDENES'!$AT$4:$AT$1203,0)),"")="","",$B189-IFERROR(INDEX('ORDENES'!$K$4:$K$1203,MATCH($A189,'ORDENES'!$AT$4:$AT$1203,0)),"")))</f>
        <v/>
      </c>
    </row>
    <row r="190">
      <c r="A190" s="4" t="n"/>
      <c r="B190" s="26" t="n"/>
      <c r="C190" s="4" t="n"/>
      <c r="D190" s="27" t="n"/>
      <c r="E190" s="5">
        <f>IF($A190="","",IFERROR(INDEX('ORDENES'!$D$4:$D$1203,MATCH($A190,'ORDENES'!$AT$4:$AT$1203,0)),"(no encontrada)"))</f>
        <v/>
      </c>
      <c r="F190" s="5">
        <f>IF($A190="","",IF(ISNA(MATCH($A190,'ORDENES'!$AT$4:$AT$1203,0)),"huérfano",IF(COUNTIF($A$4:$A190,$A190)&gt;1,"duplicado (se ignora)","aplicado")))</f>
        <v/>
      </c>
      <c r="G190" s="28">
        <f>IF($F190&lt;&gt;"aplicado","",IF(IFERROR(INDEX('ORDENES'!$K$4:$K$1203,MATCH($A190,'ORDENES'!$AT$4:$AT$1203,0)),"")="","",$B190-IFERROR(INDEX('ORDENES'!$K$4:$K$1203,MATCH($A190,'ORDENES'!$AT$4:$AT$1203,0)),"")))</f>
        <v/>
      </c>
    </row>
    <row r="191">
      <c r="A191" s="4" t="n"/>
      <c r="B191" s="26" t="n"/>
      <c r="C191" s="4" t="n"/>
      <c r="D191" s="27" t="n"/>
      <c r="E191" s="5">
        <f>IF($A191="","",IFERROR(INDEX('ORDENES'!$D$4:$D$1203,MATCH($A191,'ORDENES'!$AT$4:$AT$1203,0)),"(no encontrada)"))</f>
        <v/>
      </c>
      <c r="F191" s="5">
        <f>IF($A191="","",IF(ISNA(MATCH($A191,'ORDENES'!$AT$4:$AT$1203,0)),"huérfano",IF(COUNTIF($A$4:$A191,$A191)&gt;1,"duplicado (se ignora)","aplicado")))</f>
        <v/>
      </c>
      <c r="G191" s="28">
        <f>IF($F191&lt;&gt;"aplicado","",IF(IFERROR(INDEX('ORDENES'!$K$4:$K$1203,MATCH($A191,'ORDENES'!$AT$4:$AT$1203,0)),"")="","",$B191-IFERROR(INDEX('ORDENES'!$K$4:$K$1203,MATCH($A191,'ORDENES'!$AT$4:$AT$1203,0)),"")))</f>
        <v/>
      </c>
    </row>
    <row r="192">
      <c r="A192" s="4" t="n"/>
      <c r="B192" s="26" t="n"/>
      <c r="C192" s="4" t="n"/>
      <c r="D192" s="27" t="n"/>
      <c r="E192" s="5">
        <f>IF($A192="","",IFERROR(INDEX('ORDENES'!$D$4:$D$1203,MATCH($A192,'ORDENES'!$AT$4:$AT$1203,0)),"(no encontrada)"))</f>
        <v/>
      </c>
      <c r="F192" s="5">
        <f>IF($A192="","",IF(ISNA(MATCH($A192,'ORDENES'!$AT$4:$AT$1203,0)),"huérfano",IF(COUNTIF($A$4:$A192,$A192)&gt;1,"duplicado (se ignora)","aplicado")))</f>
        <v/>
      </c>
      <c r="G192" s="28">
        <f>IF($F192&lt;&gt;"aplicado","",IF(IFERROR(INDEX('ORDENES'!$K$4:$K$1203,MATCH($A192,'ORDENES'!$AT$4:$AT$1203,0)),"")="","",$B192-IFERROR(INDEX('ORDENES'!$K$4:$K$1203,MATCH($A192,'ORDENES'!$AT$4:$AT$1203,0)),"")))</f>
        <v/>
      </c>
    </row>
    <row r="193">
      <c r="A193" s="4" t="n"/>
      <c r="B193" s="26" t="n"/>
      <c r="C193" s="4" t="n"/>
      <c r="D193" s="27" t="n"/>
      <c r="E193" s="5">
        <f>IF($A193="","",IFERROR(INDEX('ORDENES'!$D$4:$D$1203,MATCH($A193,'ORDENES'!$AT$4:$AT$1203,0)),"(no encontrada)"))</f>
        <v/>
      </c>
      <c r="F193" s="5">
        <f>IF($A193="","",IF(ISNA(MATCH($A193,'ORDENES'!$AT$4:$AT$1203,0)),"huérfano",IF(COUNTIF($A$4:$A193,$A193)&gt;1,"duplicado (se ignora)","aplicado")))</f>
        <v/>
      </c>
      <c r="G193" s="28">
        <f>IF($F193&lt;&gt;"aplicado","",IF(IFERROR(INDEX('ORDENES'!$K$4:$K$1203,MATCH($A193,'ORDENES'!$AT$4:$AT$1203,0)),"")="","",$B193-IFERROR(INDEX('ORDENES'!$K$4:$K$1203,MATCH($A193,'ORDENES'!$AT$4:$AT$1203,0)),"")))</f>
        <v/>
      </c>
    </row>
    <row r="194">
      <c r="A194" s="4" t="n"/>
      <c r="B194" s="26" t="n"/>
      <c r="C194" s="4" t="n"/>
      <c r="D194" s="27" t="n"/>
      <c r="E194" s="5">
        <f>IF($A194="","",IFERROR(INDEX('ORDENES'!$D$4:$D$1203,MATCH($A194,'ORDENES'!$AT$4:$AT$1203,0)),"(no encontrada)"))</f>
        <v/>
      </c>
      <c r="F194" s="5">
        <f>IF($A194="","",IF(ISNA(MATCH($A194,'ORDENES'!$AT$4:$AT$1203,0)),"huérfano",IF(COUNTIF($A$4:$A194,$A194)&gt;1,"duplicado (se ignora)","aplicado")))</f>
        <v/>
      </c>
      <c r="G194" s="28">
        <f>IF($F194&lt;&gt;"aplicado","",IF(IFERROR(INDEX('ORDENES'!$K$4:$K$1203,MATCH($A194,'ORDENES'!$AT$4:$AT$1203,0)),"")="","",$B194-IFERROR(INDEX('ORDENES'!$K$4:$K$1203,MATCH($A194,'ORDENES'!$AT$4:$AT$1203,0)),"")))</f>
        <v/>
      </c>
    </row>
    <row r="195">
      <c r="A195" s="4" t="n"/>
      <c r="B195" s="26" t="n"/>
      <c r="C195" s="4" t="n"/>
      <c r="D195" s="27" t="n"/>
      <c r="E195" s="5">
        <f>IF($A195="","",IFERROR(INDEX('ORDENES'!$D$4:$D$1203,MATCH($A195,'ORDENES'!$AT$4:$AT$1203,0)),"(no encontrada)"))</f>
        <v/>
      </c>
      <c r="F195" s="5">
        <f>IF($A195="","",IF(ISNA(MATCH($A195,'ORDENES'!$AT$4:$AT$1203,0)),"huérfano",IF(COUNTIF($A$4:$A195,$A195)&gt;1,"duplicado (se ignora)","aplicado")))</f>
        <v/>
      </c>
      <c r="G195" s="28">
        <f>IF($F195&lt;&gt;"aplicado","",IF(IFERROR(INDEX('ORDENES'!$K$4:$K$1203,MATCH($A195,'ORDENES'!$AT$4:$AT$1203,0)),"")="","",$B195-IFERROR(INDEX('ORDENES'!$K$4:$K$1203,MATCH($A195,'ORDENES'!$AT$4:$AT$1203,0)),"")))</f>
        <v/>
      </c>
    </row>
    <row r="196">
      <c r="A196" s="4" t="n"/>
      <c r="B196" s="26" t="n"/>
      <c r="C196" s="4" t="n"/>
      <c r="D196" s="27" t="n"/>
      <c r="E196" s="5">
        <f>IF($A196="","",IFERROR(INDEX('ORDENES'!$D$4:$D$1203,MATCH($A196,'ORDENES'!$AT$4:$AT$1203,0)),"(no encontrada)"))</f>
        <v/>
      </c>
      <c r="F196" s="5">
        <f>IF($A196="","",IF(ISNA(MATCH($A196,'ORDENES'!$AT$4:$AT$1203,0)),"huérfano",IF(COUNTIF($A$4:$A196,$A196)&gt;1,"duplicado (se ignora)","aplicado")))</f>
        <v/>
      </c>
      <c r="G196" s="28">
        <f>IF($F196&lt;&gt;"aplicado","",IF(IFERROR(INDEX('ORDENES'!$K$4:$K$1203,MATCH($A196,'ORDENES'!$AT$4:$AT$1203,0)),"")="","",$B196-IFERROR(INDEX('ORDENES'!$K$4:$K$1203,MATCH($A196,'ORDENES'!$AT$4:$AT$1203,0)),"")))</f>
        <v/>
      </c>
    </row>
    <row r="197">
      <c r="A197" s="4" t="n"/>
      <c r="B197" s="26" t="n"/>
      <c r="C197" s="4" t="n"/>
      <c r="D197" s="27" t="n"/>
      <c r="E197" s="5">
        <f>IF($A197="","",IFERROR(INDEX('ORDENES'!$D$4:$D$1203,MATCH($A197,'ORDENES'!$AT$4:$AT$1203,0)),"(no encontrada)"))</f>
        <v/>
      </c>
      <c r="F197" s="5">
        <f>IF($A197="","",IF(ISNA(MATCH($A197,'ORDENES'!$AT$4:$AT$1203,0)),"huérfano",IF(COUNTIF($A$4:$A197,$A197)&gt;1,"duplicado (se ignora)","aplicado")))</f>
        <v/>
      </c>
      <c r="G197" s="28">
        <f>IF($F197&lt;&gt;"aplicado","",IF(IFERROR(INDEX('ORDENES'!$K$4:$K$1203,MATCH($A197,'ORDENES'!$AT$4:$AT$1203,0)),"")="","",$B197-IFERROR(INDEX('ORDENES'!$K$4:$K$1203,MATCH($A197,'ORDENES'!$AT$4:$AT$1203,0)),"")))</f>
        <v/>
      </c>
    </row>
    <row r="198">
      <c r="A198" s="4" t="n"/>
      <c r="B198" s="26" t="n"/>
      <c r="C198" s="4" t="n"/>
      <c r="D198" s="27" t="n"/>
      <c r="E198" s="5">
        <f>IF($A198="","",IFERROR(INDEX('ORDENES'!$D$4:$D$1203,MATCH($A198,'ORDENES'!$AT$4:$AT$1203,0)),"(no encontrada)"))</f>
        <v/>
      </c>
      <c r="F198" s="5">
        <f>IF($A198="","",IF(ISNA(MATCH($A198,'ORDENES'!$AT$4:$AT$1203,0)),"huérfano",IF(COUNTIF($A$4:$A198,$A198)&gt;1,"duplicado (se ignora)","aplicado")))</f>
        <v/>
      </c>
      <c r="G198" s="28">
        <f>IF($F198&lt;&gt;"aplicado","",IF(IFERROR(INDEX('ORDENES'!$K$4:$K$1203,MATCH($A198,'ORDENES'!$AT$4:$AT$1203,0)),"")="","",$B198-IFERROR(INDEX('ORDENES'!$K$4:$K$1203,MATCH($A198,'ORDENES'!$AT$4:$AT$1203,0)),"")))</f>
        <v/>
      </c>
    </row>
    <row r="199">
      <c r="A199" s="4" t="n"/>
      <c r="B199" s="26" t="n"/>
      <c r="C199" s="4" t="n"/>
      <c r="D199" s="27" t="n"/>
      <c r="E199" s="5">
        <f>IF($A199="","",IFERROR(INDEX('ORDENES'!$D$4:$D$1203,MATCH($A199,'ORDENES'!$AT$4:$AT$1203,0)),"(no encontrada)"))</f>
        <v/>
      </c>
      <c r="F199" s="5">
        <f>IF($A199="","",IF(ISNA(MATCH($A199,'ORDENES'!$AT$4:$AT$1203,0)),"huérfano",IF(COUNTIF($A$4:$A199,$A199)&gt;1,"duplicado (se ignora)","aplicado")))</f>
        <v/>
      </c>
      <c r="G199" s="28">
        <f>IF($F199&lt;&gt;"aplicado","",IF(IFERROR(INDEX('ORDENES'!$K$4:$K$1203,MATCH($A199,'ORDENES'!$AT$4:$AT$1203,0)),"")="","",$B199-IFERROR(INDEX('ORDENES'!$K$4:$K$1203,MATCH($A199,'ORDENES'!$AT$4:$AT$1203,0)),"")))</f>
        <v/>
      </c>
    </row>
    <row r="200">
      <c r="A200" s="4" t="n"/>
      <c r="B200" s="26" t="n"/>
      <c r="C200" s="4" t="n"/>
      <c r="D200" s="27" t="n"/>
      <c r="E200" s="5">
        <f>IF($A200="","",IFERROR(INDEX('ORDENES'!$D$4:$D$1203,MATCH($A200,'ORDENES'!$AT$4:$AT$1203,0)),"(no encontrada)"))</f>
        <v/>
      </c>
      <c r="F200" s="5">
        <f>IF($A200="","",IF(ISNA(MATCH($A200,'ORDENES'!$AT$4:$AT$1203,0)),"huérfano",IF(COUNTIF($A$4:$A200,$A200)&gt;1,"duplicado (se ignora)","aplicado")))</f>
        <v/>
      </c>
      <c r="G200" s="28">
        <f>IF($F200&lt;&gt;"aplicado","",IF(IFERROR(INDEX('ORDENES'!$K$4:$K$1203,MATCH($A200,'ORDENES'!$AT$4:$AT$1203,0)),"")="","",$B200-IFERROR(INDEX('ORDENES'!$K$4:$K$1203,MATCH($A200,'ORDENES'!$AT$4:$AT$1203,0)),"")))</f>
        <v/>
      </c>
    </row>
    <row r="201">
      <c r="A201" s="4" t="n"/>
      <c r="B201" s="26" t="n"/>
      <c r="C201" s="4" t="n"/>
      <c r="D201" s="27" t="n"/>
      <c r="E201" s="5">
        <f>IF($A201="","",IFERROR(INDEX('ORDENES'!$D$4:$D$1203,MATCH($A201,'ORDENES'!$AT$4:$AT$1203,0)),"(no encontrada)"))</f>
        <v/>
      </c>
      <c r="F201" s="5">
        <f>IF($A201="","",IF(ISNA(MATCH($A201,'ORDENES'!$AT$4:$AT$1203,0)),"huérfano",IF(COUNTIF($A$4:$A201,$A201)&gt;1,"duplicado (se ignora)","aplicado")))</f>
        <v/>
      </c>
      <c r="G201" s="28">
        <f>IF($F201&lt;&gt;"aplicado","",IF(IFERROR(INDEX('ORDENES'!$K$4:$K$1203,MATCH($A201,'ORDENES'!$AT$4:$AT$1203,0)),"")="","",$B201-IFERROR(INDEX('ORDENES'!$K$4:$K$1203,MATCH($A201,'ORDENES'!$AT$4:$AT$1203,0)),"")))</f>
        <v/>
      </c>
    </row>
    <row r="202">
      <c r="A202" s="4" t="n"/>
      <c r="B202" s="26" t="n"/>
      <c r="C202" s="4" t="n"/>
      <c r="D202" s="27" t="n"/>
      <c r="E202" s="5">
        <f>IF($A202="","",IFERROR(INDEX('ORDENES'!$D$4:$D$1203,MATCH($A202,'ORDENES'!$AT$4:$AT$1203,0)),"(no encontrada)"))</f>
        <v/>
      </c>
      <c r="F202" s="5">
        <f>IF($A202="","",IF(ISNA(MATCH($A202,'ORDENES'!$AT$4:$AT$1203,0)),"huérfano",IF(COUNTIF($A$4:$A202,$A202)&gt;1,"duplicado (se ignora)","aplicado")))</f>
        <v/>
      </c>
      <c r="G202" s="28">
        <f>IF($F202&lt;&gt;"aplicado","",IF(IFERROR(INDEX('ORDENES'!$K$4:$K$1203,MATCH($A202,'ORDENES'!$AT$4:$AT$1203,0)),"")="","",$B202-IFERROR(INDEX('ORDENES'!$K$4:$K$1203,MATCH($A202,'ORDENES'!$AT$4:$AT$1203,0)),"")))</f>
        <v/>
      </c>
    </row>
    <row r="203">
      <c r="A203" s="4" t="n"/>
      <c r="B203" s="26" t="n"/>
      <c r="C203" s="4" t="n"/>
      <c r="D203" s="27" t="n"/>
      <c r="E203" s="5">
        <f>IF($A203="","",IFERROR(INDEX('ORDENES'!$D$4:$D$1203,MATCH($A203,'ORDENES'!$AT$4:$AT$1203,0)),"(no encontrada)"))</f>
        <v/>
      </c>
      <c r="F203" s="5">
        <f>IF($A203="","",IF(ISNA(MATCH($A203,'ORDENES'!$AT$4:$AT$1203,0)),"huérfano",IF(COUNTIF($A$4:$A203,$A203)&gt;1,"duplicado (se ignora)","aplicado")))</f>
        <v/>
      </c>
      <c r="G203" s="28">
        <f>IF($F203&lt;&gt;"aplicado","",IF(IFERROR(INDEX('ORDENES'!$K$4:$K$1203,MATCH($A203,'ORDENES'!$AT$4:$AT$1203,0)),"")="","",$B203-IFERROR(INDEX('ORDENES'!$K$4:$K$1203,MATCH($A203,'ORDENES'!$AT$4:$AT$1203,0)),"")))</f>
        <v/>
      </c>
    </row>
    <row r="204">
      <c r="A204" s="4" t="n"/>
      <c r="B204" s="26" t="n"/>
      <c r="C204" s="4" t="n"/>
      <c r="D204" s="27" t="n"/>
      <c r="E204" s="5">
        <f>IF($A204="","",IFERROR(INDEX('ORDENES'!$D$4:$D$1203,MATCH($A204,'ORDENES'!$AT$4:$AT$1203,0)),"(no encontrada)"))</f>
        <v/>
      </c>
      <c r="F204" s="5">
        <f>IF($A204="","",IF(ISNA(MATCH($A204,'ORDENES'!$AT$4:$AT$1203,0)),"huérfano",IF(COUNTIF($A$4:$A204,$A204)&gt;1,"duplicado (se ignora)","aplicado")))</f>
        <v/>
      </c>
      <c r="G204" s="28">
        <f>IF($F204&lt;&gt;"aplicado","",IF(IFERROR(INDEX('ORDENES'!$K$4:$K$1203,MATCH($A204,'ORDENES'!$AT$4:$AT$1203,0)),"")="","",$B204-IFERROR(INDEX('ORDENES'!$K$4:$K$1203,MATCH($A204,'ORDENES'!$AT$4:$AT$1203,0)),"")))</f>
        <v/>
      </c>
    </row>
    <row r="205">
      <c r="A205" s="4" t="n"/>
      <c r="B205" s="26" t="n"/>
      <c r="C205" s="4" t="n"/>
      <c r="D205" s="27" t="n"/>
      <c r="E205" s="5">
        <f>IF($A205="","",IFERROR(INDEX('ORDENES'!$D$4:$D$1203,MATCH($A205,'ORDENES'!$AT$4:$AT$1203,0)),"(no encontrada)"))</f>
        <v/>
      </c>
      <c r="F205" s="5">
        <f>IF($A205="","",IF(ISNA(MATCH($A205,'ORDENES'!$AT$4:$AT$1203,0)),"huérfano",IF(COUNTIF($A$4:$A205,$A205)&gt;1,"duplicado (se ignora)","aplicado")))</f>
        <v/>
      </c>
      <c r="G205" s="28">
        <f>IF($F205&lt;&gt;"aplicado","",IF(IFERROR(INDEX('ORDENES'!$K$4:$K$1203,MATCH($A205,'ORDENES'!$AT$4:$AT$1203,0)),"")="","",$B205-IFERROR(INDEX('ORDENES'!$K$4:$K$1203,MATCH($A205,'ORDENES'!$AT$4:$AT$1203,0)),"")))</f>
        <v/>
      </c>
    </row>
    <row r="206">
      <c r="A206" s="4" t="n"/>
      <c r="B206" s="26" t="n"/>
      <c r="C206" s="4" t="n"/>
      <c r="D206" s="27" t="n"/>
      <c r="E206" s="5">
        <f>IF($A206="","",IFERROR(INDEX('ORDENES'!$D$4:$D$1203,MATCH($A206,'ORDENES'!$AT$4:$AT$1203,0)),"(no encontrada)"))</f>
        <v/>
      </c>
      <c r="F206" s="5">
        <f>IF($A206="","",IF(ISNA(MATCH($A206,'ORDENES'!$AT$4:$AT$1203,0)),"huérfano",IF(COUNTIF($A$4:$A206,$A206)&gt;1,"duplicado (se ignora)","aplicado")))</f>
        <v/>
      </c>
      <c r="G206" s="28">
        <f>IF($F206&lt;&gt;"aplicado","",IF(IFERROR(INDEX('ORDENES'!$K$4:$K$1203,MATCH($A206,'ORDENES'!$AT$4:$AT$1203,0)),"")="","",$B206-IFERROR(INDEX('ORDENES'!$K$4:$K$1203,MATCH($A206,'ORDENES'!$AT$4:$AT$1203,0)),"")))</f>
        <v/>
      </c>
    </row>
    <row r="207">
      <c r="A207" s="4" t="n"/>
      <c r="B207" s="26" t="n"/>
      <c r="C207" s="4" t="n"/>
      <c r="D207" s="27" t="n"/>
      <c r="E207" s="5">
        <f>IF($A207="","",IFERROR(INDEX('ORDENES'!$D$4:$D$1203,MATCH($A207,'ORDENES'!$AT$4:$AT$1203,0)),"(no encontrada)"))</f>
        <v/>
      </c>
      <c r="F207" s="5">
        <f>IF($A207="","",IF(ISNA(MATCH($A207,'ORDENES'!$AT$4:$AT$1203,0)),"huérfano",IF(COUNTIF($A$4:$A207,$A207)&gt;1,"duplicado (se ignora)","aplicado")))</f>
        <v/>
      </c>
      <c r="G207" s="28">
        <f>IF($F207&lt;&gt;"aplicado","",IF(IFERROR(INDEX('ORDENES'!$K$4:$K$1203,MATCH($A207,'ORDENES'!$AT$4:$AT$1203,0)),"")="","",$B207-IFERROR(INDEX('ORDENES'!$K$4:$K$1203,MATCH($A207,'ORDENES'!$AT$4:$AT$1203,0)),"")))</f>
        <v/>
      </c>
    </row>
    <row r="208">
      <c r="A208" s="4" t="n"/>
      <c r="B208" s="26" t="n"/>
      <c r="C208" s="4" t="n"/>
      <c r="D208" s="27" t="n"/>
      <c r="E208" s="5">
        <f>IF($A208="","",IFERROR(INDEX('ORDENES'!$D$4:$D$1203,MATCH($A208,'ORDENES'!$AT$4:$AT$1203,0)),"(no encontrada)"))</f>
        <v/>
      </c>
      <c r="F208" s="5">
        <f>IF($A208="","",IF(ISNA(MATCH($A208,'ORDENES'!$AT$4:$AT$1203,0)),"huérfano",IF(COUNTIF($A$4:$A208,$A208)&gt;1,"duplicado (se ignora)","aplicado")))</f>
        <v/>
      </c>
      <c r="G208" s="28">
        <f>IF($F208&lt;&gt;"aplicado","",IF(IFERROR(INDEX('ORDENES'!$K$4:$K$1203,MATCH($A208,'ORDENES'!$AT$4:$AT$1203,0)),"")="","",$B208-IFERROR(INDEX('ORDENES'!$K$4:$K$1203,MATCH($A208,'ORDENES'!$AT$4:$AT$1203,0)),"")))</f>
        <v/>
      </c>
    </row>
    <row r="209">
      <c r="A209" s="4" t="n"/>
      <c r="B209" s="26" t="n"/>
      <c r="C209" s="4" t="n"/>
      <c r="D209" s="27" t="n"/>
      <c r="E209" s="5">
        <f>IF($A209="","",IFERROR(INDEX('ORDENES'!$D$4:$D$1203,MATCH($A209,'ORDENES'!$AT$4:$AT$1203,0)),"(no encontrada)"))</f>
        <v/>
      </c>
      <c r="F209" s="5">
        <f>IF($A209="","",IF(ISNA(MATCH($A209,'ORDENES'!$AT$4:$AT$1203,0)),"huérfano",IF(COUNTIF($A$4:$A209,$A209)&gt;1,"duplicado (se ignora)","aplicado")))</f>
        <v/>
      </c>
      <c r="G209" s="28">
        <f>IF($F209&lt;&gt;"aplicado","",IF(IFERROR(INDEX('ORDENES'!$K$4:$K$1203,MATCH($A209,'ORDENES'!$AT$4:$AT$1203,0)),"")="","",$B209-IFERROR(INDEX('ORDENES'!$K$4:$K$1203,MATCH($A209,'ORDENES'!$AT$4:$AT$1203,0)),"")))</f>
        <v/>
      </c>
    </row>
    <row r="210">
      <c r="A210" s="4" t="n"/>
      <c r="B210" s="26" t="n"/>
      <c r="C210" s="4" t="n"/>
      <c r="D210" s="27" t="n"/>
      <c r="E210" s="5">
        <f>IF($A210="","",IFERROR(INDEX('ORDENES'!$D$4:$D$1203,MATCH($A210,'ORDENES'!$AT$4:$AT$1203,0)),"(no encontrada)"))</f>
        <v/>
      </c>
      <c r="F210" s="5">
        <f>IF($A210="","",IF(ISNA(MATCH($A210,'ORDENES'!$AT$4:$AT$1203,0)),"huérfano",IF(COUNTIF($A$4:$A210,$A210)&gt;1,"duplicado (se ignora)","aplicado")))</f>
        <v/>
      </c>
      <c r="G210" s="28">
        <f>IF($F210&lt;&gt;"aplicado","",IF(IFERROR(INDEX('ORDENES'!$K$4:$K$1203,MATCH($A210,'ORDENES'!$AT$4:$AT$1203,0)),"")="","",$B210-IFERROR(INDEX('ORDENES'!$K$4:$K$1203,MATCH($A210,'ORDENES'!$AT$4:$AT$1203,0)),"")))</f>
        <v/>
      </c>
    </row>
    <row r="211">
      <c r="A211" s="4" t="n"/>
      <c r="B211" s="26" t="n"/>
      <c r="C211" s="4" t="n"/>
      <c r="D211" s="27" t="n"/>
      <c r="E211" s="5">
        <f>IF($A211="","",IFERROR(INDEX('ORDENES'!$D$4:$D$1203,MATCH($A211,'ORDENES'!$AT$4:$AT$1203,0)),"(no encontrada)"))</f>
        <v/>
      </c>
      <c r="F211" s="5">
        <f>IF($A211="","",IF(ISNA(MATCH($A211,'ORDENES'!$AT$4:$AT$1203,0)),"huérfano",IF(COUNTIF($A$4:$A211,$A211)&gt;1,"duplicado (se ignora)","aplicado")))</f>
        <v/>
      </c>
      <c r="G211" s="28">
        <f>IF($F211&lt;&gt;"aplicado","",IF(IFERROR(INDEX('ORDENES'!$K$4:$K$1203,MATCH($A211,'ORDENES'!$AT$4:$AT$1203,0)),"")="","",$B211-IFERROR(INDEX('ORDENES'!$K$4:$K$1203,MATCH($A211,'ORDENES'!$AT$4:$AT$1203,0)),"")))</f>
        <v/>
      </c>
    </row>
    <row r="212">
      <c r="A212" s="4" t="n"/>
      <c r="B212" s="26" t="n"/>
      <c r="C212" s="4" t="n"/>
      <c r="D212" s="27" t="n"/>
      <c r="E212" s="5">
        <f>IF($A212="","",IFERROR(INDEX('ORDENES'!$D$4:$D$1203,MATCH($A212,'ORDENES'!$AT$4:$AT$1203,0)),"(no encontrada)"))</f>
        <v/>
      </c>
      <c r="F212" s="5">
        <f>IF($A212="","",IF(ISNA(MATCH($A212,'ORDENES'!$AT$4:$AT$1203,0)),"huérfano",IF(COUNTIF($A$4:$A212,$A212)&gt;1,"duplicado (se ignora)","aplicado")))</f>
        <v/>
      </c>
      <c r="G212" s="28">
        <f>IF($F212&lt;&gt;"aplicado","",IF(IFERROR(INDEX('ORDENES'!$K$4:$K$1203,MATCH($A212,'ORDENES'!$AT$4:$AT$1203,0)),"")="","",$B212-IFERROR(INDEX('ORDENES'!$K$4:$K$1203,MATCH($A212,'ORDENES'!$AT$4:$AT$1203,0)),"")))</f>
        <v/>
      </c>
    </row>
    <row r="213">
      <c r="A213" s="4" t="n"/>
      <c r="B213" s="26" t="n"/>
      <c r="C213" s="4" t="n"/>
      <c r="D213" s="27" t="n"/>
      <c r="E213" s="5">
        <f>IF($A213="","",IFERROR(INDEX('ORDENES'!$D$4:$D$1203,MATCH($A213,'ORDENES'!$AT$4:$AT$1203,0)),"(no encontrada)"))</f>
        <v/>
      </c>
      <c r="F213" s="5">
        <f>IF($A213="","",IF(ISNA(MATCH($A213,'ORDENES'!$AT$4:$AT$1203,0)),"huérfano",IF(COUNTIF($A$4:$A213,$A213)&gt;1,"duplicado (se ignora)","aplicado")))</f>
        <v/>
      </c>
      <c r="G213" s="28">
        <f>IF($F213&lt;&gt;"aplicado","",IF(IFERROR(INDEX('ORDENES'!$K$4:$K$1203,MATCH($A213,'ORDENES'!$AT$4:$AT$1203,0)),"")="","",$B213-IFERROR(INDEX('ORDENES'!$K$4:$K$1203,MATCH($A213,'ORDENES'!$AT$4:$AT$1203,0)),"")))</f>
        <v/>
      </c>
    </row>
    <row r="214">
      <c r="A214" s="4" t="n"/>
      <c r="B214" s="26" t="n"/>
      <c r="C214" s="4" t="n"/>
      <c r="D214" s="27" t="n"/>
      <c r="E214" s="5">
        <f>IF($A214="","",IFERROR(INDEX('ORDENES'!$D$4:$D$1203,MATCH($A214,'ORDENES'!$AT$4:$AT$1203,0)),"(no encontrada)"))</f>
        <v/>
      </c>
      <c r="F214" s="5">
        <f>IF($A214="","",IF(ISNA(MATCH($A214,'ORDENES'!$AT$4:$AT$1203,0)),"huérfano",IF(COUNTIF($A$4:$A214,$A214)&gt;1,"duplicado (se ignora)","aplicado")))</f>
        <v/>
      </c>
      <c r="G214" s="28">
        <f>IF($F214&lt;&gt;"aplicado","",IF(IFERROR(INDEX('ORDENES'!$K$4:$K$1203,MATCH($A214,'ORDENES'!$AT$4:$AT$1203,0)),"")="","",$B214-IFERROR(INDEX('ORDENES'!$K$4:$K$1203,MATCH($A214,'ORDENES'!$AT$4:$AT$1203,0)),"")))</f>
        <v/>
      </c>
    </row>
    <row r="215">
      <c r="A215" s="4" t="n"/>
      <c r="B215" s="26" t="n"/>
      <c r="C215" s="4" t="n"/>
      <c r="D215" s="27" t="n"/>
      <c r="E215" s="5">
        <f>IF($A215="","",IFERROR(INDEX('ORDENES'!$D$4:$D$1203,MATCH($A215,'ORDENES'!$AT$4:$AT$1203,0)),"(no encontrada)"))</f>
        <v/>
      </c>
      <c r="F215" s="5">
        <f>IF($A215="","",IF(ISNA(MATCH($A215,'ORDENES'!$AT$4:$AT$1203,0)),"huérfano",IF(COUNTIF($A$4:$A215,$A215)&gt;1,"duplicado (se ignora)","aplicado")))</f>
        <v/>
      </c>
      <c r="G215" s="28">
        <f>IF($F215&lt;&gt;"aplicado","",IF(IFERROR(INDEX('ORDENES'!$K$4:$K$1203,MATCH($A215,'ORDENES'!$AT$4:$AT$1203,0)),"")="","",$B215-IFERROR(INDEX('ORDENES'!$K$4:$K$1203,MATCH($A215,'ORDENES'!$AT$4:$AT$1203,0)),"")))</f>
        <v/>
      </c>
    </row>
    <row r="216">
      <c r="A216" s="4" t="n"/>
      <c r="B216" s="26" t="n"/>
      <c r="C216" s="4" t="n"/>
      <c r="D216" s="27" t="n"/>
      <c r="E216" s="5">
        <f>IF($A216="","",IFERROR(INDEX('ORDENES'!$D$4:$D$1203,MATCH($A216,'ORDENES'!$AT$4:$AT$1203,0)),"(no encontrada)"))</f>
        <v/>
      </c>
      <c r="F216" s="5">
        <f>IF($A216="","",IF(ISNA(MATCH($A216,'ORDENES'!$AT$4:$AT$1203,0)),"huérfano",IF(COUNTIF($A$4:$A216,$A216)&gt;1,"duplicado (se ignora)","aplicado")))</f>
        <v/>
      </c>
      <c r="G216" s="28">
        <f>IF($F216&lt;&gt;"aplicado","",IF(IFERROR(INDEX('ORDENES'!$K$4:$K$1203,MATCH($A216,'ORDENES'!$AT$4:$AT$1203,0)),"")="","",$B216-IFERROR(INDEX('ORDENES'!$K$4:$K$1203,MATCH($A216,'ORDENES'!$AT$4:$AT$1203,0)),"")))</f>
        <v/>
      </c>
    </row>
    <row r="217">
      <c r="A217" s="4" t="n"/>
      <c r="B217" s="26" t="n"/>
      <c r="C217" s="4" t="n"/>
      <c r="D217" s="27" t="n"/>
      <c r="E217" s="5">
        <f>IF($A217="","",IFERROR(INDEX('ORDENES'!$D$4:$D$1203,MATCH($A217,'ORDENES'!$AT$4:$AT$1203,0)),"(no encontrada)"))</f>
        <v/>
      </c>
      <c r="F217" s="5">
        <f>IF($A217="","",IF(ISNA(MATCH($A217,'ORDENES'!$AT$4:$AT$1203,0)),"huérfano",IF(COUNTIF($A$4:$A217,$A217)&gt;1,"duplicado (se ignora)","aplicado")))</f>
        <v/>
      </c>
      <c r="G217" s="28">
        <f>IF($F217&lt;&gt;"aplicado","",IF(IFERROR(INDEX('ORDENES'!$K$4:$K$1203,MATCH($A217,'ORDENES'!$AT$4:$AT$1203,0)),"")="","",$B217-IFERROR(INDEX('ORDENES'!$K$4:$K$1203,MATCH($A217,'ORDENES'!$AT$4:$AT$1203,0)),"")))</f>
        <v/>
      </c>
    </row>
    <row r="218">
      <c r="A218" s="4" t="n"/>
      <c r="B218" s="26" t="n"/>
      <c r="C218" s="4" t="n"/>
      <c r="D218" s="27" t="n"/>
      <c r="E218" s="5">
        <f>IF($A218="","",IFERROR(INDEX('ORDENES'!$D$4:$D$1203,MATCH($A218,'ORDENES'!$AT$4:$AT$1203,0)),"(no encontrada)"))</f>
        <v/>
      </c>
      <c r="F218" s="5">
        <f>IF($A218="","",IF(ISNA(MATCH($A218,'ORDENES'!$AT$4:$AT$1203,0)),"huérfano",IF(COUNTIF($A$4:$A218,$A218)&gt;1,"duplicado (se ignora)","aplicado")))</f>
        <v/>
      </c>
      <c r="G218" s="28">
        <f>IF($F218&lt;&gt;"aplicado","",IF(IFERROR(INDEX('ORDENES'!$K$4:$K$1203,MATCH($A218,'ORDENES'!$AT$4:$AT$1203,0)),"")="","",$B218-IFERROR(INDEX('ORDENES'!$K$4:$K$1203,MATCH($A218,'ORDENES'!$AT$4:$AT$1203,0)),"")))</f>
        <v/>
      </c>
    </row>
    <row r="219">
      <c r="A219" s="4" t="n"/>
      <c r="B219" s="26" t="n"/>
      <c r="C219" s="4" t="n"/>
      <c r="D219" s="27" t="n"/>
      <c r="E219" s="5">
        <f>IF($A219="","",IFERROR(INDEX('ORDENES'!$D$4:$D$1203,MATCH($A219,'ORDENES'!$AT$4:$AT$1203,0)),"(no encontrada)"))</f>
        <v/>
      </c>
      <c r="F219" s="5">
        <f>IF($A219="","",IF(ISNA(MATCH($A219,'ORDENES'!$AT$4:$AT$1203,0)),"huérfano",IF(COUNTIF($A$4:$A219,$A219)&gt;1,"duplicado (se ignora)","aplicado")))</f>
        <v/>
      </c>
      <c r="G219" s="28">
        <f>IF($F219&lt;&gt;"aplicado","",IF(IFERROR(INDEX('ORDENES'!$K$4:$K$1203,MATCH($A219,'ORDENES'!$AT$4:$AT$1203,0)),"")="","",$B219-IFERROR(INDEX('ORDENES'!$K$4:$K$1203,MATCH($A219,'ORDENES'!$AT$4:$AT$1203,0)),"")))</f>
        <v/>
      </c>
    </row>
    <row r="220">
      <c r="A220" s="4" t="n"/>
      <c r="B220" s="26" t="n"/>
      <c r="C220" s="4" t="n"/>
      <c r="D220" s="27" t="n"/>
      <c r="E220" s="5">
        <f>IF($A220="","",IFERROR(INDEX('ORDENES'!$D$4:$D$1203,MATCH($A220,'ORDENES'!$AT$4:$AT$1203,0)),"(no encontrada)"))</f>
        <v/>
      </c>
      <c r="F220" s="5">
        <f>IF($A220="","",IF(ISNA(MATCH($A220,'ORDENES'!$AT$4:$AT$1203,0)),"huérfano",IF(COUNTIF($A$4:$A220,$A220)&gt;1,"duplicado (se ignora)","aplicado")))</f>
        <v/>
      </c>
      <c r="G220" s="28">
        <f>IF($F220&lt;&gt;"aplicado","",IF(IFERROR(INDEX('ORDENES'!$K$4:$K$1203,MATCH($A220,'ORDENES'!$AT$4:$AT$1203,0)),"")="","",$B220-IFERROR(INDEX('ORDENES'!$K$4:$K$1203,MATCH($A220,'ORDENES'!$AT$4:$AT$1203,0)),"")))</f>
        <v/>
      </c>
    </row>
    <row r="221">
      <c r="A221" s="4" t="n"/>
      <c r="B221" s="26" t="n"/>
      <c r="C221" s="4" t="n"/>
      <c r="D221" s="27" t="n"/>
      <c r="E221" s="5">
        <f>IF($A221="","",IFERROR(INDEX('ORDENES'!$D$4:$D$1203,MATCH($A221,'ORDENES'!$AT$4:$AT$1203,0)),"(no encontrada)"))</f>
        <v/>
      </c>
      <c r="F221" s="5">
        <f>IF($A221="","",IF(ISNA(MATCH($A221,'ORDENES'!$AT$4:$AT$1203,0)),"huérfano",IF(COUNTIF($A$4:$A221,$A221)&gt;1,"duplicado (se ignora)","aplicado")))</f>
        <v/>
      </c>
      <c r="G221" s="28">
        <f>IF($F221&lt;&gt;"aplicado","",IF(IFERROR(INDEX('ORDENES'!$K$4:$K$1203,MATCH($A221,'ORDENES'!$AT$4:$AT$1203,0)),"")="","",$B221-IFERROR(INDEX('ORDENES'!$K$4:$K$1203,MATCH($A221,'ORDENES'!$AT$4:$AT$1203,0)),"")))</f>
        <v/>
      </c>
    </row>
    <row r="222">
      <c r="A222" s="4" t="n"/>
      <c r="B222" s="26" t="n"/>
      <c r="C222" s="4" t="n"/>
      <c r="D222" s="27" t="n"/>
      <c r="E222" s="5">
        <f>IF($A222="","",IFERROR(INDEX('ORDENES'!$D$4:$D$1203,MATCH($A222,'ORDENES'!$AT$4:$AT$1203,0)),"(no encontrada)"))</f>
        <v/>
      </c>
      <c r="F222" s="5">
        <f>IF($A222="","",IF(ISNA(MATCH($A222,'ORDENES'!$AT$4:$AT$1203,0)),"huérfano",IF(COUNTIF($A$4:$A222,$A222)&gt;1,"duplicado (se ignora)","aplicado")))</f>
        <v/>
      </c>
      <c r="G222" s="28">
        <f>IF($F222&lt;&gt;"aplicado","",IF(IFERROR(INDEX('ORDENES'!$K$4:$K$1203,MATCH($A222,'ORDENES'!$AT$4:$AT$1203,0)),"")="","",$B222-IFERROR(INDEX('ORDENES'!$K$4:$K$1203,MATCH($A222,'ORDENES'!$AT$4:$AT$1203,0)),"")))</f>
        <v/>
      </c>
    </row>
    <row r="223">
      <c r="A223" s="4" t="n"/>
      <c r="B223" s="26" t="n"/>
      <c r="C223" s="4" t="n"/>
      <c r="D223" s="27" t="n"/>
      <c r="E223" s="5">
        <f>IF($A223="","",IFERROR(INDEX('ORDENES'!$D$4:$D$1203,MATCH($A223,'ORDENES'!$AT$4:$AT$1203,0)),"(no encontrada)"))</f>
        <v/>
      </c>
      <c r="F223" s="5">
        <f>IF($A223="","",IF(ISNA(MATCH($A223,'ORDENES'!$AT$4:$AT$1203,0)),"huérfano",IF(COUNTIF($A$4:$A223,$A223)&gt;1,"duplicado (se ignora)","aplicado")))</f>
        <v/>
      </c>
      <c r="G223" s="28">
        <f>IF($F223&lt;&gt;"aplicado","",IF(IFERROR(INDEX('ORDENES'!$K$4:$K$1203,MATCH($A223,'ORDENES'!$AT$4:$AT$1203,0)),"")="","",$B223-IFERROR(INDEX('ORDENES'!$K$4:$K$1203,MATCH($A223,'ORDENES'!$AT$4:$AT$1203,0)),"")))</f>
        <v/>
      </c>
    </row>
    <row r="224">
      <c r="A224" s="4" t="n"/>
      <c r="B224" s="26" t="n"/>
      <c r="C224" s="4" t="n"/>
      <c r="D224" s="27" t="n"/>
      <c r="E224" s="5">
        <f>IF($A224="","",IFERROR(INDEX('ORDENES'!$D$4:$D$1203,MATCH($A224,'ORDENES'!$AT$4:$AT$1203,0)),"(no encontrada)"))</f>
        <v/>
      </c>
      <c r="F224" s="5">
        <f>IF($A224="","",IF(ISNA(MATCH($A224,'ORDENES'!$AT$4:$AT$1203,0)),"huérfano",IF(COUNTIF($A$4:$A224,$A224)&gt;1,"duplicado (se ignora)","aplicado")))</f>
        <v/>
      </c>
      <c r="G224" s="28">
        <f>IF($F224&lt;&gt;"aplicado","",IF(IFERROR(INDEX('ORDENES'!$K$4:$K$1203,MATCH($A224,'ORDENES'!$AT$4:$AT$1203,0)),"")="","",$B224-IFERROR(INDEX('ORDENES'!$K$4:$K$1203,MATCH($A224,'ORDENES'!$AT$4:$AT$1203,0)),"")))</f>
        <v/>
      </c>
    </row>
    <row r="225">
      <c r="A225" s="4" t="n"/>
      <c r="B225" s="26" t="n"/>
      <c r="C225" s="4" t="n"/>
      <c r="D225" s="27" t="n"/>
      <c r="E225" s="5">
        <f>IF($A225="","",IFERROR(INDEX('ORDENES'!$D$4:$D$1203,MATCH($A225,'ORDENES'!$AT$4:$AT$1203,0)),"(no encontrada)"))</f>
        <v/>
      </c>
      <c r="F225" s="5">
        <f>IF($A225="","",IF(ISNA(MATCH($A225,'ORDENES'!$AT$4:$AT$1203,0)),"huérfano",IF(COUNTIF($A$4:$A225,$A225)&gt;1,"duplicado (se ignora)","aplicado")))</f>
        <v/>
      </c>
      <c r="G225" s="28">
        <f>IF($F225&lt;&gt;"aplicado","",IF(IFERROR(INDEX('ORDENES'!$K$4:$K$1203,MATCH($A225,'ORDENES'!$AT$4:$AT$1203,0)),"")="","",$B225-IFERROR(INDEX('ORDENES'!$K$4:$K$1203,MATCH($A225,'ORDENES'!$AT$4:$AT$1203,0)),"")))</f>
        <v/>
      </c>
    </row>
    <row r="226">
      <c r="A226" s="4" t="n"/>
      <c r="B226" s="26" t="n"/>
      <c r="C226" s="4" t="n"/>
      <c r="D226" s="27" t="n"/>
      <c r="E226" s="5">
        <f>IF($A226="","",IFERROR(INDEX('ORDENES'!$D$4:$D$1203,MATCH($A226,'ORDENES'!$AT$4:$AT$1203,0)),"(no encontrada)"))</f>
        <v/>
      </c>
      <c r="F226" s="5">
        <f>IF($A226="","",IF(ISNA(MATCH($A226,'ORDENES'!$AT$4:$AT$1203,0)),"huérfano",IF(COUNTIF($A$4:$A226,$A226)&gt;1,"duplicado (se ignora)","aplicado")))</f>
        <v/>
      </c>
      <c r="G226" s="28">
        <f>IF($F226&lt;&gt;"aplicado","",IF(IFERROR(INDEX('ORDENES'!$K$4:$K$1203,MATCH($A226,'ORDENES'!$AT$4:$AT$1203,0)),"")="","",$B226-IFERROR(INDEX('ORDENES'!$K$4:$K$1203,MATCH($A226,'ORDENES'!$AT$4:$AT$1203,0)),"")))</f>
        <v/>
      </c>
    </row>
    <row r="227">
      <c r="A227" s="4" t="n"/>
      <c r="B227" s="26" t="n"/>
      <c r="C227" s="4" t="n"/>
      <c r="D227" s="27" t="n"/>
      <c r="E227" s="5">
        <f>IF($A227="","",IFERROR(INDEX('ORDENES'!$D$4:$D$1203,MATCH($A227,'ORDENES'!$AT$4:$AT$1203,0)),"(no encontrada)"))</f>
        <v/>
      </c>
      <c r="F227" s="5">
        <f>IF($A227="","",IF(ISNA(MATCH($A227,'ORDENES'!$AT$4:$AT$1203,0)),"huérfano",IF(COUNTIF($A$4:$A227,$A227)&gt;1,"duplicado (se ignora)","aplicado")))</f>
        <v/>
      </c>
      <c r="G227" s="28">
        <f>IF($F227&lt;&gt;"aplicado","",IF(IFERROR(INDEX('ORDENES'!$K$4:$K$1203,MATCH($A227,'ORDENES'!$AT$4:$AT$1203,0)),"")="","",$B227-IFERROR(INDEX('ORDENES'!$K$4:$K$1203,MATCH($A227,'ORDENES'!$AT$4:$AT$1203,0)),"")))</f>
        <v/>
      </c>
    </row>
    <row r="228">
      <c r="A228" s="4" t="n"/>
      <c r="B228" s="26" t="n"/>
      <c r="C228" s="4" t="n"/>
      <c r="D228" s="27" t="n"/>
      <c r="E228" s="5">
        <f>IF($A228="","",IFERROR(INDEX('ORDENES'!$D$4:$D$1203,MATCH($A228,'ORDENES'!$AT$4:$AT$1203,0)),"(no encontrada)"))</f>
        <v/>
      </c>
      <c r="F228" s="5">
        <f>IF($A228="","",IF(ISNA(MATCH($A228,'ORDENES'!$AT$4:$AT$1203,0)),"huérfano",IF(COUNTIF($A$4:$A228,$A228)&gt;1,"duplicado (se ignora)","aplicado")))</f>
        <v/>
      </c>
      <c r="G228" s="28">
        <f>IF($F228&lt;&gt;"aplicado","",IF(IFERROR(INDEX('ORDENES'!$K$4:$K$1203,MATCH($A228,'ORDENES'!$AT$4:$AT$1203,0)),"")="","",$B228-IFERROR(INDEX('ORDENES'!$K$4:$K$1203,MATCH($A228,'ORDENES'!$AT$4:$AT$1203,0)),"")))</f>
        <v/>
      </c>
    </row>
    <row r="229">
      <c r="A229" s="4" t="n"/>
      <c r="B229" s="26" t="n"/>
      <c r="C229" s="4" t="n"/>
      <c r="D229" s="27" t="n"/>
      <c r="E229" s="5">
        <f>IF($A229="","",IFERROR(INDEX('ORDENES'!$D$4:$D$1203,MATCH($A229,'ORDENES'!$AT$4:$AT$1203,0)),"(no encontrada)"))</f>
        <v/>
      </c>
      <c r="F229" s="5">
        <f>IF($A229="","",IF(ISNA(MATCH($A229,'ORDENES'!$AT$4:$AT$1203,0)),"huérfano",IF(COUNTIF($A$4:$A229,$A229)&gt;1,"duplicado (se ignora)","aplicado")))</f>
        <v/>
      </c>
      <c r="G229" s="28">
        <f>IF($F229&lt;&gt;"aplicado","",IF(IFERROR(INDEX('ORDENES'!$K$4:$K$1203,MATCH($A229,'ORDENES'!$AT$4:$AT$1203,0)),"")="","",$B229-IFERROR(INDEX('ORDENES'!$K$4:$K$1203,MATCH($A229,'ORDENES'!$AT$4:$AT$1203,0)),"")))</f>
        <v/>
      </c>
    </row>
    <row r="230">
      <c r="A230" s="4" t="n"/>
      <c r="B230" s="26" t="n"/>
      <c r="C230" s="4" t="n"/>
      <c r="D230" s="27" t="n"/>
      <c r="E230" s="5">
        <f>IF($A230="","",IFERROR(INDEX('ORDENES'!$D$4:$D$1203,MATCH($A230,'ORDENES'!$AT$4:$AT$1203,0)),"(no encontrada)"))</f>
        <v/>
      </c>
      <c r="F230" s="5">
        <f>IF($A230="","",IF(ISNA(MATCH($A230,'ORDENES'!$AT$4:$AT$1203,0)),"huérfano",IF(COUNTIF($A$4:$A230,$A230)&gt;1,"duplicado (se ignora)","aplicado")))</f>
        <v/>
      </c>
      <c r="G230" s="28">
        <f>IF($F230&lt;&gt;"aplicado","",IF(IFERROR(INDEX('ORDENES'!$K$4:$K$1203,MATCH($A230,'ORDENES'!$AT$4:$AT$1203,0)),"")="","",$B230-IFERROR(INDEX('ORDENES'!$K$4:$K$1203,MATCH($A230,'ORDENES'!$AT$4:$AT$1203,0)),"")))</f>
        <v/>
      </c>
    </row>
    <row r="231">
      <c r="A231" s="4" t="n"/>
      <c r="B231" s="26" t="n"/>
      <c r="C231" s="4" t="n"/>
      <c r="D231" s="27" t="n"/>
      <c r="E231" s="5">
        <f>IF($A231="","",IFERROR(INDEX('ORDENES'!$D$4:$D$1203,MATCH($A231,'ORDENES'!$AT$4:$AT$1203,0)),"(no encontrada)"))</f>
        <v/>
      </c>
      <c r="F231" s="5">
        <f>IF($A231="","",IF(ISNA(MATCH($A231,'ORDENES'!$AT$4:$AT$1203,0)),"huérfano",IF(COUNTIF($A$4:$A231,$A231)&gt;1,"duplicado (se ignora)","aplicado")))</f>
        <v/>
      </c>
      <c r="G231" s="28">
        <f>IF($F231&lt;&gt;"aplicado","",IF(IFERROR(INDEX('ORDENES'!$K$4:$K$1203,MATCH($A231,'ORDENES'!$AT$4:$AT$1203,0)),"")="","",$B231-IFERROR(INDEX('ORDENES'!$K$4:$K$1203,MATCH($A231,'ORDENES'!$AT$4:$AT$1203,0)),"")))</f>
        <v/>
      </c>
    </row>
    <row r="232">
      <c r="A232" s="4" t="n"/>
      <c r="B232" s="26" t="n"/>
      <c r="C232" s="4" t="n"/>
      <c r="D232" s="27" t="n"/>
      <c r="E232" s="5">
        <f>IF($A232="","",IFERROR(INDEX('ORDENES'!$D$4:$D$1203,MATCH($A232,'ORDENES'!$AT$4:$AT$1203,0)),"(no encontrada)"))</f>
        <v/>
      </c>
      <c r="F232" s="5">
        <f>IF($A232="","",IF(ISNA(MATCH($A232,'ORDENES'!$AT$4:$AT$1203,0)),"huérfano",IF(COUNTIF($A$4:$A232,$A232)&gt;1,"duplicado (se ignora)","aplicado")))</f>
        <v/>
      </c>
      <c r="G232" s="28">
        <f>IF($F232&lt;&gt;"aplicado","",IF(IFERROR(INDEX('ORDENES'!$K$4:$K$1203,MATCH($A232,'ORDENES'!$AT$4:$AT$1203,0)),"")="","",$B232-IFERROR(INDEX('ORDENES'!$K$4:$K$1203,MATCH($A232,'ORDENES'!$AT$4:$AT$1203,0)),"")))</f>
        <v/>
      </c>
    </row>
    <row r="233">
      <c r="A233" s="4" t="n"/>
      <c r="B233" s="26" t="n"/>
      <c r="C233" s="4" t="n"/>
      <c r="D233" s="27" t="n"/>
      <c r="E233" s="5">
        <f>IF($A233="","",IFERROR(INDEX('ORDENES'!$D$4:$D$1203,MATCH($A233,'ORDENES'!$AT$4:$AT$1203,0)),"(no encontrada)"))</f>
        <v/>
      </c>
      <c r="F233" s="5">
        <f>IF($A233="","",IF(ISNA(MATCH($A233,'ORDENES'!$AT$4:$AT$1203,0)),"huérfano",IF(COUNTIF($A$4:$A233,$A233)&gt;1,"duplicado (se ignora)","aplicado")))</f>
        <v/>
      </c>
      <c r="G233" s="28">
        <f>IF($F233&lt;&gt;"aplicado","",IF(IFERROR(INDEX('ORDENES'!$K$4:$K$1203,MATCH($A233,'ORDENES'!$AT$4:$AT$1203,0)),"")="","",$B233-IFERROR(INDEX('ORDENES'!$K$4:$K$1203,MATCH($A233,'ORDENES'!$AT$4:$AT$1203,0)),"")))</f>
        <v/>
      </c>
    </row>
    <row r="234">
      <c r="A234" s="4" t="n"/>
      <c r="B234" s="26" t="n"/>
      <c r="C234" s="4" t="n"/>
      <c r="D234" s="27" t="n"/>
      <c r="E234" s="5">
        <f>IF($A234="","",IFERROR(INDEX('ORDENES'!$D$4:$D$1203,MATCH($A234,'ORDENES'!$AT$4:$AT$1203,0)),"(no encontrada)"))</f>
        <v/>
      </c>
      <c r="F234" s="5">
        <f>IF($A234="","",IF(ISNA(MATCH($A234,'ORDENES'!$AT$4:$AT$1203,0)),"huérfano",IF(COUNTIF($A$4:$A234,$A234)&gt;1,"duplicado (se ignora)","aplicado")))</f>
        <v/>
      </c>
      <c r="G234" s="28">
        <f>IF($F234&lt;&gt;"aplicado","",IF(IFERROR(INDEX('ORDENES'!$K$4:$K$1203,MATCH($A234,'ORDENES'!$AT$4:$AT$1203,0)),"")="","",$B234-IFERROR(INDEX('ORDENES'!$K$4:$K$1203,MATCH($A234,'ORDENES'!$AT$4:$AT$1203,0)),"")))</f>
        <v/>
      </c>
    </row>
    <row r="235">
      <c r="A235" s="4" t="n"/>
      <c r="B235" s="26" t="n"/>
      <c r="C235" s="4" t="n"/>
      <c r="D235" s="27" t="n"/>
      <c r="E235" s="5">
        <f>IF($A235="","",IFERROR(INDEX('ORDENES'!$D$4:$D$1203,MATCH($A235,'ORDENES'!$AT$4:$AT$1203,0)),"(no encontrada)"))</f>
        <v/>
      </c>
      <c r="F235" s="5">
        <f>IF($A235="","",IF(ISNA(MATCH($A235,'ORDENES'!$AT$4:$AT$1203,0)),"huérfano",IF(COUNTIF($A$4:$A235,$A235)&gt;1,"duplicado (se ignora)","aplicado")))</f>
        <v/>
      </c>
      <c r="G235" s="28">
        <f>IF($F235&lt;&gt;"aplicado","",IF(IFERROR(INDEX('ORDENES'!$K$4:$K$1203,MATCH($A235,'ORDENES'!$AT$4:$AT$1203,0)),"")="","",$B235-IFERROR(INDEX('ORDENES'!$K$4:$K$1203,MATCH($A235,'ORDENES'!$AT$4:$AT$1203,0)),"")))</f>
        <v/>
      </c>
    </row>
    <row r="236">
      <c r="A236" s="4" t="n"/>
      <c r="B236" s="26" t="n"/>
      <c r="C236" s="4" t="n"/>
      <c r="D236" s="27" t="n"/>
      <c r="E236" s="5">
        <f>IF($A236="","",IFERROR(INDEX('ORDENES'!$D$4:$D$1203,MATCH($A236,'ORDENES'!$AT$4:$AT$1203,0)),"(no encontrada)"))</f>
        <v/>
      </c>
      <c r="F236" s="5">
        <f>IF($A236="","",IF(ISNA(MATCH($A236,'ORDENES'!$AT$4:$AT$1203,0)),"huérfano",IF(COUNTIF($A$4:$A236,$A236)&gt;1,"duplicado (se ignora)","aplicado")))</f>
        <v/>
      </c>
      <c r="G236" s="28">
        <f>IF($F236&lt;&gt;"aplicado","",IF(IFERROR(INDEX('ORDENES'!$K$4:$K$1203,MATCH($A236,'ORDENES'!$AT$4:$AT$1203,0)),"")="","",$B236-IFERROR(INDEX('ORDENES'!$K$4:$K$1203,MATCH($A236,'ORDENES'!$AT$4:$AT$1203,0)),"")))</f>
        <v/>
      </c>
    </row>
    <row r="237">
      <c r="A237" s="4" t="n"/>
      <c r="B237" s="26" t="n"/>
      <c r="C237" s="4" t="n"/>
      <c r="D237" s="27" t="n"/>
      <c r="E237" s="5">
        <f>IF($A237="","",IFERROR(INDEX('ORDENES'!$D$4:$D$1203,MATCH($A237,'ORDENES'!$AT$4:$AT$1203,0)),"(no encontrada)"))</f>
        <v/>
      </c>
      <c r="F237" s="5">
        <f>IF($A237="","",IF(ISNA(MATCH($A237,'ORDENES'!$AT$4:$AT$1203,0)),"huérfano",IF(COUNTIF($A$4:$A237,$A237)&gt;1,"duplicado (se ignora)","aplicado")))</f>
        <v/>
      </c>
      <c r="G237" s="28">
        <f>IF($F237&lt;&gt;"aplicado","",IF(IFERROR(INDEX('ORDENES'!$K$4:$K$1203,MATCH($A237,'ORDENES'!$AT$4:$AT$1203,0)),"")="","",$B237-IFERROR(INDEX('ORDENES'!$K$4:$K$1203,MATCH($A237,'ORDENES'!$AT$4:$AT$1203,0)),"")))</f>
        <v/>
      </c>
    </row>
    <row r="238">
      <c r="A238" s="4" t="n"/>
      <c r="B238" s="26" t="n"/>
      <c r="C238" s="4" t="n"/>
      <c r="D238" s="27" t="n"/>
      <c r="E238" s="5">
        <f>IF($A238="","",IFERROR(INDEX('ORDENES'!$D$4:$D$1203,MATCH($A238,'ORDENES'!$AT$4:$AT$1203,0)),"(no encontrada)"))</f>
        <v/>
      </c>
      <c r="F238" s="5">
        <f>IF($A238="","",IF(ISNA(MATCH($A238,'ORDENES'!$AT$4:$AT$1203,0)),"huérfano",IF(COUNTIF($A$4:$A238,$A238)&gt;1,"duplicado (se ignora)","aplicado")))</f>
        <v/>
      </c>
      <c r="G238" s="28">
        <f>IF($F238&lt;&gt;"aplicado","",IF(IFERROR(INDEX('ORDENES'!$K$4:$K$1203,MATCH($A238,'ORDENES'!$AT$4:$AT$1203,0)),"")="","",$B238-IFERROR(INDEX('ORDENES'!$K$4:$K$1203,MATCH($A238,'ORDENES'!$AT$4:$AT$1203,0)),"")))</f>
        <v/>
      </c>
    </row>
    <row r="239">
      <c r="A239" s="4" t="n"/>
      <c r="B239" s="26" t="n"/>
      <c r="C239" s="4" t="n"/>
      <c r="D239" s="27" t="n"/>
      <c r="E239" s="5">
        <f>IF($A239="","",IFERROR(INDEX('ORDENES'!$D$4:$D$1203,MATCH($A239,'ORDENES'!$AT$4:$AT$1203,0)),"(no encontrada)"))</f>
        <v/>
      </c>
      <c r="F239" s="5">
        <f>IF($A239="","",IF(ISNA(MATCH($A239,'ORDENES'!$AT$4:$AT$1203,0)),"huérfano",IF(COUNTIF($A$4:$A239,$A239)&gt;1,"duplicado (se ignora)","aplicado")))</f>
        <v/>
      </c>
      <c r="G239" s="28">
        <f>IF($F239&lt;&gt;"aplicado","",IF(IFERROR(INDEX('ORDENES'!$K$4:$K$1203,MATCH($A239,'ORDENES'!$AT$4:$AT$1203,0)),"")="","",$B239-IFERROR(INDEX('ORDENES'!$K$4:$K$1203,MATCH($A239,'ORDENES'!$AT$4:$AT$1203,0)),"")))</f>
        <v/>
      </c>
    </row>
    <row r="240">
      <c r="A240" s="4" t="n"/>
      <c r="B240" s="26" t="n"/>
      <c r="C240" s="4" t="n"/>
      <c r="D240" s="27" t="n"/>
      <c r="E240" s="5">
        <f>IF($A240="","",IFERROR(INDEX('ORDENES'!$D$4:$D$1203,MATCH($A240,'ORDENES'!$AT$4:$AT$1203,0)),"(no encontrada)"))</f>
        <v/>
      </c>
      <c r="F240" s="5">
        <f>IF($A240="","",IF(ISNA(MATCH($A240,'ORDENES'!$AT$4:$AT$1203,0)),"huérfano",IF(COUNTIF($A$4:$A240,$A240)&gt;1,"duplicado (se ignora)","aplicado")))</f>
        <v/>
      </c>
      <c r="G240" s="28">
        <f>IF($F240&lt;&gt;"aplicado","",IF(IFERROR(INDEX('ORDENES'!$K$4:$K$1203,MATCH($A240,'ORDENES'!$AT$4:$AT$1203,0)),"")="","",$B240-IFERROR(INDEX('ORDENES'!$K$4:$K$1203,MATCH($A240,'ORDENES'!$AT$4:$AT$1203,0)),"")))</f>
        <v/>
      </c>
    </row>
    <row r="241">
      <c r="A241" s="4" t="n"/>
      <c r="B241" s="26" t="n"/>
      <c r="C241" s="4" t="n"/>
      <c r="D241" s="27" t="n"/>
      <c r="E241" s="5">
        <f>IF($A241="","",IFERROR(INDEX('ORDENES'!$D$4:$D$1203,MATCH($A241,'ORDENES'!$AT$4:$AT$1203,0)),"(no encontrada)"))</f>
        <v/>
      </c>
      <c r="F241" s="5">
        <f>IF($A241="","",IF(ISNA(MATCH($A241,'ORDENES'!$AT$4:$AT$1203,0)),"huérfano",IF(COUNTIF($A$4:$A241,$A241)&gt;1,"duplicado (se ignora)","aplicado")))</f>
        <v/>
      </c>
      <c r="G241" s="28">
        <f>IF($F241&lt;&gt;"aplicado","",IF(IFERROR(INDEX('ORDENES'!$K$4:$K$1203,MATCH($A241,'ORDENES'!$AT$4:$AT$1203,0)),"")="","",$B241-IFERROR(INDEX('ORDENES'!$K$4:$K$1203,MATCH($A241,'ORDENES'!$AT$4:$AT$1203,0)),"")))</f>
        <v/>
      </c>
    </row>
    <row r="242">
      <c r="A242" s="4" t="n"/>
      <c r="B242" s="26" t="n"/>
      <c r="C242" s="4" t="n"/>
      <c r="D242" s="27" t="n"/>
      <c r="E242" s="5">
        <f>IF($A242="","",IFERROR(INDEX('ORDENES'!$D$4:$D$1203,MATCH($A242,'ORDENES'!$AT$4:$AT$1203,0)),"(no encontrada)"))</f>
        <v/>
      </c>
      <c r="F242" s="5">
        <f>IF($A242="","",IF(ISNA(MATCH($A242,'ORDENES'!$AT$4:$AT$1203,0)),"huérfano",IF(COUNTIF($A$4:$A242,$A242)&gt;1,"duplicado (se ignora)","aplicado")))</f>
        <v/>
      </c>
      <c r="G242" s="28">
        <f>IF($F242&lt;&gt;"aplicado","",IF(IFERROR(INDEX('ORDENES'!$K$4:$K$1203,MATCH($A242,'ORDENES'!$AT$4:$AT$1203,0)),"")="","",$B242-IFERROR(INDEX('ORDENES'!$K$4:$K$1203,MATCH($A242,'ORDENES'!$AT$4:$AT$1203,0)),"")))</f>
        <v/>
      </c>
    </row>
    <row r="243">
      <c r="A243" s="4" t="n"/>
      <c r="B243" s="26" t="n"/>
      <c r="C243" s="4" t="n"/>
      <c r="D243" s="27" t="n"/>
      <c r="E243" s="5">
        <f>IF($A243="","",IFERROR(INDEX('ORDENES'!$D$4:$D$1203,MATCH($A243,'ORDENES'!$AT$4:$AT$1203,0)),"(no encontrada)"))</f>
        <v/>
      </c>
      <c r="F243" s="5">
        <f>IF($A243="","",IF(ISNA(MATCH($A243,'ORDENES'!$AT$4:$AT$1203,0)),"huérfano",IF(COUNTIF($A$4:$A243,$A243)&gt;1,"duplicado (se ignora)","aplicado")))</f>
        <v/>
      </c>
      <c r="G243" s="28">
        <f>IF($F243&lt;&gt;"aplicado","",IF(IFERROR(INDEX('ORDENES'!$K$4:$K$1203,MATCH($A243,'ORDENES'!$AT$4:$AT$1203,0)),"")="","",$B243-IFERROR(INDEX('ORDENES'!$K$4:$K$1203,MATCH($A243,'ORDENES'!$AT$4:$AT$1203,0)),"")))</f>
        <v/>
      </c>
    </row>
    <row r="244">
      <c r="A244" s="4" t="n"/>
      <c r="B244" s="26" t="n"/>
      <c r="C244" s="4" t="n"/>
      <c r="D244" s="27" t="n"/>
      <c r="E244" s="5">
        <f>IF($A244="","",IFERROR(INDEX('ORDENES'!$D$4:$D$1203,MATCH($A244,'ORDENES'!$AT$4:$AT$1203,0)),"(no encontrada)"))</f>
        <v/>
      </c>
      <c r="F244" s="5">
        <f>IF($A244="","",IF(ISNA(MATCH($A244,'ORDENES'!$AT$4:$AT$1203,0)),"huérfano",IF(COUNTIF($A$4:$A244,$A244)&gt;1,"duplicado (se ignora)","aplicado")))</f>
        <v/>
      </c>
      <c r="G244" s="28">
        <f>IF($F244&lt;&gt;"aplicado","",IF(IFERROR(INDEX('ORDENES'!$K$4:$K$1203,MATCH($A244,'ORDENES'!$AT$4:$AT$1203,0)),"")="","",$B244-IFERROR(INDEX('ORDENES'!$K$4:$K$1203,MATCH($A244,'ORDENES'!$AT$4:$AT$1203,0)),"")))</f>
        <v/>
      </c>
    </row>
    <row r="245">
      <c r="A245" s="4" t="n"/>
      <c r="B245" s="26" t="n"/>
      <c r="C245" s="4" t="n"/>
      <c r="D245" s="27" t="n"/>
      <c r="E245" s="5">
        <f>IF($A245="","",IFERROR(INDEX('ORDENES'!$D$4:$D$1203,MATCH($A245,'ORDENES'!$AT$4:$AT$1203,0)),"(no encontrada)"))</f>
        <v/>
      </c>
      <c r="F245" s="5">
        <f>IF($A245="","",IF(ISNA(MATCH($A245,'ORDENES'!$AT$4:$AT$1203,0)),"huérfano",IF(COUNTIF($A$4:$A245,$A245)&gt;1,"duplicado (se ignora)","aplicado")))</f>
        <v/>
      </c>
      <c r="G245" s="28">
        <f>IF($F245&lt;&gt;"aplicado","",IF(IFERROR(INDEX('ORDENES'!$K$4:$K$1203,MATCH($A245,'ORDENES'!$AT$4:$AT$1203,0)),"")="","",$B245-IFERROR(INDEX('ORDENES'!$K$4:$K$1203,MATCH($A245,'ORDENES'!$AT$4:$AT$1203,0)),"")))</f>
        <v/>
      </c>
    </row>
    <row r="246">
      <c r="A246" s="4" t="n"/>
      <c r="B246" s="26" t="n"/>
      <c r="C246" s="4" t="n"/>
      <c r="D246" s="27" t="n"/>
      <c r="E246" s="5">
        <f>IF($A246="","",IFERROR(INDEX('ORDENES'!$D$4:$D$1203,MATCH($A246,'ORDENES'!$AT$4:$AT$1203,0)),"(no encontrada)"))</f>
        <v/>
      </c>
      <c r="F246" s="5">
        <f>IF($A246="","",IF(ISNA(MATCH($A246,'ORDENES'!$AT$4:$AT$1203,0)),"huérfano",IF(COUNTIF($A$4:$A246,$A246)&gt;1,"duplicado (se ignora)","aplicado")))</f>
        <v/>
      </c>
      <c r="G246" s="28">
        <f>IF($F246&lt;&gt;"aplicado","",IF(IFERROR(INDEX('ORDENES'!$K$4:$K$1203,MATCH($A246,'ORDENES'!$AT$4:$AT$1203,0)),"")="","",$B246-IFERROR(INDEX('ORDENES'!$K$4:$K$1203,MATCH($A246,'ORDENES'!$AT$4:$AT$1203,0)),"")))</f>
        <v/>
      </c>
    </row>
    <row r="247">
      <c r="A247" s="4" t="n"/>
      <c r="B247" s="26" t="n"/>
      <c r="C247" s="4" t="n"/>
      <c r="D247" s="27" t="n"/>
      <c r="E247" s="5">
        <f>IF($A247="","",IFERROR(INDEX('ORDENES'!$D$4:$D$1203,MATCH($A247,'ORDENES'!$AT$4:$AT$1203,0)),"(no encontrada)"))</f>
        <v/>
      </c>
      <c r="F247" s="5">
        <f>IF($A247="","",IF(ISNA(MATCH($A247,'ORDENES'!$AT$4:$AT$1203,0)),"huérfano",IF(COUNTIF($A$4:$A247,$A247)&gt;1,"duplicado (se ignora)","aplicado")))</f>
        <v/>
      </c>
      <c r="G247" s="28">
        <f>IF($F247&lt;&gt;"aplicado","",IF(IFERROR(INDEX('ORDENES'!$K$4:$K$1203,MATCH($A247,'ORDENES'!$AT$4:$AT$1203,0)),"")="","",$B247-IFERROR(INDEX('ORDENES'!$K$4:$K$1203,MATCH($A247,'ORDENES'!$AT$4:$AT$1203,0)),"")))</f>
        <v/>
      </c>
    </row>
    <row r="248">
      <c r="A248" s="4" t="n"/>
      <c r="B248" s="26" t="n"/>
      <c r="C248" s="4" t="n"/>
      <c r="D248" s="27" t="n"/>
      <c r="E248" s="5">
        <f>IF($A248="","",IFERROR(INDEX('ORDENES'!$D$4:$D$1203,MATCH($A248,'ORDENES'!$AT$4:$AT$1203,0)),"(no encontrada)"))</f>
        <v/>
      </c>
      <c r="F248" s="5">
        <f>IF($A248="","",IF(ISNA(MATCH($A248,'ORDENES'!$AT$4:$AT$1203,0)),"huérfano",IF(COUNTIF($A$4:$A248,$A248)&gt;1,"duplicado (se ignora)","aplicado")))</f>
        <v/>
      </c>
      <c r="G248" s="28">
        <f>IF($F248&lt;&gt;"aplicado","",IF(IFERROR(INDEX('ORDENES'!$K$4:$K$1203,MATCH($A248,'ORDENES'!$AT$4:$AT$1203,0)),"")="","",$B248-IFERROR(INDEX('ORDENES'!$K$4:$K$1203,MATCH($A248,'ORDENES'!$AT$4:$AT$1203,0)),"")))</f>
        <v/>
      </c>
    </row>
    <row r="249">
      <c r="A249" s="4" t="n"/>
      <c r="B249" s="26" t="n"/>
      <c r="C249" s="4" t="n"/>
      <c r="D249" s="27" t="n"/>
      <c r="E249" s="5">
        <f>IF($A249="","",IFERROR(INDEX('ORDENES'!$D$4:$D$1203,MATCH($A249,'ORDENES'!$AT$4:$AT$1203,0)),"(no encontrada)"))</f>
        <v/>
      </c>
      <c r="F249" s="5">
        <f>IF($A249="","",IF(ISNA(MATCH($A249,'ORDENES'!$AT$4:$AT$1203,0)),"huérfano",IF(COUNTIF($A$4:$A249,$A249)&gt;1,"duplicado (se ignora)","aplicado")))</f>
        <v/>
      </c>
      <c r="G249" s="28">
        <f>IF($F249&lt;&gt;"aplicado","",IF(IFERROR(INDEX('ORDENES'!$K$4:$K$1203,MATCH($A249,'ORDENES'!$AT$4:$AT$1203,0)),"")="","",$B249-IFERROR(INDEX('ORDENES'!$K$4:$K$1203,MATCH($A249,'ORDENES'!$AT$4:$AT$1203,0)),"")))</f>
        <v/>
      </c>
    </row>
    <row r="250">
      <c r="A250" s="4" t="n"/>
      <c r="B250" s="26" t="n"/>
      <c r="C250" s="4" t="n"/>
      <c r="D250" s="27" t="n"/>
      <c r="E250" s="5">
        <f>IF($A250="","",IFERROR(INDEX('ORDENES'!$D$4:$D$1203,MATCH($A250,'ORDENES'!$AT$4:$AT$1203,0)),"(no encontrada)"))</f>
        <v/>
      </c>
      <c r="F250" s="5">
        <f>IF($A250="","",IF(ISNA(MATCH($A250,'ORDENES'!$AT$4:$AT$1203,0)),"huérfano",IF(COUNTIF($A$4:$A250,$A250)&gt;1,"duplicado (se ignora)","aplicado")))</f>
        <v/>
      </c>
      <c r="G250" s="28">
        <f>IF($F250&lt;&gt;"aplicado","",IF(IFERROR(INDEX('ORDENES'!$K$4:$K$1203,MATCH($A250,'ORDENES'!$AT$4:$AT$1203,0)),"")="","",$B250-IFERROR(INDEX('ORDENES'!$K$4:$K$1203,MATCH($A250,'ORDENES'!$AT$4:$AT$1203,0)),"")))</f>
        <v/>
      </c>
    </row>
    <row r="251">
      <c r="A251" s="4" t="n"/>
      <c r="B251" s="26" t="n"/>
      <c r="C251" s="4" t="n"/>
      <c r="D251" s="27" t="n"/>
      <c r="E251" s="5">
        <f>IF($A251="","",IFERROR(INDEX('ORDENES'!$D$4:$D$1203,MATCH($A251,'ORDENES'!$AT$4:$AT$1203,0)),"(no encontrada)"))</f>
        <v/>
      </c>
      <c r="F251" s="5">
        <f>IF($A251="","",IF(ISNA(MATCH($A251,'ORDENES'!$AT$4:$AT$1203,0)),"huérfano",IF(COUNTIF($A$4:$A251,$A251)&gt;1,"duplicado (se ignora)","aplicado")))</f>
        <v/>
      </c>
      <c r="G251" s="28">
        <f>IF($F251&lt;&gt;"aplicado","",IF(IFERROR(INDEX('ORDENES'!$K$4:$K$1203,MATCH($A251,'ORDENES'!$AT$4:$AT$1203,0)),"")="","",$B251-IFERROR(INDEX('ORDENES'!$K$4:$K$1203,MATCH($A251,'ORDENES'!$AT$4:$AT$1203,0)),"")))</f>
        <v/>
      </c>
    </row>
    <row r="252">
      <c r="A252" s="4" t="n"/>
      <c r="B252" s="26" t="n"/>
      <c r="C252" s="4" t="n"/>
      <c r="D252" s="27" t="n"/>
      <c r="E252" s="5">
        <f>IF($A252="","",IFERROR(INDEX('ORDENES'!$D$4:$D$1203,MATCH($A252,'ORDENES'!$AT$4:$AT$1203,0)),"(no encontrada)"))</f>
        <v/>
      </c>
      <c r="F252" s="5">
        <f>IF($A252="","",IF(ISNA(MATCH($A252,'ORDENES'!$AT$4:$AT$1203,0)),"huérfano",IF(COUNTIF($A$4:$A252,$A252)&gt;1,"duplicado (se ignora)","aplicado")))</f>
        <v/>
      </c>
      <c r="G252" s="28">
        <f>IF($F252&lt;&gt;"aplicado","",IF(IFERROR(INDEX('ORDENES'!$K$4:$K$1203,MATCH($A252,'ORDENES'!$AT$4:$AT$1203,0)),"")="","",$B252-IFERROR(INDEX('ORDENES'!$K$4:$K$1203,MATCH($A252,'ORDENES'!$AT$4:$AT$1203,0)),"")))</f>
        <v/>
      </c>
    </row>
    <row r="253">
      <c r="A253" s="4" t="n"/>
      <c r="B253" s="26" t="n"/>
      <c r="C253" s="4" t="n"/>
      <c r="D253" s="27" t="n"/>
      <c r="E253" s="5">
        <f>IF($A253="","",IFERROR(INDEX('ORDENES'!$D$4:$D$1203,MATCH($A253,'ORDENES'!$AT$4:$AT$1203,0)),"(no encontrada)"))</f>
        <v/>
      </c>
      <c r="F253" s="5">
        <f>IF($A253="","",IF(ISNA(MATCH($A253,'ORDENES'!$AT$4:$AT$1203,0)),"huérfano",IF(COUNTIF($A$4:$A253,$A253)&gt;1,"duplicado (se ignora)","aplicado")))</f>
        <v/>
      </c>
      <c r="G253" s="28">
        <f>IF($F253&lt;&gt;"aplicado","",IF(IFERROR(INDEX('ORDENES'!$K$4:$K$1203,MATCH($A253,'ORDENES'!$AT$4:$AT$1203,0)),"")="","",$B253-IFERROR(INDEX('ORDENES'!$K$4:$K$1203,MATCH($A253,'ORDENES'!$AT$4:$AT$1203,0)),"")))</f>
        <v/>
      </c>
    </row>
    <row r="254">
      <c r="A254" s="4" t="n"/>
      <c r="B254" s="26" t="n"/>
      <c r="C254" s="4" t="n"/>
      <c r="D254" s="27" t="n"/>
      <c r="E254" s="5">
        <f>IF($A254="","",IFERROR(INDEX('ORDENES'!$D$4:$D$1203,MATCH($A254,'ORDENES'!$AT$4:$AT$1203,0)),"(no encontrada)"))</f>
        <v/>
      </c>
      <c r="F254" s="5">
        <f>IF($A254="","",IF(ISNA(MATCH($A254,'ORDENES'!$AT$4:$AT$1203,0)),"huérfano",IF(COUNTIF($A$4:$A254,$A254)&gt;1,"duplicado (se ignora)","aplicado")))</f>
        <v/>
      </c>
      <c r="G254" s="28">
        <f>IF($F254&lt;&gt;"aplicado","",IF(IFERROR(INDEX('ORDENES'!$K$4:$K$1203,MATCH($A254,'ORDENES'!$AT$4:$AT$1203,0)),"")="","",$B254-IFERROR(INDEX('ORDENES'!$K$4:$K$1203,MATCH($A254,'ORDENES'!$AT$4:$AT$1203,0)),"")))</f>
        <v/>
      </c>
    </row>
    <row r="255">
      <c r="A255" s="4" t="n"/>
      <c r="B255" s="26" t="n"/>
      <c r="C255" s="4" t="n"/>
      <c r="D255" s="27" t="n"/>
      <c r="E255" s="5">
        <f>IF($A255="","",IFERROR(INDEX('ORDENES'!$D$4:$D$1203,MATCH($A255,'ORDENES'!$AT$4:$AT$1203,0)),"(no encontrada)"))</f>
        <v/>
      </c>
      <c r="F255" s="5">
        <f>IF($A255="","",IF(ISNA(MATCH($A255,'ORDENES'!$AT$4:$AT$1203,0)),"huérfano",IF(COUNTIF($A$4:$A255,$A255)&gt;1,"duplicado (se ignora)","aplicado")))</f>
        <v/>
      </c>
      <c r="G255" s="28">
        <f>IF($F255&lt;&gt;"aplicado","",IF(IFERROR(INDEX('ORDENES'!$K$4:$K$1203,MATCH($A255,'ORDENES'!$AT$4:$AT$1203,0)),"")="","",$B255-IFERROR(INDEX('ORDENES'!$K$4:$K$1203,MATCH($A255,'ORDENES'!$AT$4:$AT$1203,0)),"")))</f>
        <v/>
      </c>
    </row>
    <row r="256">
      <c r="A256" s="4" t="n"/>
      <c r="B256" s="26" t="n"/>
      <c r="C256" s="4" t="n"/>
      <c r="D256" s="27" t="n"/>
      <c r="E256" s="5">
        <f>IF($A256="","",IFERROR(INDEX('ORDENES'!$D$4:$D$1203,MATCH($A256,'ORDENES'!$AT$4:$AT$1203,0)),"(no encontrada)"))</f>
        <v/>
      </c>
      <c r="F256" s="5">
        <f>IF($A256="","",IF(ISNA(MATCH($A256,'ORDENES'!$AT$4:$AT$1203,0)),"huérfano",IF(COUNTIF($A$4:$A256,$A256)&gt;1,"duplicado (se ignora)","aplicado")))</f>
        <v/>
      </c>
      <c r="G256" s="28">
        <f>IF($F256&lt;&gt;"aplicado","",IF(IFERROR(INDEX('ORDENES'!$K$4:$K$1203,MATCH($A256,'ORDENES'!$AT$4:$AT$1203,0)),"")="","",$B256-IFERROR(INDEX('ORDENES'!$K$4:$K$1203,MATCH($A256,'ORDENES'!$AT$4:$AT$1203,0)),"")))</f>
        <v/>
      </c>
    </row>
    <row r="257">
      <c r="A257" s="4" t="n"/>
      <c r="B257" s="26" t="n"/>
      <c r="C257" s="4" t="n"/>
      <c r="D257" s="27" t="n"/>
      <c r="E257" s="5">
        <f>IF($A257="","",IFERROR(INDEX('ORDENES'!$D$4:$D$1203,MATCH($A257,'ORDENES'!$AT$4:$AT$1203,0)),"(no encontrada)"))</f>
        <v/>
      </c>
      <c r="F257" s="5">
        <f>IF($A257="","",IF(ISNA(MATCH($A257,'ORDENES'!$AT$4:$AT$1203,0)),"huérfano",IF(COUNTIF($A$4:$A257,$A257)&gt;1,"duplicado (se ignora)","aplicado")))</f>
        <v/>
      </c>
      <c r="G257" s="28">
        <f>IF($F257&lt;&gt;"aplicado","",IF(IFERROR(INDEX('ORDENES'!$K$4:$K$1203,MATCH($A257,'ORDENES'!$AT$4:$AT$1203,0)),"")="","",$B257-IFERROR(INDEX('ORDENES'!$K$4:$K$1203,MATCH($A257,'ORDENES'!$AT$4:$AT$1203,0)),"")))</f>
        <v/>
      </c>
    </row>
    <row r="258">
      <c r="A258" s="4" t="n"/>
      <c r="B258" s="26" t="n"/>
      <c r="C258" s="4" t="n"/>
      <c r="D258" s="27" t="n"/>
      <c r="E258" s="5">
        <f>IF($A258="","",IFERROR(INDEX('ORDENES'!$D$4:$D$1203,MATCH($A258,'ORDENES'!$AT$4:$AT$1203,0)),"(no encontrada)"))</f>
        <v/>
      </c>
      <c r="F258" s="5">
        <f>IF($A258="","",IF(ISNA(MATCH($A258,'ORDENES'!$AT$4:$AT$1203,0)),"huérfano",IF(COUNTIF($A$4:$A258,$A258)&gt;1,"duplicado (se ignora)","aplicado")))</f>
        <v/>
      </c>
      <c r="G258" s="28">
        <f>IF($F258&lt;&gt;"aplicado","",IF(IFERROR(INDEX('ORDENES'!$K$4:$K$1203,MATCH($A258,'ORDENES'!$AT$4:$AT$1203,0)),"")="","",$B258-IFERROR(INDEX('ORDENES'!$K$4:$K$1203,MATCH($A258,'ORDENES'!$AT$4:$AT$1203,0)),"")))</f>
        <v/>
      </c>
    </row>
    <row r="259">
      <c r="A259" s="4" t="n"/>
      <c r="B259" s="26" t="n"/>
      <c r="C259" s="4" t="n"/>
      <c r="D259" s="27" t="n"/>
      <c r="E259" s="5">
        <f>IF($A259="","",IFERROR(INDEX('ORDENES'!$D$4:$D$1203,MATCH($A259,'ORDENES'!$AT$4:$AT$1203,0)),"(no encontrada)"))</f>
        <v/>
      </c>
      <c r="F259" s="5">
        <f>IF($A259="","",IF(ISNA(MATCH($A259,'ORDENES'!$AT$4:$AT$1203,0)),"huérfano",IF(COUNTIF($A$4:$A259,$A259)&gt;1,"duplicado (se ignora)","aplicado")))</f>
        <v/>
      </c>
      <c r="G259" s="28">
        <f>IF($F259&lt;&gt;"aplicado","",IF(IFERROR(INDEX('ORDENES'!$K$4:$K$1203,MATCH($A259,'ORDENES'!$AT$4:$AT$1203,0)),"")="","",$B259-IFERROR(INDEX('ORDENES'!$K$4:$K$1203,MATCH($A259,'ORDENES'!$AT$4:$AT$1203,0)),"")))</f>
        <v/>
      </c>
    </row>
    <row r="260">
      <c r="A260" s="4" t="n"/>
      <c r="B260" s="26" t="n"/>
      <c r="C260" s="4" t="n"/>
      <c r="D260" s="27" t="n"/>
      <c r="E260" s="5">
        <f>IF($A260="","",IFERROR(INDEX('ORDENES'!$D$4:$D$1203,MATCH($A260,'ORDENES'!$AT$4:$AT$1203,0)),"(no encontrada)"))</f>
        <v/>
      </c>
      <c r="F260" s="5">
        <f>IF($A260="","",IF(ISNA(MATCH($A260,'ORDENES'!$AT$4:$AT$1203,0)),"huérfano",IF(COUNTIF($A$4:$A260,$A260)&gt;1,"duplicado (se ignora)","aplicado")))</f>
        <v/>
      </c>
      <c r="G260" s="28">
        <f>IF($F260&lt;&gt;"aplicado","",IF(IFERROR(INDEX('ORDENES'!$K$4:$K$1203,MATCH($A260,'ORDENES'!$AT$4:$AT$1203,0)),"")="","",$B260-IFERROR(INDEX('ORDENES'!$K$4:$K$1203,MATCH($A260,'ORDENES'!$AT$4:$AT$1203,0)),"")))</f>
        <v/>
      </c>
    </row>
    <row r="261">
      <c r="A261" s="4" t="n"/>
      <c r="B261" s="26" t="n"/>
      <c r="C261" s="4" t="n"/>
      <c r="D261" s="27" t="n"/>
      <c r="E261" s="5">
        <f>IF($A261="","",IFERROR(INDEX('ORDENES'!$D$4:$D$1203,MATCH($A261,'ORDENES'!$AT$4:$AT$1203,0)),"(no encontrada)"))</f>
        <v/>
      </c>
      <c r="F261" s="5">
        <f>IF($A261="","",IF(ISNA(MATCH($A261,'ORDENES'!$AT$4:$AT$1203,0)),"huérfano",IF(COUNTIF($A$4:$A261,$A261)&gt;1,"duplicado (se ignora)","aplicado")))</f>
        <v/>
      </c>
      <c r="G261" s="28">
        <f>IF($F261&lt;&gt;"aplicado","",IF(IFERROR(INDEX('ORDENES'!$K$4:$K$1203,MATCH($A261,'ORDENES'!$AT$4:$AT$1203,0)),"")="","",$B261-IFERROR(INDEX('ORDENES'!$K$4:$K$1203,MATCH($A261,'ORDENES'!$AT$4:$AT$1203,0)),"")))</f>
        <v/>
      </c>
    </row>
    <row r="262">
      <c r="A262" s="4" t="n"/>
      <c r="B262" s="26" t="n"/>
      <c r="C262" s="4" t="n"/>
      <c r="D262" s="27" t="n"/>
      <c r="E262" s="5">
        <f>IF($A262="","",IFERROR(INDEX('ORDENES'!$D$4:$D$1203,MATCH($A262,'ORDENES'!$AT$4:$AT$1203,0)),"(no encontrada)"))</f>
        <v/>
      </c>
      <c r="F262" s="5">
        <f>IF($A262="","",IF(ISNA(MATCH($A262,'ORDENES'!$AT$4:$AT$1203,0)),"huérfano",IF(COUNTIF($A$4:$A262,$A262)&gt;1,"duplicado (se ignora)","aplicado")))</f>
        <v/>
      </c>
      <c r="G262" s="28">
        <f>IF($F262&lt;&gt;"aplicado","",IF(IFERROR(INDEX('ORDENES'!$K$4:$K$1203,MATCH($A262,'ORDENES'!$AT$4:$AT$1203,0)),"")="","",$B262-IFERROR(INDEX('ORDENES'!$K$4:$K$1203,MATCH($A262,'ORDENES'!$AT$4:$AT$1203,0)),"")))</f>
        <v/>
      </c>
    </row>
    <row r="263">
      <c r="A263" s="4" t="n"/>
      <c r="B263" s="26" t="n"/>
      <c r="C263" s="4" t="n"/>
      <c r="D263" s="27" t="n"/>
      <c r="E263" s="5">
        <f>IF($A263="","",IFERROR(INDEX('ORDENES'!$D$4:$D$1203,MATCH($A263,'ORDENES'!$AT$4:$AT$1203,0)),"(no encontrada)"))</f>
        <v/>
      </c>
      <c r="F263" s="5">
        <f>IF($A263="","",IF(ISNA(MATCH($A263,'ORDENES'!$AT$4:$AT$1203,0)),"huérfano",IF(COUNTIF($A$4:$A263,$A263)&gt;1,"duplicado (se ignora)","aplicado")))</f>
        <v/>
      </c>
      <c r="G263" s="28">
        <f>IF($F263&lt;&gt;"aplicado","",IF(IFERROR(INDEX('ORDENES'!$K$4:$K$1203,MATCH($A263,'ORDENES'!$AT$4:$AT$1203,0)),"")="","",$B263-IFERROR(INDEX('ORDENES'!$K$4:$K$1203,MATCH($A263,'ORDENES'!$AT$4:$AT$1203,0)),"")))</f>
        <v/>
      </c>
    </row>
    <row r="264">
      <c r="A264" s="4" t="n"/>
      <c r="B264" s="26" t="n"/>
      <c r="C264" s="4" t="n"/>
      <c r="D264" s="27" t="n"/>
      <c r="E264" s="5">
        <f>IF($A264="","",IFERROR(INDEX('ORDENES'!$D$4:$D$1203,MATCH($A264,'ORDENES'!$AT$4:$AT$1203,0)),"(no encontrada)"))</f>
        <v/>
      </c>
      <c r="F264" s="5">
        <f>IF($A264="","",IF(ISNA(MATCH($A264,'ORDENES'!$AT$4:$AT$1203,0)),"huérfano",IF(COUNTIF($A$4:$A264,$A264)&gt;1,"duplicado (se ignora)","aplicado")))</f>
        <v/>
      </c>
      <c r="G264" s="28">
        <f>IF($F264&lt;&gt;"aplicado","",IF(IFERROR(INDEX('ORDENES'!$K$4:$K$1203,MATCH($A264,'ORDENES'!$AT$4:$AT$1203,0)),"")="","",$B264-IFERROR(INDEX('ORDENES'!$K$4:$K$1203,MATCH($A264,'ORDENES'!$AT$4:$AT$1203,0)),"")))</f>
        <v/>
      </c>
    </row>
    <row r="265">
      <c r="A265" s="4" t="n"/>
      <c r="B265" s="26" t="n"/>
      <c r="C265" s="4" t="n"/>
      <c r="D265" s="27" t="n"/>
      <c r="E265" s="5">
        <f>IF($A265="","",IFERROR(INDEX('ORDENES'!$D$4:$D$1203,MATCH($A265,'ORDENES'!$AT$4:$AT$1203,0)),"(no encontrada)"))</f>
        <v/>
      </c>
      <c r="F265" s="5">
        <f>IF($A265="","",IF(ISNA(MATCH($A265,'ORDENES'!$AT$4:$AT$1203,0)),"huérfano",IF(COUNTIF($A$4:$A265,$A265)&gt;1,"duplicado (se ignora)","aplicado")))</f>
        <v/>
      </c>
      <c r="G265" s="28">
        <f>IF($F265&lt;&gt;"aplicado","",IF(IFERROR(INDEX('ORDENES'!$K$4:$K$1203,MATCH($A265,'ORDENES'!$AT$4:$AT$1203,0)),"")="","",$B265-IFERROR(INDEX('ORDENES'!$K$4:$K$1203,MATCH($A265,'ORDENES'!$AT$4:$AT$1203,0)),"")))</f>
        <v/>
      </c>
    </row>
    <row r="266">
      <c r="A266" s="4" t="n"/>
      <c r="B266" s="26" t="n"/>
      <c r="C266" s="4" t="n"/>
      <c r="D266" s="27" t="n"/>
      <c r="E266" s="5">
        <f>IF($A266="","",IFERROR(INDEX('ORDENES'!$D$4:$D$1203,MATCH($A266,'ORDENES'!$AT$4:$AT$1203,0)),"(no encontrada)"))</f>
        <v/>
      </c>
      <c r="F266" s="5">
        <f>IF($A266="","",IF(ISNA(MATCH($A266,'ORDENES'!$AT$4:$AT$1203,0)),"huérfano",IF(COUNTIF($A$4:$A266,$A266)&gt;1,"duplicado (se ignora)","aplicado")))</f>
        <v/>
      </c>
      <c r="G266" s="28">
        <f>IF($F266&lt;&gt;"aplicado","",IF(IFERROR(INDEX('ORDENES'!$K$4:$K$1203,MATCH($A266,'ORDENES'!$AT$4:$AT$1203,0)),"")="","",$B266-IFERROR(INDEX('ORDENES'!$K$4:$K$1203,MATCH($A266,'ORDENES'!$AT$4:$AT$1203,0)),"")))</f>
        <v/>
      </c>
    </row>
    <row r="267">
      <c r="A267" s="4" t="n"/>
      <c r="B267" s="26" t="n"/>
      <c r="C267" s="4" t="n"/>
      <c r="D267" s="27" t="n"/>
      <c r="E267" s="5">
        <f>IF($A267="","",IFERROR(INDEX('ORDENES'!$D$4:$D$1203,MATCH($A267,'ORDENES'!$AT$4:$AT$1203,0)),"(no encontrada)"))</f>
        <v/>
      </c>
      <c r="F267" s="5">
        <f>IF($A267="","",IF(ISNA(MATCH($A267,'ORDENES'!$AT$4:$AT$1203,0)),"huérfano",IF(COUNTIF($A$4:$A267,$A267)&gt;1,"duplicado (se ignora)","aplicado")))</f>
        <v/>
      </c>
      <c r="G267" s="28">
        <f>IF($F267&lt;&gt;"aplicado","",IF(IFERROR(INDEX('ORDENES'!$K$4:$K$1203,MATCH($A267,'ORDENES'!$AT$4:$AT$1203,0)),"")="","",$B267-IFERROR(INDEX('ORDENES'!$K$4:$K$1203,MATCH($A267,'ORDENES'!$AT$4:$AT$1203,0)),"")))</f>
        <v/>
      </c>
    </row>
    <row r="268">
      <c r="A268" s="4" t="n"/>
      <c r="B268" s="26" t="n"/>
      <c r="C268" s="4" t="n"/>
      <c r="D268" s="27" t="n"/>
      <c r="E268" s="5">
        <f>IF($A268="","",IFERROR(INDEX('ORDENES'!$D$4:$D$1203,MATCH($A268,'ORDENES'!$AT$4:$AT$1203,0)),"(no encontrada)"))</f>
        <v/>
      </c>
      <c r="F268" s="5">
        <f>IF($A268="","",IF(ISNA(MATCH($A268,'ORDENES'!$AT$4:$AT$1203,0)),"huérfano",IF(COUNTIF($A$4:$A268,$A268)&gt;1,"duplicado (se ignora)","aplicado")))</f>
        <v/>
      </c>
      <c r="G268" s="28">
        <f>IF($F268&lt;&gt;"aplicado","",IF(IFERROR(INDEX('ORDENES'!$K$4:$K$1203,MATCH($A268,'ORDENES'!$AT$4:$AT$1203,0)),"")="","",$B268-IFERROR(INDEX('ORDENES'!$K$4:$K$1203,MATCH($A268,'ORDENES'!$AT$4:$AT$1203,0)),"")))</f>
        <v/>
      </c>
    </row>
    <row r="269">
      <c r="A269" s="4" t="n"/>
      <c r="B269" s="26" t="n"/>
      <c r="C269" s="4" t="n"/>
      <c r="D269" s="27" t="n"/>
      <c r="E269" s="5">
        <f>IF($A269="","",IFERROR(INDEX('ORDENES'!$D$4:$D$1203,MATCH($A269,'ORDENES'!$AT$4:$AT$1203,0)),"(no encontrada)"))</f>
        <v/>
      </c>
      <c r="F269" s="5">
        <f>IF($A269="","",IF(ISNA(MATCH($A269,'ORDENES'!$AT$4:$AT$1203,0)),"huérfano",IF(COUNTIF($A$4:$A269,$A269)&gt;1,"duplicado (se ignora)","aplicado")))</f>
        <v/>
      </c>
      <c r="G269" s="28">
        <f>IF($F269&lt;&gt;"aplicado","",IF(IFERROR(INDEX('ORDENES'!$K$4:$K$1203,MATCH($A269,'ORDENES'!$AT$4:$AT$1203,0)),"")="","",$B269-IFERROR(INDEX('ORDENES'!$K$4:$K$1203,MATCH($A269,'ORDENES'!$AT$4:$AT$1203,0)),"")))</f>
        <v/>
      </c>
    </row>
    <row r="270">
      <c r="A270" s="4" t="n"/>
      <c r="B270" s="26" t="n"/>
      <c r="C270" s="4" t="n"/>
      <c r="D270" s="27" t="n"/>
      <c r="E270" s="5">
        <f>IF($A270="","",IFERROR(INDEX('ORDENES'!$D$4:$D$1203,MATCH($A270,'ORDENES'!$AT$4:$AT$1203,0)),"(no encontrada)"))</f>
        <v/>
      </c>
      <c r="F270" s="5">
        <f>IF($A270="","",IF(ISNA(MATCH($A270,'ORDENES'!$AT$4:$AT$1203,0)),"huérfano",IF(COUNTIF($A$4:$A270,$A270)&gt;1,"duplicado (se ignora)","aplicado")))</f>
        <v/>
      </c>
      <c r="G270" s="28">
        <f>IF($F270&lt;&gt;"aplicado","",IF(IFERROR(INDEX('ORDENES'!$K$4:$K$1203,MATCH($A270,'ORDENES'!$AT$4:$AT$1203,0)),"")="","",$B270-IFERROR(INDEX('ORDENES'!$K$4:$K$1203,MATCH($A270,'ORDENES'!$AT$4:$AT$1203,0)),"")))</f>
        <v/>
      </c>
    </row>
    <row r="271">
      <c r="A271" s="4" t="n"/>
      <c r="B271" s="26" t="n"/>
      <c r="C271" s="4" t="n"/>
      <c r="D271" s="27" t="n"/>
      <c r="E271" s="5">
        <f>IF($A271="","",IFERROR(INDEX('ORDENES'!$D$4:$D$1203,MATCH($A271,'ORDENES'!$AT$4:$AT$1203,0)),"(no encontrada)"))</f>
        <v/>
      </c>
      <c r="F271" s="5">
        <f>IF($A271="","",IF(ISNA(MATCH($A271,'ORDENES'!$AT$4:$AT$1203,0)),"huérfano",IF(COUNTIF($A$4:$A271,$A271)&gt;1,"duplicado (se ignora)","aplicado")))</f>
        <v/>
      </c>
      <c r="G271" s="28">
        <f>IF($F271&lt;&gt;"aplicado","",IF(IFERROR(INDEX('ORDENES'!$K$4:$K$1203,MATCH($A271,'ORDENES'!$AT$4:$AT$1203,0)),"")="","",$B271-IFERROR(INDEX('ORDENES'!$K$4:$K$1203,MATCH($A271,'ORDENES'!$AT$4:$AT$1203,0)),"")))</f>
        <v/>
      </c>
    </row>
    <row r="272">
      <c r="A272" s="4" t="n"/>
      <c r="B272" s="26" t="n"/>
      <c r="C272" s="4" t="n"/>
      <c r="D272" s="27" t="n"/>
      <c r="E272" s="5">
        <f>IF($A272="","",IFERROR(INDEX('ORDENES'!$D$4:$D$1203,MATCH($A272,'ORDENES'!$AT$4:$AT$1203,0)),"(no encontrada)"))</f>
        <v/>
      </c>
      <c r="F272" s="5">
        <f>IF($A272="","",IF(ISNA(MATCH($A272,'ORDENES'!$AT$4:$AT$1203,0)),"huérfano",IF(COUNTIF($A$4:$A272,$A272)&gt;1,"duplicado (se ignora)","aplicado")))</f>
        <v/>
      </c>
      <c r="G272" s="28">
        <f>IF($F272&lt;&gt;"aplicado","",IF(IFERROR(INDEX('ORDENES'!$K$4:$K$1203,MATCH($A272,'ORDENES'!$AT$4:$AT$1203,0)),"")="","",$B272-IFERROR(INDEX('ORDENES'!$K$4:$K$1203,MATCH($A272,'ORDENES'!$AT$4:$AT$1203,0)),"")))</f>
        <v/>
      </c>
    </row>
    <row r="273">
      <c r="A273" s="4" t="n"/>
      <c r="B273" s="26" t="n"/>
      <c r="C273" s="4" t="n"/>
      <c r="D273" s="27" t="n"/>
      <c r="E273" s="5">
        <f>IF($A273="","",IFERROR(INDEX('ORDENES'!$D$4:$D$1203,MATCH($A273,'ORDENES'!$AT$4:$AT$1203,0)),"(no encontrada)"))</f>
        <v/>
      </c>
      <c r="F273" s="5">
        <f>IF($A273="","",IF(ISNA(MATCH($A273,'ORDENES'!$AT$4:$AT$1203,0)),"huérfano",IF(COUNTIF($A$4:$A273,$A273)&gt;1,"duplicado (se ignora)","aplicado")))</f>
        <v/>
      </c>
      <c r="G273" s="28">
        <f>IF($F273&lt;&gt;"aplicado","",IF(IFERROR(INDEX('ORDENES'!$K$4:$K$1203,MATCH($A273,'ORDENES'!$AT$4:$AT$1203,0)),"")="","",$B273-IFERROR(INDEX('ORDENES'!$K$4:$K$1203,MATCH($A273,'ORDENES'!$AT$4:$AT$1203,0)),"")))</f>
        <v/>
      </c>
    </row>
    <row r="274">
      <c r="A274" s="4" t="n"/>
      <c r="B274" s="26" t="n"/>
      <c r="C274" s="4" t="n"/>
      <c r="D274" s="27" t="n"/>
      <c r="E274" s="5">
        <f>IF($A274="","",IFERROR(INDEX('ORDENES'!$D$4:$D$1203,MATCH($A274,'ORDENES'!$AT$4:$AT$1203,0)),"(no encontrada)"))</f>
        <v/>
      </c>
      <c r="F274" s="5">
        <f>IF($A274="","",IF(ISNA(MATCH($A274,'ORDENES'!$AT$4:$AT$1203,0)),"huérfano",IF(COUNTIF($A$4:$A274,$A274)&gt;1,"duplicado (se ignora)","aplicado")))</f>
        <v/>
      </c>
      <c r="G274" s="28">
        <f>IF($F274&lt;&gt;"aplicado","",IF(IFERROR(INDEX('ORDENES'!$K$4:$K$1203,MATCH($A274,'ORDENES'!$AT$4:$AT$1203,0)),"")="","",$B274-IFERROR(INDEX('ORDENES'!$K$4:$K$1203,MATCH($A274,'ORDENES'!$AT$4:$AT$1203,0)),"")))</f>
        <v/>
      </c>
    </row>
    <row r="275">
      <c r="A275" s="4" t="n"/>
      <c r="B275" s="26" t="n"/>
      <c r="C275" s="4" t="n"/>
      <c r="D275" s="27" t="n"/>
      <c r="E275" s="5">
        <f>IF($A275="","",IFERROR(INDEX('ORDENES'!$D$4:$D$1203,MATCH($A275,'ORDENES'!$AT$4:$AT$1203,0)),"(no encontrada)"))</f>
        <v/>
      </c>
      <c r="F275" s="5">
        <f>IF($A275="","",IF(ISNA(MATCH($A275,'ORDENES'!$AT$4:$AT$1203,0)),"huérfano",IF(COUNTIF($A$4:$A275,$A275)&gt;1,"duplicado (se ignora)","aplicado")))</f>
        <v/>
      </c>
      <c r="G275" s="28">
        <f>IF($F275&lt;&gt;"aplicado","",IF(IFERROR(INDEX('ORDENES'!$K$4:$K$1203,MATCH($A275,'ORDENES'!$AT$4:$AT$1203,0)),"")="","",$B275-IFERROR(INDEX('ORDENES'!$K$4:$K$1203,MATCH($A275,'ORDENES'!$AT$4:$AT$1203,0)),"")))</f>
        <v/>
      </c>
    </row>
    <row r="276">
      <c r="A276" s="4" t="n"/>
      <c r="B276" s="26" t="n"/>
      <c r="C276" s="4" t="n"/>
      <c r="D276" s="27" t="n"/>
      <c r="E276" s="5">
        <f>IF($A276="","",IFERROR(INDEX('ORDENES'!$D$4:$D$1203,MATCH($A276,'ORDENES'!$AT$4:$AT$1203,0)),"(no encontrada)"))</f>
        <v/>
      </c>
      <c r="F276" s="5">
        <f>IF($A276="","",IF(ISNA(MATCH($A276,'ORDENES'!$AT$4:$AT$1203,0)),"huérfano",IF(COUNTIF($A$4:$A276,$A276)&gt;1,"duplicado (se ignora)","aplicado")))</f>
        <v/>
      </c>
      <c r="G276" s="28">
        <f>IF($F276&lt;&gt;"aplicado","",IF(IFERROR(INDEX('ORDENES'!$K$4:$K$1203,MATCH($A276,'ORDENES'!$AT$4:$AT$1203,0)),"")="","",$B276-IFERROR(INDEX('ORDENES'!$K$4:$K$1203,MATCH($A276,'ORDENES'!$AT$4:$AT$1203,0)),"")))</f>
        <v/>
      </c>
    </row>
    <row r="277">
      <c r="A277" s="4" t="n"/>
      <c r="B277" s="26" t="n"/>
      <c r="C277" s="4" t="n"/>
      <c r="D277" s="27" t="n"/>
      <c r="E277" s="5">
        <f>IF($A277="","",IFERROR(INDEX('ORDENES'!$D$4:$D$1203,MATCH($A277,'ORDENES'!$AT$4:$AT$1203,0)),"(no encontrada)"))</f>
        <v/>
      </c>
      <c r="F277" s="5">
        <f>IF($A277="","",IF(ISNA(MATCH($A277,'ORDENES'!$AT$4:$AT$1203,0)),"huérfano",IF(COUNTIF($A$4:$A277,$A277)&gt;1,"duplicado (se ignora)","aplicado")))</f>
        <v/>
      </c>
      <c r="G277" s="28">
        <f>IF($F277&lt;&gt;"aplicado","",IF(IFERROR(INDEX('ORDENES'!$K$4:$K$1203,MATCH($A277,'ORDENES'!$AT$4:$AT$1203,0)),"")="","",$B277-IFERROR(INDEX('ORDENES'!$K$4:$K$1203,MATCH($A277,'ORDENES'!$AT$4:$AT$1203,0)),"")))</f>
        <v/>
      </c>
    </row>
    <row r="278">
      <c r="A278" s="4" t="n"/>
      <c r="B278" s="26" t="n"/>
      <c r="C278" s="4" t="n"/>
      <c r="D278" s="27" t="n"/>
      <c r="E278" s="5">
        <f>IF($A278="","",IFERROR(INDEX('ORDENES'!$D$4:$D$1203,MATCH($A278,'ORDENES'!$AT$4:$AT$1203,0)),"(no encontrada)"))</f>
        <v/>
      </c>
      <c r="F278" s="5">
        <f>IF($A278="","",IF(ISNA(MATCH($A278,'ORDENES'!$AT$4:$AT$1203,0)),"huérfano",IF(COUNTIF($A$4:$A278,$A278)&gt;1,"duplicado (se ignora)","aplicado")))</f>
        <v/>
      </c>
      <c r="G278" s="28">
        <f>IF($F278&lt;&gt;"aplicado","",IF(IFERROR(INDEX('ORDENES'!$K$4:$K$1203,MATCH($A278,'ORDENES'!$AT$4:$AT$1203,0)),"")="","",$B278-IFERROR(INDEX('ORDENES'!$K$4:$K$1203,MATCH($A278,'ORDENES'!$AT$4:$AT$1203,0)),"")))</f>
        <v/>
      </c>
    </row>
    <row r="279">
      <c r="A279" s="4" t="n"/>
      <c r="B279" s="26" t="n"/>
      <c r="C279" s="4" t="n"/>
      <c r="D279" s="27" t="n"/>
      <c r="E279" s="5">
        <f>IF($A279="","",IFERROR(INDEX('ORDENES'!$D$4:$D$1203,MATCH($A279,'ORDENES'!$AT$4:$AT$1203,0)),"(no encontrada)"))</f>
        <v/>
      </c>
      <c r="F279" s="5">
        <f>IF($A279="","",IF(ISNA(MATCH($A279,'ORDENES'!$AT$4:$AT$1203,0)),"huérfano",IF(COUNTIF($A$4:$A279,$A279)&gt;1,"duplicado (se ignora)","aplicado")))</f>
        <v/>
      </c>
      <c r="G279" s="28">
        <f>IF($F279&lt;&gt;"aplicado","",IF(IFERROR(INDEX('ORDENES'!$K$4:$K$1203,MATCH($A279,'ORDENES'!$AT$4:$AT$1203,0)),"")="","",$B279-IFERROR(INDEX('ORDENES'!$K$4:$K$1203,MATCH($A279,'ORDENES'!$AT$4:$AT$1203,0)),"")))</f>
        <v/>
      </c>
    </row>
    <row r="280">
      <c r="A280" s="4" t="n"/>
      <c r="B280" s="26" t="n"/>
      <c r="C280" s="4" t="n"/>
      <c r="D280" s="27" t="n"/>
      <c r="E280" s="5">
        <f>IF($A280="","",IFERROR(INDEX('ORDENES'!$D$4:$D$1203,MATCH($A280,'ORDENES'!$AT$4:$AT$1203,0)),"(no encontrada)"))</f>
        <v/>
      </c>
      <c r="F280" s="5">
        <f>IF($A280="","",IF(ISNA(MATCH($A280,'ORDENES'!$AT$4:$AT$1203,0)),"huérfano",IF(COUNTIF($A$4:$A280,$A280)&gt;1,"duplicado (se ignora)","aplicado")))</f>
        <v/>
      </c>
      <c r="G280" s="28">
        <f>IF($F280&lt;&gt;"aplicado","",IF(IFERROR(INDEX('ORDENES'!$K$4:$K$1203,MATCH($A280,'ORDENES'!$AT$4:$AT$1203,0)),"")="","",$B280-IFERROR(INDEX('ORDENES'!$K$4:$K$1203,MATCH($A280,'ORDENES'!$AT$4:$AT$1203,0)),"")))</f>
        <v/>
      </c>
    </row>
    <row r="281">
      <c r="A281" s="4" t="n"/>
      <c r="B281" s="26" t="n"/>
      <c r="C281" s="4" t="n"/>
      <c r="D281" s="27" t="n"/>
      <c r="E281" s="5">
        <f>IF($A281="","",IFERROR(INDEX('ORDENES'!$D$4:$D$1203,MATCH($A281,'ORDENES'!$AT$4:$AT$1203,0)),"(no encontrada)"))</f>
        <v/>
      </c>
      <c r="F281" s="5">
        <f>IF($A281="","",IF(ISNA(MATCH($A281,'ORDENES'!$AT$4:$AT$1203,0)),"huérfano",IF(COUNTIF($A$4:$A281,$A281)&gt;1,"duplicado (se ignora)","aplicado")))</f>
        <v/>
      </c>
      <c r="G281" s="28">
        <f>IF($F281&lt;&gt;"aplicado","",IF(IFERROR(INDEX('ORDENES'!$K$4:$K$1203,MATCH($A281,'ORDENES'!$AT$4:$AT$1203,0)),"")="","",$B281-IFERROR(INDEX('ORDENES'!$K$4:$K$1203,MATCH($A281,'ORDENES'!$AT$4:$AT$1203,0)),"")))</f>
        <v/>
      </c>
    </row>
    <row r="282">
      <c r="A282" s="4" t="n"/>
      <c r="B282" s="26" t="n"/>
      <c r="C282" s="4" t="n"/>
      <c r="D282" s="27" t="n"/>
      <c r="E282" s="5">
        <f>IF($A282="","",IFERROR(INDEX('ORDENES'!$D$4:$D$1203,MATCH($A282,'ORDENES'!$AT$4:$AT$1203,0)),"(no encontrada)"))</f>
        <v/>
      </c>
      <c r="F282" s="5">
        <f>IF($A282="","",IF(ISNA(MATCH($A282,'ORDENES'!$AT$4:$AT$1203,0)),"huérfano",IF(COUNTIF($A$4:$A282,$A282)&gt;1,"duplicado (se ignora)","aplicado")))</f>
        <v/>
      </c>
      <c r="G282" s="28">
        <f>IF($F282&lt;&gt;"aplicado","",IF(IFERROR(INDEX('ORDENES'!$K$4:$K$1203,MATCH($A282,'ORDENES'!$AT$4:$AT$1203,0)),"")="","",$B282-IFERROR(INDEX('ORDENES'!$K$4:$K$1203,MATCH($A282,'ORDENES'!$AT$4:$AT$1203,0)),"")))</f>
        <v/>
      </c>
    </row>
    <row r="283">
      <c r="A283" s="4" t="n"/>
      <c r="B283" s="26" t="n"/>
      <c r="C283" s="4" t="n"/>
      <c r="D283" s="27" t="n"/>
      <c r="E283" s="5">
        <f>IF($A283="","",IFERROR(INDEX('ORDENES'!$D$4:$D$1203,MATCH($A283,'ORDENES'!$AT$4:$AT$1203,0)),"(no encontrada)"))</f>
        <v/>
      </c>
      <c r="F283" s="5">
        <f>IF($A283="","",IF(ISNA(MATCH($A283,'ORDENES'!$AT$4:$AT$1203,0)),"huérfano",IF(COUNTIF($A$4:$A283,$A283)&gt;1,"duplicado (se ignora)","aplicado")))</f>
        <v/>
      </c>
      <c r="G283" s="28">
        <f>IF($F283&lt;&gt;"aplicado","",IF(IFERROR(INDEX('ORDENES'!$K$4:$K$1203,MATCH($A283,'ORDENES'!$AT$4:$AT$1203,0)),"")="","",$B283-IFERROR(INDEX('ORDENES'!$K$4:$K$1203,MATCH($A283,'ORDENES'!$AT$4:$AT$1203,0)),"")))</f>
        <v/>
      </c>
    </row>
    <row r="284">
      <c r="A284" s="4" t="n"/>
      <c r="B284" s="26" t="n"/>
      <c r="C284" s="4" t="n"/>
      <c r="D284" s="27" t="n"/>
      <c r="E284" s="5">
        <f>IF($A284="","",IFERROR(INDEX('ORDENES'!$D$4:$D$1203,MATCH($A284,'ORDENES'!$AT$4:$AT$1203,0)),"(no encontrada)"))</f>
        <v/>
      </c>
      <c r="F284" s="5">
        <f>IF($A284="","",IF(ISNA(MATCH($A284,'ORDENES'!$AT$4:$AT$1203,0)),"huérfano",IF(COUNTIF($A$4:$A284,$A284)&gt;1,"duplicado (se ignora)","aplicado")))</f>
        <v/>
      </c>
      <c r="G284" s="28">
        <f>IF($F284&lt;&gt;"aplicado","",IF(IFERROR(INDEX('ORDENES'!$K$4:$K$1203,MATCH($A284,'ORDENES'!$AT$4:$AT$1203,0)),"")="","",$B284-IFERROR(INDEX('ORDENES'!$K$4:$K$1203,MATCH($A284,'ORDENES'!$AT$4:$AT$1203,0)),"")))</f>
        <v/>
      </c>
    </row>
    <row r="285">
      <c r="A285" s="4" t="n"/>
      <c r="B285" s="26" t="n"/>
      <c r="C285" s="4" t="n"/>
      <c r="D285" s="27" t="n"/>
      <c r="E285" s="5">
        <f>IF($A285="","",IFERROR(INDEX('ORDENES'!$D$4:$D$1203,MATCH($A285,'ORDENES'!$AT$4:$AT$1203,0)),"(no encontrada)"))</f>
        <v/>
      </c>
      <c r="F285" s="5">
        <f>IF($A285="","",IF(ISNA(MATCH($A285,'ORDENES'!$AT$4:$AT$1203,0)),"huérfano",IF(COUNTIF($A$4:$A285,$A285)&gt;1,"duplicado (se ignora)","aplicado")))</f>
        <v/>
      </c>
      <c r="G285" s="28">
        <f>IF($F285&lt;&gt;"aplicado","",IF(IFERROR(INDEX('ORDENES'!$K$4:$K$1203,MATCH($A285,'ORDENES'!$AT$4:$AT$1203,0)),"")="","",$B285-IFERROR(INDEX('ORDENES'!$K$4:$K$1203,MATCH($A285,'ORDENES'!$AT$4:$AT$1203,0)),"")))</f>
        <v/>
      </c>
    </row>
    <row r="286">
      <c r="A286" s="4" t="n"/>
      <c r="B286" s="26" t="n"/>
      <c r="C286" s="4" t="n"/>
      <c r="D286" s="27" t="n"/>
      <c r="E286" s="5">
        <f>IF($A286="","",IFERROR(INDEX('ORDENES'!$D$4:$D$1203,MATCH($A286,'ORDENES'!$AT$4:$AT$1203,0)),"(no encontrada)"))</f>
        <v/>
      </c>
      <c r="F286" s="5">
        <f>IF($A286="","",IF(ISNA(MATCH($A286,'ORDENES'!$AT$4:$AT$1203,0)),"huérfano",IF(COUNTIF($A$4:$A286,$A286)&gt;1,"duplicado (se ignora)","aplicado")))</f>
        <v/>
      </c>
      <c r="G286" s="28">
        <f>IF($F286&lt;&gt;"aplicado","",IF(IFERROR(INDEX('ORDENES'!$K$4:$K$1203,MATCH($A286,'ORDENES'!$AT$4:$AT$1203,0)),"")="","",$B286-IFERROR(INDEX('ORDENES'!$K$4:$K$1203,MATCH($A286,'ORDENES'!$AT$4:$AT$1203,0)),"")))</f>
        <v/>
      </c>
    </row>
    <row r="287">
      <c r="A287" s="4" t="n"/>
      <c r="B287" s="26" t="n"/>
      <c r="C287" s="4" t="n"/>
      <c r="D287" s="27" t="n"/>
      <c r="E287" s="5">
        <f>IF($A287="","",IFERROR(INDEX('ORDENES'!$D$4:$D$1203,MATCH($A287,'ORDENES'!$AT$4:$AT$1203,0)),"(no encontrada)"))</f>
        <v/>
      </c>
      <c r="F287" s="5">
        <f>IF($A287="","",IF(ISNA(MATCH($A287,'ORDENES'!$AT$4:$AT$1203,0)),"huérfano",IF(COUNTIF($A$4:$A287,$A287)&gt;1,"duplicado (se ignora)","aplicado")))</f>
        <v/>
      </c>
      <c r="G287" s="28">
        <f>IF($F287&lt;&gt;"aplicado","",IF(IFERROR(INDEX('ORDENES'!$K$4:$K$1203,MATCH($A287,'ORDENES'!$AT$4:$AT$1203,0)),"")="","",$B287-IFERROR(INDEX('ORDENES'!$K$4:$K$1203,MATCH($A287,'ORDENES'!$AT$4:$AT$1203,0)),"")))</f>
        <v/>
      </c>
    </row>
    <row r="288">
      <c r="A288" s="4" t="n"/>
      <c r="B288" s="26" t="n"/>
      <c r="C288" s="4" t="n"/>
      <c r="D288" s="27" t="n"/>
      <c r="E288" s="5">
        <f>IF($A288="","",IFERROR(INDEX('ORDENES'!$D$4:$D$1203,MATCH($A288,'ORDENES'!$AT$4:$AT$1203,0)),"(no encontrada)"))</f>
        <v/>
      </c>
      <c r="F288" s="5">
        <f>IF($A288="","",IF(ISNA(MATCH($A288,'ORDENES'!$AT$4:$AT$1203,0)),"huérfano",IF(COUNTIF($A$4:$A288,$A288)&gt;1,"duplicado (se ignora)","aplicado")))</f>
        <v/>
      </c>
      <c r="G288" s="28">
        <f>IF($F288&lt;&gt;"aplicado","",IF(IFERROR(INDEX('ORDENES'!$K$4:$K$1203,MATCH($A288,'ORDENES'!$AT$4:$AT$1203,0)),"")="","",$B288-IFERROR(INDEX('ORDENES'!$K$4:$K$1203,MATCH($A288,'ORDENES'!$AT$4:$AT$1203,0)),"")))</f>
        <v/>
      </c>
    </row>
    <row r="289">
      <c r="A289" s="4" t="n"/>
      <c r="B289" s="26" t="n"/>
      <c r="C289" s="4" t="n"/>
      <c r="D289" s="27" t="n"/>
      <c r="E289" s="5">
        <f>IF($A289="","",IFERROR(INDEX('ORDENES'!$D$4:$D$1203,MATCH($A289,'ORDENES'!$AT$4:$AT$1203,0)),"(no encontrada)"))</f>
        <v/>
      </c>
      <c r="F289" s="5">
        <f>IF($A289="","",IF(ISNA(MATCH($A289,'ORDENES'!$AT$4:$AT$1203,0)),"huérfano",IF(COUNTIF($A$4:$A289,$A289)&gt;1,"duplicado (se ignora)","aplicado")))</f>
        <v/>
      </c>
      <c r="G289" s="28">
        <f>IF($F289&lt;&gt;"aplicado","",IF(IFERROR(INDEX('ORDENES'!$K$4:$K$1203,MATCH($A289,'ORDENES'!$AT$4:$AT$1203,0)),"")="","",$B289-IFERROR(INDEX('ORDENES'!$K$4:$K$1203,MATCH($A289,'ORDENES'!$AT$4:$AT$1203,0)),"")))</f>
        <v/>
      </c>
    </row>
    <row r="290">
      <c r="A290" s="4" t="n"/>
      <c r="B290" s="26" t="n"/>
      <c r="C290" s="4" t="n"/>
      <c r="D290" s="27" t="n"/>
      <c r="E290" s="5">
        <f>IF($A290="","",IFERROR(INDEX('ORDENES'!$D$4:$D$1203,MATCH($A290,'ORDENES'!$AT$4:$AT$1203,0)),"(no encontrada)"))</f>
        <v/>
      </c>
      <c r="F290" s="5">
        <f>IF($A290="","",IF(ISNA(MATCH($A290,'ORDENES'!$AT$4:$AT$1203,0)),"huérfano",IF(COUNTIF($A$4:$A290,$A290)&gt;1,"duplicado (se ignora)","aplicado")))</f>
        <v/>
      </c>
      <c r="G290" s="28">
        <f>IF($F290&lt;&gt;"aplicado","",IF(IFERROR(INDEX('ORDENES'!$K$4:$K$1203,MATCH($A290,'ORDENES'!$AT$4:$AT$1203,0)),"")="","",$B290-IFERROR(INDEX('ORDENES'!$K$4:$K$1203,MATCH($A290,'ORDENES'!$AT$4:$AT$1203,0)),"")))</f>
        <v/>
      </c>
    </row>
    <row r="291">
      <c r="A291" s="4" t="n"/>
      <c r="B291" s="26" t="n"/>
      <c r="C291" s="4" t="n"/>
      <c r="D291" s="27" t="n"/>
      <c r="E291" s="5">
        <f>IF($A291="","",IFERROR(INDEX('ORDENES'!$D$4:$D$1203,MATCH($A291,'ORDENES'!$AT$4:$AT$1203,0)),"(no encontrada)"))</f>
        <v/>
      </c>
      <c r="F291" s="5">
        <f>IF($A291="","",IF(ISNA(MATCH($A291,'ORDENES'!$AT$4:$AT$1203,0)),"huérfano",IF(COUNTIF($A$4:$A291,$A291)&gt;1,"duplicado (se ignora)","aplicado")))</f>
        <v/>
      </c>
      <c r="G291" s="28">
        <f>IF($F291&lt;&gt;"aplicado","",IF(IFERROR(INDEX('ORDENES'!$K$4:$K$1203,MATCH($A291,'ORDENES'!$AT$4:$AT$1203,0)),"")="","",$B291-IFERROR(INDEX('ORDENES'!$K$4:$K$1203,MATCH($A291,'ORDENES'!$AT$4:$AT$1203,0)),"")))</f>
        <v/>
      </c>
    </row>
    <row r="292">
      <c r="A292" s="4" t="n"/>
      <c r="B292" s="26" t="n"/>
      <c r="C292" s="4" t="n"/>
      <c r="D292" s="27" t="n"/>
      <c r="E292" s="5">
        <f>IF($A292="","",IFERROR(INDEX('ORDENES'!$D$4:$D$1203,MATCH($A292,'ORDENES'!$AT$4:$AT$1203,0)),"(no encontrada)"))</f>
        <v/>
      </c>
      <c r="F292" s="5">
        <f>IF($A292="","",IF(ISNA(MATCH($A292,'ORDENES'!$AT$4:$AT$1203,0)),"huérfano",IF(COUNTIF($A$4:$A292,$A292)&gt;1,"duplicado (se ignora)","aplicado")))</f>
        <v/>
      </c>
      <c r="G292" s="28">
        <f>IF($F292&lt;&gt;"aplicado","",IF(IFERROR(INDEX('ORDENES'!$K$4:$K$1203,MATCH($A292,'ORDENES'!$AT$4:$AT$1203,0)),"")="","",$B292-IFERROR(INDEX('ORDENES'!$K$4:$K$1203,MATCH($A292,'ORDENES'!$AT$4:$AT$1203,0)),"")))</f>
        <v/>
      </c>
    </row>
    <row r="293">
      <c r="A293" s="4" t="n"/>
      <c r="B293" s="26" t="n"/>
      <c r="C293" s="4" t="n"/>
      <c r="D293" s="27" t="n"/>
      <c r="E293" s="5">
        <f>IF($A293="","",IFERROR(INDEX('ORDENES'!$D$4:$D$1203,MATCH($A293,'ORDENES'!$AT$4:$AT$1203,0)),"(no encontrada)"))</f>
        <v/>
      </c>
      <c r="F293" s="5">
        <f>IF($A293="","",IF(ISNA(MATCH($A293,'ORDENES'!$AT$4:$AT$1203,0)),"huérfano",IF(COUNTIF($A$4:$A293,$A293)&gt;1,"duplicado (se ignora)","aplicado")))</f>
        <v/>
      </c>
      <c r="G293" s="28">
        <f>IF($F293&lt;&gt;"aplicado","",IF(IFERROR(INDEX('ORDENES'!$K$4:$K$1203,MATCH($A293,'ORDENES'!$AT$4:$AT$1203,0)),"")="","",$B293-IFERROR(INDEX('ORDENES'!$K$4:$K$1203,MATCH($A293,'ORDENES'!$AT$4:$AT$1203,0)),"")))</f>
        <v/>
      </c>
    </row>
    <row r="294">
      <c r="A294" s="4" t="n"/>
      <c r="B294" s="26" t="n"/>
      <c r="C294" s="4" t="n"/>
      <c r="D294" s="27" t="n"/>
      <c r="E294" s="5">
        <f>IF($A294="","",IFERROR(INDEX('ORDENES'!$D$4:$D$1203,MATCH($A294,'ORDENES'!$AT$4:$AT$1203,0)),"(no encontrada)"))</f>
        <v/>
      </c>
      <c r="F294" s="5">
        <f>IF($A294="","",IF(ISNA(MATCH($A294,'ORDENES'!$AT$4:$AT$1203,0)),"huérfano",IF(COUNTIF($A$4:$A294,$A294)&gt;1,"duplicado (se ignora)","aplicado")))</f>
        <v/>
      </c>
      <c r="G294" s="28">
        <f>IF($F294&lt;&gt;"aplicado","",IF(IFERROR(INDEX('ORDENES'!$K$4:$K$1203,MATCH($A294,'ORDENES'!$AT$4:$AT$1203,0)),"")="","",$B294-IFERROR(INDEX('ORDENES'!$K$4:$K$1203,MATCH($A294,'ORDENES'!$AT$4:$AT$1203,0)),"")))</f>
        <v/>
      </c>
    </row>
    <row r="295">
      <c r="A295" s="4" t="n"/>
      <c r="B295" s="26" t="n"/>
      <c r="C295" s="4" t="n"/>
      <c r="D295" s="27" t="n"/>
      <c r="E295" s="5">
        <f>IF($A295="","",IFERROR(INDEX('ORDENES'!$D$4:$D$1203,MATCH($A295,'ORDENES'!$AT$4:$AT$1203,0)),"(no encontrada)"))</f>
        <v/>
      </c>
      <c r="F295" s="5">
        <f>IF($A295="","",IF(ISNA(MATCH($A295,'ORDENES'!$AT$4:$AT$1203,0)),"huérfano",IF(COUNTIF($A$4:$A295,$A295)&gt;1,"duplicado (se ignora)","aplicado")))</f>
        <v/>
      </c>
      <c r="G295" s="28">
        <f>IF($F295&lt;&gt;"aplicado","",IF(IFERROR(INDEX('ORDENES'!$K$4:$K$1203,MATCH($A295,'ORDENES'!$AT$4:$AT$1203,0)),"")="","",$B295-IFERROR(INDEX('ORDENES'!$K$4:$K$1203,MATCH($A295,'ORDENES'!$AT$4:$AT$1203,0)),"")))</f>
        <v/>
      </c>
    </row>
    <row r="296">
      <c r="A296" s="4" t="n"/>
      <c r="B296" s="26" t="n"/>
      <c r="C296" s="4" t="n"/>
      <c r="D296" s="27" t="n"/>
      <c r="E296" s="5">
        <f>IF($A296="","",IFERROR(INDEX('ORDENES'!$D$4:$D$1203,MATCH($A296,'ORDENES'!$AT$4:$AT$1203,0)),"(no encontrada)"))</f>
        <v/>
      </c>
      <c r="F296" s="5">
        <f>IF($A296="","",IF(ISNA(MATCH($A296,'ORDENES'!$AT$4:$AT$1203,0)),"huérfano",IF(COUNTIF($A$4:$A296,$A296)&gt;1,"duplicado (se ignora)","aplicado")))</f>
        <v/>
      </c>
      <c r="G296" s="28">
        <f>IF($F296&lt;&gt;"aplicado","",IF(IFERROR(INDEX('ORDENES'!$K$4:$K$1203,MATCH($A296,'ORDENES'!$AT$4:$AT$1203,0)),"")="","",$B296-IFERROR(INDEX('ORDENES'!$K$4:$K$1203,MATCH($A296,'ORDENES'!$AT$4:$AT$1203,0)),"")))</f>
        <v/>
      </c>
    </row>
    <row r="297">
      <c r="A297" s="4" t="n"/>
      <c r="B297" s="26" t="n"/>
      <c r="C297" s="4" t="n"/>
      <c r="D297" s="27" t="n"/>
      <c r="E297" s="5">
        <f>IF($A297="","",IFERROR(INDEX('ORDENES'!$D$4:$D$1203,MATCH($A297,'ORDENES'!$AT$4:$AT$1203,0)),"(no encontrada)"))</f>
        <v/>
      </c>
      <c r="F297" s="5">
        <f>IF($A297="","",IF(ISNA(MATCH($A297,'ORDENES'!$AT$4:$AT$1203,0)),"huérfano",IF(COUNTIF($A$4:$A297,$A297)&gt;1,"duplicado (se ignora)","aplicado")))</f>
        <v/>
      </c>
      <c r="G297" s="28">
        <f>IF($F297&lt;&gt;"aplicado","",IF(IFERROR(INDEX('ORDENES'!$K$4:$K$1203,MATCH($A297,'ORDENES'!$AT$4:$AT$1203,0)),"")="","",$B297-IFERROR(INDEX('ORDENES'!$K$4:$K$1203,MATCH($A297,'ORDENES'!$AT$4:$AT$1203,0)),"")))</f>
        <v/>
      </c>
    </row>
    <row r="298">
      <c r="A298" s="4" t="n"/>
      <c r="B298" s="26" t="n"/>
      <c r="C298" s="4" t="n"/>
      <c r="D298" s="27" t="n"/>
      <c r="E298" s="5">
        <f>IF($A298="","",IFERROR(INDEX('ORDENES'!$D$4:$D$1203,MATCH($A298,'ORDENES'!$AT$4:$AT$1203,0)),"(no encontrada)"))</f>
        <v/>
      </c>
      <c r="F298" s="5">
        <f>IF($A298="","",IF(ISNA(MATCH($A298,'ORDENES'!$AT$4:$AT$1203,0)),"huérfano",IF(COUNTIF($A$4:$A298,$A298)&gt;1,"duplicado (se ignora)","aplicado")))</f>
        <v/>
      </c>
      <c r="G298" s="28">
        <f>IF($F298&lt;&gt;"aplicado","",IF(IFERROR(INDEX('ORDENES'!$K$4:$K$1203,MATCH($A298,'ORDENES'!$AT$4:$AT$1203,0)),"")="","",$B298-IFERROR(INDEX('ORDENES'!$K$4:$K$1203,MATCH($A298,'ORDENES'!$AT$4:$AT$1203,0)),"")))</f>
        <v/>
      </c>
    </row>
    <row r="299">
      <c r="A299" s="4" t="n"/>
      <c r="B299" s="26" t="n"/>
      <c r="C299" s="4" t="n"/>
      <c r="D299" s="27" t="n"/>
      <c r="E299" s="5">
        <f>IF($A299="","",IFERROR(INDEX('ORDENES'!$D$4:$D$1203,MATCH($A299,'ORDENES'!$AT$4:$AT$1203,0)),"(no encontrada)"))</f>
        <v/>
      </c>
      <c r="F299" s="5">
        <f>IF($A299="","",IF(ISNA(MATCH($A299,'ORDENES'!$AT$4:$AT$1203,0)),"huérfano",IF(COUNTIF($A$4:$A299,$A299)&gt;1,"duplicado (se ignora)","aplicado")))</f>
        <v/>
      </c>
      <c r="G299" s="28">
        <f>IF($F299&lt;&gt;"aplicado","",IF(IFERROR(INDEX('ORDENES'!$K$4:$K$1203,MATCH($A299,'ORDENES'!$AT$4:$AT$1203,0)),"")="","",$B299-IFERROR(INDEX('ORDENES'!$K$4:$K$1203,MATCH($A299,'ORDENES'!$AT$4:$AT$1203,0)),"")))</f>
        <v/>
      </c>
    </row>
    <row r="300">
      <c r="A300" s="4" t="n"/>
      <c r="B300" s="26" t="n"/>
      <c r="C300" s="4" t="n"/>
      <c r="D300" s="27" t="n"/>
      <c r="E300" s="5">
        <f>IF($A300="","",IFERROR(INDEX('ORDENES'!$D$4:$D$1203,MATCH($A300,'ORDENES'!$AT$4:$AT$1203,0)),"(no encontrada)"))</f>
        <v/>
      </c>
      <c r="F300" s="5">
        <f>IF($A300="","",IF(ISNA(MATCH($A300,'ORDENES'!$AT$4:$AT$1203,0)),"huérfano",IF(COUNTIF($A$4:$A300,$A300)&gt;1,"duplicado (se ignora)","aplicado")))</f>
        <v/>
      </c>
      <c r="G300" s="28">
        <f>IF($F300&lt;&gt;"aplicado","",IF(IFERROR(INDEX('ORDENES'!$K$4:$K$1203,MATCH($A300,'ORDENES'!$AT$4:$AT$1203,0)),"")="","",$B300-IFERROR(INDEX('ORDENES'!$K$4:$K$1203,MATCH($A300,'ORDENES'!$AT$4:$AT$1203,0)),"")))</f>
        <v/>
      </c>
    </row>
    <row r="301">
      <c r="A301" s="4" t="n"/>
      <c r="B301" s="26" t="n"/>
      <c r="C301" s="4" t="n"/>
      <c r="D301" s="27" t="n"/>
      <c r="E301" s="5">
        <f>IF($A301="","",IFERROR(INDEX('ORDENES'!$D$4:$D$1203,MATCH($A301,'ORDENES'!$AT$4:$AT$1203,0)),"(no encontrada)"))</f>
        <v/>
      </c>
      <c r="F301" s="5">
        <f>IF($A301="","",IF(ISNA(MATCH($A301,'ORDENES'!$AT$4:$AT$1203,0)),"huérfano",IF(COUNTIF($A$4:$A301,$A301)&gt;1,"duplicado (se ignora)","aplicado")))</f>
        <v/>
      </c>
      <c r="G301" s="28">
        <f>IF($F301&lt;&gt;"aplicado","",IF(IFERROR(INDEX('ORDENES'!$K$4:$K$1203,MATCH($A301,'ORDENES'!$AT$4:$AT$1203,0)),"")="","",$B301-IFERROR(INDEX('ORDENES'!$K$4:$K$1203,MATCH($A301,'ORDENES'!$AT$4:$AT$1203,0)),"")))</f>
        <v/>
      </c>
    </row>
    <row r="302">
      <c r="A302" s="4" t="n"/>
      <c r="B302" s="26" t="n"/>
      <c r="C302" s="4" t="n"/>
      <c r="D302" s="27" t="n"/>
      <c r="E302" s="5">
        <f>IF($A302="","",IFERROR(INDEX('ORDENES'!$D$4:$D$1203,MATCH($A302,'ORDENES'!$AT$4:$AT$1203,0)),"(no encontrada)"))</f>
        <v/>
      </c>
      <c r="F302" s="5">
        <f>IF($A302="","",IF(ISNA(MATCH($A302,'ORDENES'!$AT$4:$AT$1203,0)),"huérfano",IF(COUNTIF($A$4:$A302,$A302)&gt;1,"duplicado (se ignora)","aplicado")))</f>
        <v/>
      </c>
      <c r="G302" s="28">
        <f>IF($F302&lt;&gt;"aplicado","",IF(IFERROR(INDEX('ORDENES'!$K$4:$K$1203,MATCH($A302,'ORDENES'!$AT$4:$AT$1203,0)),"")="","",$B302-IFERROR(INDEX('ORDENES'!$K$4:$K$1203,MATCH($A302,'ORDENES'!$AT$4:$AT$1203,0)),"")))</f>
        <v/>
      </c>
    </row>
    <row r="303">
      <c r="A303" s="4" t="n"/>
      <c r="B303" s="26" t="n"/>
      <c r="C303" s="4" t="n"/>
      <c r="D303" s="27" t="n"/>
      <c r="E303" s="5">
        <f>IF($A303="","",IFERROR(INDEX('ORDENES'!$D$4:$D$1203,MATCH($A303,'ORDENES'!$AT$4:$AT$1203,0)),"(no encontrada)"))</f>
        <v/>
      </c>
      <c r="F303" s="5">
        <f>IF($A303="","",IF(ISNA(MATCH($A303,'ORDENES'!$AT$4:$AT$1203,0)),"huérfano",IF(COUNTIF($A$4:$A303,$A303)&gt;1,"duplicado (se ignora)","aplicado")))</f>
        <v/>
      </c>
      <c r="G303" s="28">
        <f>IF($F303&lt;&gt;"aplicado","",IF(IFERROR(INDEX('ORDENES'!$K$4:$K$1203,MATCH($A303,'ORDENES'!$AT$4:$AT$1203,0)),"")="","",$B303-IFERROR(INDEX('ORDENES'!$K$4:$K$1203,MATCH($A303,'ORDENES'!$AT$4:$AT$1203,0)),"")))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15" t="inlineStr">
        <is>
          <t>tecnico</t>
        </is>
      </c>
      <c r="B3" s="15" t="inlineStr">
        <is>
          <t>fecha_inicio</t>
        </is>
      </c>
      <c r="C3" s="15" t="inlineStr">
        <is>
          <t>fecha_fin</t>
        </is>
      </c>
      <c r="D3" s="15" t="inlineStr">
        <is>
          <t>motivo</t>
        </is>
      </c>
    </row>
    <row r="4">
      <c r="A4" s="4" t="inlineStr">
        <is>
          <t>Ana Sánchez</t>
        </is>
      </c>
      <c r="B4" s="27" t="n">
        <v>46230</v>
      </c>
      <c r="C4" s="27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27" t="n">
        <v>46279</v>
      </c>
      <c r="C5" s="27" t="n">
        <v>46285</v>
      </c>
      <c r="D5" s="4" t="inlineStr">
        <is>
          <t>Permiso</t>
        </is>
      </c>
    </row>
    <row r="6">
      <c r="A6" s="4" t="n"/>
      <c r="B6" s="27" t="n"/>
      <c r="C6" s="27" t="n"/>
      <c r="D6" s="4" t="n"/>
    </row>
    <row r="7">
      <c r="A7" s="4" t="n"/>
      <c r="B7" s="27" t="n"/>
      <c r="C7" s="27" t="n"/>
      <c r="D7" s="4" t="n"/>
    </row>
    <row r="8">
      <c r="A8" s="4" t="n"/>
      <c r="B8" s="27" t="n"/>
      <c r="C8" s="27" t="n"/>
      <c r="D8" s="4" t="n"/>
    </row>
    <row r="9">
      <c r="A9" s="4" t="n"/>
      <c r="B9" s="27" t="n"/>
      <c r="C9" s="27" t="n"/>
      <c r="D9" s="4" t="n"/>
    </row>
    <row r="10">
      <c r="A10" s="4" t="n"/>
      <c r="B10" s="27" t="n"/>
      <c r="C10" s="27" t="n"/>
      <c r="D10" s="4" t="n"/>
    </row>
    <row r="11">
      <c r="A11" s="4" t="n"/>
      <c r="B11" s="27" t="n"/>
      <c r="C11" s="27" t="n"/>
      <c r="D11" s="4" t="n"/>
    </row>
    <row r="12">
      <c r="A12" s="4" t="n"/>
      <c r="B12" s="27" t="n"/>
      <c r="C12" s="27" t="n"/>
      <c r="D12" s="4" t="n"/>
    </row>
    <row r="13">
      <c r="A13" s="4" t="n"/>
      <c r="B13" s="27" t="n"/>
      <c r="C13" s="27" t="n"/>
      <c r="D13" s="4" t="n"/>
    </row>
    <row r="14">
      <c r="A14" s="4" t="n"/>
      <c r="B14" s="27" t="n"/>
      <c r="C14" s="27" t="n"/>
      <c r="D14" s="4" t="n"/>
    </row>
    <row r="15">
      <c r="A15" s="4" t="n"/>
      <c r="B15" s="27" t="n"/>
      <c r="C15" s="27" t="n"/>
      <c r="D15" s="4" t="n"/>
    </row>
    <row r="16">
      <c r="A16" s="4" t="n"/>
      <c r="B16" s="27" t="n"/>
      <c r="C16" s="27" t="n"/>
      <c r="D16" s="4" t="n"/>
    </row>
    <row r="17">
      <c r="A17" s="4" t="n"/>
      <c r="B17" s="27" t="n"/>
      <c r="C17" s="27" t="n"/>
      <c r="D17" s="4" t="n"/>
    </row>
    <row r="18">
      <c r="A18" s="4" t="n"/>
      <c r="B18" s="27" t="n"/>
      <c r="C18" s="27" t="n"/>
      <c r="D18" s="4" t="n"/>
    </row>
    <row r="19">
      <c r="A19" s="4" t="n"/>
      <c r="B19" s="27" t="n"/>
      <c r="C19" s="27" t="n"/>
      <c r="D19" s="4" t="n"/>
    </row>
    <row r="20">
      <c r="A20" s="4" t="n"/>
      <c r="B20" s="27" t="n"/>
      <c r="C20" s="27" t="n"/>
      <c r="D20" s="4" t="n"/>
    </row>
    <row r="21">
      <c r="A21" s="4" t="n"/>
      <c r="B21" s="27" t="n"/>
      <c r="C21" s="27" t="n"/>
      <c r="D21" s="4" t="n"/>
    </row>
    <row r="22">
      <c r="A22" s="4" t="n"/>
      <c r="B22" s="27" t="n"/>
      <c r="C22" s="27" t="n"/>
      <c r="D22" s="4" t="n"/>
    </row>
    <row r="23">
      <c r="A23" s="4" t="n"/>
      <c r="B23" s="27" t="n"/>
      <c r="C23" s="27" t="n"/>
      <c r="D23" s="4" t="n"/>
    </row>
    <row r="24">
      <c r="A24" s="4" t="n"/>
      <c r="B24" s="27" t="n"/>
      <c r="C24" s="27" t="n"/>
      <c r="D24" s="4" t="n"/>
    </row>
    <row r="25">
      <c r="A25" s="4" t="n"/>
      <c r="B25" s="27" t="n"/>
      <c r="C25" s="27" t="n"/>
      <c r="D25" s="4" t="n"/>
    </row>
    <row r="26">
      <c r="A26" s="4" t="n"/>
      <c r="B26" s="27" t="n"/>
      <c r="C26" s="27" t="n"/>
      <c r="D26" s="4" t="n"/>
    </row>
    <row r="27">
      <c r="A27" s="4" t="n"/>
      <c r="B27" s="27" t="n"/>
      <c r="C27" s="27" t="n"/>
      <c r="D27" s="4" t="n"/>
    </row>
    <row r="28">
      <c r="A28" s="4" t="n"/>
      <c r="B28" s="27" t="n"/>
      <c r="C28" s="27" t="n"/>
      <c r="D28" s="4" t="n"/>
    </row>
    <row r="29">
      <c r="A29" s="4" t="n"/>
      <c r="B29" s="27" t="n"/>
      <c r="C29" s="27" t="n"/>
      <c r="D29" s="4" t="n"/>
    </row>
    <row r="30">
      <c r="A30" s="4" t="n"/>
      <c r="B30" s="27" t="n"/>
      <c r="C30" s="27" t="n"/>
      <c r="D30" s="4" t="n"/>
    </row>
    <row r="31">
      <c r="A31" s="4" t="n"/>
      <c r="B31" s="27" t="n"/>
      <c r="C31" s="27" t="n"/>
      <c r="D31" s="4" t="n"/>
    </row>
    <row r="32">
      <c r="A32" s="4" t="n"/>
      <c r="B32" s="27" t="n"/>
      <c r="C32" s="27" t="n"/>
      <c r="D32" s="4" t="n"/>
    </row>
    <row r="33">
      <c r="A33" s="4" t="n"/>
      <c r="B33" s="27" t="n"/>
      <c r="C33" s="27" t="n"/>
      <c r="D33" s="4" t="n"/>
    </row>
    <row r="34">
      <c r="A34" s="4" t="n"/>
      <c r="B34" s="27" t="n"/>
      <c r="C34" s="27" t="n"/>
      <c r="D34" s="4" t="n"/>
    </row>
    <row r="35">
      <c r="A35" s="4" t="n"/>
      <c r="B35" s="27" t="n"/>
      <c r="C35" s="27" t="n"/>
      <c r="D35" s="4" t="n"/>
    </row>
    <row r="36">
      <c r="A36" s="4" t="n"/>
      <c r="B36" s="27" t="n"/>
      <c r="C36" s="27" t="n"/>
      <c r="D36" s="4" t="n"/>
    </row>
    <row r="37">
      <c r="A37" s="4" t="n"/>
      <c r="B37" s="27" t="n"/>
      <c r="C37" s="27" t="n"/>
      <c r="D37" s="4" t="n"/>
    </row>
    <row r="38">
      <c r="A38" s="4" t="n"/>
      <c r="B38" s="27" t="n"/>
      <c r="C38" s="27" t="n"/>
      <c r="D38" s="4" t="n"/>
    </row>
    <row r="39">
      <c r="A39" s="4" t="n"/>
      <c r="B39" s="27" t="n"/>
      <c r="C39" s="27" t="n"/>
      <c r="D39" s="4" t="n"/>
    </row>
    <row r="40">
      <c r="A40" s="4" t="n"/>
      <c r="B40" s="27" t="n"/>
      <c r="C40" s="27" t="n"/>
      <c r="D40" s="4" t="n"/>
    </row>
    <row r="41">
      <c r="A41" s="4" t="n"/>
      <c r="B41" s="27" t="n"/>
      <c r="C41" s="27" t="n"/>
      <c r="D41" s="4" t="n"/>
    </row>
    <row r="42">
      <c r="A42" s="4" t="n"/>
      <c r="B42" s="27" t="n"/>
      <c r="C42" s="27" t="n"/>
      <c r="D42" s="4" t="n"/>
    </row>
    <row r="43">
      <c r="A43" s="4" t="n"/>
      <c r="B43" s="27" t="n"/>
      <c r="C43" s="27" t="n"/>
      <c r="D43" s="4" t="n"/>
    </row>
    <row r="44">
      <c r="A44" s="4" t="n"/>
      <c r="B44" s="27" t="n"/>
      <c r="C44" s="27" t="n"/>
      <c r="D44" s="4" t="n"/>
    </row>
    <row r="45">
      <c r="A45" s="4" t="n"/>
      <c r="B45" s="27" t="n"/>
      <c r="C45" s="27" t="n"/>
      <c r="D45" s="4" t="n"/>
    </row>
    <row r="46">
      <c r="A46" s="4" t="n"/>
      <c r="B46" s="27" t="n"/>
      <c r="C46" s="27" t="n"/>
      <c r="D46" s="4" t="n"/>
    </row>
    <row r="47">
      <c r="A47" s="4" t="n"/>
      <c r="B47" s="27" t="n"/>
      <c r="C47" s="27" t="n"/>
      <c r="D47" s="4" t="n"/>
    </row>
    <row r="48">
      <c r="A48" s="4" t="n"/>
      <c r="B48" s="27" t="n"/>
      <c r="C48" s="27" t="n"/>
      <c r="D48" s="4" t="n"/>
    </row>
    <row r="49">
      <c r="A49" s="4" t="n"/>
      <c r="B49" s="27" t="n"/>
      <c r="C49" s="27" t="n"/>
      <c r="D49" s="4" t="n"/>
    </row>
    <row r="50">
      <c r="A50" s="4" t="n"/>
      <c r="B50" s="27" t="n"/>
      <c r="C50" s="27" t="n"/>
      <c r="D50" s="4" t="n"/>
    </row>
    <row r="51">
      <c r="A51" s="4" t="n"/>
      <c r="B51" s="27" t="n"/>
      <c r="C51" s="27" t="n"/>
      <c r="D51" s="4" t="n"/>
    </row>
    <row r="52">
      <c r="A52" s="4" t="n"/>
      <c r="B52" s="27" t="n"/>
      <c r="C52" s="27" t="n"/>
      <c r="D52" s="4" t="n"/>
    </row>
    <row r="53">
      <c r="A53" s="4" t="n"/>
      <c r="B53" s="27" t="n"/>
      <c r="C53" s="27" t="n"/>
      <c r="D53" s="4" t="n"/>
    </row>
    <row r="54">
      <c r="A54" s="4" t="n"/>
      <c r="B54" s="27" t="n"/>
      <c r="C54" s="27" t="n"/>
      <c r="D54" s="4" t="n"/>
    </row>
    <row r="55">
      <c r="A55" s="4" t="n"/>
      <c r="B55" s="27" t="n"/>
      <c r="C55" s="27" t="n"/>
      <c r="D55" s="4" t="n"/>
    </row>
    <row r="56">
      <c r="A56" s="4" t="n"/>
      <c r="B56" s="27" t="n"/>
      <c r="C56" s="27" t="n"/>
      <c r="D56" s="4" t="n"/>
    </row>
    <row r="57">
      <c r="A57" s="4" t="n"/>
      <c r="B57" s="27" t="n"/>
      <c r="C57" s="27" t="n"/>
      <c r="D57" s="4" t="n"/>
    </row>
    <row r="58">
      <c r="A58" s="4" t="n"/>
      <c r="B58" s="27" t="n"/>
      <c r="C58" s="27" t="n"/>
      <c r="D58" s="4" t="n"/>
    </row>
    <row r="59">
      <c r="A59" s="4" t="n"/>
      <c r="B59" s="27" t="n"/>
      <c r="C59" s="27" t="n"/>
      <c r="D59" s="4" t="n"/>
    </row>
    <row r="60">
      <c r="A60" s="4" t="n"/>
      <c r="B60" s="27" t="n"/>
      <c r="C60" s="27" t="n"/>
      <c r="D60" s="4" t="n"/>
    </row>
    <row r="61">
      <c r="A61" s="4" t="n"/>
      <c r="B61" s="27" t="n"/>
      <c r="C61" s="27" t="n"/>
      <c r="D61" s="4" t="n"/>
    </row>
    <row r="62">
      <c r="A62" s="4" t="n"/>
      <c r="B62" s="27" t="n"/>
      <c r="C62" s="27" t="n"/>
      <c r="D62" s="4" t="n"/>
    </row>
    <row r="63">
      <c r="A63" s="4" t="n"/>
      <c r="B63" s="27" t="n"/>
      <c r="C63" s="27" t="n"/>
      <c r="D63" s="4" t="n"/>
    </row>
    <row r="64">
      <c r="A64" s="4" t="n"/>
      <c r="B64" s="27" t="n"/>
      <c r="C64" s="27" t="n"/>
      <c r="D64" s="4" t="n"/>
    </row>
    <row r="65">
      <c r="A65" s="4" t="n"/>
      <c r="B65" s="27" t="n"/>
      <c r="C65" s="27" t="n"/>
      <c r="D65" s="4" t="n"/>
    </row>
    <row r="66">
      <c r="A66" s="4" t="n"/>
      <c r="B66" s="27" t="n"/>
      <c r="C66" s="27" t="n"/>
      <c r="D66" s="4" t="n"/>
    </row>
    <row r="67">
      <c r="A67" s="4" t="n"/>
      <c r="B67" s="27" t="n"/>
      <c r="C67" s="27" t="n"/>
      <c r="D67" s="4" t="n"/>
    </row>
    <row r="68">
      <c r="A68" s="4" t="n"/>
      <c r="B68" s="27" t="n"/>
      <c r="C68" s="27" t="n"/>
      <c r="D68" s="4" t="n"/>
    </row>
    <row r="69">
      <c r="A69" s="4" t="n"/>
      <c r="B69" s="27" t="n"/>
      <c r="C69" s="27" t="n"/>
      <c r="D69" s="4" t="n"/>
    </row>
    <row r="70">
      <c r="A70" s="4" t="n"/>
      <c r="B70" s="27" t="n"/>
      <c r="C70" s="27" t="n"/>
      <c r="D70" s="4" t="n"/>
    </row>
    <row r="71">
      <c r="A71" s="4" t="n"/>
      <c r="B71" s="27" t="n"/>
      <c r="C71" s="27" t="n"/>
      <c r="D71" s="4" t="n"/>
    </row>
    <row r="72">
      <c r="A72" s="4" t="n"/>
      <c r="B72" s="27" t="n"/>
      <c r="C72" s="27" t="n"/>
      <c r="D72" s="4" t="n"/>
    </row>
    <row r="73">
      <c r="A73" s="4" t="n"/>
      <c r="B73" s="27" t="n"/>
      <c r="C73" s="27" t="n"/>
      <c r="D73" s="4" t="n"/>
    </row>
    <row r="74">
      <c r="A74" s="4" t="n"/>
      <c r="B74" s="27" t="n"/>
      <c r="C74" s="27" t="n"/>
      <c r="D74" s="4" t="n"/>
    </row>
    <row r="75">
      <c r="A75" s="4" t="n"/>
      <c r="B75" s="27" t="n"/>
      <c r="C75" s="27" t="n"/>
      <c r="D75" s="4" t="n"/>
    </row>
    <row r="76">
      <c r="A76" s="4" t="n"/>
      <c r="B76" s="27" t="n"/>
      <c r="C76" s="27" t="n"/>
      <c r="D76" s="4" t="n"/>
    </row>
    <row r="77">
      <c r="A77" s="4" t="n"/>
      <c r="B77" s="27" t="n"/>
      <c r="C77" s="27" t="n"/>
      <c r="D77" s="4" t="n"/>
    </row>
    <row r="78">
      <c r="A78" s="4" t="n"/>
      <c r="B78" s="27" t="n"/>
      <c r="C78" s="27" t="n"/>
      <c r="D78" s="4" t="n"/>
    </row>
    <row r="79">
      <c r="A79" s="4" t="n"/>
      <c r="B79" s="27" t="n"/>
      <c r="C79" s="27" t="n"/>
      <c r="D79" s="4" t="n"/>
    </row>
    <row r="80">
      <c r="A80" s="4" t="n"/>
      <c r="B80" s="27" t="n"/>
      <c r="C80" s="27" t="n"/>
      <c r="D80" s="4" t="n"/>
    </row>
    <row r="81">
      <c r="A81" s="4" t="n"/>
      <c r="B81" s="27" t="n"/>
      <c r="C81" s="27" t="n"/>
      <c r="D81" s="4" t="n"/>
    </row>
    <row r="82">
      <c r="A82" s="4" t="n"/>
      <c r="B82" s="27" t="n"/>
      <c r="C82" s="27" t="n"/>
      <c r="D82" s="4" t="n"/>
    </row>
    <row r="83">
      <c r="A83" s="4" t="n"/>
      <c r="B83" s="27" t="n"/>
      <c r="C83" s="27" t="n"/>
      <c r="D83" s="4" t="n"/>
    </row>
    <row r="84">
      <c r="A84" s="4" t="n"/>
      <c r="B84" s="27" t="n"/>
      <c r="C84" s="27" t="n"/>
      <c r="D84" s="4" t="n"/>
    </row>
    <row r="85">
      <c r="A85" s="4" t="n"/>
      <c r="B85" s="27" t="n"/>
      <c r="C85" s="27" t="n"/>
      <c r="D85" s="4" t="n"/>
    </row>
    <row r="86">
      <c r="A86" s="4" t="n"/>
      <c r="B86" s="27" t="n"/>
      <c r="C86" s="27" t="n"/>
      <c r="D86" s="4" t="n"/>
    </row>
    <row r="87">
      <c r="A87" s="4" t="n"/>
      <c r="B87" s="27" t="n"/>
      <c r="C87" s="27" t="n"/>
      <c r="D87" s="4" t="n"/>
    </row>
    <row r="88">
      <c r="A88" s="4" t="n"/>
      <c r="B88" s="27" t="n"/>
      <c r="C88" s="27" t="n"/>
      <c r="D88" s="4" t="n"/>
    </row>
    <row r="89">
      <c r="A89" s="4" t="n"/>
      <c r="B89" s="27" t="n"/>
      <c r="C89" s="27" t="n"/>
      <c r="D89" s="4" t="n"/>
    </row>
    <row r="90">
      <c r="A90" s="4" t="n"/>
      <c r="B90" s="27" t="n"/>
      <c r="C90" s="27" t="n"/>
      <c r="D90" s="4" t="n"/>
    </row>
    <row r="91">
      <c r="A91" s="4" t="n"/>
      <c r="B91" s="27" t="n"/>
      <c r="C91" s="27" t="n"/>
      <c r="D91" s="4" t="n"/>
    </row>
    <row r="92">
      <c r="A92" s="4" t="n"/>
      <c r="B92" s="27" t="n"/>
      <c r="C92" s="27" t="n"/>
      <c r="D92" s="4" t="n"/>
    </row>
    <row r="93">
      <c r="A93" s="4" t="n"/>
      <c r="B93" s="27" t="n"/>
      <c r="C93" s="27" t="n"/>
      <c r="D93" s="4" t="n"/>
    </row>
    <row r="94">
      <c r="A94" s="4" t="n"/>
      <c r="B94" s="27" t="n"/>
      <c r="C94" s="27" t="n"/>
      <c r="D94" s="4" t="n"/>
    </row>
    <row r="95">
      <c r="A95" s="4" t="n"/>
      <c r="B95" s="27" t="n"/>
      <c r="C95" s="27" t="n"/>
      <c r="D95" s="4" t="n"/>
    </row>
    <row r="96">
      <c r="A96" s="4" t="n"/>
      <c r="B96" s="27" t="n"/>
      <c r="C96" s="27" t="n"/>
      <c r="D96" s="4" t="n"/>
    </row>
    <row r="97">
      <c r="A97" s="4" t="n"/>
      <c r="B97" s="27" t="n"/>
      <c r="C97" s="27" t="n"/>
      <c r="D97" s="4" t="n"/>
    </row>
    <row r="98">
      <c r="A98" s="4" t="n"/>
      <c r="B98" s="27" t="n"/>
      <c r="C98" s="27" t="n"/>
      <c r="D98" s="4" t="n"/>
    </row>
    <row r="99">
      <c r="A99" s="4" t="n"/>
      <c r="B99" s="27" t="n"/>
      <c r="C99" s="27" t="n"/>
      <c r="D99" s="4" t="n"/>
    </row>
    <row r="100">
      <c r="A100" s="4" t="n"/>
      <c r="B100" s="27" t="n"/>
      <c r="C100" s="27" t="n"/>
      <c r="D100" s="4" t="n"/>
    </row>
    <row r="101">
      <c r="A101" s="4" t="n"/>
      <c r="B101" s="27" t="n"/>
      <c r="C101" s="27" t="n"/>
      <c r="D101" s="4" t="n"/>
    </row>
    <row r="102">
      <c r="A102" s="4" t="n"/>
      <c r="B102" s="27" t="n"/>
      <c r="C102" s="27" t="n"/>
      <c r="D102" s="4" t="n"/>
    </row>
    <row r="103">
      <c r="A103" s="4" t="n"/>
      <c r="B103" s="27" t="n"/>
      <c r="C103" s="27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5" t="inlineStr">
        <is>
          <t>orden</t>
        </is>
      </c>
      <c r="B8" s="15" t="inlineStr">
        <is>
          <t>operacion</t>
        </is>
      </c>
      <c r="C8" s="15" t="inlineStr">
        <is>
          <t>estado_sistema</t>
        </is>
      </c>
      <c r="D8" s="15" t="inlineStr">
        <is>
          <t>prioridad</t>
        </is>
      </c>
      <c r="E8" s="15" t="inlineStr">
        <is>
          <t>estado_instalacion</t>
        </is>
      </c>
      <c r="F8" s="15" t="inlineStr">
        <is>
          <t>precio</t>
        </is>
      </c>
      <c r="G8" s="15" t="inlineStr">
        <is>
          <t>costo_real</t>
        </is>
      </c>
      <c r="H8" s="15" t="inlineStr">
        <is>
          <t>costo_plan_total</t>
        </is>
      </c>
      <c r="I8" s="15" t="inlineStr">
        <is>
          <t>estado_usuario</t>
        </is>
      </c>
      <c r="J8" s="15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5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5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5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5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5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5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5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5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5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5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5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5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5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5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5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5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5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5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5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5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5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5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5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5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5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5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5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5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5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5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5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5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5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5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5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5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5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5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5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5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5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5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5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5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5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5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5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5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5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5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5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5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5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5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5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5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5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5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5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5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5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5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5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5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5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5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5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5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5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5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5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5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5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5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5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5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5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5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5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5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5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5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5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5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5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5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5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5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5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5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5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5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5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5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5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5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5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5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5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5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5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5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5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5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5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5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5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5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5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5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5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5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5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5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5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5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5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5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5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5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5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5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5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5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5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5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5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5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5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5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5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5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5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5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5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5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5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5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5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5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5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5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5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5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5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5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5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5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5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5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5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5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5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5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5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5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5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5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5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5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15" t="inlineStr">
        <is>
          <t>id</t>
        </is>
      </c>
      <c r="B3" s="15" t="inlineStr">
        <is>
          <t>nombre</t>
        </is>
      </c>
      <c r="C3" s="15" t="inlineStr">
        <is>
          <t>especialidad</t>
        </is>
      </c>
      <c r="D3" s="15" t="inlineStr">
        <is>
          <t>area</t>
        </is>
      </c>
      <c r="E3" s="15" t="inlineStr">
        <is>
          <t>supervisor</t>
        </is>
      </c>
      <c r="F3" s="15" t="inlineStr">
        <is>
          <t>rotativo</t>
        </is>
      </c>
      <c r="G3" s="15" t="inlineStr">
        <is>
          <t>orden_rotacion</t>
        </is>
      </c>
      <c r="H3" s="15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5" t="inlineStr">
        <is>
          <t>dia</t>
        </is>
      </c>
      <c r="B4" s="15" t="inlineStr">
        <is>
          <t>habil</t>
        </is>
      </c>
      <c r="I4" s="15" t="inlineStr">
        <is>
          <t>fecha</t>
        </is>
      </c>
      <c r="J4" s="15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2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2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2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2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2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2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2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22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2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5" t="inlineStr">
        <is>
          <t>fecha</t>
        </is>
      </c>
      <c r="B14" s="15" t="inlineStr">
        <is>
          <t>tipo</t>
        </is>
      </c>
      <c r="C14" s="15" t="inlineStr">
        <is>
          <t>habil</t>
        </is>
      </c>
      <c r="D14" s="15" t="inlineStr">
        <is>
          <t>area</t>
        </is>
      </c>
      <c r="E14" s="15" t="inlineStr">
        <is>
          <t>sub_area</t>
        </is>
      </c>
      <c r="F14" s="15" t="inlineStr">
        <is>
          <t>motivo</t>
        </is>
      </c>
      <c r="G14" s="15" t="inlineStr">
        <is>
          <t>clave</t>
        </is>
      </c>
      <c r="I14" s="22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27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IF($A15="","",TEXT($A15,"yyyy-mm-dd")&amp;"|"&amp;$D15&amp;"|"&amp;$E15)</f>
        <v/>
      </c>
      <c r="I15" s="22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27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IF($A16="","",TEXT($A16,"yyyy-mm-dd")&amp;"|"&amp;$D16&amp;"|"&amp;$E16)</f>
        <v/>
      </c>
      <c r="I16" s="22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27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IF($A17="","",TEXT($A17,"yyyy-mm-dd")&amp;"|"&amp;$D17&amp;"|"&amp;$E17)</f>
        <v/>
      </c>
      <c r="I17" s="22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27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IF($A18="","",TEXT($A18,"yyyy-mm-dd")&amp;"|"&amp;$D18&amp;"|"&amp;$E18)</f>
        <v/>
      </c>
      <c r="I18" s="22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27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IF($A19="","",TEXT($A19,"yyyy-mm-dd")&amp;"|"&amp;$D19&amp;"|"&amp;$E19)</f>
        <v/>
      </c>
      <c r="I19" s="22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27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IF($A20="","",TEXT($A20,"yyyy-mm-dd")&amp;"|"&amp;$D20&amp;"|"&amp;$E20)</f>
        <v/>
      </c>
      <c r="I20" s="22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27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IF($A21="","",TEXT($A21,"yyyy-mm-dd")&amp;"|"&amp;$D21&amp;"|"&amp;$E21)</f>
        <v/>
      </c>
      <c r="I21" s="22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27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IF($A22="","",TEXT($A22,"yyyy-mm-dd")&amp;"|"&amp;$D22&amp;"|"&amp;$E22)</f>
        <v/>
      </c>
      <c r="I22" s="22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27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IF($A23="","",TEXT($A23,"yyyy-mm-dd")&amp;"|"&amp;$D23&amp;"|"&amp;$E23)</f>
        <v/>
      </c>
      <c r="I23" s="22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27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IF($A24="","",TEXT($A24,"yyyy-mm-dd")&amp;"|"&amp;$D24&amp;"|"&amp;$E24)</f>
        <v/>
      </c>
      <c r="I24" s="22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27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IF($A25="","",TEXT($A25,"yyyy-mm-dd")&amp;"|"&amp;$D25&amp;"|"&amp;$E25)</f>
        <v/>
      </c>
      <c r="I25" s="22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27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IF($A26="","",TEXT($A26,"yyyy-mm-dd")&amp;"|"&amp;$D26&amp;"|"&amp;$E26)</f>
        <v/>
      </c>
      <c r="I26" s="22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27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5">
        <f>IF($A27="","",TEXT($A27,"yyyy-mm-dd")&amp;"|"&amp;$D27&amp;"|"&amp;$E27)</f>
        <v/>
      </c>
      <c r="I27" s="22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27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5">
        <f>IF($A28="","",TEXT($A28,"yyyy-mm-dd")&amp;"|"&amp;$D28&amp;"|"&amp;$E28)</f>
        <v/>
      </c>
      <c r="I28" s="22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27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5">
        <f>IF($A29="","",TEXT($A29,"yyyy-mm-dd")&amp;"|"&amp;$D29&amp;"|"&amp;$E29)</f>
        <v/>
      </c>
      <c r="I29" s="22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27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5">
        <f>IF($A30="","",TEXT($A30,"yyyy-mm-dd")&amp;"|"&amp;$D30&amp;"|"&amp;$E30)</f>
        <v/>
      </c>
      <c r="I30" s="22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27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5">
        <f>IF($A31="","",TEXT($A31,"yyyy-mm-dd")&amp;"|"&amp;$D31&amp;"|"&amp;$E31)</f>
        <v/>
      </c>
      <c r="I31" s="22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27" t="n"/>
      <c r="B32" s="4" t="n"/>
      <c r="C32" s="4" t="n"/>
      <c r="D32" s="4" t="n"/>
      <c r="E32" s="4" t="n"/>
      <c r="F32" s="4" t="n"/>
      <c r="G32" s="5">
        <f>IF($A32="","",TEXT($A32,"yyyy-mm-dd")&amp;"|"&amp;$D32&amp;"|"&amp;$E32)</f>
        <v/>
      </c>
      <c r="I32" s="22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27" t="n"/>
      <c r="B33" s="4" t="n"/>
      <c r="C33" s="4" t="n"/>
      <c r="D33" s="4" t="n"/>
      <c r="E33" s="4" t="n"/>
      <c r="F33" s="4" t="n"/>
      <c r="G33" s="5">
        <f>IF($A33="","",TEXT($A33,"yyyy-mm-dd")&amp;"|"&amp;$D33&amp;"|"&amp;$E33)</f>
        <v/>
      </c>
      <c r="I33" s="22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27" t="n"/>
      <c r="B34" s="4" t="n"/>
      <c r="C34" s="4" t="n"/>
      <c r="D34" s="4" t="n"/>
      <c r="E34" s="4" t="n"/>
      <c r="F34" s="4" t="n"/>
      <c r="G34" s="5">
        <f>IF($A34="","",TEXT($A34,"yyyy-mm-dd")&amp;"|"&amp;$D34&amp;"|"&amp;$E34)</f>
        <v/>
      </c>
      <c r="I34" s="22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27" t="n"/>
      <c r="B35" s="4" t="n"/>
      <c r="C35" s="4" t="n"/>
      <c r="D35" s="4" t="n"/>
      <c r="E35" s="4" t="n"/>
      <c r="F35" s="4" t="n"/>
      <c r="G35" s="5">
        <f>IF($A35="","",TEXT($A35,"yyyy-mm-dd")&amp;"|"&amp;$D35&amp;"|"&amp;$E35)</f>
        <v/>
      </c>
      <c r="I35" s="22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27" t="n"/>
      <c r="B36" s="4" t="n"/>
      <c r="C36" s="4" t="n"/>
      <c r="D36" s="4" t="n"/>
      <c r="E36" s="4" t="n"/>
      <c r="F36" s="4" t="n"/>
      <c r="G36" s="5">
        <f>IF($A36="","",TEXT($A36,"yyyy-mm-dd")&amp;"|"&amp;$D36&amp;"|"&amp;$E36)</f>
        <v/>
      </c>
      <c r="I36" s="22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27" t="n"/>
      <c r="B37" s="4" t="n"/>
      <c r="C37" s="4" t="n"/>
      <c r="D37" s="4" t="n"/>
      <c r="E37" s="4" t="n"/>
      <c r="F37" s="4" t="n"/>
      <c r="G37" s="5">
        <f>IF($A37="","",TEXT($A37,"yyyy-mm-dd")&amp;"|"&amp;$D37&amp;"|"&amp;$E37)</f>
        <v/>
      </c>
      <c r="I37" s="22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27" t="n"/>
      <c r="B38" s="4" t="n"/>
      <c r="C38" s="4" t="n"/>
      <c r="D38" s="4" t="n"/>
      <c r="E38" s="4" t="n"/>
      <c r="F38" s="4" t="n"/>
      <c r="G38" s="5">
        <f>IF($A38="","",TEXT($A38,"yyyy-mm-dd")&amp;"|"&amp;$D38&amp;"|"&amp;$E38)</f>
        <v/>
      </c>
      <c r="I38" s="22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27" t="n"/>
      <c r="B39" s="4" t="n"/>
      <c r="C39" s="4" t="n"/>
      <c r="D39" s="4" t="n"/>
      <c r="E39" s="4" t="n"/>
      <c r="F39" s="4" t="n"/>
      <c r="G39" s="5">
        <f>IF($A39="","",TEXT($A39,"yyyy-mm-dd")&amp;"|"&amp;$D39&amp;"|"&amp;$E39)</f>
        <v/>
      </c>
      <c r="I39" s="22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27" t="n"/>
      <c r="B40" s="4" t="n"/>
      <c r="C40" s="4" t="n"/>
      <c r="D40" s="4" t="n"/>
      <c r="E40" s="4" t="n"/>
      <c r="F40" s="4" t="n"/>
      <c r="G40" s="5">
        <f>IF($A40="","",TEXT($A40,"yyyy-mm-dd")&amp;"|"&amp;$D40&amp;"|"&amp;$E40)</f>
        <v/>
      </c>
      <c r="I40" s="22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27" t="n"/>
      <c r="B41" s="4" t="n"/>
      <c r="C41" s="4" t="n"/>
      <c r="D41" s="4" t="n"/>
      <c r="E41" s="4" t="n"/>
      <c r="F41" s="4" t="n"/>
      <c r="G41" s="5">
        <f>IF($A41="","",TEXT($A41,"yyyy-mm-dd")&amp;"|"&amp;$D41&amp;"|"&amp;$E41)</f>
        <v/>
      </c>
      <c r="I41" s="22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27" t="n"/>
      <c r="B42" s="4" t="n"/>
      <c r="C42" s="4" t="n"/>
      <c r="D42" s="4" t="n"/>
      <c r="E42" s="4" t="n"/>
      <c r="F42" s="4" t="n"/>
      <c r="G42" s="5">
        <f>IF($A42="","",TEXT($A42,"yyyy-mm-dd")&amp;"|"&amp;$D42&amp;"|"&amp;$E42)</f>
        <v/>
      </c>
      <c r="I42" s="22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27" t="n"/>
      <c r="B43" s="4" t="n"/>
      <c r="C43" s="4" t="n"/>
      <c r="D43" s="4" t="n"/>
      <c r="E43" s="4" t="n"/>
      <c r="F43" s="4" t="n"/>
      <c r="G43" s="5">
        <f>IF($A43="","",TEXT($A43,"yyyy-mm-dd")&amp;"|"&amp;$D43&amp;"|"&amp;$E43)</f>
        <v/>
      </c>
      <c r="I43" s="22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27" t="n"/>
      <c r="B44" s="4" t="n"/>
      <c r="C44" s="4" t="n"/>
      <c r="D44" s="4" t="n"/>
      <c r="E44" s="4" t="n"/>
      <c r="F44" s="4" t="n"/>
      <c r="G44" s="5">
        <f>IF($A44="","",TEXT($A44,"yyyy-mm-dd")&amp;"|"&amp;$D44&amp;"|"&amp;$E44)</f>
        <v/>
      </c>
      <c r="I44" s="22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27" t="n"/>
      <c r="B45" s="4" t="n"/>
      <c r="C45" s="4" t="n"/>
      <c r="D45" s="4" t="n"/>
      <c r="E45" s="4" t="n"/>
      <c r="F45" s="4" t="n"/>
      <c r="G45" s="5">
        <f>IF($A45="","",TEXT($A45,"yyyy-mm-dd")&amp;"|"&amp;$D45&amp;"|"&amp;$E45)</f>
        <v/>
      </c>
      <c r="I45" s="22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27" t="n"/>
      <c r="B46" s="4" t="n"/>
      <c r="C46" s="4" t="n"/>
      <c r="D46" s="4" t="n"/>
      <c r="E46" s="4" t="n"/>
      <c r="F46" s="4" t="n"/>
      <c r="G46" s="5">
        <f>IF($A46="","",TEXT($A46,"yyyy-mm-dd")&amp;"|"&amp;$D46&amp;"|"&amp;$E46)</f>
        <v/>
      </c>
      <c r="I46" s="22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27" t="n"/>
      <c r="B47" s="4" t="n"/>
      <c r="C47" s="4" t="n"/>
      <c r="D47" s="4" t="n"/>
      <c r="E47" s="4" t="n"/>
      <c r="F47" s="4" t="n"/>
      <c r="G47" s="5">
        <f>IF($A47="","",TEXT($A47,"yyyy-mm-dd")&amp;"|"&amp;$D47&amp;"|"&amp;$E47)</f>
        <v/>
      </c>
      <c r="I47" s="22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27" t="n"/>
      <c r="B48" s="4" t="n"/>
      <c r="C48" s="4" t="n"/>
      <c r="D48" s="4" t="n"/>
      <c r="E48" s="4" t="n"/>
      <c r="F48" s="4" t="n"/>
      <c r="G48" s="5">
        <f>IF($A48="","",TEXT($A48,"yyyy-mm-dd")&amp;"|"&amp;$D48&amp;"|"&amp;$E48)</f>
        <v/>
      </c>
      <c r="I48" s="22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27" t="n"/>
      <c r="B49" s="4" t="n"/>
      <c r="C49" s="4" t="n"/>
      <c r="D49" s="4" t="n"/>
      <c r="E49" s="4" t="n"/>
      <c r="F49" s="4" t="n"/>
      <c r="G49" s="5">
        <f>IF($A49="","",TEXT($A49,"yyyy-mm-dd")&amp;"|"&amp;$D49&amp;"|"&amp;$E49)</f>
        <v/>
      </c>
      <c r="I49" s="22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27" t="n"/>
      <c r="B50" s="4" t="n"/>
      <c r="C50" s="4" t="n"/>
      <c r="D50" s="4" t="n"/>
      <c r="E50" s="4" t="n"/>
      <c r="F50" s="4" t="n"/>
      <c r="G50" s="5">
        <f>IF($A50="","",TEXT($A50,"yyyy-mm-dd")&amp;"|"&amp;$D50&amp;"|"&amp;$E50)</f>
        <v/>
      </c>
      <c r="I50" s="22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27" t="n"/>
      <c r="B51" s="4" t="n"/>
      <c r="C51" s="4" t="n"/>
      <c r="D51" s="4" t="n"/>
      <c r="E51" s="4" t="n"/>
      <c r="F51" s="4" t="n"/>
      <c r="G51" s="5">
        <f>IF($A51="","",TEXT($A51,"yyyy-mm-dd")&amp;"|"&amp;$D51&amp;"|"&amp;$E51)</f>
        <v/>
      </c>
      <c r="I51" s="22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27" t="n"/>
      <c r="B52" s="4" t="n"/>
      <c r="C52" s="4" t="n"/>
      <c r="D52" s="4" t="n"/>
      <c r="E52" s="4" t="n"/>
      <c r="F52" s="4" t="n"/>
      <c r="G52" s="5">
        <f>IF($A52="","",TEXT($A52,"yyyy-mm-dd")&amp;"|"&amp;$D52&amp;"|"&amp;$E52)</f>
        <v/>
      </c>
      <c r="I52" s="22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27" t="n"/>
      <c r="B53" s="4" t="n"/>
      <c r="C53" s="4" t="n"/>
      <c r="D53" s="4" t="n"/>
      <c r="E53" s="4" t="n"/>
      <c r="F53" s="4" t="n"/>
      <c r="G53" s="5">
        <f>IF($A53="","",TEXT($A53,"yyyy-mm-dd")&amp;"|"&amp;$D53&amp;"|"&amp;$E53)</f>
        <v/>
      </c>
      <c r="I53" s="22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27" t="n"/>
      <c r="B54" s="4" t="n"/>
      <c r="C54" s="4" t="n"/>
      <c r="D54" s="4" t="n"/>
      <c r="E54" s="4" t="n"/>
      <c r="F54" s="4" t="n"/>
      <c r="G54" s="5">
        <f>IF($A54="","",TEXT($A54,"yyyy-mm-dd")&amp;"|"&amp;$D54&amp;"|"&amp;$E54)</f>
        <v/>
      </c>
      <c r="I54" s="22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27" t="n"/>
      <c r="B55" s="4" t="n"/>
      <c r="C55" s="4" t="n"/>
      <c r="D55" s="4" t="n"/>
      <c r="E55" s="4" t="n"/>
      <c r="F55" s="4" t="n"/>
      <c r="G55" s="5">
        <f>IF($A55="","",TEXT($A55,"yyyy-mm-dd")&amp;"|"&amp;$D55&amp;"|"&amp;$E55)</f>
        <v/>
      </c>
      <c r="I55" s="22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27" t="n"/>
      <c r="B56" s="4" t="n"/>
      <c r="C56" s="4" t="n"/>
      <c r="D56" s="4" t="n"/>
      <c r="E56" s="4" t="n"/>
      <c r="F56" s="4" t="n"/>
      <c r="G56" s="5">
        <f>IF($A56="","",TEXT($A56,"yyyy-mm-dd")&amp;"|"&amp;$D56&amp;"|"&amp;$E56)</f>
        <v/>
      </c>
      <c r="I56" s="22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27" t="n"/>
      <c r="B57" s="4" t="n"/>
      <c r="C57" s="4" t="n"/>
      <c r="D57" s="4" t="n"/>
      <c r="E57" s="4" t="n"/>
      <c r="F57" s="4" t="n"/>
      <c r="G57" s="5">
        <f>IF($A57="","",TEXT($A57,"yyyy-mm-dd")&amp;"|"&amp;$D57&amp;"|"&amp;$E57)</f>
        <v/>
      </c>
      <c r="I57" s="22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27" t="n"/>
      <c r="B58" s="4" t="n"/>
      <c r="C58" s="4" t="n"/>
      <c r="D58" s="4" t="n"/>
      <c r="E58" s="4" t="n"/>
      <c r="F58" s="4" t="n"/>
      <c r="G58" s="5">
        <f>IF($A58="","",TEXT($A58,"yyyy-mm-dd")&amp;"|"&amp;$D58&amp;"|"&amp;$E58)</f>
        <v/>
      </c>
      <c r="I58" s="22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27" t="n"/>
      <c r="B59" s="4" t="n"/>
      <c r="C59" s="4" t="n"/>
      <c r="D59" s="4" t="n"/>
      <c r="E59" s="4" t="n"/>
      <c r="F59" s="4" t="n"/>
      <c r="G59" s="5">
        <f>IF($A59="","",TEXT($A59,"yyyy-mm-dd")&amp;"|"&amp;$D59&amp;"|"&amp;$E59)</f>
        <v/>
      </c>
      <c r="I59" s="22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27" t="n"/>
      <c r="B60" s="4" t="n"/>
      <c r="C60" s="4" t="n"/>
      <c r="D60" s="4" t="n"/>
      <c r="E60" s="4" t="n"/>
      <c r="F60" s="4" t="n"/>
      <c r="G60" s="5">
        <f>IF($A60="","",TEXT($A60,"yyyy-mm-dd")&amp;"|"&amp;$D60&amp;"|"&amp;$E60)</f>
        <v/>
      </c>
      <c r="I60" s="22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27" t="n"/>
      <c r="B61" s="4" t="n"/>
      <c r="C61" s="4" t="n"/>
      <c r="D61" s="4" t="n"/>
      <c r="E61" s="4" t="n"/>
      <c r="F61" s="4" t="n"/>
      <c r="G61" s="5">
        <f>IF($A61="","",TEXT($A61,"yyyy-mm-dd")&amp;"|"&amp;$D61&amp;"|"&amp;$E61)</f>
        <v/>
      </c>
      <c r="I61" s="22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27" t="n"/>
      <c r="B62" s="4" t="n"/>
      <c r="C62" s="4" t="n"/>
      <c r="D62" s="4" t="n"/>
      <c r="E62" s="4" t="n"/>
      <c r="F62" s="4" t="n"/>
      <c r="G62" s="5">
        <f>IF($A62="","",TEXT($A62,"yyyy-mm-dd")&amp;"|"&amp;$D62&amp;"|"&amp;$E62)</f>
        <v/>
      </c>
      <c r="I62" s="22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27" t="n"/>
      <c r="B63" s="4" t="n"/>
      <c r="C63" s="4" t="n"/>
      <c r="D63" s="4" t="n"/>
      <c r="E63" s="4" t="n"/>
      <c r="F63" s="4" t="n"/>
      <c r="G63" s="5">
        <f>IF($A63="","",TEXT($A63,"yyyy-mm-dd")&amp;"|"&amp;$D63&amp;"|"&amp;$E63)</f>
        <v/>
      </c>
      <c r="I63" s="22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27" t="n"/>
      <c r="B64" s="4" t="n"/>
      <c r="C64" s="4" t="n"/>
      <c r="D64" s="4" t="n"/>
      <c r="E64" s="4" t="n"/>
      <c r="F64" s="4" t="n"/>
      <c r="G64" s="5">
        <f>IF($A64="","",TEXT($A64,"yyyy-mm-dd")&amp;"|"&amp;$D64&amp;"|"&amp;$E64)</f>
        <v/>
      </c>
      <c r="I64" s="22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27" t="n"/>
      <c r="B65" s="4" t="n"/>
      <c r="C65" s="4" t="n"/>
      <c r="D65" s="4" t="n"/>
      <c r="E65" s="4" t="n"/>
      <c r="F65" s="4" t="n"/>
      <c r="G65" s="5">
        <f>IF($A65="","",TEXT($A65,"yyyy-mm-dd")&amp;"|"&amp;$D65&amp;"|"&amp;$E65)</f>
        <v/>
      </c>
      <c r="I65" s="22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27" t="n"/>
      <c r="B66" s="4" t="n"/>
      <c r="C66" s="4" t="n"/>
      <c r="D66" s="4" t="n"/>
      <c r="E66" s="4" t="n"/>
      <c r="F66" s="4" t="n"/>
      <c r="G66" s="5">
        <f>IF($A66="","",TEXT($A66,"yyyy-mm-dd")&amp;"|"&amp;$D66&amp;"|"&amp;$E66)</f>
        <v/>
      </c>
      <c r="I66" s="22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27" t="n"/>
      <c r="B67" s="4" t="n"/>
      <c r="C67" s="4" t="n"/>
      <c r="D67" s="4" t="n"/>
      <c r="E67" s="4" t="n"/>
      <c r="F67" s="4" t="n"/>
      <c r="G67" s="5">
        <f>IF($A67="","",TEXT($A67,"yyyy-mm-dd")&amp;"|"&amp;$D67&amp;"|"&amp;$E67)</f>
        <v/>
      </c>
      <c r="I67" s="22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27" t="n"/>
      <c r="B68" s="4" t="n"/>
      <c r="C68" s="4" t="n"/>
      <c r="D68" s="4" t="n"/>
      <c r="E68" s="4" t="n"/>
      <c r="F68" s="4" t="n"/>
      <c r="G68" s="5">
        <f>IF($A68="","",TEXT($A68,"yyyy-mm-dd")&amp;"|"&amp;$D68&amp;"|"&amp;$E68)</f>
        <v/>
      </c>
      <c r="I68" s="22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27" t="n"/>
      <c r="B69" s="4" t="n"/>
      <c r="C69" s="4" t="n"/>
      <c r="D69" s="4" t="n"/>
      <c r="E69" s="4" t="n"/>
      <c r="F69" s="4" t="n"/>
      <c r="G69" s="5">
        <f>IF($A69="","",TEXT($A69,"yyyy-mm-dd")&amp;"|"&amp;$D69&amp;"|"&amp;$E69)</f>
        <v/>
      </c>
      <c r="I69" s="22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27" t="n"/>
      <c r="B70" s="4" t="n"/>
      <c r="C70" s="4" t="n"/>
      <c r="D70" s="4" t="n"/>
      <c r="E70" s="4" t="n"/>
      <c r="F70" s="4" t="n"/>
      <c r="G70" s="5">
        <f>IF($A70="","",TEXT($A70,"yyyy-mm-dd")&amp;"|"&amp;$D70&amp;"|"&amp;$E70)</f>
        <v/>
      </c>
      <c r="I70" s="22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27" t="n"/>
      <c r="B71" s="4" t="n"/>
      <c r="C71" s="4" t="n"/>
      <c r="D71" s="4" t="n"/>
      <c r="E71" s="4" t="n"/>
      <c r="F71" s="4" t="n"/>
      <c r="G71" s="5">
        <f>IF($A71="","",TEXT($A71,"yyyy-mm-dd")&amp;"|"&amp;$D71&amp;"|"&amp;$E71)</f>
        <v/>
      </c>
      <c r="I71" s="22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27" t="n"/>
      <c r="B72" s="4" t="n"/>
      <c r="C72" s="4" t="n"/>
      <c r="D72" s="4" t="n"/>
      <c r="E72" s="4" t="n"/>
      <c r="F72" s="4" t="n"/>
      <c r="G72" s="5">
        <f>IF($A72="","",TEXT($A72,"yyyy-mm-dd")&amp;"|"&amp;$D72&amp;"|"&amp;$E72)</f>
        <v/>
      </c>
      <c r="I72" s="22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27" t="n"/>
      <c r="B73" s="4" t="n"/>
      <c r="C73" s="4" t="n"/>
      <c r="D73" s="4" t="n"/>
      <c r="E73" s="4" t="n"/>
      <c r="F73" s="4" t="n"/>
      <c r="G73" s="5">
        <f>IF($A73="","",TEXT($A73,"yyyy-mm-dd")&amp;"|"&amp;$D73&amp;"|"&amp;$E73)</f>
        <v/>
      </c>
      <c r="I73" s="22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27" t="n"/>
      <c r="B74" s="4" t="n"/>
      <c r="C74" s="4" t="n"/>
      <c r="D74" s="4" t="n"/>
      <c r="E74" s="4" t="n"/>
      <c r="F74" s="4" t="n"/>
      <c r="G74" s="5">
        <f>IF($A74="","",TEXT($A74,"yyyy-mm-dd")&amp;"|"&amp;$D74&amp;"|"&amp;$E74)</f>
        <v/>
      </c>
      <c r="I74" s="22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27" t="n"/>
      <c r="B75" s="4" t="n"/>
      <c r="C75" s="4" t="n"/>
      <c r="D75" s="4" t="n"/>
      <c r="E75" s="4" t="n"/>
      <c r="F75" s="4" t="n"/>
      <c r="G75" s="5">
        <f>IF($A75="","",TEXT($A75,"yyyy-mm-dd")&amp;"|"&amp;$D75&amp;"|"&amp;$E75)</f>
        <v/>
      </c>
      <c r="I75" s="22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27" t="n"/>
      <c r="B76" s="4" t="n"/>
      <c r="C76" s="4" t="n"/>
      <c r="D76" s="4" t="n"/>
      <c r="E76" s="4" t="n"/>
      <c r="F76" s="4" t="n"/>
      <c r="G76" s="5">
        <f>IF($A76="","",TEXT($A76,"yyyy-mm-dd")&amp;"|"&amp;$D76&amp;"|"&amp;$E76)</f>
        <v/>
      </c>
      <c r="I76" s="22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27" t="n"/>
      <c r="B77" s="4" t="n"/>
      <c r="C77" s="4" t="n"/>
      <c r="D77" s="4" t="n"/>
      <c r="E77" s="4" t="n"/>
      <c r="F77" s="4" t="n"/>
      <c r="G77" s="5">
        <f>IF($A77="","",TEXT($A77,"yyyy-mm-dd")&amp;"|"&amp;$D77&amp;"|"&amp;$E77)</f>
        <v/>
      </c>
      <c r="I77" s="22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27" t="n"/>
      <c r="B78" s="4" t="n"/>
      <c r="C78" s="4" t="n"/>
      <c r="D78" s="4" t="n"/>
      <c r="E78" s="4" t="n"/>
      <c r="F78" s="4" t="n"/>
      <c r="G78" s="5">
        <f>IF($A78="","",TEXT($A78,"yyyy-mm-dd")&amp;"|"&amp;$D78&amp;"|"&amp;$E78)</f>
        <v/>
      </c>
      <c r="I78" s="22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27" t="n"/>
      <c r="B79" s="4" t="n"/>
      <c r="C79" s="4" t="n"/>
      <c r="D79" s="4" t="n"/>
      <c r="E79" s="4" t="n"/>
      <c r="F79" s="4" t="n"/>
      <c r="G79" s="5">
        <f>IF($A79="","",TEXT($A79,"yyyy-mm-dd")&amp;"|"&amp;$D79&amp;"|"&amp;$E79)</f>
        <v/>
      </c>
      <c r="I79" s="22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27" t="n"/>
      <c r="B80" s="4" t="n"/>
      <c r="C80" s="4" t="n"/>
      <c r="D80" s="4" t="n"/>
      <c r="E80" s="4" t="n"/>
      <c r="F80" s="4" t="n"/>
      <c r="G80" s="5">
        <f>IF($A80="","",TEXT($A80,"yyyy-mm-dd")&amp;"|"&amp;$D80&amp;"|"&amp;$E80)</f>
        <v/>
      </c>
      <c r="I80" s="22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27" t="n"/>
      <c r="B81" s="4" t="n"/>
      <c r="C81" s="4" t="n"/>
      <c r="D81" s="4" t="n"/>
      <c r="E81" s="4" t="n"/>
      <c r="F81" s="4" t="n"/>
      <c r="G81" s="5">
        <f>IF($A81="","",TEXT($A81,"yyyy-mm-dd")&amp;"|"&amp;$D81&amp;"|"&amp;$E81)</f>
        <v/>
      </c>
      <c r="I81" s="22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27" t="n"/>
      <c r="B82" s="4" t="n"/>
      <c r="C82" s="4" t="n"/>
      <c r="D82" s="4" t="n"/>
      <c r="E82" s="4" t="n"/>
      <c r="F82" s="4" t="n"/>
      <c r="G82" s="5">
        <f>IF($A82="","",TEXT($A82,"yyyy-mm-dd")&amp;"|"&amp;$D82&amp;"|"&amp;$E82)</f>
        <v/>
      </c>
      <c r="I82" s="22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27" t="n"/>
      <c r="B83" s="4" t="n"/>
      <c r="C83" s="4" t="n"/>
      <c r="D83" s="4" t="n"/>
      <c r="E83" s="4" t="n"/>
      <c r="F83" s="4" t="n"/>
      <c r="G83" s="5">
        <f>IF($A83="","",TEXT($A83,"yyyy-mm-dd")&amp;"|"&amp;$D83&amp;"|"&amp;$E83)</f>
        <v/>
      </c>
      <c r="I83" s="22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27" t="n"/>
      <c r="B84" s="4" t="n"/>
      <c r="C84" s="4" t="n"/>
      <c r="D84" s="4" t="n"/>
      <c r="E84" s="4" t="n"/>
      <c r="F84" s="4" t="n"/>
      <c r="G84" s="5">
        <f>IF($A84="","",TEXT($A84,"yyyy-mm-dd")&amp;"|"&amp;$D84&amp;"|"&amp;$E84)</f>
        <v/>
      </c>
      <c r="I84" s="22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27" t="n"/>
      <c r="B85" s="4" t="n"/>
      <c r="C85" s="4" t="n"/>
      <c r="D85" s="4" t="n"/>
      <c r="E85" s="4" t="n"/>
      <c r="F85" s="4" t="n"/>
      <c r="G85" s="5">
        <f>IF($A85="","",TEXT($A85,"yyyy-mm-dd")&amp;"|"&amp;$D85&amp;"|"&amp;$E85)</f>
        <v/>
      </c>
      <c r="I85" s="22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27" t="n"/>
      <c r="B86" s="4" t="n"/>
      <c r="C86" s="4" t="n"/>
      <c r="D86" s="4" t="n"/>
      <c r="E86" s="4" t="n"/>
      <c r="F86" s="4" t="n"/>
      <c r="G86" s="5">
        <f>IF($A86="","",TEXT($A86,"yyyy-mm-dd")&amp;"|"&amp;$D86&amp;"|"&amp;$E86)</f>
        <v/>
      </c>
      <c r="I86" s="22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27" t="n"/>
      <c r="B87" s="4" t="n"/>
      <c r="C87" s="4" t="n"/>
      <c r="D87" s="4" t="n"/>
      <c r="E87" s="4" t="n"/>
      <c r="F87" s="4" t="n"/>
      <c r="G87" s="5">
        <f>IF($A87="","",TEXT($A87,"yyyy-mm-dd")&amp;"|"&amp;$D87&amp;"|"&amp;$E87)</f>
        <v/>
      </c>
      <c r="I87" s="22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27" t="n"/>
      <c r="B88" s="4" t="n"/>
      <c r="C88" s="4" t="n"/>
      <c r="D88" s="4" t="n"/>
      <c r="E88" s="4" t="n"/>
      <c r="F88" s="4" t="n"/>
      <c r="G88" s="5">
        <f>IF($A88="","",TEXT($A88,"yyyy-mm-dd")&amp;"|"&amp;$D88&amp;"|"&amp;$E88)</f>
        <v/>
      </c>
      <c r="I88" s="22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27" t="n"/>
      <c r="B89" s="4" t="n"/>
      <c r="C89" s="4" t="n"/>
      <c r="D89" s="4" t="n"/>
      <c r="E89" s="4" t="n"/>
      <c r="F89" s="4" t="n"/>
      <c r="G89" s="5">
        <f>IF($A89="","",TEXT($A89,"yyyy-mm-dd")&amp;"|"&amp;$D89&amp;"|"&amp;$E89)</f>
        <v/>
      </c>
      <c r="I89" s="22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27" t="n"/>
      <c r="B90" s="4" t="n"/>
      <c r="C90" s="4" t="n"/>
      <c r="D90" s="4" t="n"/>
      <c r="E90" s="4" t="n"/>
      <c r="F90" s="4" t="n"/>
      <c r="G90" s="5">
        <f>IF($A90="","",TEXT($A90,"yyyy-mm-dd")&amp;"|"&amp;$D90&amp;"|"&amp;$E90)</f>
        <v/>
      </c>
      <c r="I90" s="22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27" t="n"/>
      <c r="B91" s="4" t="n"/>
      <c r="C91" s="4" t="n"/>
      <c r="D91" s="4" t="n"/>
      <c r="E91" s="4" t="n"/>
      <c r="F91" s="4" t="n"/>
      <c r="G91" s="5">
        <f>IF($A91="","",TEXT($A91,"yyyy-mm-dd")&amp;"|"&amp;$D91&amp;"|"&amp;$E91)</f>
        <v/>
      </c>
      <c r="I91" s="22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27" t="n"/>
      <c r="B92" s="4" t="n"/>
      <c r="C92" s="4" t="n"/>
      <c r="D92" s="4" t="n"/>
      <c r="E92" s="4" t="n"/>
      <c r="F92" s="4" t="n"/>
      <c r="G92" s="5">
        <f>IF($A92="","",TEXT($A92,"yyyy-mm-dd")&amp;"|"&amp;$D92&amp;"|"&amp;$E92)</f>
        <v/>
      </c>
      <c r="I92" s="22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27" t="n"/>
      <c r="B93" s="4" t="n"/>
      <c r="C93" s="4" t="n"/>
      <c r="D93" s="4" t="n"/>
      <c r="E93" s="4" t="n"/>
      <c r="F93" s="4" t="n"/>
      <c r="G93" s="5">
        <f>IF($A93="","",TEXT($A93,"yyyy-mm-dd")&amp;"|"&amp;$D93&amp;"|"&amp;$E93)</f>
        <v/>
      </c>
      <c r="I93" s="22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27" t="n"/>
      <c r="B94" s="4" t="n"/>
      <c r="C94" s="4" t="n"/>
      <c r="D94" s="4" t="n"/>
      <c r="E94" s="4" t="n"/>
      <c r="F94" s="4" t="n"/>
      <c r="G94" s="5">
        <f>IF($A94="","",TEXT($A94,"yyyy-mm-dd")&amp;"|"&amp;$D94&amp;"|"&amp;$E94)</f>
        <v/>
      </c>
      <c r="I94" s="22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27" t="n"/>
      <c r="B95" s="4" t="n"/>
      <c r="C95" s="4" t="n"/>
      <c r="D95" s="4" t="n"/>
      <c r="E95" s="4" t="n"/>
      <c r="F95" s="4" t="n"/>
      <c r="G95" s="5">
        <f>IF($A95="","",TEXT($A95,"yyyy-mm-dd")&amp;"|"&amp;$D95&amp;"|"&amp;$E95)</f>
        <v/>
      </c>
      <c r="I95" s="22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27" t="n"/>
      <c r="B96" s="4" t="n"/>
      <c r="C96" s="4" t="n"/>
      <c r="D96" s="4" t="n"/>
      <c r="E96" s="4" t="n"/>
      <c r="F96" s="4" t="n"/>
      <c r="G96" s="5">
        <f>IF($A96="","",TEXT($A96,"yyyy-mm-dd")&amp;"|"&amp;$D96&amp;"|"&amp;$E96)</f>
        <v/>
      </c>
      <c r="I96" s="22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27" t="n"/>
      <c r="B97" s="4" t="n"/>
      <c r="C97" s="4" t="n"/>
      <c r="D97" s="4" t="n"/>
      <c r="E97" s="4" t="n"/>
      <c r="F97" s="4" t="n"/>
      <c r="G97" s="5">
        <f>IF($A97="","",TEXT($A97,"yyyy-mm-dd")&amp;"|"&amp;$D97&amp;"|"&amp;$E97)</f>
        <v/>
      </c>
      <c r="I97" s="22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27" t="n"/>
      <c r="B98" s="4" t="n"/>
      <c r="C98" s="4" t="n"/>
      <c r="D98" s="4" t="n"/>
      <c r="E98" s="4" t="n"/>
      <c r="F98" s="4" t="n"/>
      <c r="G98" s="5">
        <f>IF($A98="","",TEXT($A98,"yyyy-mm-dd")&amp;"|"&amp;$D98&amp;"|"&amp;$E98)</f>
        <v/>
      </c>
      <c r="I98" s="22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27" t="n"/>
      <c r="B99" s="4" t="n"/>
      <c r="C99" s="4" t="n"/>
      <c r="D99" s="4" t="n"/>
      <c r="E99" s="4" t="n"/>
      <c r="F99" s="4" t="n"/>
      <c r="G99" s="5">
        <f>IF($A99="","",TEXT($A99,"yyyy-mm-dd")&amp;"|"&amp;$D99&amp;"|"&amp;$E99)</f>
        <v/>
      </c>
      <c r="I99" s="22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27" t="n"/>
      <c r="B100" s="4" t="n"/>
      <c r="C100" s="4" t="n"/>
      <c r="D100" s="4" t="n"/>
      <c r="E100" s="4" t="n"/>
      <c r="F100" s="4" t="n"/>
      <c r="G100" s="5">
        <f>IF($A100="","",TEXT($A100,"yyyy-mm-dd")&amp;"|"&amp;$D100&amp;"|"&amp;$E100)</f>
        <v/>
      </c>
      <c r="I100" s="22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27" t="n"/>
      <c r="B101" s="4" t="n"/>
      <c r="C101" s="4" t="n"/>
      <c r="D101" s="4" t="n"/>
      <c r="E101" s="4" t="n"/>
      <c r="F101" s="4" t="n"/>
      <c r="G101" s="5">
        <f>IF($A101="","",TEXT($A101,"yyyy-mm-dd")&amp;"|"&amp;$D101&amp;"|"&amp;$E101)</f>
        <v/>
      </c>
      <c r="I101" s="22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27" t="n"/>
      <c r="B102" s="4" t="n"/>
      <c r="C102" s="4" t="n"/>
      <c r="D102" s="4" t="n"/>
      <c r="E102" s="4" t="n"/>
      <c r="F102" s="4" t="n"/>
      <c r="G102" s="5">
        <f>IF($A102="","",TEXT($A102,"yyyy-mm-dd")&amp;"|"&amp;$D102&amp;"|"&amp;$E102)</f>
        <v/>
      </c>
      <c r="I102" s="22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27" t="n"/>
      <c r="B103" s="4" t="n"/>
      <c r="C103" s="4" t="n"/>
      <c r="D103" s="4" t="n"/>
      <c r="E103" s="4" t="n"/>
      <c r="F103" s="4" t="n"/>
      <c r="G103" s="5">
        <f>IF($A103="","",TEXT($A103,"yyyy-mm-dd")&amp;"|"&amp;$D103&amp;"|"&amp;$E103)</f>
        <v/>
      </c>
      <c r="I103" s="22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27" t="n"/>
      <c r="B104" s="4" t="n"/>
      <c r="C104" s="4" t="n"/>
      <c r="D104" s="4" t="n"/>
      <c r="E104" s="4" t="n"/>
      <c r="F104" s="4" t="n"/>
      <c r="G104" s="5">
        <f>IF($A104="","",TEXT($A104,"yyyy-mm-dd")&amp;"|"&amp;$D104&amp;"|"&amp;$E104)</f>
        <v/>
      </c>
      <c r="I104" s="22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27" t="n"/>
      <c r="B105" s="4" t="n"/>
      <c r="C105" s="4" t="n"/>
      <c r="D105" s="4" t="n"/>
      <c r="E105" s="4" t="n"/>
      <c r="F105" s="4" t="n"/>
      <c r="G105" s="5">
        <f>IF($A105="","",TEXT($A105,"yyyy-mm-dd")&amp;"|"&amp;$D105&amp;"|"&amp;$E105)</f>
        <v/>
      </c>
      <c r="I105" s="22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27" t="n"/>
      <c r="B106" s="4" t="n"/>
      <c r="C106" s="4" t="n"/>
      <c r="D106" s="4" t="n"/>
      <c r="E106" s="4" t="n"/>
      <c r="F106" s="4" t="n"/>
      <c r="G106" s="5">
        <f>IF($A106="","",TEXT($A106,"yyyy-mm-dd")&amp;"|"&amp;$D106&amp;"|"&amp;$E106)</f>
        <v/>
      </c>
      <c r="I106" s="22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27" t="n"/>
      <c r="B107" s="4" t="n"/>
      <c r="C107" s="4" t="n"/>
      <c r="D107" s="4" t="n"/>
      <c r="E107" s="4" t="n"/>
      <c r="F107" s="4" t="n"/>
      <c r="G107" s="5">
        <f>IF($A107="","",TEXT($A107,"yyyy-mm-dd")&amp;"|"&amp;$D107&amp;"|"&amp;$E107)</f>
        <v/>
      </c>
      <c r="I107" s="22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27" t="n"/>
      <c r="B108" s="4" t="n"/>
      <c r="C108" s="4" t="n"/>
      <c r="D108" s="4" t="n"/>
      <c r="E108" s="4" t="n"/>
      <c r="F108" s="4" t="n"/>
      <c r="G108" s="5">
        <f>IF($A108="","",TEXT($A108,"yyyy-mm-dd")&amp;"|"&amp;$D108&amp;"|"&amp;$E108)</f>
        <v/>
      </c>
      <c r="I108" s="22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27" t="n"/>
      <c r="B109" s="4" t="n"/>
      <c r="C109" s="4" t="n"/>
      <c r="D109" s="4" t="n"/>
      <c r="E109" s="4" t="n"/>
      <c r="F109" s="4" t="n"/>
      <c r="G109" s="5">
        <f>IF($A109="","",TEXT($A109,"yyyy-mm-dd")&amp;"|"&amp;$D109&amp;"|"&amp;$E109)</f>
        <v/>
      </c>
      <c r="I109" s="22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27" t="n"/>
      <c r="B110" s="4" t="n"/>
      <c r="C110" s="4" t="n"/>
      <c r="D110" s="4" t="n"/>
      <c r="E110" s="4" t="n"/>
      <c r="F110" s="4" t="n"/>
      <c r="G110" s="5">
        <f>IF($A110="","",TEXT($A110,"yyyy-mm-dd")&amp;"|"&amp;$D110&amp;"|"&amp;$E110)</f>
        <v/>
      </c>
      <c r="I110" s="22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27" t="n"/>
      <c r="B111" s="4" t="n"/>
      <c r="C111" s="4" t="n"/>
      <c r="D111" s="4" t="n"/>
      <c r="E111" s="4" t="n"/>
      <c r="F111" s="4" t="n"/>
      <c r="G111" s="5">
        <f>IF($A111="","",TEXT($A111,"yyyy-mm-dd")&amp;"|"&amp;$D111&amp;"|"&amp;$E111)</f>
        <v/>
      </c>
      <c r="I111" s="22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27" t="n"/>
      <c r="B112" s="4" t="n"/>
      <c r="C112" s="4" t="n"/>
      <c r="D112" s="4" t="n"/>
      <c r="E112" s="4" t="n"/>
      <c r="F112" s="4" t="n"/>
      <c r="G112" s="5">
        <f>IF($A112="","",TEXT($A112,"yyyy-mm-dd")&amp;"|"&amp;$D112&amp;"|"&amp;$E112)</f>
        <v/>
      </c>
      <c r="I112" s="22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27" t="n"/>
      <c r="B113" s="4" t="n"/>
      <c r="C113" s="4" t="n"/>
      <c r="D113" s="4" t="n"/>
      <c r="E113" s="4" t="n"/>
      <c r="F113" s="4" t="n"/>
      <c r="G113" s="5">
        <f>IF($A113="","",TEXT($A113,"yyyy-mm-dd")&amp;"|"&amp;$D113&amp;"|"&amp;$E113)</f>
        <v/>
      </c>
      <c r="I113" s="22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27" t="n"/>
      <c r="B114" s="4" t="n"/>
      <c r="C114" s="4" t="n"/>
      <c r="D114" s="4" t="n"/>
      <c r="E114" s="4" t="n"/>
      <c r="F114" s="4" t="n"/>
      <c r="G114" s="5">
        <f>IF($A114="","",TEXT($A114,"yyyy-mm-dd")&amp;"|"&amp;$D114&amp;"|"&amp;$E114)</f>
        <v/>
      </c>
      <c r="I114" s="22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27" t="n"/>
      <c r="B115" s="4" t="n"/>
      <c r="C115" s="4" t="n"/>
      <c r="D115" s="4" t="n"/>
      <c r="E115" s="4" t="n"/>
      <c r="F115" s="4" t="n"/>
      <c r="G115" s="5">
        <f>IF($A115="","",TEXT($A115,"yyyy-mm-dd")&amp;"|"&amp;$D115&amp;"|"&amp;$E115)</f>
        <v/>
      </c>
      <c r="I115" s="22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27" t="n"/>
      <c r="B116" s="4" t="n"/>
      <c r="C116" s="4" t="n"/>
      <c r="D116" s="4" t="n"/>
      <c r="E116" s="4" t="n"/>
      <c r="F116" s="4" t="n"/>
      <c r="G116" s="5">
        <f>IF($A116="","",TEXT($A116,"yyyy-mm-dd")&amp;"|"&amp;$D116&amp;"|"&amp;$E116)</f>
        <v/>
      </c>
      <c r="I116" s="22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27" t="n"/>
      <c r="B117" s="4" t="n"/>
      <c r="C117" s="4" t="n"/>
      <c r="D117" s="4" t="n"/>
      <c r="E117" s="4" t="n"/>
      <c r="F117" s="4" t="n"/>
      <c r="G117" s="5">
        <f>IF($A117="","",TEXT($A117,"yyyy-mm-dd")&amp;"|"&amp;$D117&amp;"|"&amp;$E117)</f>
        <v/>
      </c>
      <c r="I117" s="22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27" t="n"/>
      <c r="B118" s="4" t="n"/>
      <c r="C118" s="4" t="n"/>
      <c r="D118" s="4" t="n"/>
      <c r="E118" s="4" t="n"/>
      <c r="F118" s="4" t="n"/>
      <c r="G118" s="5">
        <f>IF($A118="","",TEXT($A118,"yyyy-mm-dd")&amp;"|"&amp;$D118&amp;"|"&amp;$E118)</f>
        <v/>
      </c>
      <c r="I118" s="22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27" t="n"/>
      <c r="B119" s="4" t="n"/>
      <c r="C119" s="4" t="n"/>
      <c r="D119" s="4" t="n"/>
      <c r="E119" s="4" t="n"/>
      <c r="F119" s="4" t="n"/>
      <c r="G119" s="5">
        <f>IF($A119="","",TEXT($A119,"yyyy-mm-dd")&amp;"|"&amp;$D119&amp;"|"&amp;$E119)</f>
        <v/>
      </c>
      <c r="I119" s="22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27" t="n"/>
      <c r="B120" s="4" t="n"/>
      <c r="C120" s="4" t="n"/>
      <c r="D120" s="4" t="n"/>
      <c r="E120" s="4" t="n"/>
      <c r="F120" s="4" t="n"/>
      <c r="G120" s="5">
        <f>IF($A120="","",TEXT($A120,"yyyy-mm-dd")&amp;"|"&amp;$D120&amp;"|"&amp;$E120)</f>
        <v/>
      </c>
      <c r="I120" s="22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27" t="n"/>
      <c r="B121" s="4" t="n"/>
      <c r="C121" s="4" t="n"/>
      <c r="D121" s="4" t="n"/>
      <c r="E121" s="4" t="n"/>
      <c r="F121" s="4" t="n"/>
      <c r="G121" s="5">
        <f>IF($A121="","",TEXT($A121,"yyyy-mm-dd")&amp;"|"&amp;$D121&amp;"|"&amp;$E121)</f>
        <v/>
      </c>
      <c r="I121" s="22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27" t="n"/>
      <c r="B122" s="4" t="n"/>
      <c r="C122" s="4" t="n"/>
      <c r="D122" s="4" t="n"/>
      <c r="E122" s="4" t="n"/>
      <c r="F122" s="4" t="n"/>
      <c r="G122" s="5">
        <f>IF($A122="","",TEXT($A122,"yyyy-mm-dd")&amp;"|"&amp;$D122&amp;"|"&amp;$E122)</f>
        <v/>
      </c>
      <c r="I122" s="22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27" t="n"/>
      <c r="B123" s="4" t="n"/>
      <c r="C123" s="4" t="n"/>
      <c r="D123" s="4" t="n"/>
      <c r="E123" s="4" t="n"/>
      <c r="F123" s="4" t="n"/>
      <c r="G123" s="5">
        <f>IF($A123="","",TEXT($A123,"yyyy-mm-dd")&amp;"|"&amp;$D123&amp;"|"&amp;$E123)</f>
        <v/>
      </c>
      <c r="I123" s="22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27" t="n"/>
      <c r="B124" s="4" t="n"/>
      <c r="C124" s="4" t="n"/>
      <c r="D124" s="4" t="n"/>
      <c r="E124" s="4" t="n"/>
      <c r="F124" s="4" t="n"/>
      <c r="G124" s="5">
        <f>IF($A124="","",TEXT($A124,"yyyy-mm-dd")&amp;"|"&amp;$D124&amp;"|"&amp;$E124)</f>
        <v/>
      </c>
      <c r="I124" s="22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27" t="n"/>
      <c r="B125" s="4" t="n"/>
      <c r="C125" s="4" t="n"/>
      <c r="D125" s="4" t="n"/>
      <c r="E125" s="4" t="n"/>
      <c r="F125" s="4" t="n"/>
      <c r="G125" s="5">
        <f>IF($A125="","",TEXT($A125,"yyyy-mm-dd")&amp;"|"&amp;$D125&amp;"|"&amp;$E125)</f>
        <v/>
      </c>
      <c r="I125" s="22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27" t="n"/>
      <c r="B126" s="4" t="n"/>
      <c r="C126" s="4" t="n"/>
      <c r="D126" s="4" t="n"/>
      <c r="E126" s="4" t="n"/>
      <c r="F126" s="4" t="n"/>
      <c r="G126" s="5">
        <f>IF($A126="","",TEXT($A126,"yyyy-mm-dd")&amp;"|"&amp;$D126&amp;"|"&amp;$E126)</f>
        <v/>
      </c>
      <c r="I126" s="22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27" t="n"/>
      <c r="B127" s="4" t="n"/>
      <c r="C127" s="4" t="n"/>
      <c r="D127" s="4" t="n"/>
      <c r="E127" s="4" t="n"/>
      <c r="F127" s="4" t="n"/>
      <c r="G127" s="5">
        <f>IF($A127="","",TEXT($A127,"yyyy-mm-dd")&amp;"|"&amp;$D127&amp;"|"&amp;$E127)</f>
        <v/>
      </c>
      <c r="I127" s="22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27" t="n"/>
      <c r="B128" s="4" t="n"/>
      <c r="C128" s="4" t="n"/>
      <c r="D128" s="4" t="n"/>
      <c r="E128" s="4" t="n"/>
      <c r="F128" s="4" t="n"/>
      <c r="G128" s="5">
        <f>IF($A128="","",TEXT($A128,"yyyy-mm-dd")&amp;"|"&amp;$D128&amp;"|"&amp;$E128)</f>
        <v/>
      </c>
      <c r="I128" s="22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27" t="n"/>
      <c r="B129" s="4" t="n"/>
      <c r="C129" s="4" t="n"/>
      <c r="D129" s="4" t="n"/>
      <c r="E129" s="4" t="n"/>
      <c r="F129" s="4" t="n"/>
      <c r="G129" s="5">
        <f>IF($A129="","",TEXT($A129,"yyyy-mm-dd")&amp;"|"&amp;$D129&amp;"|"&amp;$E129)</f>
        <v/>
      </c>
      <c r="I129" s="22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27" t="n"/>
      <c r="B130" s="4" t="n"/>
      <c r="C130" s="4" t="n"/>
      <c r="D130" s="4" t="n"/>
      <c r="E130" s="4" t="n"/>
      <c r="F130" s="4" t="n"/>
      <c r="G130" s="5">
        <f>IF($A130="","",TEXT($A130,"yyyy-mm-dd")&amp;"|"&amp;$D130&amp;"|"&amp;$E130)</f>
        <v/>
      </c>
      <c r="I130" s="22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27" t="n"/>
      <c r="B131" s="4" t="n"/>
      <c r="C131" s="4" t="n"/>
      <c r="D131" s="4" t="n"/>
      <c r="E131" s="4" t="n"/>
      <c r="F131" s="4" t="n"/>
      <c r="G131" s="5">
        <f>IF($A131="","",TEXT($A131,"yyyy-mm-dd")&amp;"|"&amp;$D131&amp;"|"&amp;$E131)</f>
        <v/>
      </c>
      <c r="I131" s="22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27" t="n"/>
      <c r="B132" s="4" t="n"/>
      <c r="C132" s="4" t="n"/>
      <c r="D132" s="4" t="n"/>
      <c r="E132" s="4" t="n"/>
      <c r="F132" s="4" t="n"/>
      <c r="G132" s="5">
        <f>IF($A132="","",TEXT($A132,"yyyy-mm-dd")&amp;"|"&amp;$D132&amp;"|"&amp;$E132)</f>
        <v/>
      </c>
      <c r="I132" s="22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27" t="n"/>
      <c r="B133" s="4" t="n"/>
      <c r="C133" s="4" t="n"/>
      <c r="D133" s="4" t="n"/>
      <c r="E133" s="4" t="n"/>
      <c r="F133" s="4" t="n"/>
      <c r="G133" s="5">
        <f>IF($A133="","",TEXT($A133,"yyyy-mm-dd")&amp;"|"&amp;$D133&amp;"|"&amp;$E133)</f>
        <v/>
      </c>
      <c r="I133" s="22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27" t="n"/>
      <c r="B134" s="4" t="n"/>
      <c r="C134" s="4" t="n"/>
      <c r="D134" s="4" t="n"/>
      <c r="E134" s="4" t="n"/>
      <c r="F134" s="4" t="n"/>
      <c r="G134" s="5">
        <f>IF($A134="","",TEXT($A134,"yyyy-mm-dd")&amp;"|"&amp;$D134&amp;"|"&amp;$E134)</f>
        <v/>
      </c>
      <c r="I134" s="22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27" t="n"/>
      <c r="B135" s="4" t="n"/>
      <c r="C135" s="4" t="n"/>
      <c r="D135" s="4" t="n"/>
      <c r="E135" s="4" t="n"/>
      <c r="F135" s="4" t="n"/>
      <c r="G135" s="5">
        <f>IF($A135="","",TEXT($A135,"yyyy-mm-dd")&amp;"|"&amp;$D135&amp;"|"&amp;$E135)</f>
        <v/>
      </c>
      <c r="I135" s="22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27" t="n"/>
      <c r="B136" s="4" t="n"/>
      <c r="C136" s="4" t="n"/>
      <c r="D136" s="4" t="n"/>
      <c r="E136" s="4" t="n"/>
      <c r="F136" s="4" t="n"/>
      <c r="G136" s="5">
        <f>IF($A136="","",TEXT($A136,"yyyy-mm-dd")&amp;"|"&amp;$D136&amp;"|"&amp;$E136)</f>
        <v/>
      </c>
      <c r="I136" s="22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27" t="n"/>
      <c r="B137" s="4" t="n"/>
      <c r="C137" s="4" t="n"/>
      <c r="D137" s="4" t="n"/>
      <c r="E137" s="4" t="n"/>
      <c r="F137" s="4" t="n"/>
      <c r="G137" s="5">
        <f>IF($A137="","",TEXT($A137,"yyyy-mm-dd")&amp;"|"&amp;$D137&amp;"|"&amp;$E137)</f>
        <v/>
      </c>
      <c r="I137" s="22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27" t="n"/>
      <c r="B138" s="4" t="n"/>
      <c r="C138" s="4" t="n"/>
      <c r="D138" s="4" t="n"/>
      <c r="E138" s="4" t="n"/>
      <c r="F138" s="4" t="n"/>
      <c r="G138" s="5">
        <f>IF($A138="","",TEXT($A138,"yyyy-mm-dd")&amp;"|"&amp;$D138&amp;"|"&amp;$E138)</f>
        <v/>
      </c>
      <c r="I138" s="22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27" t="n"/>
      <c r="B139" s="4" t="n"/>
      <c r="C139" s="4" t="n"/>
      <c r="D139" s="4" t="n"/>
      <c r="E139" s="4" t="n"/>
      <c r="F139" s="4" t="n"/>
      <c r="G139" s="5">
        <f>IF($A139="","",TEXT($A139,"yyyy-mm-dd")&amp;"|"&amp;$D139&amp;"|"&amp;$E139)</f>
        <v/>
      </c>
      <c r="I139" s="22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27" t="n"/>
      <c r="B140" s="4" t="n"/>
      <c r="C140" s="4" t="n"/>
      <c r="D140" s="4" t="n"/>
      <c r="E140" s="4" t="n"/>
      <c r="F140" s="4" t="n"/>
      <c r="G140" s="5">
        <f>IF($A140="","",TEXT($A140,"yyyy-mm-dd")&amp;"|"&amp;$D140&amp;"|"&amp;$E140)</f>
        <v/>
      </c>
      <c r="I140" s="22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27" t="n"/>
      <c r="B141" s="4" t="n"/>
      <c r="C141" s="4" t="n"/>
      <c r="D141" s="4" t="n"/>
      <c r="E141" s="4" t="n"/>
      <c r="F141" s="4" t="n"/>
      <c r="G141" s="5">
        <f>IF($A141="","",TEXT($A141,"yyyy-mm-dd")&amp;"|"&amp;$D141&amp;"|"&amp;$E141)</f>
        <v/>
      </c>
      <c r="I141" s="22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27" t="n"/>
      <c r="B142" s="4" t="n"/>
      <c r="C142" s="4" t="n"/>
      <c r="D142" s="4" t="n"/>
      <c r="E142" s="4" t="n"/>
      <c r="F142" s="4" t="n"/>
      <c r="G142" s="5">
        <f>IF($A142="","",TEXT($A142,"yyyy-mm-dd")&amp;"|"&amp;$D142&amp;"|"&amp;$E142)</f>
        <v/>
      </c>
      <c r="I142" s="22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27" t="n"/>
      <c r="B143" s="4" t="n"/>
      <c r="C143" s="4" t="n"/>
      <c r="D143" s="4" t="n"/>
      <c r="E143" s="4" t="n"/>
      <c r="F143" s="4" t="n"/>
      <c r="G143" s="5">
        <f>IF($A143="","",TEXT($A143,"yyyy-mm-dd")&amp;"|"&amp;$D143&amp;"|"&amp;$E143)</f>
        <v/>
      </c>
      <c r="I143" s="22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27" t="n"/>
      <c r="B144" s="4" t="n"/>
      <c r="C144" s="4" t="n"/>
      <c r="D144" s="4" t="n"/>
      <c r="E144" s="4" t="n"/>
      <c r="F144" s="4" t="n"/>
      <c r="G144" s="5">
        <f>IF($A144="","",TEXT($A144,"yyyy-mm-dd")&amp;"|"&amp;$D144&amp;"|"&amp;$E144)</f>
        <v/>
      </c>
      <c r="I144" s="22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27" t="n"/>
      <c r="B145" s="4" t="n"/>
      <c r="C145" s="4" t="n"/>
      <c r="D145" s="4" t="n"/>
      <c r="E145" s="4" t="n"/>
      <c r="F145" s="4" t="n"/>
      <c r="G145" s="5">
        <f>IF($A145="","",TEXT($A145,"yyyy-mm-dd")&amp;"|"&amp;$D145&amp;"|"&amp;$E145)</f>
        <v/>
      </c>
      <c r="I145" s="22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27" t="n"/>
      <c r="B146" s="4" t="n"/>
      <c r="C146" s="4" t="n"/>
      <c r="D146" s="4" t="n"/>
      <c r="E146" s="4" t="n"/>
      <c r="F146" s="4" t="n"/>
      <c r="G146" s="5">
        <f>IF($A146="","",TEXT($A146,"yyyy-mm-dd")&amp;"|"&amp;$D146&amp;"|"&amp;$E146)</f>
        <v/>
      </c>
      <c r="I146" s="22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27" t="n"/>
      <c r="B147" s="4" t="n"/>
      <c r="C147" s="4" t="n"/>
      <c r="D147" s="4" t="n"/>
      <c r="E147" s="4" t="n"/>
      <c r="F147" s="4" t="n"/>
      <c r="G147" s="5">
        <f>IF($A147="","",TEXT($A147,"yyyy-mm-dd")&amp;"|"&amp;$D147&amp;"|"&amp;$E147)</f>
        <v/>
      </c>
      <c r="I147" s="22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27" t="n"/>
      <c r="B148" s="4" t="n"/>
      <c r="C148" s="4" t="n"/>
      <c r="D148" s="4" t="n"/>
      <c r="E148" s="4" t="n"/>
      <c r="F148" s="4" t="n"/>
      <c r="G148" s="5">
        <f>IF($A148="","",TEXT($A148,"yyyy-mm-dd")&amp;"|"&amp;$D148&amp;"|"&amp;$E148)</f>
        <v/>
      </c>
      <c r="I148" s="22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27" t="n"/>
      <c r="B149" s="4" t="n"/>
      <c r="C149" s="4" t="n"/>
      <c r="D149" s="4" t="n"/>
      <c r="E149" s="4" t="n"/>
      <c r="F149" s="4" t="n"/>
      <c r="G149" s="5">
        <f>IF($A149="","",TEXT($A149,"yyyy-mm-dd")&amp;"|"&amp;$D149&amp;"|"&amp;$E149)</f>
        <v/>
      </c>
      <c r="I149" s="22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27" t="n"/>
      <c r="B150" s="4" t="n"/>
      <c r="C150" s="4" t="n"/>
      <c r="D150" s="4" t="n"/>
      <c r="E150" s="4" t="n"/>
      <c r="F150" s="4" t="n"/>
      <c r="G150" s="5">
        <f>IF($A150="","",TEXT($A150,"yyyy-mm-dd")&amp;"|"&amp;$D150&amp;"|"&amp;$E150)</f>
        <v/>
      </c>
      <c r="I150" s="22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27" t="n"/>
      <c r="B151" s="4" t="n"/>
      <c r="C151" s="4" t="n"/>
      <c r="D151" s="4" t="n"/>
      <c r="E151" s="4" t="n"/>
      <c r="F151" s="4" t="n"/>
      <c r="G151" s="5">
        <f>IF($A151="","",TEXT($A151,"yyyy-mm-dd")&amp;"|"&amp;$D151&amp;"|"&amp;$E151)</f>
        <v/>
      </c>
      <c r="I151" s="22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27" t="n"/>
      <c r="B152" s="4" t="n"/>
      <c r="C152" s="4" t="n"/>
      <c r="D152" s="4" t="n"/>
      <c r="E152" s="4" t="n"/>
      <c r="F152" s="4" t="n"/>
      <c r="G152" s="5">
        <f>IF($A152="","",TEXT($A152,"yyyy-mm-dd")&amp;"|"&amp;$D152&amp;"|"&amp;$E152)</f>
        <v/>
      </c>
      <c r="I152" s="22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27" t="n"/>
      <c r="B153" s="4" t="n"/>
      <c r="C153" s="4" t="n"/>
      <c r="D153" s="4" t="n"/>
      <c r="E153" s="4" t="n"/>
      <c r="F153" s="4" t="n"/>
      <c r="G153" s="5">
        <f>IF($A153="","",TEXT($A153,"yyyy-mm-dd")&amp;"|"&amp;$D153&amp;"|"&amp;$E153)</f>
        <v/>
      </c>
      <c r="I153" s="22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27" t="n"/>
      <c r="B154" s="4" t="n"/>
      <c r="C154" s="4" t="n"/>
      <c r="D154" s="4" t="n"/>
      <c r="E154" s="4" t="n"/>
      <c r="F154" s="4" t="n"/>
      <c r="G154" s="5">
        <f>IF($A154="","",TEXT($A154,"yyyy-mm-dd")&amp;"|"&amp;$D154&amp;"|"&amp;$E154)</f>
        <v/>
      </c>
      <c r="I154" s="22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27" t="n"/>
      <c r="B155" s="4" t="n"/>
      <c r="C155" s="4" t="n"/>
      <c r="D155" s="4" t="n"/>
      <c r="E155" s="4" t="n"/>
      <c r="F155" s="4" t="n"/>
      <c r="G155" s="5">
        <f>IF($A155="","",TEXT($A155,"yyyy-mm-dd")&amp;"|"&amp;$D155&amp;"|"&amp;$E155)</f>
        <v/>
      </c>
      <c r="I155" s="22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27" t="n"/>
      <c r="B156" s="4" t="n"/>
      <c r="C156" s="4" t="n"/>
      <c r="D156" s="4" t="n"/>
      <c r="E156" s="4" t="n"/>
      <c r="F156" s="4" t="n"/>
      <c r="G156" s="5">
        <f>IF($A156="","",TEXT($A156,"yyyy-mm-dd")&amp;"|"&amp;$D156&amp;"|"&amp;$E156)</f>
        <v/>
      </c>
      <c r="I156" s="22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27" t="n"/>
      <c r="B157" s="4" t="n"/>
      <c r="C157" s="4" t="n"/>
      <c r="D157" s="4" t="n"/>
      <c r="E157" s="4" t="n"/>
      <c r="F157" s="4" t="n"/>
      <c r="G157" s="5">
        <f>IF($A157="","",TEXT($A157,"yyyy-mm-dd")&amp;"|"&amp;$D157&amp;"|"&amp;$E157)</f>
        <v/>
      </c>
      <c r="I157" s="22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27" t="n"/>
      <c r="B158" s="4" t="n"/>
      <c r="C158" s="4" t="n"/>
      <c r="D158" s="4" t="n"/>
      <c r="E158" s="4" t="n"/>
      <c r="F158" s="4" t="n"/>
      <c r="G158" s="5">
        <f>IF($A158="","",TEXT($A158,"yyyy-mm-dd")&amp;"|"&amp;$D158&amp;"|"&amp;$E158)</f>
        <v/>
      </c>
      <c r="I158" s="22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27" t="n"/>
      <c r="B159" s="4" t="n"/>
      <c r="C159" s="4" t="n"/>
      <c r="D159" s="4" t="n"/>
      <c r="E159" s="4" t="n"/>
      <c r="F159" s="4" t="n"/>
      <c r="G159" s="5">
        <f>IF($A159="","",TEXT($A159,"yyyy-mm-dd")&amp;"|"&amp;$D159&amp;"|"&amp;$E159)</f>
        <v/>
      </c>
      <c r="I159" s="22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27" t="n"/>
      <c r="B160" s="4" t="n"/>
      <c r="C160" s="4" t="n"/>
      <c r="D160" s="4" t="n"/>
      <c r="E160" s="4" t="n"/>
      <c r="F160" s="4" t="n"/>
      <c r="G160" s="5">
        <f>IF($A160="","",TEXT($A160,"yyyy-mm-dd")&amp;"|"&amp;$D160&amp;"|"&amp;$E160)</f>
        <v/>
      </c>
      <c r="I160" s="22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27" t="n"/>
      <c r="B161" s="4" t="n"/>
      <c r="C161" s="4" t="n"/>
      <c r="D161" s="4" t="n"/>
      <c r="E161" s="4" t="n"/>
      <c r="F161" s="4" t="n"/>
      <c r="G161" s="5">
        <f>IF($A161="","",TEXT($A161,"yyyy-mm-dd")&amp;"|"&amp;$D161&amp;"|"&amp;$E161)</f>
        <v/>
      </c>
      <c r="I161" s="22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27" t="n"/>
      <c r="B162" s="4" t="n"/>
      <c r="C162" s="4" t="n"/>
      <c r="D162" s="4" t="n"/>
      <c r="E162" s="4" t="n"/>
      <c r="F162" s="4" t="n"/>
      <c r="G162" s="5">
        <f>IF($A162="","",TEXT($A162,"yyyy-mm-dd")&amp;"|"&amp;$D162&amp;"|"&amp;$E162)</f>
        <v/>
      </c>
      <c r="I162" s="22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27" t="n"/>
      <c r="B163" s="4" t="n"/>
      <c r="C163" s="4" t="n"/>
      <c r="D163" s="4" t="n"/>
      <c r="E163" s="4" t="n"/>
      <c r="F163" s="4" t="n"/>
      <c r="G163" s="5">
        <f>IF($A163="","",TEXT($A163,"yyyy-mm-dd")&amp;"|"&amp;$D163&amp;"|"&amp;$E163)</f>
        <v/>
      </c>
      <c r="I163" s="22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27" t="n"/>
      <c r="B164" s="4" t="n"/>
      <c r="C164" s="4" t="n"/>
      <c r="D164" s="4" t="n"/>
      <c r="E164" s="4" t="n"/>
      <c r="F164" s="4" t="n"/>
      <c r="G164" s="5">
        <f>IF($A164="","",TEXT($A164,"yyyy-mm-dd")&amp;"|"&amp;$D164&amp;"|"&amp;$E164)</f>
        <v/>
      </c>
      <c r="I164" s="22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27" t="n"/>
      <c r="B165" s="4" t="n"/>
      <c r="C165" s="4" t="n"/>
      <c r="D165" s="4" t="n"/>
      <c r="E165" s="4" t="n"/>
      <c r="F165" s="4" t="n"/>
      <c r="G165" s="5">
        <f>IF($A165="","",TEXT($A165,"yyyy-mm-dd")&amp;"|"&amp;$D165&amp;"|"&amp;$E165)</f>
        <v/>
      </c>
      <c r="I165" s="22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27" t="n"/>
      <c r="B166" s="4" t="n"/>
      <c r="C166" s="4" t="n"/>
      <c r="D166" s="4" t="n"/>
      <c r="E166" s="4" t="n"/>
      <c r="F166" s="4" t="n"/>
      <c r="G166" s="5">
        <f>IF($A166="","",TEXT($A166,"yyyy-mm-dd")&amp;"|"&amp;$D166&amp;"|"&amp;$E166)</f>
        <v/>
      </c>
      <c r="I166" s="22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27" t="n"/>
      <c r="B167" s="4" t="n"/>
      <c r="C167" s="4" t="n"/>
      <c r="D167" s="4" t="n"/>
      <c r="E167" s="4" t="n"/>
      <c r="F167" s="4" t="n"/>
      <c r="G167" s="5">
        <f>IF($A167="","",TEXT($A167,"yyyy-mm-dd")&amp;"|"&amp;$D167&amp;"|"&amp;$E167)</f>
        <v/>
      </c>
      <c r="I167" s="22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27" t="n"/>
      <c r="B168" s="4" t="n"/>
      <c r="C168" s="4" t="n"/>
      <c r="D168" s="4" t="n"/>
      <c r="E168" s="4" t="n"/>
      <c r="F168" s="4" t="n"/>
      <c r="G168" s="5">
        <f>IF($A168="","",TEXT($A168,"yyyy-mm-dd")&amp;"|"&amp;$D168&amp;"|"&amp;$E168)</f>
        <v/>
      </c>
      <c r="I168" s="22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27" t="n"/>
      <c r="B169" s="4" t="n"/>
      <c r="C169" s="4" t="n"/>
      <c r="D169" s="4" t="n"/>
      <c r="E169" s="4" t="n"/>
      <c r="F169" s="4" t="n"/>
      <c r="G169" s="5">
        <f>IF($A169="","",TEXT($A169,"yyyy-mm-dd")&amp;"|"&amp;$D169&amp;"|"&amp;$E169)</f>
        <v/>
      </c>
      <c r="I169" s="22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27" t="n"/>
      <c r="B170" s="4" t="n"/>
      <c r="C170" s="4" t="n"/>
      <c r="D170" s="4" t="n"/>
      <c r="E170" s="4" t="n"/>
      <c r="F170" s="4" t="n"/>
      <c r="G170" s="5">
        <f>IF($A170="","",TEXT($A170,"yyyy-mm-dd")&amp;"|"&amp;$D170&amp;"|"&amp;$E170)</f>
        <v/>
      </c>
      <c r="I170" s="22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27" t="n"/>
      <c r="B171" s="4" t="n"/>
      <c r="C171" s="4" t="n"/>
      <c r="D171" s="4" t="n"/>
      <c r="E171" s="4" t="n"/>
      <c r="F171" s="4" t="n"/>
      <c r="G171" s="5">
        <f>IF($A171="","",TEXT($A171,"yyyy-mm-dd")&amp;"|"&amp;$D171&amp;"|"&amp;$E171)</f>
        <v/>
      </c>
      <c r="I171" s="22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27" t="n"/>
      <c r="B172" s="4" t="n"/>
      <c r="C172" s="4" t="n"/>
      <c r="D172" s="4" t="n"/>
      <c r="E172" s="4" t="n"/>
      <c r="F172" s="4" t="n"/>
      <c r="G172" s="5">
        <f>IF($A172="","",TEXT($A172,"yyyy-mm-dd")&amp;"|"&amp;$D172&amp;"|"&amp;$E172)</f>
        <v/>
      </c>
      <c r="I172" s="22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27" t="n"/>
      <c r="B173" s="4" t="n"/>
      <c r="C173" s="4" t="n"/>
      <c r="D173" s="4" t="n"/>
      <c r="E173" s="4" t="n"/>
      <c r="F173" s="4" t="n"/>
      <c r="G173" s="5">
        <f>IF($A173="","",TEXT($A173,"yyyy-mm-dd")&amp;"|"&amp;$D173&amp;"|"&amp;$E173)</f>
        <v/>
      </c>
      <c r="I173" s="22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27" t="n"/>
      <c r="B174" s="4" t="n"/>
      <c r="C174" s="4" t="n"/>
      <c r="D174" s="4" t="n"/>
      <c r="E174" s="4" t="n"/>
      <c r="F174" s="4" t="n"/>
      <c r="G174" s="5">
        <f>IF($A174="","",TEXT($A174,"yyyy-mm-dd")&amp;"|"&amp;$D174&amp;"|"&amp;$E174)</f>
        <v/>
      </c>
      <c r="I174" s="22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27" t="n"/>
      <c r="B175" s="4" t="n"/>
      <c r="C175" s="4" t="n"/>
      <c r="D175" s="4" t="n"/>
      <c r="E175" s="4" t="n"/>
      <c r="F175" s="4" t="n"/>
      <c r="G175" s="5">
        <f>IF($A175="","",TEXT($A175,"yyyy-mm-dd")&amp;"|"&amp;$D175&amp;"|"&amp;$E175)</f>
        <v/>
      </c>
      <c r="I175" s="22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27" t="n"/>
      <c r="B176" s="4" t="n"/>
      <c r="C176" s="4" t="n"/>
      <c r="D176" s="4" t="n"/>
      <c r="E176" s="4" t="n"/>
      <c r="F176" s="4" t="n"/>
      <c r="G176" s="5">
        <f>IF($A176="","",TEXT($A176,"yyyy-mm-dd")&amp;"|"&amp;$D176&amp;"|"&amp;$E176)</f>
        <v/>
      </c>
      <c r="I176" s="22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27" t="n"/>
      <c r="B177" s="4" t="n"/>
      <c r="C177" s="4" t="n"/>
      <c r="D177" s="4" t="n"/>
      <c r="E177" s="4" t="n"/>
      <c r="F177" s="4" t="n"/>
      <c r="G177" s="5">
        <f>IF($A177="","",TEXT($A177,"yyyy-mm-dd")&amp;"|"&amp;$D177&amp;"|"&amp;$E177)</f>
        <v/>
      </c>
      <c r="I177" s="22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27" t="n"/>
      <c r="B178" s="4" t="n"/>
      <c r="C178" s="4" t="n"/>
      <c r="D178" s="4" t="n"/>
      <c r="E178" s="4" t="n"/>
      <c r="F178" s="4" t="n"/>
      <c r="G178" s="5">
        <f>IF($A178="","",TEXT($A178,"yyyy-mm-dd")&amp;"|"&amp;$D178&amp;"|"&amp;$E178)</f>
        <v/>
      </c>
      <c r="I178" s="22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27" t="n"/>
      <c r="B179" s="4" t="n"/>
      <c r="C179" s="4" t="n"/>
      <c r="D179" s="4" t="n"/>
      <c r="E179" s="4" t="n"/>
      <c r="F179" s="4" t="n"/>
      <c r="G179" s="5">
        <f>IF($A179="","",TEXT($A179,"yyyy-mm-dd")&amp;"|"&amp;$D179&amp;"|"&amp;$E179)</f>
        <v/>
      </c>
      <c r="I179" s="22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27" t="n"/>
      <c r="B180" s="4" t="n"/>
      <c r="C180" s="4" t="n"/>
      <c r="D180" s="4" t="n"/>
      <c r="E180" s="4" t="n"/>
      <c r="F180" s="4" t="n"/>
      <c r="G180" s="5">
        <f>IF($A180="","",TEXT($A180,"yyyy-mm-dd")&amp;"|"&amp;$D180&amp;"|"&amp;$E180)</f>
        <v/>
      </c>
      <c r="I180" s="22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27" t="n"/>
      <c r="B181" s="4" t="n"/>
      <c r="C181" s="4" t="n"/>
      <c r="D181" s="4" t="n"/>
      <c r="E181" s="4" t="n"/>
      <c r="F181" s="4" t="n"/>
      <c r="G181" s="5">
        <f>IF($A181="","",TEXT($A181,"yyyy-mm-dd")&amp;"|"&amp;$D181&amp;"|"&amp;$E181)</f>
        <v/>
      </c>
      <c r="I181" s="22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27" t="n"/>
      <c r="B182" s="4" t="n"/>
      <c r="C182" s="4" t="n"/>
      <c r="D182" s="4" t="n"/>
      <c r="E182" s="4" t="n"/>
      <c r="F182" s="4" t="n"/>
      <c r="G182" s="5">
        <f>IF($A182="","",TEXT($A182,"yyyy-mm-dd")&amp;"|"&amp;$D182&amp;"|"&amp;$E182)</f>
        <v/>
      </c>
      <c r="I182" s="22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27" t="n"/>
      <c r="B183" s="4" t="n"/>
      <c r="C183" s="4" t="n"/>
      <c r="D183" s="4" t="n"/>
      <c r="E183" s="4" t="n"/>
      <c r="F183" s="4" t="n"/>
      <c r="G183" s="5">
        <f>IF($A183="","",TEXT($A183,"yyyy-mm-dd")&amp;"|"&amp;$D183&amp;"|"&amp;$E183)</f>
        <v/>
      </c>
      <c r="I183" s="22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27" t="n"/>
      <c r="B184" s="4" t="n"/>
      <c r="C184" s="4" t="n"/>
      <c r="D184" s="4" t="n"/>
      <c r="E184" s="4" t="n"/>
      <c r="F184" s="4" t="n"/>
      <c r="G184" s="5">
        <f>IF($A184="","",TEXT($A184,"yyyy-mm-dd")&amp;"|"&amp;$D184&amp;"|"&amp;$E184)</f>
        <v/>
      </c>
      <c r="I184" s="22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27" t="n"/>
      <c r="B185" s="4" t="n"/>
      <c r="C185" s="4" t="n"/>
      <c r="D185" s="4" t="n"/>
      <c r="E185" s="4" t="n"/>
      <c r="F185" s="4" t="n"/>
      <c r="G185" s="5">
        <f>IF($A185="","",TEXT($A185,"yyyy-mm-dd")&amp;"|"&amp;$D185&amp;"|"&amp;$E185)</f>
        <v/>
      </c>
      <c r="I185" s="22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27" t="n"/>
      <c r="B186" s="4" t="n"/>
      <c r="C186" s="4" t="n"/>
      <c r="D186" s="4" t="n"/>
      <c r="E186" s="4" t="n"/>
      <c r="F186" s="4" t="n"/>
      <c r="G186" s="5">
        <f>IF($A186="","",TEXT($A186,"yyyy-mm-dd")&amp;"|"&amp;$D186&amp;"|"&amp;$E186)</f>
        <v/>
      </c>
      <c r="I186" s="22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27" t="n"/>
      <c r="B187" s="4" t="n"/>
      <c r="C187" s="4" t="n"/>
      <c r="D187" s="4" t="n"/>
      <c r="E187" s="4" t="n"/>
      <c r="F187" s="4" t="n"/>
      <c r="G187" s="5">
        <f>IF($A187="","",TEXT($A187,"yyyy-mm-dd")&amp;"|"&amp;$D187&amp;"|"&amp;$E187)</f>
        <v/>
      </c>
      <c r="I187" s="22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27" t="n"/>
      <c r="B188" s="4" t="n"/>
      <c r="C188" s="4" t="n"/>
      <c r="D188" s="4" t="n"/>
      <c r="E188" s="4" t="n"/>
      <c r="F188" s="4" t="n"/>
      <c r="G188" s="5">
        <f>IF($A188="","",TEXT($A188,"yyyy-mm-dd")&amp;"|"&amp;$D188&amp;"|"&amp;$E188)</f>
        <v/>
      </c>
      <c r="I188" s="22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27" t="n"/>
      <c r="B189" s="4" t="n"/>
      <c r="C189" s="4" t="n"/>
      <c r="D189" s="4" t="n"/>
      <c r="E189" s="4" t="n"/>
      <c r="F189" s="4" t="n"/>
      <c r="G189" s="5">
        <f>IF($A189="","",TEXT($A189,"yyyy-mm-dd")&amp;"|"&amp;$D189&amp;"|"&amp;$E189)</f>
        <v/>
      </c>
      <c r="I189" s="22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27" t="n"/>
      <c r="B190" s="4" t="n"/>
      <c r="C190" s="4" t="n"/>
      <c r="D190" s="4" t="n"/>
      <c r="E190" s="4" t="n"/>
      <c r="F190" s="4" t="n"/>
      <c r="G190" s="5">
        <f>IF($A190="","",TEXT($A190,"yyyy-mm-dd")&amp;"|"&amp;$D190&amp;"|"&amp;$E190)</f>
        <v/>
      </c>
      <c r="I190" s="22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27" t="n"/>
      <c r="B191" s="4" t="n"/>
      <c r="C191" s="4" t="n"/>
      <c r="D191" s="4" t="n"/>
      <c r="E191" s="4" t="n"/>
      <c r="F191" s="4" t="n"/>
      <c r="G191" s="5">
        <f>IF($A191="","",TEXT($A191,"yyyy-mm-dd")&amp;"|"&amp;$D191&amp;"|"&amp;$E191)</f>
        <v/>
      </c>
      <c r="I191" s="22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27" t="n"/>
      <c r="B192" s="4" t="n"/>
      <c r="C192" s="4" t="n"/>
      <c r="D192" s="4" t="n"/>
      <c r="E192" s="4" t="n"/>
      <c r="F192" s="4" t="n"/>
      <c r="G192" s="5">
        <f>IF($A192="","",TEXT($A192,"yyyy-mm-dd")&amp;"|"&amp;$D192&amp;"|"&amp;$E192)</f>
        <v/>
      </c>
      <c r="I192" s="22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27" t="n"/>
      <c r="B193" s="4" t="n"/>
      <c r="C193" s="4" t="n"/>
      <c r="D193" s="4" t="n"/>
      <c r="E193" s="4" t="n"/>
      <c r="F193" s="4" t="n"/>
      <c r="G193" s="5">
        <f>IF($A193="","",TEXT($A193,"yyyy-mm-dd")&amp;"|"&amp;$D193&amp;"|"&amp;$E193)</f>
        <v/>
      </c>
      <c r="I193" s="22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27" t="n"/>
      <c r="B194" s="4" t="n"/>
      <c r="C194" s="4" t="n"/>
      <c r="D194" s="4" t="n"/>
      <c r="E194" s="4" t="n"/>
      <c r="F194" s="4" t="n"/>
      <c r="G194" s="5">
        <f>IF($A194="","",TEXT($A194,"yyyy-mm-dd")&amp;"|"&amp;$D194&amp;"|"&amp;$E194)</f>
        <v/>
      </c>
      <c r="I194" s="22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27" t="n"/>
      <c r="B195" s="4" t="n"/>
      <c r="C195" s="4" t="n"/>
      <c r="D195" s="4" t="n"/>
      <c r="E195" s="4" t="n"/>
      <c r="F195" s="4" t="n"/>
      <c r="G195" s="5">
        <f>IF($A195="","",TEXT($A195,"yyyy-mm-dd")&amp;"|"&amp;$D195&amp;"|"&amp;$E195)</f>
        <v/>
      </c>
      <c r="I195" s="22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27" t="n"/>
      <c r="B196" s="4" t="n"/>
      <c r="C196" s="4" t="n"/>
      <c r="D196" s="4" t="n"/>
      <c r="E196" s="4" t="n"/>
      <c r="F196" s="4" t="n"/>
      <c r="G196" s="5">
        <f>IF($A196="","",TEXT($A196,"yyyy-mm-dd")&amp;"|"&amp;$D196&amp;"|"&amp;$E196)</f>
        <v/>
      </c>
      <c r="I196" s="22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27" t="n"/>
      <c r="B197" s="4" t="n"/>
      <c r="C197" s="4" t="n"/>
      <c r="D197" s="4" t="n"/>
      <c r="E197" s="4" t="n"/>
      <c r="F197" s="4" t="n"/>
      <c r="G197" s="5">
        <f>IF($A197="","",TEXT($A197,"yyyy-mm-dd")&amp;"|"&amp;$D197&amp;"|"&amp;$E197)</f>
        <v/>
      </c>
      <c r="I197" s="22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27" t="n"/>
      <c r="B198" s="4" t="n"/>
      <c r="C198" s="4" t="n"/>
      <c r="D198" s="4" t="n"/>
      <c r="E198" s="4" t="n"/>
      <c r="F198" s="4" t="n"/>
      <c r="G198" s="5">
        <f>IF($A198="","",TEXT($A198,"yyyy-mm-dd")&amp;"|"&amp;$D198&amp;"|"&amp;$E198)</f>
        <v/>
      </c>
      <c r="I198" s="22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27" t="n"/>
      <c r="B199" s="4" t="n"/>
      <c r="C199" s="4" t="n"/>
      <c r="D199" s="4" t="n"/>
      <c r="E199" s="4" t="n"/>
      <c r="F199" s="4" t="n"/>
      <c r="G199" s="5">
        <f>IF($A199="","",TEXT($A199,"yyyy-mm-dd")&amp;"|"&amp;$D199&amp;"|"&amp;$E199)</f>
        <v/>
      </c>
      <c r="I199" s="22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27" t="n"/>
      <c r="B200" s="4" t="n"/>
      <c r="C200" s="4" t="n"/>
      <c r="D200" s="4" t="n"/>
      <c r="E200" s="4" t="n"/>
      <c r="F200" s="4" t="n"/>
      <c r="G200" s="5">
        <f>IF($A200="","",TEXT($A200,"yyyy-mm-dd")&amp;"|"&amp;$D200&amp;"|"&amp;$E200)</f>
        <v/>
      </c>
      <c r="I200" s="22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27" t="n"/>
      <c r="B201" s="4" t="n"/>
      <c r="C201" s="4" t="n"/>
      <c r="D201" s="4" t="n"/>
      <c r="E201" s="4" t="n"/>
      <c r="F201" s="4" t="n"/>
      <c r="G201" s="5">
        <f>IF($A201="","",TEXT($A201,"yyyy-mm-dd")&amp;"|"&amp;$D201&amp;"|"&amp;$E201)</f>
        <v/>
      </c>
      <c r="I201" s="22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27" t="n"/>
      <c r="B202" s="4" t="n"/>
      <c r="C202" s="4" t="n"/>
      <c r="D202" s="4" t="n"/>
      <c r="E202" s="4" t="n"/>
      <c r="F202" s="4" t="n"/>
      <c r="G202" s="5">
        <f>IF($A202="","",TEXT($A202,"yyyy-mm-dd")&amp;"|"&amp;$D202&amp;"|"&amp;$E202)</f>
        <v/>
      </c>
      <c r="I202" s="22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27" t="n"/>
      <c r="B203" s="4" t="n"/>
      <c r="C203" s="4" t="n"/>
      <c r="D203" s="4" t="n"/>
      <c r="E203" s="4" t="n"/>
      <c r="F203" s="4" t="n"/>
      <c r="G203" s="5">
        <f>IF($A203="","",TEXT($A203,"yyyy-mm-dd")&amp;"|"&amp;$D203&amp;"|"&amp;$E203)</f>
        <v/>
      </c>
      <c r="I203" s="22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27" t="n"/>
      <c r="B204" s="4" t="n"/>
      <c r="C204" s="4" t="n"/>
      <c r="D204" s="4" t="n"/>
      <c r="E204" s="4" t="n"/>
      <c r="F204" s="4" t="n"/>
      <c r="G204" s="5">
        <f>IF($A204="","",TEXT($A204,"yyyy-mm-dd")&amp;"|"&amp;$D204&amp;"|"&amp;$E204)</f>
        <v/>
      </c>
      <c r="I204" s="22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27" t="n"/>
      <c r="B205" s="4" t="n"/>
      <c r="C205" s="4" t="n"/>
      <c r="D205" s="4" t="n"/>
      <c r="E205" s="4" t="n"/>
      <c r="F205" s="4" t="n"/>
      <c r="G205" s="5">
        <f>IF($A205="","",TEXT($A205,"yyyy-mm-dd")&amp;"|"&amp;$D205&amp;"|"&amp;$E205)</f>
        <v/>
      </c>
      <c r="I205" s="22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27" t="n"/>
      <c r="B206" s="4" t="n"/>
      <c r="C206" s="4" t="n"/>
      <c r="D206" s="4" t="n"/>
      <c r="E206" s="4" t="n"/>
      <c r="F206" s="4" t="n"/>
      <c r="G206" s="5">
        <f>IF($A206="","",TEXT($A206,"yyyy-mm-dd")&amp;"|"&amp;$D206&amp;"|"&amp;$E206)</f>
        <v/>
      </c>
      <c r="I206" s="22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27" t="n"/>
      <c r="B207" s="4" t="n"/>
      <c r="C207" s="4" t="n"/>
      <c r="D207" s="4" t="n"/>
      <c r="E207" s="4" t="n"/>
      <c r="F207" s="4" t="n"/>
      <c r="G207" s="5">
        <f>IF($A207="","",TEXT($A207,"yyyy-mm-dd")&amp;"|"&amp;$D207&amp;"|"&amp;$E207)</f>
        <v/>
      </c>
      <c r="I207" s="22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27" t="n"/>
      <c r="B208" s="4" t="n"/>
      <c r="C208" s="4" t="n"/>
      <c r="D208" s="4" t="n"/>
      <c r="E208" s="4" t="n"/>
      <c r="F208" s="4" t="n"/>
      <c r="G208" s="5">
        <f>IF($A208="","",TEXT($A208,"yyyy-mm-dd")&amp;"|"&amp;$D208&amp;"|"&amp;$E208)</f>
        <v/>
      </c>
      <c r="I208" s="22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27" t="n"/>
      <c r="B209" s="4" t="n"/>
      <c r="C209" s="4" t="n"/>
      <c r="D209" s="4" t="n"/>
      <c r="E209" s="4" t="n"/>
      <c r="F209" s="4" t="n"/>
      <c r="G209" s="5">
        <f>IF($A209="","",TEXT($A209,"yyyy-mm-dd")&amp;"|"&amp;$D209&amp;"|"&amp;$E209)</f>
        <v/>
      </c>
      <c r="I209" s="22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27" t="n"/>
      <c r="B210" s="4" t="n"/>
      <c r="C210" s="4" t="n"/>
      <c r="D210" s="4" t="n"/>
      <c r="E210" s="4" t="n"/>
      <c r="F210" s="4" t="n"/>
      <c r="G210" s="5">
        <f>IF($A210="","",TEXT($A210,"yyyy-mm-dd")&amp;"|"&amp;$D210&amp;"|"&amp;$E210)</f>
        <v/>
      </c>
      <c r="I210" s="22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27" t="n"/>
      <c r="B211" s="4" t="n"/>
      <c r="C211" s="4" t="n"/>
      <c r="D211" s="4" t="n"/>
      <c r="E211" s="4" t="n"/>
      <c r="F211" s="4" t="n"/>
      <c r="G211" s="5">
        <f>IF($A211="","",TEXT($A211,"yyyy-mm-dd")&amp;"|"&amp;$D211&amp;"|"&amp;$E211)</f>
        <v/>
      </c>
      <c r="I211" s="22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27" t="n"/>
      <c r="B212" s="4" t="n"/>
      <c r="C212" s="4" t="n"/>
      <c r="D212" s="4" t="n"/>
      <c r="E212" s="4" t="n"/>
      <c r="F212" s="4" t="n"/>
      <c r="G212" s="5">
        <f>IF($A212="","",TEXT($A212,"yyyy-mm-dd")&amp;"|"&amp;$D212&amp;"|"&amp;$E212)</f>
        <v/>
      </c>
      <c r="I212" s="22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27" t="n"/>
      <c r="B213" s="4" t="n"/>
      <c r="C213" s="4" t="n"/>
      <c r="D213" s="4" t="n"/>
      <c r="E213" s="4" t="n"/>
      <c r="F213" s="4" t="n"/>
      <c r="G213" s="5">
        <f>IF($A213="","",TEXT($A213,"yyyy-mm-dd")&amp;"|"&amp;$D213&amp;"|"&amp;$E213)</f>
        <v/>
      </c>
      <c r="I213" s="22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27" t="n"/>
      <c r="B214" s="4" t="n"/>
      <c r="C214" s="4" t="n"/>
      <c r="D214" s="4" t="n"/>
      <c r="E214" s="4" t="n"/>
      <c r="F214" s="4" t="n"/>
      <c r="G214" s="5">
        <f>IF($A214="","",TEXT($A214,"yyyy-mm-dd")&amp;"|"&amp;$D214&amp;"|"&amp;$E214)</f>
        <v/>
      </c>
      <c r="I214" s="22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22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22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22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22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22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22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22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22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22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22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22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22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22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22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22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22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22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22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22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22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22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22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22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22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22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22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22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22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22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22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22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22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22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22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22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22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22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22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22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22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22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22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22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22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22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22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22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22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22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22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22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22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22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22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22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22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22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22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22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22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22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22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22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22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22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22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22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22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22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22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22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22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22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22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22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22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22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22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22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22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22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22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22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22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22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22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22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22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22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22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22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22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22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22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22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22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22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22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22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22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22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22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22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22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22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22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22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22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22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22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22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22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22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22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22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22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22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22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22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22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22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22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22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22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22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22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22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22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22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22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22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22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22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22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22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22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22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22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22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22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22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22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22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22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22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22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22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22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22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22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22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22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22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22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22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22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22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22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22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22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22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22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22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22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22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22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22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22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22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22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22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22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22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22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22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22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22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22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22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22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22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22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22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22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22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22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22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22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22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22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22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22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22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22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22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22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22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22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22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22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22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22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22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22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22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22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22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22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22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22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22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22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22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22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22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22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22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22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22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22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22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22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22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22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22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22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22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22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22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22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22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22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22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22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22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22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22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22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22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22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22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22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22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22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22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22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22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22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22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22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22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22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22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22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22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22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22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22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22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22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22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22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22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22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22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22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22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22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22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22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22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22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22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22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22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22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22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22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22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22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22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22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22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22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22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22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22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22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22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22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22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22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22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22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22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22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22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22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22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22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22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22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22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22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22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22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22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22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22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22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22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22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22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22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22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22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22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22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22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22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22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22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22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22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22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22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22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22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22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22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22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22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22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22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22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22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22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22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22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22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22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22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22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22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22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22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22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22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22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22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22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22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22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22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22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22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22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22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22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22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22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22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22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22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22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22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22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22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22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22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22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22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22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22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22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22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22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22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22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22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22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22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22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22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22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22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22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22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22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22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22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22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22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22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22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22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22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22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22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22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22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22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22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22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22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22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22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22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22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22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22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22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22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22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22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22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22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22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22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22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22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22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22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22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22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22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22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22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22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22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22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22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22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22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22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22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22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22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22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22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22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22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22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22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22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22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22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22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22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22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22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22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22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22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22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22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22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22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22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22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22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22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22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22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22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22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22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22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22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22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22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22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22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22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22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22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22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22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22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22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22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22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22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22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22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22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22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22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22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22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22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22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22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22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22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22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22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22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22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22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22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22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22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22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22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22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22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22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22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22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22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22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22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22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22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22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22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22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22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22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22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22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22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22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22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22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22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22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22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22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22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22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22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22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22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22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22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22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22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22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22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22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22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22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22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22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22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22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22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22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15" t="inlineStr">
        <is>
          <t>chequeo</t>
        </is>
      </c>
      <c r="B3" s="15" t="inlineStr">
        <is>
          <t>resultado</t>
        </is>
      </c>
      <c r="C3" s="15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SUMPRODUCT(--('ORDENES'!$AT$4:$AT$1203&lt;&gt;""),--(COUNTIF('ORDENES'!$AT$4:$AT$1203,'ORDENES'!$AT$4:$AT$1203)&gt;1))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SUMPRODUCT(--('ORDENES'!$H$4:$H$1203&lt;&gt;""),--ISNA(MATCH('ORDENES'!$H$4:$H$1203,'CAT_ACTIVIDADES'!$A$4:$A$11,0)))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SUMPRODUCT(--('ORDENES'!$I$4:$I$1203&lt;&gt;""),--ISNA(MATCH('ORDENES'!$I$4:$I$1203,'CAT_TIPOS_OT'!$A$4:$A$8,0)))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SUMPRODUCT(--('2_IMPORTAR_EJECUCION'!$J$9:$J$1208&lt;&gt;""),--ISNA(MATCH('2_IMPORTAR_EJECUCION'!$J$9:$J$1208,'ORDENES'!$AT$4:$AT$1203,0)))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SUMPRODUCT(--('ORDENES'!$AT$4:$AT$1203&lt;&gt;""),--ISNA(MATCH('ORDENES'!$AT$4:$AT$1203,'2_IMPORTAR_EJECUCION'!$J$9:$J$1208,0)))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SUMPRODUCT(--('ORDENES'!$AT$4:$AT$1203&lt;&gt;""),--ISNUMBER(MATCH('ORDENES'!$AT$4:$AT$1203,'AJUSTES'!$A$4:$A$303,0)))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SUMPRODUCT(--('AJUSTES'!$A$4:$A$303&lt;&gt;""),--ISNA(MATCH('AJUSTES'!$A$4:$A$303,'ORDENES'!$AT$4:$AT$1203,0)))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SUMPRODUCT(--('ORDENES'!$AT$4:$AT$1203&lt;&gt;""),--('ORDENES'!$T$4:$T$1203="no"))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3">
      <c r="A3" s="15" t="inlineStr">
        <is>
          <t>parametro</t>
        </is>
      </c>
      <c r="B3" s="15" t="inlineStr">
        <is>
          <t>valor</t>
        </is>
      </c>
      <c r="C3" s="15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2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29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29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27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9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27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25</v>
      </c>
      <c r="C25" s="2" t="inlineStr">
        <is>
          <t>Meta de mix: % de órdenes predictivas. Convención, NO norma.</t>
        </is>
      </c>
    </row>
    <row r="26">
      <c r="A26" s="5" t="inlineStr">
        <is>
          <t>meta_pct_preventivo</t>
        </is>
      </c>
      <c r="B26" s="4" t="n">
        <v>40</v>
      </c>
      <c r="C26" s="2" t="inlineStr">
        <is>
          <t>Meta de mix: % de órdenes preventivas. Convención, NO norma.</t>
        </is>
      </c>
    </row>
    <row r="27">
      <c r="A27" s="5" t="inlineStr">
        <is>
          <t>meta_pct_correctivo_programado</t>
        </is>
      </c>
      <c r="B27" s="4" t="n">
        <v>20</v>
      </c>
      <c r="C27" s="2" t="inlineStr">
        <is>
          <t>Meta de mix: % de correctivos programados.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mix: % de emergencias. Convención, NO norma.</t>
        </is>
      </c>
    </row>
    <row r="29">
      <c r="A29" s="5" t="inlineStr">
        <is>
          <t>meta_pct_legal</t>
        </is>
      </c>
      <c r="B29" s="4" t="n">
        <v>10</v>
      </c>
      <c r="C29" s="2" t="inlineStr">
        <is>
          <t>Meta de mix: % de órdenes legales. Convención, NO norma.</t>
        </is>
      </c>
    </row>
    <row r="30">
      <c r="A30" s="5" t="inlineStr">
        <is>
          <t>cuadre_metas_mix</t>
        </is>
      </c>
      <c r="B30" s="5">
        <f>IF(p_meta_pct_predictivo+p_meta_pct_preventivo+p_meta_pct_correctivo_programado+p_meta_pct_emergencia+p_meta_pct_legal=100,"cuadra: 100 %","DESCUADRE: suman "&amp;(p_meta_pct_predictivo+p_meta_pct_preventivo+p_meta_pct_correctivo_programado+p_meta_pct_emergencia+p_meta_pct_legal)&amp;" %, deben sumar 100")</f>
        <v/>
      </c>
      <c r="C30" s="2" t="inlineStr">
        <is>
          <t>Cuadre de las metas de mix. Derivado: avisa si los cinco porcentajes no suman 100.</t>
        </is>
      </c>
    </row>
  </sheetData>
  <conditionalFormatting sqref="B30">
    <cfRule type="expression" priority="1" dxfId="0">
      <formula>LEFT($B$30,9)="DESCUADRE"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 B29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planta</t>
        </is>
      </c>
      <c r="D3" s="15" t="inlineStr">
        <is>
          <t>area</t>
        </is>
      </c>
      <c r="E3" s="15" t="inlineStr">
        <is>
          <t>sub_area</t>
        </is>
      </c>
      <c r="F3" s="15" t="inlineStr">
        <is>
          <t>linea</t>
        </is>
      </c>
      <c r="G3" s="15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5" t="inlineStr">
        <is>
          <t>codigo</t>
        </is>
      </c>
      <c r="B3" s="15" t="inlineStr">
        <is>
          <t>especialidad</t>
        </is>
      </c>
      <c r="C3" s="15" t="inlineStr">
        <is>
          <t>descripcion</t>
        </is>
      </c>
      <c r="D3" s="15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Catálogo de actividades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tipo</t>
        </is>
      </c>
      <c r="D3" s="15" t="inlineStr">
        <is>
          <t>categoria_presupuesto</t>
        </is>
      </c>
      <c r="E3" s="15" t="inlineStr">
        <is>
          <t>clasificacion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clasificacion</t>
        </is>
      </c>
      <c r="D3" s="15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legal / calibración obligatoria</t>
        </is>
      </c>
      <c r="C6" s="4" t="inlineStr">
        <is>
          <t>preventiva</t>
        </is>
      </c>
      <c r="D6" s="4" t="inlineStr">
        <is>
          <t>legal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5" t="inlineStr">
        <is>
          <t>estado_sistema</t>
        </is>
      </c>
      <c r="B3" s="15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5" t="inlineStr">
        <is>
          <t>turno</t>
        </is>
      </c>
      <c r="B3" s="15" t="inlineStr">
        <is>
          <t>nombre</t>
        </is>
      </c>
      <c r="C3" s="15" t="inlineStr">
        <is>
          <t>hora_inicio</t>
        </is>
      </c>
      <c r="D3" s="15" t="inlineStr">
        <is>
          <t>hora_fin</t>
        </is>
      </c>
      <c r="E3" s="15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5" t="inlineStr">
        <is>
          <t>codigo</t>
        </is>
      </c>
      <c r="B3" s="15" t="inlineStr">
        <is>
          <t>nombre</t>
        </is>
      </c>
      <c r="C3" s="15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5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3.3.0 · generado 2026-07-27 · datos 100 % sintéticos de ejemplo</t>
        </is>
      </c>
    </row>
    <row r="3">
      <c r="A3" s="5" t="inlineStr"/>
    </row>
    <row r="4">
      <c r="A4" s="3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3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3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5" t="inlineStr">
        <is>
          <t>col.</t>
        </is>
      </c>
      <c r="B13" s="15" t="inlineStr">
        <is>
          <t>nombre de la columna</t>
        </is>
      </c>
      <c r="C13" s="15" t="inlineStr">
        <is>
          <t>EJEMPLO (no pegar)</t>
        </is>
      </c>
      <c r="D13" s="15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0" t="inlineStr">
        <is>
          <t>OT-000001</t>
        </is>
      </c>
      <c r="D14" s="3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0" t="inlineStr">
        <is>
          <t>0010</t>
        </is>
      </c>
      <c r="D15" s="3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0" t="inlineStr">
        <is>
          <t>Lubricación programada — EQ-102</t>
        </is>
      </c>
      <c r="D16" s="3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0" t="inlineStr">
        <is>
          <t>Lubricación programada en EQ-102</t>
        </is>
      </c>
      <c r="D17" s="3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30" t="inlineStr">
        <is>
          <t>EQ-102</t>
        </is>
      </c>
      <c r="D18" s="3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0" t="inlineStr">
        <is>
          <t>CC-110</t>
        </is>
      </c>
      <c r="D19" s="3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0" t="inlineStr">
        <is>
          <t>PU-MEC</t>
        </is>
      </c>
      <c r="D20" s="3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0" t="inlineStr">
        <is>
          <t>ACT-02</t>
        </is>
      </c>
      <c r="D21" s="3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30" t="inlineStr">
        <is>
          <t>TIPO-P1</t>
        </is>
      </c>
      <c r="D22" s="30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31" t="n">
        <v>46223</v>
      </c>
      <c r="D23" s="3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30" t="n">
        <v>10</v>
      </c>
      <c r="D24" s="3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30" t="n">
        <v>250</v>
      </c>
      <c r="D25" s="30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3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5" t="inlineStr">
        <is>
          <t>campo</t>
        </is>
      </c>
      <c r="B4" s="15" t="inlineStr">
        <is>
          <t>fórmula con XLOOKUP (como en tblOrdenes)</t>
        </is>
      </c>
      <c r="C4" s="15" t="inlineStr">
        <is>
          <t>equivalente INDEX/MATCH</t>
        </is>
      </c>
      <c r="D4" s="15" t="inlineStr">
        <is>
          <t>ejemplo vivo (fila 1 de ORDENES)</t>
        </is>
      </c>
    </row>
    <row r="5">
      <c r="A5" s="5" t="inlineStr">
        <is>
          <t>estado</t>
        </is>
      </c>
      <c r="B5" s="3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32" t="inlineStr">
        <is>
          <t>IFERROR(INDEX('CAT_ESTADOS_ERP'!$B$4:$B$7,MATCH(IFERROR(INDEX('2_IMPORTAR_EJECUCION'!$C$9:$C$1208,MATCH('ORDENES'!$AT$4,'2_IMPORTAR_EJECUCION'!$J$9:$J$1208,0)),""),'CAT_ESTADOS_ERP'!$A$4:$A$7,0)),"Pendiente")</t>
        </is>
      </c>
      <c r="D5" s="5">
        <f>IFERROR(INDEX('CAT_ESTADOS_ERP'!$B$4:$B$7,MATCH(IFERROR(INDEX('2_IMPORTAR_EJECUCION'!$C$9:$C$1208,MATCH('ORDENES'!$AT$4,'2_IMPORTAR_EJECUCION'!$J$9:$J$1208,0)),""),'CAT_ESTADOS_ERP'!$A$4:$A$7,0)),"Pendiente")</f>
        <v/>
      </c>
    </row>
    <row r="6">
      <c r="A6" s="5" t="inlineStr">
        <is>
          <t>clasificacion</t>
        </is>
      </c>
      <c r="B6" s="32" t="inlineStr">
        <is>
          <t>IF(tblOrdenes[[#This Row],[tipo_ot]]="","",XLOOKUP(tblOrdenes[[#This Row],[tipo_ot]],tblTiposOT[codigo],tblTiposOT[clasificacion],"sin_clasificar"))</t>
        </is>
      </c>
      <c r="C6" s="32" t="inlineStr">
        <is>
          <t>IFERROR(INDEX('CAT_TIPOS_OT'!$C$4:$C$8,MATCH('ORDENES'!$I$4,'CAT_TIPOS_OT'!$A$4:$A$8,0)),"sin_clasificar")</t>
        </is>
      </c>
      <c r="D6" s="5">
        <f>IFERROR(INDEX('CAT_TIPOS_OT'!$C$4:$C$8,MATCH('ORDENES'!$I$4,'CAT_TIPOS_OT'!$A$4:$A$8,0)),"sin_clasificar")</f>
        <v/>
      </c>
    </row>
    <row r="7">
      <c r="A7" s="5" t="inlineStr">
        <is>
          <t>linea</t>
        </is>
      </c>
      <c r="B7" s="32" t="inlineStr">
        <is>
          <t>IF(tblOrdenes[[#This Row],[centro_costo]]="","",XLOOKUP(tblOrdenes[[#This Row],[centro_costo]],tblCECO[codigo],tblCECO[linea],"(sin catálogo)"))</t>
        </is>
      </c>
      <c r="C7" s="32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32" t="inlineStr">
        <is>
          <t>IF(tblOrdenes[[#This Row],[centro_costo]]="","",XLOOKUP(tblOrdenes[[#This Row],[centro_costo]],tblCECO[codigo],tblCECO[area],"(sin catálogo)"))</t>
        </is>
      </c>
      <c r="C8" s="32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3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3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32" t="inlineStr">
        <is>
          <t>IF(tblOrdenes[[#This Row],[centro_costo]]="","",XLOOKUP(tblOrdenes[[#This Row],[centro_costo]],tblCECO[codigo],tblCECO[coordinador],"(sin catálogo)"))</t>
        </is>
      </c>
      <c r="C10" s="32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32" t="inlineStr">
        <is>
          <t>IF(tblOrdenes[[#This Row],[puesto_trabajo]]="","",XLOOKUP(tblOrdenes[[#This Row],[puesto_trabajo]],tblPuestos[codigo],tblPuestos[especialidad],"(sin catálogo)"))</t>
        </is>
      </c>
      <c r="C11" s="32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32" t="inlineStr">
        <is>
          <t>IF(tblOrdenes[[#This Row],[cod_actividad]]="","",XLOOKUP(tblOrdenes[[#This Row],[cod_actividad]],tblActividades[codigo],tblActividades[descripcion],"(sin catálogo)"))</t>
        </is>
      </c>
      <c r="C12" s="32" t="inlineStr">
        <is>
          <t>IFERROR(INDEX('CAT_ACTIVIDADES'!$B$4:$B$11,MATCH('ORDENES'!$H$4,'CAT_ACTIVIDADES'!$A$4:$A$11,0)),"(sin catálogo)")</t>
        </is>
      </c>
      <c r="D12" s="5">
        <f>IFERROR(INDEX('CAT_ACTIVIDADES'!$B$4:$B$11,MATCH('ORDENES'!$H$4,'CAT_ACTIVIDADES'!$A$4:$A$11,0)),"(sin catálogo)")</f>
        <v/>
      </c>
    </row>
    <row r="13">
      <c r="A13" s="5" t="inlineStr">
        <is>
          <t>es_habil</t>
        </is>
      </c>
      <c r="B13" s="3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32" t="inlineStr">
        <is>
          <t>IF('ORDENES'!$J$4="","",IFERROR(INDEX('CALENDARIO'!$C$15:$C$214,MATCH(TEXT('ORDENES'!$J$4,"yyyy-mm-dd")&amp;"|"&amp;'ORDENES'!$X$4&amp;"|"&amp;'ORDENES'!$Y$4,'CALENDARIO'!$G$15:$G$214,0)),IFERROR(INDEX('CALENDARIO'!$C$15:$C$214,MATCH(TEXT('ORDENES'!$J$4,"yyyy-mm-dd")&amp;"|"&amp;'ORDENES'!$X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X$4&amp;"|"&amp;'ORDENES'!$Y$4,'CALENDARIO'!$G$15:$G$214,0)),IFERROR(INDEX('CALENDARIO'!$C$15:$C$214,MATCH(TEXT('ORDENES'!$J$4,"yyyy-mm-dd")&amp;"|"&amp;'ORDENES'!$X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3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32" t="inlineStr">
        <is>
          <t>IFERROR(INDEX('AJUSTES'!$B$4:$B$303,MATCH('ORDENES'!$AT$4,'AJUSTES'!$A$4:$A$303,0)),IF('ORDENES'!$K$4="","",'ORDENES'!$K$4))</t>
        </is>
      </c>
      <c r="D14" s="5">
        <f>IFERROR(INDEX('AJUSTES'!$B$4:$B$303,MATCH('ORDENES'!$AT$4,'AJUSTES'!$A$4:$A$303,0)),IF('ORDENES'!$K$4="","",'ORDENES'!$K$4))</f>
        <v/>
      </c>
    </row>
    <row r="15">
      <c r="A15" s="5" t="inlineStr">
        <is>
          <t>turno_asignado</t>
        </is>
      </c>
      <c r="B15" s="3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32" t="inlineStr">
        <is>
          <t>IF('ORDENES'!$AG$4="","",IFERROR(INDEX('ASIGNACIONES'!$J$4:$J$451,MATCH('ORDENES'!$O$4&amp;"|"&amp;'ORDENES'!$S$4&amp;"|"&amp;'ORDENES'!$AG$4,'ASIGNACIONES'!$N$4:$N$451,0)),""))</t>
        </is>
      </c>
      <c r="D15" s="5">
        <f>IF('ORDENES'!$AG$4="","",IFERROR(INDEX('ASIGNACIONES'!$J$4:$J$451,MATCH('ORDENES'!$O$4&amp;"|"&amp;'ORDENES'!$S$4&amp;"|"&amp;'ORDENES'!$AG$4,'ASIGNACIONES'!$N$4:$N$451,0)),""))</f>
        <v/>
      </c>
    </row>
    <row r="16">
      <c r="A16" s="5" t="inlineStr">
        <is>
          <t>costo_servicio</t>
        </is>
      </c>
      <c r="B16" s="32" t="inlineStr">
        <is>
          <t>IF(tblOrdenes[[#This Row],[orden]]="","",XLOOKUP(tblOrdenes[[#This Row],[id_operacion]],tblEjecucion[id_operacion],tblEjecucion[precio],0))</t>
        </is>
      </c>
      <c r="C16" s="32" t="inlineStr">
        <is>
          <t>IFERROR(INDEX('2_IMPORTAR_EJECUCION'!$F$9:$F$1208,MATCH('ORDENES'!$AT$4,'2_IMPORTAR_EJECUCION'!$J$9:$J$1208,0)),0)</t>
        </is>
      </c>
      <c r="D16" s="5">
        <f>IFERROR(INDEX('2_IMPORTAR_EJECUCION'!$F$9:$F$1208,MATCH('ORDENES'!$AT$4,'2_IMPORTAR_EJECUCION'!$J$9:$J$1208,0)),0)</f>
        <v/>
      </c>
    </row>
    <row r="17">
      <c r="A17" s="5" t="inlineStr">
        <is>
          <t>costo_materiales</t>
        </is>
      </c>
      <c r="B17" s="3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32" t="inlineStr">
        <is>
          <t>MAX(0,IFERROR(INDEX('2_IMPORTAR_EJECUCION'!$H$9:$H$1208,MATCH('ORDENES'!$AT$4,'2_IMPORTAR_EJECUCION'!$J$9:$J$1208,0)),0)-'ORDENES'!$AK$4)</t>
        </is>
      </c>
      <c r="D17" s="5">
        <f>MAX(0,IFERROR(INDEX('2_IMPORTAR_EJECUCION'!$H$9:$H$1208,MATCH('ORDENES'!$AT$4,'2_IMPORTAR_EJECUCION'!$J$9:$J$1208,0)),0)-'ORDENES'!$AK$4)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2026-07-28T00:13:33Z</dcterms:created>
  <dcterms:modified xsi:type="dcterms:W3CDTF">2026-07-28T00:13:34Z</dcterms:modified>
</cp:coreProperties>
</file>